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omments25.xml" ContentType="application/vnd.openxmlformats-officedocument.spreadsheetml.comments+xml"/>
  <Override PartName="/xl/drawings/drawing26.xml" ContentType="application/vnd.openxmlformats-officedocument.drawing+xml"/>
  <Override PartName="/xl/comments26.xml" ContentType="application/vnd.openxmlformats-officedocument.spreadsheetml.comments+xml"/>
  <Override PartName="/xl/drawings/drawing27.xml" ContentType="application/vnd.openxmlformats-officedocument.drawing+xml"/>
  <Override PartName="/xl/comments27.xml" ContentType="application/vnd.openxmlformats-officedocument.spreadsheetml.comments+xml"/>
  <Override PartName="/xl/drawings/drawing28.xml" ContentType="application/vnd.openxmlformats-officedocument.drawing+xml"/>
  <Override PartName="/xl/comments28.xml" ContentType="application/vnd.openxmlformats-officedocument.spreadsheetml.comments+xml"/>
  <Override PartName="/xl/drawings/drawing29.xml" ContentType="application/vnd.openxmlformats-officedocument.drawing+xml"/>
  <Override PartName="/xl/comments29.xml" ContentType="application/vnd.openxmlformats-officedocument.spreadsheetml.comments+xml"/>
  <Override PartName="/xl/drawings/drawing30.xml" ContentType="application/vnd.openxmlformats-officedocument.drawing+xml"/>
  <Override PartName="/xl/comments30.xml" ContentType="application/vnd.openxmlformats-officedocument.spreadsheetml.comments+xml"/>
  <Override PartName="/xl/drawings/drawing31.xml" ContentType="application/vnd.openxmlformats-officedocument.drawing+xml"/>
  <Override PartName="/xl/comments31.xml" ContentType="application/vnd.openxmlformats-officedocument.spreadsheetml.comments+xml"/>
  <Override PartName="/xl/drawings/drawing32.xml" ContentType="application/vnd.openxmlformats-officedocument.drawing+xml"/>
  <Override PartName="/xl/comments32.xml" ContentType="application/vnd.openxmlformats-officedocument.spreadsheetml.comments+xml"/>
  <Override PartName="/xl/drawings/drawing33.xml" ContentType="application/vnd.openxmlformats-officedocument.drawing+xml"/>
  <Override PartName="/xl/comments33.xml" ContentType="application/vnd.openxmlformats-officedocument.spreadsheetml.comments+xml"/>
  <Override PartName="/xl/drawings/drawing34.xml" ContentType="application/vnd.openxmlformats-officedocument.drawing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drawings/drawing35.xml" ContentType="application/vnd.openxmlformats-officedocument.drawing+xml"/>
  <Override PartName="/xl/comments36.xml" ContentType="application/vnd.openxmlformats-officedocument.spreadsheetml.comments+xml"/>
  <Override PartName="/xl/drawings/drawing36.xml" ContentType="application/vnd.openxmlformats-officedocument.drawing+xml"/>
  <Override PartName="/xl/comments3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75" windowWidth="20730" windowHeight="10935" tabRatio="871"/>
  </bookViews>
  <sheets>
    <sheet name="CONTRALORIA 2017" sheetId="89" r:id="rId1"/>
    <sheet name="PRESIDENCIA 2017" sheetId="60" r:id="rId2"/>
    <sheet name="HACIENDA 2017" sheetId="57" r:id="rId3"/>
    <sheet name="INSTITUTO DE LA JUVENTUD 2017" sheetId="86" r:id="rId4"/>
    <sheet name="OFICIALÍA MAYOR YA 2017" sheetId="62" r:id="rId5"/>
    <sheet name="SECRETARÍA YA 2017" sheetId="61" r:id="rId6"/>
    <sheet name="RECLUTAMIENTO YA 2017" sheetId="64" r:id="rId7"/>
    <sheet name="PARQUE VEHICULAR YA 2017" sheetId="65" r:id="rId8"/>
    <sheet name="COMUNICACIÓN SOCIAL YA 2017" sheetId="66" r:id="rId9"/>
    <sheet name="CÓMPUTO E INFORMÁTICA YA 2017" sheetId="67" r:id="rId10"/>
    <sheet name="DEPORTES YA 2015" sheetId="68" r:id="rId11"/>
    <sheet name="JURÍDICO YA 2017" sheetId="63" r:id="rId12"/>
    <sheet name="PROMOCIÓN ECONOMICA 2017" sheetId="69" r:id="rId13"/>
    <sheet name="ECOLOGÍA YA 2015" sheetId="70" r:id="rId14"/>
    <sheet name="DESARROLLO RURAL YA 2015" sheetId="73" r:id="rId15"/>
    <sheet name="PROTECCIÓN CIVIL YA 2017 CORREG" sheetId="74" r:id="rId16"/>
    <sheet name="OBRAS PÚBLICAS 2017" sheetId="76" r:id="rId17"/>
    <sheet name="CE-MUJER YA 2015" sheetId="77" r:id="rId18"/>
    <sheet name="CATASTRO 2015 YA" sheetId="78" r:id="rId19"/>
    <sheet name="CULTURA DEL AGUA YA" sheetId="79" r:id="rId20"/>
    <sheet name="REG. CIVIL 2018 YA" sheetId="80" r:id="rId21"/>
    <sheet name="SERV. PÚB. 2018 YA" sheetId="81" r:id="rId22"/>
    <sheet name=" TRAILERS DE AYUDA 2018" sheetId="82" r:id="rId23"/>
    <sheet name="PLANEACIÓN, PROGRAMACIÓN Y PRES" sheetId="83" r:id="rId24"/>
    <sheet name="PART. C" sheetId="84" r:id="rId25"/>
    <sheet name="JUZGADO SIN REVALÚO2017" sheetId="87" r:id="rId26"/>
    <sheet name="JUZGADO 2017" sheetId="85" r:id="rId27"/>
    <sheet name="SÍNDICO" sheetId="88" r:id="rId28"/>
    <sheet name="DESARROLLO ECONOMICO" sheetId="90" r:id="rId29"/>
    <sheet name="DESARROLLO SOCIAL" sheetId="91" r:id="rId30"/>
    <sheet name="casa de la cultura act" sheetId="92" r:id="rId31"/>
    <sheet name="BIENES INMUEBLES" sheetId="93" r:id="rId32"/>
    <sheet name="VEHICULOS" sheetId="94" r:id="rId33"/>
    <sheet name="vehiculos sin revaluo" sheetId="95" r:id="rId34"/>
    <sheet name="GENERAL" sheetId="96" r:id="rId35"/>
    <sheet name="MIERCOLES CIUDADANO" sheetId="97" r:id="rId36"/>
    <sheet name="SEGURIDAD PÚBLICA 2017" sheetId="99" r:id="rId37"/>
  </sheets>
  <definedNames>
    <definedName name="_xlnm.Print_Area" localSheetId="16">'OBRAS PÚBLICAS 2017'!$A$1:$DO$128</definedName>
    <definedName name="_xlnm.Print_Area" localSheetId="1">'PRESIDENCIA 2017'!$A$1:$EE$86</definedName>
    <definedName name="_xlnm.Print_Area" localSheetId="36">'SEGURIDAD PÚBLICA 2017'!$A$1:$EO$50</definedName>
    <definedName name="_xlnm.Print_Titles" localSheetId="22">' TRAILERS DE AYUDA 2018'!$1:$12</definedName>
    <definedName name="_xlnm.Print_Titles" localSheetId="18">'CATASTRO 2015 YA'!$1:$12</definedName>
    <definedName name="_xlnm.Print_Titles" localSheetId="17">'CE-MUJER YA 2015'!$1:$12</definedName>
    <definedName name="_xlnm.Print_Titles" localSheetId="9">'CÓMPUTO E INFORMÁTICA YA 2017'!$1:$12</definedName>
    <definedName name="_xlnm.Print_Titles" localSheetId="8">'COMUNICACIÓN SOCIAL YA 2017'!$1:$12</definedName>
    <definedName name="_xlnm.Print_Titles" localSheetId="19">'CULTURA DEL AGUA YA'!$1:$12</definedName>
    <definedName name="_xlnm.Print_Titles" localSheetId="10">'DEPORTES YA 2015'!$1:$12</definedName>
    <definedName name="_xlnm.Print_Titles" localSheetId="14">'DESARROLLO RURAL YA 2015'!$1:$12</definedName>
    <definedName name="_xlnm.Print_Titles" localSheetId="13">'ECOLOGÍA YA 2015'!$1:$12</definedName>
    <definedName name="_xlnm.Print_Titles" localSheetId="2">'HACIENDA 2017'!$1:$12</definedName>
    <definedName name="_xlnm.Print_Titles" localSheetId="3">'INSTITUTO DE LA JUVENTUD 2017'!$1:$12</definedName>
    <definedName name="_xlnm.Print_Titles" localSheetId="11">'JURÍDICO YA 2017'!$1:$12</definedName>
    <definedName name="_xlnm.Print_Titles" localSheetId="26">'JUZGADO 2017'!$1:$12</definedName>
    <definedName name="_xlnm.Print_Titles" localSheetId="25">'JUZGADO SIN REVALÚO2017'!$1:$12</definedName>
    <definedName name="_xlnm.Print_Titles" localSheetId="16">'OBRAS PÚBLICAS 2017'!$1:$11</definedName>
    <definedName name="_xlnm.Print_Titles" localSheetId="4">'OFICIALÍA MAYOR YA 2017'!$1:$12</definedName>
    <definedName name="_xlnm.Print_Titles" localSheetId="7">'PARQUE VEHICULAR YA 2017'!$1:$12</definedName>
    <definedName name="_xlnm.Print_Titles" localSheetId="24">'PART. C'!$1:$12</definedName>
    <definedName name="_xlnm.Print_Titles" localSheetId="23">'PLANEACIÓN, PROGRAMACIÓN Y PRES'!$1:$12</definedName>
    <definedName name="_xlnm.Print_Titles" localSheetId="12">'PROMOCIÓN ECONOMICA 2017'!$1:$12</definedName>
    <definedName name="_xlnm.Print_Titles" localSheetId="15">'PROTECCIÓN CIVIL YA 2017 CORREG'!$1:$12</definedName>
    <definedName name="_xlnm.Print_Titles" localSheetId="6">'RECLUTAMIENTO YA 2017'!$1:$12</definedName>
    <definedName name="_xlnm.Print_Titles" localSheetId="20">'REG. CIVIL 2018 YA'!$1:$12</definedName>
    <definedName name="_xlnm.Print_Titles" localSheetId="5">'SECRETARÍA YA 2017'!$1:$12</definedName>
    <definedName name="_xlnm.Print_Titles" localSheetId="36">'SEGURIDAD PÚBLICA 2017'!$1:$12</definedName>
    <definedName name="_xlnm.Print_Titles" localSheetId="21">'SERV. PÚB. 2018 YA'!$1:$12</definedName>
    <definedName name="_xlnm.Print_Titles" localSheetId="27">SÍNDICO!$1:$12</definedName>
  </definedNames>
  <calcPr calcId="144525"/>
</workbook>
</file>

<file path=xl/calcChain.xml><?xml version="1.0" encoding="utf-8"?>
<calcChain xmlns="http://schemas.openxmlformats.org/spreadsheetml/2006/main">
  <c r="EL33" i="99" l="1"/>
  <c r="DK16" i="97"/>
  <c r="EB25" i="95"/>
  <c r="FB28" i="94"/>
  <c r="DK51" i="93"/>
  <c r="DK89" i="92"/>
  <c r="DI21" i="91"/>
  <c r="DI20" i="90"/>
  <c r="DI22" i="88"/>
  <c r="DJ24" i="85"/>
  <c r="DI27" i="87"/>
  <c r="DL19" i="84"/>
  <c r="DM25" i="83"/>
  <c r="EP31" i="82"/>
  <c r="DM73" i="81"/>
  <c r="CW30" i="80"/>
  <c r="DE38" i="79"/>
  <c r="DS49" i="78"/>
  <c r="DL122" i="76"/>
  <c r="DW33" i="74"/>
  <c r="DV33" i="73"/>
  <c r="DW30" i="70"/>
  <c r="DI46" i="69"/>
  <c r="CO29" i="63"/>
  <c r="EM32" i="67"/>
  <c r="EQ30" i="66"/>
  <c r="FP45" i="61"/>
  <c r="EM55" i="62"/>
  <c r="FV19" i="86"/>
  <c r="EM75" i="57"/>
  <c r="EA65" i="60"/>
  <c r="DY20" i="89"/>
  <c r="EK33" i="99" l="1"/>
  <c r="DJ16" i="97"/>
  <c r="EA25" i="95"/>
  <c r="FA28" i="94"/>
  <c r="DJ51" i="93"/>
  <c r="DJ89" i="92"/>
  <c r="DH21" i="91"/>
  <c r="DH20" i="90"/>
  <c r="DH22" i="88"/>
  <c r="DI24" i="85"/>
  <c r="DH27" i="87"/>
  <c r="DK19" i="84"/>
  <c r="DL25" i="83"/>
  <c r="EO31" i="82"/>
  <c r="DL73" i="81"/>
  <c r="CV30" i="80"/>
  <c r="DD38" i="79"/>
  <c r="DR49" i="78"/>
  <c r="DK122" i="76"/>
  <c r="DV33" i="74"/>
  <c r="DU33" i="73"/>
  <c r="DV30" i="70"/>
  <c r="DH46" i="69"/>
  <c r="CN29" i="63"/>
  <c r="EL32" i="67"/>
  <c r="EP30" i="66"/>
  <c r="FO45" i="61"/>
  <c r="EL55" i="62"/>
  <c r="FU19" i="86"/>
  <c r="EL75" i="57"/>
  <c r="DZ65" i="60"/>
  <c r="DX20" i="89"/>
  <c r="EJ33" i="99" l="1"/>
  <c r="DI16" i="97"/>
  <c r="DZ25" i="95"/>
  <c r="EZ28" i="94"/>
  <c r="DI51" i="93"/>
  <c r="DI89" i="92"/>
  <c r="DG21" i="91"/>
  <c r="DG20" i="90"/>
  <c r="DG22" i="88"/>
  <c r="DH24" i="85"/>
  <c r="DG27" i="87"/>
  <c r="DJ19" i="84"/>
  <c r="DK25" i="83"/>
  <c r="EN31" i="82"/>
  <c r="DK73" i="81"/>
  <c r="CU30" i="80"/>
  <c r="DC38" i="79"/>
  <c r="DQ49" i="78"/>
  <c r="DJ122" i="76"/>
  <c r="DU33" i="74"/>
  <c r="DT33" i="73"/>
  <c r="DU30" i="70"/>
  <c r="DG46" i="69"/>
  <c r="CM29" i="63"/>
  <c r="EK32" i="67"/>
  <c r="EO30" i="66"/>
  <c r="FN45" i="61"/>
  <c r="EK55" i="62"/>
  <c r="FT19" i="86"/>
  <c r="EK75" i="57"/>
  <c r="DY65" i="60"/>
  <c r="DW20" i="89"/>
  <c r="EI33" i="99" l="1"/>
  <c r="DH16" i="97"/>
  <c r="DY25" i="95"/>
  <c r="EY28" i="94"/>
  <c r="DH51" i="93"/>
  <c r="DH89" i="92"/>
  <c r="DF21" i="91"/>
  <c r="DF20" i="90"/>
  <c r="DF22" i="88"/>
  <c r="DG24" i="85"/>
  <c r="DF27" i="87"/>
  <c r="DI19" i="84"/>
  <c r="DJ25" i="83"/>
  <c r="EM31" i="82"/>
  <c r="DJ73" i="81"/>
  <c r="CT30" i="80"/>
  <c r="DB38" i="79"/>
  <c r="DP49" i="78"/>
  <c r="DI122" i="76"/>
  <c r="DT33" i="74"/>
  <c r="DS33" i="73"/>
  <c r="DT30" i="70"/>
  <c r="DF46" i="69"/>
  <c r="CL29" i="63"/>
  <c r="EJ32" i="67"/>
  <c r="EN30" i="66"/>
  <c r="FM45" i="61"/>
  <c r="EJ55" i="62"/>
  <c r="FS19" i="86"/>
  <c r="EJ75" i="57"/>
  <c r="DX65" i="60"/>
  <c r="DV20" i="89"/>
  <c r="EH33" i="99" l="1"/>
  <c r="DG16" i="97"/>
  <c r="DX25" i="95"/>
  <c r="EX28" i="94"/>
  <c r="DG51" i="93"/>
  <c r="DG89" i="92"/>
  <c r="DE21" i="91"/>
  <c r="DE20" i="90"/>
  <c r="DE22" i="88"/>
  <c r="DJ22" i="88"/>
  <c r="DF24" i="85"/>
  <c r="DE27" i="87"/>
  <c r="DH19" i="84"/>
  <c r="DI25" i="83"/>
  <c r="EL31" i="82"/>
  <c r="DI73" i="81"/>
  <c r="CS30" i="80"/>
  <c r="DA38" i="79"/>
  <c r="DO49" i="78"/>
  <c r="DH122" i="76"/>
  <c r="DS33" i="74"/>
  <c r="DR33" i="73"/>
  <c r="DS30" i="70"/>
  <c r="DE46" i="69"/>
  <c r="CK29" i="63"/>
  <c r="EI32" i="67"/>
  <c r="EM30" i="66"/>
  <c r="FL45" i="61"/>
  <c r="EI55" i="62"/>
  <c r="FR19" i="86"/>
  <c r="EI75" i="57"/>
  <c r="DW65" i="60"/>
  <c r="DU20" i="89"/>
  <c r="EG33" i="99" l="1"/>
  <c r="DF16" i="97"/>
  <c r="DW25" i="95"/>
  <c r="EW28" i="94"/>
  <c r="DF51" i="93"/>
  <c r="DF89" i="92"/>
  <c r="DD21" i="91"/>
  <c r="DD20" i="90"/>
  <c r="DD22" i="88"/>
  <c r="DE24" i="85"/>
  <c r="DD27" i="87"/>
  <c r="DG19" i="84"/>
  <c r="DH25" i="83"/>
  <c r="EK31" i="82"/>
  <c r="DH73" i="81"/>
  <c r="CR30" i="80"/>
  <c r="CZ38" i="79"/>
  <c r="DN49" i="78"/>
  <c r="DG122" i="76"/>
  <c r="DR33" i="74"/>
  <c r="DQ33" i="73"/>
  <c r="DR30" i="70"/>
  <c r="DD46" i="69"/>
  <c r="CJ29" i="63"/>
  <c r="EH32" i="67"/>
  <c r="EL30" i="66"/>
  <c r="FK45" i="61"/>
  <c r="EH55" i="62"/>
  <c r="FX16" i="86"/>
  <c r="FX17" i="86"/>
  <c r="FX18" i="86"/>
  <c r="FX15" i="86"/>
  <c r="FW19" i="86"/>
  <c r="EO16" i="57"/>
  <c r="EO17" i="57"/>
  <c r="EO18" i="57"/>
  <c r="EO19" i="57"/>
  <c r="EO20" i="57"/>
  <c r="EO21" i="57"/>
  <c r="EO22" i="57"/>
  <c r="EO23" i="57"/>
  <c r="EO24" i="57"/>
  <c r="EO25" i="57"/>
  <c r="EO26" i="57"/>
  <c r="EO27" i="57"/>
  <c r="EO28" i="57"/>
  <c r="EO29" i="57"/>
  <c r="EO30" i="57"/>
  <c r="EO31" i="57"/>
  <c r="EO32" i="57"/>
  <c r="EO33" i="57"/>
  <c r="EO34" i="57"/>
  <c r="EO35" i="57"/>
  <c r="EO36" i="57"/>
  <c r="EO37" i="57"/>
  <c r="EO38" i="57"/>
  <c r="EO39" i="57"/>
  <c r="EO40" i="57"/>
  <c r="EO41" i="57"/>
  <c r="EO42" i="57"/>
  <c r="EO43" i="57"/>
  <c r="EO44" i="57"/>
  <c r="EO45" i="57"/>
  <c r="EO46" i="57"/>
  <c r="EO47" i="57"/>
  <c r="EO48" i="57"/>
  <c r="EO49" i="57"/>
  <c r="EO50" i="57"/>
  <c r="EO51" i="57"/>
  <c r="EO52" i="57"/>
  <c r="EO53" i="57"/>
  <c r="EO54" i="57"/>
  <c r="EO55" i="57"/>
  <c r="EO56" i="57"/>
  <c r="EO57" i="57"/>
  <c r="EO58" i="57"/>
  <c r="EO59" i="57"/>
  <c r="EO60" i="57"/>
  <c r="EO61" i="57"/>
  <c r="EO62" i="57"/>
  <c r="EO63" i="57"/>
  <c r="EO64" i="57"/>
  <c r="EO65" i="57"/>
  <c r="EO66" i="57"/>
  <c r="EO67" i="57"/>
  <c r="EO68" i="57"/>
  <c r="EO69" i="57"/>
  <c r="EO70" i="57"/>
  <c r="EO71" i="57"/>
  <c r="EO72" i="57"/>
  <c r="EO73" i="57"/>
  <c r="EO74" i="57"/>
  <c r="EO15" i="57"/>
  <c r="EN75" i="57"/>
  <c r="EC17" i="60"/>
  <c r="EC18" i="60"/>
  <c r="EC19" i="60"/>
  <c r="EC20" i="60"/>
  <c r="EC21" i="60"/>
  <c r="EC22" i="60"/>
  <c r="EC23" i="60"/>
  <c r="EC24" i="60"/>
  <c r="EC25" i="60"/>
  <c r="EC26" i="60"/>
  <c r="EC27" i="60"/>
  <c r="EC28" i="60"/>
  <c r="EC29" i="60"/>
  <c r="EC30" i="60"/>
  <c r="EC31" i="60"/>
  <c r="EC32" i="60"/>
  <c r="EC33" i="60"/>
  <c r="EC34" i="60"/>
  <c r="EC35" i="60"/>
  <c r="EC36" i="60"/>
  <c r="EC37" i="60"/>
  <c r="EC38" i="60"/>
  <c r="EC39" i="60"/>
  <c r="EC40" i="60"/>
  <c r="EC41" i="60"/>
  <c r="EC42" i="60"/>
  <c r="EC43" i="60"/>
  <c r="EC44" i="60"/>
  <c r="EC45" i="60"/>
  <c r="EC46" i="60"/>
  <c r="EC47" i="60"/>
  <c r="EC48" i="60"/>
  <c r="EC49" i="60"/>
  <c r="EC50" i="60"/>
  <c r="EC51" i="60"/>
  <c r="EC52" i="60"/>
  <c r="EC53" i="60"/>
  <c r="EC54" i="60"/>
  <c r="EC55" i="60"/>
  <c r="EC56" i="60"/>
  <c r="EC57" i="60"/>
  <c r="EC58" i="60"/>
  <c r="EC59" i="60"/>
  <c r="EC60" i="60"/>
  <c r="EC61" i="60"/>
  <c r="EC62" i="60"/>
  <c r="EC63" i="60"/>
  <c r="EC16" i="60"/>
  <c r="EC15" i="60"/>
  <c r="EB65" i="60"/>
  <c r="EA15" i="89"/>
  <c r="EA16" i="89"/>
  <c r="EA17" i="89"/>
  <c r="EA18" i="89"/>
  <c r="EA19" i="89"/>
  <c r="DZ20" i="89"/>
  <c r="EN16" i="99" l="1"/>
  <c r="EN17" i="99"/>
  <c r="EN18" i="99"/>
  <c r="EN19" i="99"/>
  <c r="EN20" i="99"/>
  <c r="EN21" i="99"/>
  <c r="EN22" i="99"/>
  <c r="EN23" i="99"/>
  <c r="EN24" i="99"/>
  <c r="EN25" i="99"/>
  <c r="EN26" i="99"/>
  <c r="EN27" i="99"/>
  <c r="EN28" i="99"/>
  <c r="EN29" i="99"/>
  <c r="EN30" i="99"/>
  <c r="EN31" i="99"/>
  <c r="EN32" i="99"/>
  <c r="EN15" i="99"/>
  <c r="EM33" i="99"/>
  <c r="EF33" i="99"/>
  <c r="EE33" i="99"/>
  <c r="ED33" i="99"/>
  <c r="EC33" i="99"/>
  <c r="DM15" i="97"/>
  <c r="DL16" i="97"/>
  <c r="DE16" i="97"/>
  <c r="DD16" i="97"/>
  <c r="DC16" i="97"/>
  <c r="DB16" i="97"/>
  <c r="ED19" i="95"/>
  <c r="ED20" i="95"/>
  <c r="ED21" i="95"/>
  <c r="ED22" i="95"/>
  <c r="ED23" i="95"/>
  <c r="ED24" i="95"/>
  <c r="ED18" i="95"/>
  <c r="EC25" i="95"/>
  <c r="DV25" i="95"/>
  <c r="DU25" i="95"/>
  <c r="DT25" i="95"/>
  <c r="DS25" i="95"/>
  <c r="FD26" i="94"/>
  <c r="FC28" i="94"/>
  <c r="EV28" i="94"/>
  <c r="EU28" i="94"/>
  <c r="DM15" i="93"/>
  <c r="DM16" i="93"/>
  <c r="DM17" i="93"/>
  <c r="DM18" i="93"/>
  <c r="DM19" i="93"/>
  <c r="DM20" i="93"/>
  <c r="DM21" i="93"/>
  <c r="DM22" i="93"/>
  <c r="DM23" i="93"/>
  <c r="DM24" i="93"/>
  <c r="DM25" i="93"/>
  <c r="DM26" i="93"/>
  <c r="DM27" i="93"/>
  <c r="DM28" i="93"/>
  <c r="DM29" i="93"/>
  <c r="DM30" i="93"/>
  <c r="DM31" i="93"/>
  <c r="DM32" i="93"/>
  <c r="DM33" i="93"/>
  <c r="DM34" i="93"/>
  <c r="DM35" i="93"/>
  <c r="DM36" i="93"/>
  <c r="DM37" i="93"/>
  <c r="DM38" i="93"/>
  <c r="DM39" i="93"/>
  <c r="DM40" i="93"/>
  <c r="DM41" i="93"/>
  <c r="DM42" i="93"/>
  <c r="DM43" i="93"/>
  <c r="DM44" i="93"/>
  <c r="DM45" i="93"/>
  <c r="DM46" i="93"/>
  <c r="DM47" i="93"/>
  <c r="DM48" i="93"/>
  <c r="DM49" i="93"/>
  <c r="DM50" i="93"/>
  <c r="DM14" i="93"/>
  <c r="DL51" i="93"/>
  <c r="DE51" i="93"/>
  <c r="DD51" i="93"/>
  <c r="DC51" i="93"/>
  <c r="DB51" i="93"/>
  <c r="DM19" i="92"/>
  <c r="DM20" i="92"/>
  <c r="DM21" i="92"/>
  <c r="DM22" i="92"/>
  <c r="DM23" i="92"/>
  <c r="DM24" i="92"/>
  <c r="DM25" i="92"/>
  <c r="DM26" i="92"/>
  <c r="DM27" i="92"/>
  <c r="DM28" i="92"/>
  <c r="DM29" i="92"/>
  <c r="DM30" i="92"/>
  <c r="DM31" i="92"/>
  <c r="DM32" i="92"/>
  <c r="DM33" i="92"/>
  <c r="DM34" i="92"/>
  <c r="DM35" i="92"/>
  <c r="DM36" i="92"/>
  <c r="DM37" i="92"/>
  <c r="DM38" i="92"/>
  <c r="DM39" i="92"/>
  <c r="DM40" i="92"/>
  <c r="DM41" i="92"/>
  <c r="DM42" i="92"/>
  <c r="DM43" i="92"/>
  <c r="DM44" i="92"/>
  <c r="DM45" i="92"/>
  <c r="DM46" i="92"/>
  <c r="DM47" i="92"/>
  <c r="DM48" i="92"/>
  <c r="DM49" i="92"/>
  <c r="DM50" i="92"/>
  <c r="DM51" i="92"/>
  <c r="DM52" i="92"/>
  <c r="DM53" i="92"/>
  <c r="DM54" i="92"/>
  <c r="DM55" i="92"/>
  <c r="DM56" i="92"/>
  <c r="DM57" i="92"/>
  <c r="DM58" i="92"/>
  <c r="DM59" i="92"/>
  <c r="DM60" i="92"/>
  <c r="DM61" i="92"/>
  <c r="DM62" i="92"/>
  <c r="DM63" i="92"/>
  <c r="DM64" i="92"/>
  <c r="DM65" i="92"/>
  <c r="DM66" i="92"/>
  <c r="DM67" i="92"/>
  <c r="DM68" i="92"/>
  <c r="DM69" i="92"/>
  <c r="DM70" i="92"/>
  <c r="DM71" i="92"/>
  <c r="DM72" i="92"/>
  <c r="DM73" i="92"/>
  <c r="DM74" i="92"/>
  <c r="DM75" i="92"/>
  <c r="DM76" i="92"/>
  <c r="DM77" i="92"/>
  <c r="DM78" i="92"/>
  <c r="DM79" i="92"/>
  <c r="DM80" i="92"/>
  <c r="DM81" i="92"/>
  <c r="DM82" i="92"/>
  <c r="DM83" i="92"/>
  <c r="DM84" i="92"/>
  <c r="DM85" i="92"/>
  <c r="DM86" i="92"/>
  <c r="DM87" i="92"/>
  <c r="DM88" i="92"/>
  <c r="DM18" i="92"/>
  <c r="DL89" i="92"/>
  <c r="DE89" i="92"/>
  <c r="DD89" i="92"/>
  <c r="DC89" i="92"/>
  <c r="DB89" i="92"/>
  <c r="DK16" i="91"/>
  <c r="DK17" i="91"/>
  <c r="DK18" i="91"/>
  <c r="DK19" i="91"/>
  <c r="DK20" i="91"/>
  <c r="DK15" i="91"/>
  <c r="DJ21" i="91"/>
  <c r="DC21" i="91"/>
  <c r="DB21" i="91"/>
  <c r="DA21" i="91"/>
  <c r="CZ21" i="91"/>
  <c r="DK16" i="90"/>
  <c r="DK17" i="90"/>
  <c r="DK18" i="90"/>
  <c r="DK19" i="90"/>
  <c r="DK15" i="90"/>
  <c r="DJ20" i="90"/>
  <c r="DC20" i="90"/>
  <c r="DB20" i="90"/>
  <c r="DA20" i="90"/>
  <c r="CZ20" i="90"/>
  <c r="DK16" i="88"/>
  <c r="DK17" i="88"/>
  <c r="DK18" i="88"/>
  <c r="DK19" i="88"/>
  <c r="DK20" i="88"/>
  <c r="DK21" i="88"/>
  <c r="DK15" i="88"/>
  <c r="DC22" i="88"/>
  <c r="DB22" i="88"/>
  <c r="DA22" i="88"/>
  <c r="CZ22" i="88"/>
  <c r="DL21" i="85"/>
  <c r="DK24" i="85"/>
  <c r="DD24" i="85"/>
  <c r="DC24" i="85"/>
  <c r="DB24" i="85"/>
  <c r="DA24" i="85"/>
  <c r="DK16" i="87"/>
  <c r="DK17" i="87"/>
  <c r="DK18" i="87"/>
  <c r="DK19" i="87"/>
  <c r="DK20" i="87"/>
  <c r="DK21" i="87"/>
  <c r="DK22" i="87"/>
  <c r="DK23" i="87"/>
  <c r="DK24" i="87"/>
  <c r="DK25" i="87"/>
  <c r="DK15" i="87"/>
  <c r="DJ27" i="87"/>
  <c r="DC27" i="87"/>
  <c r="DB27" i="87"/>
  <c r="DA27" i="87"/>
  <c r="CZ27" i="87"/>
  <c r="DN16" i="84"/>
  <c r="DN17" i="84"/>
  <c r="DN18" i="84"/>
  <c r="DN15" i="84"/>
  <c r="DM19" i="84"/>
  <c r="DF19" i="84"/>
  <c r="DE19" i="84"/>
  <c r="DD19" i="84"/>
  <c r="DC19" i="84"/>
  <c r="DO19" i="83"/>
  <c r="DO20" i="83"/>
  <c r="DO21" i="83"/>
  <c r="DO22" i="83"/>
  <c r="DO23" i="83"/>
  <c r="DO18" i="83"/>
  <c r="DN25" i="83"/>
  <c r="DG25" i="83"/>
  <c r="DF25" i="83"/>
  <c r="DE25" i="83"/>
  <c r="DD25" i="83"/>
  <c r="ER16" i="82"/>
  <c r="ER17" i="82"/>
  <c r="ER18" i="82"/>
  <c r="ER19" i="82"/>
  <c r="ER20" i="82"/>
  <c r="ER21" i="82"/>
  <c r="ER22" i="82"/>
  <c r="ER23" i="82"/>
  <c r="ER24" i="82"/>
  <c r="ER25" i="82"/>
  <c r="ER26" i="82"/>
  <c r="ER27" i="82"/>
  <c r="ER28" i="82"/>
  <c r="ER29" i="82"/>
  <c r="ER30" i="82"/>
  <c r="ER15" i="82"/>
  <c r="EQ31" i="82"/>
  <c r="EJ31" i="82"/>
  <c r="EI31" i="82"/>
  <c r="EH31" i="82"/>
  <c r="EG31" i="82"/>
  <c r="DO16" i="81"/>
  <c r="DO17" i="81"/>
  <c r="DO18" i="81"/>
  <c r="DO19" i="81"/>
  <c r="DO20" i="81"/>
  <c r="DO21" i="81"/>
  <c r="DO22" i="81"/>
  <c r="DO23" i="81"/>
  <c r="DO24" i="81"/>
  <c r="DO25" i="81"/>
  <c r="DO26" i="81"/>
  <c r="DO27" i="81"/>
  <c r="DO28" i="81"/>
  <c r="DO29" i="81"/>
  <c r="DO30" i="81"/>
  <c r="DO31" i="81"/>
  <c r="DO32" i="81"/>
  <c r="DO33" i="81"/>
  <c r="DO34" i="81"/>
  <c r="DO35" i="81"/>
  <c r="DO36" i="81"/>
  <c r="DO37" i="81"/>
  <c r="DO38" i="81"/>
  <c r="DO39" i="81"/>
  <c r="DO40" i="81"/>
  <c r="DO41" i="81"/>
  <c r="DO42" i="81"/>
  <c r="DO43" i="81"/>
  <c r="DO44" i="81"/>
  <c r="DO45" i="81"/>
  <c r="DO46" i="81"/>
  <c r="DO47" i="81"/>
  <c r="DO48" i="81"/>
  <c r="DO49" i="81"/>
  <c r="DO50" i="81"/>
  <c r="DO51" i="81"/>
  <c r="DO52" i="81"/>
  <c r="DO53" i="81"/>
  <c r="DO54" i="81"/>
  <c r="DO55" i="81"/>
  <c r="DO56" i="81"/>
  <c r="DO57" i="81"/>
  <c r="DO58" i="81"/>
  <c r="DO59" i="81"/>
  <c r="DO60" i="81"/>
  <c r="DO61" i="81"/>
  <c r="DO62" i="81"/>
  <c r="DO63" i="81"/>
  <c r="DO64" i="81"/>
  <c r="DO65" i="81"/>
  <c r="DO66" i="81"/>
  <c r="DO67" i="81"/>
  <c r="DO68" i="81"/>
  <c r="DO69" i="81"/>
  <c r="DO70" i="81"/>
  <c r="DO71" i="81"/>
  <c r="DO72" i="81"/>
  <c r="DO15" i="81"/>
  <c r="DN73" i="81"/>
  <c r="DG73" i="81"/>
  <c r="DF73" i="81"/>
  <c r="DE73" i="81"/>
  <c r="DD73" i="81"/>
  <c r="CY23" i="80"/>
  <c r="CY24" i="80"/>
  <c r="CY25" i="80"/>
  <c r="CY26" i="80"/>
  <c r="CY27" i="80"/>
  <c r="CY28" i="80"/>
  <c r="CY29" i="80"/>
  <c r="CY22" i="80"/>
  <c r="CX30" i="80"/>
  <c r="CQ30" i="80"/>
  <c r="CP30" i="80"/>
  <c r="CO30" i="80"/>
  <c r="CN30" i="80"/>
  <c r="DG22" i="79"/>
  <c r="DG23" i="79"/>
  <c r="DG24" i="79"/>
  <c r="DG25" i="79"/>
  <c r="DG26" i="79"/>
  <c r="DG27" i="79"/>
  <c r="DG28" i="79"/>
  <c r="DG29" i="79"/>
  <c r="DG30" i="79"/>
  <c r="DG31" i="79"/>
  <c r="DG32" i="79"/>
  <c r="DG33" i="79"/>
  <c r="DG34" i="79"/>
  <c r="DG35" i="79"/>
  <c r="DG36" i="79"/>
  <c r="DG37" i="79"/>
  <c r="DG21" i="79"/>
  <c r="DF38" i="79"/>
  <c r="CY38" i="79"/>
  <c r="CX38" i="79"/>
  <c r="CW38" i="79"/>
  <c r="CV38" i="79"/>
  <c r="CY30" i="80" l="1"/>
  <c r="DK49" i="78"/>
  <c r="DL49" i="78"/>
  <c r="DM49" i="78"/>
  <c r="DT49" i="78"/>
  <c r="DJ49" i="78"/>
  <c r="DU16" i="78"/>
  <c r="DU17" i="78"/>
  <c r="DU18" i="78"/>
  <c r="DU19" i="78"/>
  <c r="DU20" i="78"/>
  <c r="DU21" i="78"/>
  <c r="DU22" i="78"/>
  <c r="DU23" i="78"/>
  <c r="DU24" i="78"/>
  <c r="DU25" i="78"/>
  <c r="DU26" i="78"/>
  <c r="DU27" i="78"/>
  <c r="DU28" i="78"/>
  <c r="DU29" i="78"/>
  <c r="DU30" i="78"/>
  <c r="DU31" i="78"/>
  <c r="DU32" i="78"/>
  <c r="DU33" i="78"/>
  <c r="DU34" i="78"/>
  <c r="DU35" i="78"/>
  <c r="DU36" i="78"/>
  <c r="DU37" i="78"/>
  <c r="DU38" i="78"/>
  <c r="DU39" i="78"/>
  <c r="DU40" i="78"/>
  <c r="DU41" i="78"/>
  <c r="DU42" i="78"/>
  <c r="DU43" i="78"/>
  <c r="DU44" i="78"/>
  <c r="DU45" i="78"/>
  <c r="DU46" i="78"/>
  <c r="DU47" i="78"/>
  <c r="DU48" i="78"/>
  <c r="DU15" i="78"/>
  <c r="DN18" i="76"/>
  <c r="DN19" i="76"/>
  <c r="DN20" i="76"/>
  <c r="DN21" i="76"/>
  <c r="DN22" i="76"/>
  <c r="DN23" i="76"/>
  <c r="DN24" i="76"/>
  <c r="DN25" i="76"/>
  <c r="DN26" i="76"/>
  <c r="DN27" i="76"/>
  <c r="DN28" i="76"/>
  <c r="DN29" i="76"/>
  <c r="DN30" i="76"/>
  <c r="DN31" i="76"/>
  <c r="DN32" i="76"/>
  <c r="DN33" i="76"/>
  <c r="DN34" i="76"/>
  <c r="DN35" i="76"/>
  <c r="DN36" i="76"/>
  <c r="DN37" i="76"/>
  <c r="DN38" i="76"/>
  <c r="DN39" i="76"/>
  <c r="DN40" i="76"/>
  <c r="DN41" i="76"/>
  <c r="DN42" i="76"/>
  <c r="DN43" i="76"/>
  <c r="DN44" i="76"/>
  <c r="DN45" i="76"/>
  <c r="DN46" i="76"/>
  <c r="DN47" i="76"/>
  <c r="DN48" i="76"/>
  <c r="DN49" i="76"/>
  <c r="DN50" i="76"/>
  <c r="DN51" i="76"/>
  <c r="DN52" i="76"/>
  <c r="DN53" i="76"/>
  <c r="DN54" i="76"/>
  <c r="DN55" i="76"/>
  <c r="DN56" i="76"/>
  <c r="DN57" i="76"/>
  <c r="DN58" i="76"/>
  <c r="DN59" i="76"/>
  <c r="DN60" i="76"/>
  <c r="DN61" i="76"/>
  <c r="DN62" i="76"/>
  <c r="DN63" i="76"/>
  <c r="DN64" i="76"/>
  <c r="DN65" i="76"/>
  <c r="DN66" i="76"/>
  <c r="DN67" i="76"/>
  <c r="DN68" i="76"/>
  <c r="DN69" i="76"/>
  <c r="DN70" i="76"/>
  <c r="DN71" i="76"/>
  <c r="DN72" i="76"/>
  <c r="DN73" i="76"/>
  <c r="DN74" i="76"/>
  <c r="DN75" i="76"/>
  <c r="DN76" i="76"/>
  <c r="DN77" i="76"/>
  <c r="DN78" i="76"/>
  <c r="DN79" i="76"/>
  <c r="DN80" i="76"/>
  <c r="DN81" i="76"/>
  <c r="DN82" i="76"/>
  <c r="DN83" i="76"/>
  <c r="DN84" i="76"/>
  <c r="DN85" i="76"/>
  <c r="DN86" i="76"/>
  <c r="DN87" i="76"/>
  <c r="DN88" i="76"/>
  <c r="DN89" i="76"/>
  <c r="DN90" i="76"/>
  <c r="DN91" i="76"/>
  <c r="DN92" i="76"/>
  <c r="DN93" i="76"/>
  <c r="DN94" i="76"/>
  <c r="DN95" i="76"/>
  <c r="DN96" i="76"/>
  <c r="DN97" i="76"/>
  <c r="DN98" i="76"/>
  <c r="DN99" i="76"/>
  <c r="DN100" i="76"/>
  <c r="DN101" i="76"/>
  <c r="DN102" i="76"/>
  <c r="DN103" i="76"/>
  <c r="DN104" i="76"/>
  <c r="DN105" i="76"/>
  <c r="DN106" i="76"/>
  <c r="DN107" i="76"/>
  <c r="DN108" i="76"/>
  <c r="DN109" i="76"/>
  <c r="DN110" i="76"/>
  <c r="DN111" i="76"/>
  <c r="DN112" i="76"/>
  <c r="DN113" i="76"/>
  <c r="DN114" i="76"/>
  <c r="DN115" i="76"/>
  <c r="DN116" i="76"/>
  <c r="DN117" i="76"/>
  <c r="DN118" i="76"/>
  <c r="DN119" i="76"/>
  <c r="DN120" i="76"/>
  <c r="DN121" i="76"/>
  <c r="DN17" i="76"/>
  <c r="DM122" i="76"/>
  <c r="DF122" i="76"/>
  <c r="DE122" i="76"/>
  <c r="DD122" i="76"/>
  <c r="DC122" i="76"/>
  <c r="DY24" i="74"/>
  <c r="DY25" i="74"/>
  <c r="DY26" i="74"/>
  <c r="DY27" i="74"/>
  <c r="DY28" i="74"/>
  <c r="DY29" i="74"/>
  <c r="DY30" i="74"/>
  <c r="DY31" i="74"/>
  <c r="DY32" i="74"/>
  <c r="DY23" i="74"/>
  <c r="DY17" i="74"/>
  <c r="DY18" i="74"/>
  <c r="DY20" i="74"/>
  <c r="DX33" i="74"/>
  <c r="DQ33" i="74"/>
  <c r="DP33" i="74"/>
  <c r="DO33" i="74"/>
  <c r="DN33" i="74"/>
  <c r="DX19" i="73" l="1"/>
  <c r="DX20" i="73"/>
  <c r="DX21" i="73"/>
  <c r="DX22" i="73"/>
  <c r="DX23" i="73"/>
  <c r="DX24" i="73"/>
  <c r="DX25" i="73"/>
  <c r="DX26" i="73"/>
  <c r="DX27" i="73"/>
  <c r="DX28" i="73"/>
  <c r="DX29" i="73"/>
  <c r="DX30" i="73"/>
  <c r="DX31" i="73"/>
  <c r="DX32" i="73"/>
  <c r="DX18" i="73"/>
  <c r="DW33" i="73"/>
  <c r="DP33" i="73"/>
  <c r="DO33" i="73"/>
  <c r="DN33" i="73"/>
  <c r="DM33" i="73"/>
  <c r="DY20" i="70"/>
  <c r="DY21" i="70"/>
  <c r="DY22" i="70"/>
  <c r="DY23" i="70"/>
  <c r="DY24" i="70"/>
  <c r="DY25" i="70"/>
  <c r="DY26" i="70"/>
  <c r="DY27" i="70"/>
  <c r="DY28" i="70"/>
  <c r="DY29" i="70"/>
  <c r="DY19" i="70"/>
  <c r="DX30" i="70"/>
  <c r="DQ30" i="70"/>
  <c r="DP30" i="70"/>
  <c r="DO30" i="70"/>
  <c r="DN30" i="70"/>
  <c r="DK26" i="69"/>
  <c r="DK27" i="69"/>
  <c r="DK28" i="69"/>
  <c r="DK29" i="69"/>
  <c r="DK30" i="69"/>
  <c r="DK31" i="69"/>
  <c r="DK32" i="69"/>
  <c r="DK33" i="69"/>
  <c r="DK34" i="69"/>
  <c r="DK35" i="69"/>
  <c r="DK36" i="69"/>
  <c r="DK37" i="69"/>
  <c r="DK38" i="69"/>
  <c r="DK39" i="69"/>
  <c r="DK40" i="69"/>
  <c r="DK41" i="69"/>
  <c r="DK42" i="69"/>
  <c r="DK43" i="69"/>
  <c r="DK44" i="69"/>
  <c r="DK45" i="69"/>
  <c r="DK25" i="69"/>
  <c r="DJ46" i="69"/>
  <c r="DC46" i="69"/>
  <c r="DB46" i="69"/>
  <c r="DA46" i="69"/>
  <c r="CZ46" i="69"/>
  <c r="CQ19" i="63"/>
  <c r="CQ20" i="63"/>
  <c r="CQ21" i="63"/>
  <c r="CQ22" i="63"/>
  <c r="CQ23" i="63"/>
  <c r="CQ24" i="63"/>
  <c r="CQ25" i="63"/>
  <c r="CQ26" i="63"/>
  <c r="CQ27" i="63"/>
  <c r="CQ28" i="63"/>
  <c r="CQ18" i="63"/>
  <c r="CP29" i="63"/>
  <c r="CI29" i="63"/>
  <c r="CH29" i="63"/>
  <c r="CG29" i="63"/>
  <c r="CF29" i="63"/>
  <c r="EO16" i="67"/>
  <c r="EO17" i="67"/>
  <c r="EO18" i="67"/>
  <c r="EO19" i="67"/>
  <c r="EO20" i="67"/>
  <c r="EO21" i="67"/>
  <c r="EO22" i="67"/>
  <c r="EO23" i="67"/>
  <c r="EO24" i="67"/>
  <c r="EO25" i="67"/>
  <c r="EO26" i="67"/>
  <c r="EO27" i="67"/>
  <c r="EO28" i="67"/>
  <c r="EO29" i="67"/>
  <c r="EO30" i="67"/>
  <c r="EO31" i="67"/>
  <c r="EO15" i="67"/>
  <c r="EN32" i="67"/>
  <c r="EG32" i="67"/>
  <c r="EF32" i="67"/>
  <c r="EE32" i="67"/>
  <c r="ED32" i="67"/>
  <c r="EG30" i="66"/>
  <c r="ES16" i="66"/>
  <c r="ES17" i="66"/>
  <c r="ES18" i="66"/>
  <c r="ES19" i="66"/>
  <c r="ES20" i="66"/>
  <c r="ES21" i="66"/>
  <c r="ES22" i="66"/>
  <c r="ES23" i="66"/>
  <c r="ES24" i="66"/>
  <c r="ES25" i="66"/>
  <c r="ES26" i="66"/>
  <c r="ES27" i="66"/>
  <c r="ES28" i="66"/>
  <c r="ES29" i="66"/>
  <c r="ES15" i="66"/>
  <c r="ER30" i="66"/>
  <c r="EK30" i="66"/>
  <c r="EJ30" i="66"/>
  <c r="EI30" i="66"/>
  <c r="EH30" i="66"/>
  <c r="FR27" i="61"/>
  <c r="FR28" i="61"/>
  <c r="FR29" i="61"/>
  <c r="FR30" i="61"/>
  <c r="FR31" i="61"/>
  <c r="FR32" i="61"/>
  <c r="FR33" i="61"/>
  <c r="FR34" i="61"/>
  <c r="FR35" i="61"/>
  <c r="FR36" i="61"/>
  <c r="FR37" i="61"/>
  <c r="FR38" i="61"/>
  <c r="FR39" i="61"/>
  <c r="FR40" i="61"/>
  <c r="FR41" i="61"/>
  <c r="FR42" i="61"/>
  <c r="FR43" i="61"/>
  <c r="FR44" i="61"/>
  <c r="FR16" i="61"/>
  <c r="FR17" i="61"/>
  <c r="FR18" i="61"/>
  <c r="FR19" i="61"/>
  <c r="FR20" i="61"/>
  <c r="FR21" i="61"/>
  <c r="FR22" i="61"/>
  <c r="FR23" i="61"/>
  <c r="FR24" i="61"/>
  <c r="FR25" i="61"/>
  <c r="FR26" i="61"/>
  <c r="FR15" i="61"/>
  <c r="FQ45" i="61"/>
  <c r="FJ45" i="61"/>
  <c r="FI45" i="61"/>
  <c r="FH45" i="61"/>
  <c r="FG45" i="61"/>
  <c r="EO42" i="62"/>
  <c r="EO43" i="62"/>
  <c r="EO44" i="62"/>
  <c r="EO41" i="62"/>
  <c r="EN55" i="62"/>
  <c r="EG55" i="62"/>
  <c r="EF55" i="62"/>
  <c r="EE55" i="62"/>
  <c r="ED55" i="62"/>
  <c r="FQ19" i="86"/>
  <c r="FP19" i="86"/>
  <c r="FO19" i="86"/>
  <c r="FN19" i="86"/>
  <c r="FM19" i="86"/>
  <c r="EH75" i="57"/>
  <c r="EG75" i="57"/>
  <c r="EF75" i="57"/>
  <c r="EE75" i="57"/>
  <c r="ED75" i="57"/>
  <c r="DV65" i="60"/>
  <c r="DU65" i="60"/>
  <c r="DT65" i="60"/>
  <c r="DS65" i="60"/>
  <c r="DR65" i="60"/>
  <c r="DT20" i="89"/>
  <c r="DS20" i="89"/>
  <c r="DR20" i="89"/>
  <c r="DQ20" i="89"/>
  <c r="DP20" i="89"/>
  <c r="DY30" i="70" l="1"/>
  <c r="CY21" i="91"/>
  <c r="CY27" i="87"/>
  <c r="EF31" i="82"/>
  <c r="DM33" i="74"/>
  <c r="DM30" i="70"/>
  <c r="EC55" i="62"/>
  <c r="FL19" i="86"/>
  <c r="CM30" i="80" l="1"/>
  <c r="DL33" i="73"/>
  <c r="EB33" i="99" l="1"/>
  <c r="DA16" i="97"/>
  <c r="CU89" i="92"/>
  <c r="CV89" i="92"/>
  <c r="CW89" i="92"/>
  <c r="CX89" i="92"/>
  <c r="CY89" i="92"/>
  <c r="CZ89" i="92"/>
  <c r="DA89" i="92"/>
  <c r="CY22" i="88"/>
  <c r="CZ24" i="85"/>
  <c r="CU38" i="79"/>
  <c r="DT24" i="66"/>
  <c r="EA33" i="99" l="1"/>
  <c r="CZ16" i="97"/>
  <c r="CX21" i="91"/>
  <c r="CX22" i="88"/>
  <c r="CY24" i="85"/>
  <c r="CX27" i="87"/>
  <c r="EE31" i="82"/>
  <c r="CL30" i="80"/>
  <c r="CT38" i="79"/>
  <c r="DL33" i="74"/>
  <c r="DK33" i="73"/>
  <c r="DL30" i="70"/>
  <c r="EB55" i="62"/>
  <c r="FF19" i="86"/>
  <c r="FG19" i="86"/>
  <c r="FH19" i="86"/>
  <c r="FI19" i="86"/>
  <c r="FJ19" i="86"/>
  <c r="FK19" i="86"/>
  <c r="DZ33" i="99" l="1"/>
  <c r="CY16" i="97"/>
  <c r="CW22" i="88"/>
  <c r="CX24" i="85"/>
  <c r="CW27" i="87"/>
  <c r="ED31" i="82"/>
  <c r="CK30" i="80"/>
  <c r="CS38" i="79"/>
  <c r="DK33" i="74"/>
  <c r="DJ33" i="73"/>
  <c r="DK30" i="70"/>
  <c r="EA55" i="62" l="1"/>
  <c r="DY33" i="99" l="1"/>
  <c r="CX16" i="97"/>
  <c r="CV22" i="88"/>
  <c r="CW24" i="85"/>
  <c r="CV27" i="87"/>
  <c r="EC31" i="82"/>
  <c r="CJ30" i="80"/>
  <c r="CR38" i="79"/>
  <c r="CS48" i="76"/>
  <c r="DJ33" i="74"/>
  <c r="DI33" i="73"/>
  <c r="DJ30" i="70"/>
  <c r="DZ55" i="62"/>
  <c r="DX33" i="99" l="1"/>
  <c r="CW16" i="97"/>
  <c r="CU21" i="91"/>
  <c r="CU22" i="88"/>
  <c r="CV24" i="85"/>
  <c r="CU27" i="87"/>
  <c r="EB31" i="82"/>
  <c r="CI30" i="80"/>
  <c r="DI33" i="74"/>
  <c r="DH33" i="73"/>
  <c r="DI30" i="70"/>
  <c r="DY55" i="62"/>
  <c r="DT30" i="57"/>
  <c r="DW33" i="99" l="1"/>
  <c r="DV33" i="99"/>
  <c r="CV16" i="97"/>
  <c r="CU16" i="97"/>
  <c r="CT22" i="88" l="1"/>
  <c r="CU24" i="85"/>
  <c r="CT24" i="85"/>
  <c r="CT27" i="87"/>
  <c r="CS27" i="87"/>
  <c r="EA31" i="82"/>
  <c r="CH30" i="80"/>
  <c r="CP38" i="79"/>
  <c r="DH33" i="74"/>
  <c r="DG33" i="73"/>
  <c r="DF33" i="73"/>
  <c r="DH30" i="70"/>
  <c r="DX55" i="62"/>
  <c r="DL65" i="60"/>
  <c r="DM65" i="60"/>
  <c r="DN65" i="60"/>
  <c r="DO65" i="60"/>
  <c r="DP65" i="60"/>
  <c r="DQ65" i="60"/>
  <c r="CK15" i="57"/>
  <c r="CM15" i="57" s="1"/>
  <c r="DX75" i="57"/>
  <c r="DY75" i="57"/>
  <c r="DZ75" i="57"/>
  <c r="EA75" i="57"/>
  <c r="EB75" i="57"/>
  <c r="EC75" i="57"/>
  <c r="EZ45" i="61"/>
  <c r="FA45" i="61"/>
  <c r="FB45" i="61"/>
  <c r="FC45" i="61"/>
  <c r="FD45" i="61"/>
  <c r="FE45" i="61"/>
  <c r="FF45" i="61"/>
  <c r="CK15" i="66"/>
  <c r="CM15" i="66" s="1"/>
  <c r="EB30" i="66"/>
  <c r="EC30" i="66"/>
  <c r="ED30" i="66"/>
  <c r="EE30" i="66"/>
  <c r="EF30" i="66"/>
  <c r="CK15" i="67"/>
  <c r="CM15" i="67" s="1"/>
  <c r="CP15" i="69"/>
  <c r="DB122" i="76"/>
  <c r="DA122" i="76"/>
  <c r="CZ122" i="76"/>
  <c r="CY122" i="76"/>
  <c r="CX122" i="76"/>
  <c r="CW122" i="76"/>
  <c r="CR122" i="76"/>
  <c r="CQ122" i="76"/>
  <c r="CN122" i="76"/>
  <c r="CM122" i="76"/>
  <c r="CL122" i="76"/>
  <c r="CK122" i="76"/>
  <c r="CJ122" i="76"/>
  <c r="CG122" i="76"/>
  <c r="CF122" i="76"/>
  <c r="CE122" i="76"/>
  <c r="CD122" i="76"/>
  <c r="CC122" i="76"/>
  <c r="CB122" i="76"/>
  <c r="CA122" i="76"/>
  <c r="BL122" i="76"/>
  <c r="BK122" i="76"/>
  <c r="BJ122" i="76"/>
  <c r="AQ122" i="76"/>
  <c r="AJ122" i="76"/>
  <c r="AI122" i="76"/>
  <c r="AH122" i="76"/>
  <c r="AG122" i="76"/>
  <c r="AF122" i="76"/>
  <c r="CS121" i="76"/>
  <c r="CU121" i="76" s="1"/>
  <c r="CO121" i="76"/>
  <c r="CH121" i="76"/>
  <c r="CI121" i="76" s="1"/>
  <c r="BZ121" i="76"/>
  <c r="BX121" i="76"/>
  <c r="J121" i="76"/>
  <c r="I121" i="76" s="1"/>
  <c r="H121" i="76"/>
  <c r="CS118" i="76"/>
  <c r="CO118" i="76"/>
  <c r="CH118" i="76"/>
  <c r="CI118" i="76" s="1"/>
  <c r="BZ118" i="76"/>
  <c r="BX118" i="76"/>
  <c r="N118" i="76"/>
  <c r="J118" i="76"/>
  <c r="H118" i="76"/>
  <c r="CS115" i="76"/>
  <c r="CU115" i="76" s="1"/>
  <c r="CO115" i="76"/>
  <c r="CH115" i="76"/>
  <c r="CI115" i="76" s="1"/>
  <c r="BX115" i="76"/>
  <c r="BT115" i="76"/>
  <c r="BM115" i="76"/>
  <c r="BD115" i="76"/>
  <c r="BC115" i="76"/>
  <c r="AS115" i="76"/>
  <c r="BN115" i="76" s="1"/>
  <c r="AP115" i="76"/>
  <c r="AE115" i="76"/>
  <c r="Q115" i="76"/>
  <c r="J115" i="76"/>
  <c r="N115" i="76" s="1"/>
  <c r="H115" i="76"/>
  <c r="CS114" i="76"/>
  <c r="CU114" i="76" s="1"/>
  <c r="CO114" i="76"/>
  <c r="CH114" i="76"/>
  <c r="CI114" i="76" s="1"/>
  <c r="BX114" i="76"/>
  <c r="BT114" i="76"/>
  <c r="BM114" i="76"/>
  <c r="BD114" i="76"/>
  <c r="BC114" i="76"/>
  <c r="AS114" i="76"/>
  <c r="AP114" i="76"/>
  <c r="AE114" i="76"/>
  <c r="Q114" i="76"/>
  <c r="J114" i="76"/>
  <c r="N114" i="76" s="1"/>
  <c r="M114" i="76" s="1"/>
  <c r="H114" i="76"/>
  <c r="CS112" i="76"/>
  <c r="CO112" i="76"/>
  <c r="CH112" i="76"/>
  <c r="CI112" i="76" s="1"/>
  <c r="BY112" i="76"/>
  <c r="BX112" i="76"/>
  <c r="Q112" i="76"/>
  <c r="J112" i="76"/>
  <c r="N112" i="76" s="1"/>
  <c r="H112" i="76"/>
  <c r="CS108" i="76"/>
  <c r="CO108" i="76"/>
  <c r="CH108" i="76"/>
  <c r="CI108" i="76" s="1"/>
  <c r="CP108" i="76" s="1"/>
  <c r="BX108" i="76"/>
  <c r="BT108" i="76"/>
  <c r="BM108" i="76"/>
  <c r="BD108" i="76"/>
  <c r="BC108" i="76"/>
  <c r="BE108" i="76" s="1"/>
  <c r="AS108" i="76"/>
  <c r="AP108" i="76"/>
  <c r="AE108" i="76"/>
  <c r="Q108" i="76"/>
  <c r="J108" i="76"/>
  <c r="N108" i="76" s="1"/>
  <c r="H108" i="76"/>
  <c r="CS105" i="76"/>
  <c r="CO105" i="76"/>
  <c r="CH105" i="76"/>
  <c r="CI105" i="76" s="1"/>
  <c r="BX105" i="76"/>
  <c r="BT105" i="76"/>
  <c r="BM105" i="76"/>
  <c r="BD105" i="76"/>
  <c r="BE105" i="76" s="1"/>
  <c r="BC105" i="76"/>
  <c r="AS105" i="76"/>
  <c r="BN105" i="76" s="1"/>
  <c r="AP105" i="76"/>
  <c r="AE105" i="76"/>
  <c r="Q105" i="76"/>
  <c r="J105" i="76"/>
  <c r="N105" i="76" s="1"/>
  <c r="M105" i="76" s="1"/>
  <c r="H105" i="76"/>
  <c r="CS102" i="76"/>
  <c r="CO102" i="76"/>
  <c r="CH102" i="76"/>
  <c r="CI102" i="76" s="1"/>
  <c r="BZ102" i="76"/>
  <c r="BX102" i="76"/>
  <c r="J102" i="76"/>
  <c r="N102" i="76" s="1"/>
  <c r="H102" i="76"/>
  <c r="CS99" i="76"/>
  <c r="CO99" i="76"/>
  <c r="CH99" i="76"/>
  <c r="CI99" i="76" s="1"/>
  <c r="BZ99" i="76"/>
  <c r="BX99" i="76"/>
  <c r="J99" i="76"/>
  <c r="N99" i="76" s="1"/>
  <c r="P99" i="76" s="1"/>
  <c r="H99" i="76"/>
  <c r="CS96" i="76"/>
  <c r="CO96" i="76"/>
  <c r="CH96" i="76"/>
  <c r="CI96" i="76" s="1"/>
  <c r="BX96" i="76"/>
  <c r="BD96" i="76"/>
  <c r="BC96" i="76"/>
  <c r="AS96" i="76"/>
  <c r="AP96" i="76"/>
  <c r="AE96" i="76"/>
  <c r="Q96" i="76"/>
  <c r="J96" i="76"/>
  <c r="BY96" i="76" s="1"/>
  <c r="H96" i="76"/>
  <c r="CS93" i="76"/>
  <c r="CO93" i="76"/>
  <c r="CH93" i="76"/>
  <c r="CI93" i="76" s="1"/>
  <c r="BX93" i="76"/>
  <c r="BD93" i="76"/>
  <c r="BC93" i="76"/>
  <c r="AZ93" i="76"/>
  <c r="AY93" i="76"/>
  <c r="AX93" i="76"/>
  <c r="AW93" i="76"/>
  <c r="AV93" i="76"/>
  <c r="AC93" i="76"/>
  <c r="Y93" i="76"/>
  <c r="W93" i="76"/>
  <c r="Q93" i="76"/>
  <c r="J93" i="76"/>
  <c r="N93" i="76" s="1"/>
  <c r="H93" i="76"/>
  <c r="I93" i="76" s="1"/>
  <c r="AZ92" i="76"/>
  <c r="AY92" i="76"/>
  <c r="AX92" i="76"/>
  <c r="AW92" i="76"/>
  <c r="AV92" i="76"/>
  <c r="AZ91" i="76"/>
  <c r="AY91" i="76"/>
  <c r="AX91" i="76"/>
  <c r="AW91" i="76"/>
  <c r="AV91" i="76"/>
  <c r="CS90" i="76"/>
  <c r="CO90" i="76"/>
  <c r="CH90" i="76"/>
  <c r="CI90" i="76" s="1"/>
  <c r="BX90" i="76"/>
  <c r="BD90" i="76"/>
  <c r="BC90" i="76"/>
  <c r="AZ90" i="76"/>
  <c r="AY90" i="76"/>
  <c r="AX90" i="76"/>
  <c r="AW90" i="76"/>
  <c r="AV90" i="76"/>
  <c r="AC90" i="76"/>
  <c r="Y90" i="76"/>
  <c r="W90" i="76"/>
  <c r="Q90" i="76"/>
  <c r="J90" i="76"/>
  <c r="BY90" i="76" s="1"/>
  <c r="BZ90" i="76" s="1"/>
  <c r="H90" i="76"/>
  <c r="CS89" i="76"/>
  <c r="CO89" i="76"/>
  <c r="CH89" i="76"/>
  <c r="CI89" i="76" s="1"/>
  <c r="BX89" i="76"/>
  <c r="BD89" i="76"/>
  <c r="BC89" i="76"/>
  <c r="AZ89" i="76"/>
  <c r="AY89" i="76"/>
  <c r="AX89" i="76"/>
  <c r="AW89" i="76"/>
  <c r="AV89" i="76"/>
  <c r="AC89" i="76"/>
  <c r="Y89" i="76"/>
  <c r="W89" i="76"/>
  <c r="Q89" i="76"/>
  <c r="J89" i="76"/>
  <c r="N89" i="76" s="1"/>
  <c r="H89" i="76"/>
  <c r="CS88" i="76"/>
  <c r="CO88" i="76"/>
  <c r="CH88" i="76"/>
  <c r="CI88" i="76" s="1"/>
  <c r="BX88" i="76"/>
  <c r="BD88" i="76"/>
  <c r="BE88" i="76" s="1"/>
  <c r="BC88" i="76"/>
  <c r="AZ88" i="76"/>
  <c r="AY88" i="76"/>
  <c r="AX88" i="76"/>
  <c r="AW88" i="76"/>
  <c r="AV88" i="76"/>
  <c r="AC88" i="76"/>
  <c r="Y88" i="76"/>
  <c r="W88" i="76"/>
  <c r="Q88" i="76"/>
  <c r="J88" i="76"/>
  <c r="N88" i="76" s="1"/>
  <c r="H88" i="76"/>
  <c r="CS87" i="76"/>
  <c r="CO87" i="76"/>
  <c r="CH87" i="76"/>
  <c r="CI87" i="76" s="1"/>
  <c r="BX87" i="76"/>
  <c r="BD87" i="76"/>
  <c r="BC87" i="76"/>
  <c r="AZ87" i="76"/>
  <c r="AY87" i="76"/>
  <c r="AX87" i="76"/>
  <c r="AW87" i="76"/>
  <c r="AV87" i="76"/>
  <c r="AC87" i="76"/>
  <c r="Y87" i="76"/>
  <c r="W87" i="76"/>
  <c r="Q87" i="76"/>
  <c r="J87" i="76"/>
  <c r="N87" i="76" s="1"/>
  <c r="H87" i="76"/>
  <c r="I87" i="76" s="1"/>
  <c r="AZ86" i="76"/>
  <c r="AY86" i="76"/>
  <c r="AX86" i="76"/>
  <c r="AW86" i="76"/>
  <c r="AV86" i="76"/>
  <c r="AZ85" i="76"/>
  <c r="AY85" i="76"/>
  <c r="AX85" i="76"/>
  <c r="AW85" i="76"/>
  <c r="AV85" i="76"/>
  <c r="CS84" i="76"/>
  <c r="CO84" i="76"/>
  <c r="CH84" i="76"/>
  <c r="CI84" i="76" s="1"/>
  <c r="BX84" i="76"/>
  <c r="BD84" i="76"/>
  <c r="BC84" i="76"/>
  <c r="AZ84" i="76"/>
  <c r="AY84" i="76"/>
  <c r="AX84" i="76"/>
  <c r="AW84" i="76"/>
  <c r="AV84" i="76"/>
  <c r="AC84" i="76"/>
  <c r="Y84" i="76"/>
  <c r="W84" i="76"/>
  <c r="Q84" i="76"/>
  <c r="J84" i="76"/>
  <c r="BY84" i="76" s="1"/>
  <c r="BZ84" i="76" s="1"/>
  <c r="H84" i="76"/>
  <c r="AZ83" i="76"/>
  <c r="AY83" i="76"/>
  <c r="AX83" i="76"/>
  <c r="AW83" i="76"/>
  <c r="AV83" i="76"/>
  <c r="AZ82" i="76"/>
  <c r="AY82" i="76"/>
  <c r="AX82" i="76"/>
  <c r="AW82" i="76"/>
  <c r="AV82" i="76"/>
  <c r="CS81" i="76"/>
  <c r="CO81" i="76"/>
  <c r="CI81" i="76"/>
  <c r="CH81" i="76"/>
  <c r="BX81" i="76"/>
  <c r="BD81" i="76"/>
  <c r="BC81" i="76"/>
  <c r="AZ81" i="76"/>
  <c r="AY81" i="76"/>
  <c r="AX81" i="76"/>
  <c r="AW81" i="76"/>
  <c r="AV81" i="76"/>
  <c r="AC81" i="76"/>
  <c r="Y81" i="76"/>
  <c r="W81" i="76"/>
  <c r="Q81" i="76"/>
  <c r="J81" i="76"/>
  <c r="H81" i="76"/>
  <c r="AZ80" i="76"/>
  <c r="AY80" i="76"/>
  <c r="AX80" i="76"/>
  <c r="AW80" i="76"/>
  <c r="AV80" i="76"/>
  <c r="AZ79" i="76"/>
  <c r="AY79" i="76"/>
  <c r="AX79" i="76"/>
  <c r="AW79" i="76"/>
  <c r="AV79" i="76"/>
  <c r="CS78" i="76"/>
  <c r="CU78" i="76" s="1"/>
  <c r="CH78" i="76"/>
  <c r="CI78" i="76" s="1"/>
  <c r="CP78" i="76" s="1"/>
  <c r="DO78" i="76" s="1"/>
  <c r="BX78" i="76"/>
  <c r="BD78" i="76"/>
  <c r="BC78" i="76"/>
  <c r="AZ78" i="76"/>
  <c r="AY78" i="76"/>
  <c r="AX78" i="76"/>
  <c r="AW78" i="76"/>
  <c r="AV78" i="76"/>
  <c r="AC78" i="76"/>
  <c r="Y78" i="76"/>
  <c r="W78" i="76"/>
  <c r="Q78" i="76"/>
  <c r="J78" i="76"/>
  <c r="N78" i="76" s="1"/>
  <c r="H78" i="76"/>
  <c r="AZ77" i="76"/>
  <c r="AY77" i="76"/>
  <c r="AX77" i="76"/>
  <c r="AW77" i="76"/>
  <c r="AV77" i="76"/>
  <c r="AZ76" i="76"/>
  <c r="AY76" i="76"/>
  <c r="AX76" i="76"/>
  <c r="AW76" i="76"/>
  <c r="AV76" i="76"/>
  <c r="CS75" i="76"/>
  <c r="CO75" i="76"/>
  <c r="CH75" i="76"/>
  <c r="CI75" i="76" s="1"/>
  <c r="BX75" i="76"/>
  <c r="BD75" i="76"/>
  <c r="BC75" i="76"/>
  <c r="AZ75" i="76"/>
  <c r="AY75" i="76"/>
  <c r="AX75" i="76"/>
  <c r="AW75" i="76"/>
  <c r="AV75" i="76"/>
  <c r="AC75" i="76"/>
  <c r="Y75" i="76"/>
  <c r="W75" i="76"/>
  <c r="Q75" i="76"/>
  <c r="J75" i="76"/>
  <c r="BY75" i="76" s="1"/>
  <c r="H75" i="76"/>
  <c r="AZ74" i="76"/>
  <c r="AY74" i="76"/>
  <c r="AX74" i="76"/>
  <c r="AW74" i="76"/>
  <c r="AV74" i="76"/>
  <c r="AZ73" i="76"/>
  <c r="AY73" i="76"/>
  <c r="AX73" i="76"/>
  <c r="AW73" i="76"/>
  <c r="AV73" i="76"/>
  <c r="CS72" i="76"/>
  <c r="CU72" i="76" s="1"/>
  <c r="CO72" i="76"/>
  <c r="CH72" i="76"/>
  <c r="BX72" i="76"/>
  <c r="BT72" i="76"/>
  <c r="BD72" i="76"/>
  <c r="BC72" i="76"/>
  <c r="AV72" i="76"/>
  <c r="BM72" i="76" s="1"/>
  <c r="AC72" i="76"/>
  <c r="Y72" i="76"/>
  <c r="W72" i="76"/>
  <c r="Q72" i="76"/>
  <c r="J72" i="76"/>
  <c r="N72" i="76" s="1"/>
  <c r="H72" i="76"/>
  <c r="AZ71" i="76"/>
  <c r="AY71" i="76"/>
  <c r="AX71" i="76"/>
  <c r="AW71" i="76"/>
  <c r="AV71" i="76"/>
  <c r="CS70" i="76"/>
  <c r="CO70" i="76"/>
  <c r="CH70" i="76"/>
  <c r="CI70" i="76" s="1"/>
  <c r="BZ70" i="76"/>
  <c r="BX70" i="76"/>
  <c r="J70" i="76"/>
  <c r="N70" i="76" s="1"/>
  <c r="H70" i="76"/>
  <c r="CS67" i="76"/>
  <c r="CO67" i="76"/>
  <c r="CI67" i="76"/>
  <c r="CH67" i="76"/>
  <c r="BY67" i="76"/>
  <c r="BX67" i="76"/>
  <c r="J67" i="76"/>
  <c r="N67" i="76" s="1"/>
  <c r="M67" i="76" s="1"/>
  <c r="H67" i="76"/>
  <c r="CS64" i="76"/>
  <c r="CU64" i="76" s="1"/>
  <c r="CO64" i="76"/>
  <c r="CH64" i="76"/>
  <c r="CI64" i="76" s="1"/>
  <c r="BX64" i="76"/>
  <c r="BT64" i="76"/>
  <c r="BD64" i="76"/>
  <c r="BE64" i="76" s="1"/>
  <c r="BC64" i="76"/>
  <c r="AV64" i="76"/>
  <c r="BM64" i="76" s="1"/>
  <c r="AC64" i="76"/>
  <c r="Y64" i="76"/>
  <c r="Z64" i="76" s="1"/>
  <c r="AD64" i="76" s="1"/>
  <c r="AE64" i="76" s="1"/>
  <c r="AK64" i="76" s="1"/>
  <c r="AR64" i="76" s="1"/>
  <c r="W64" i="76"/>
  <c r="Q64" i="76"/>
  <c r="J64" i="76"/>
  <c r="BY64" i="76" s="1"/>
  <c r="H64" i="76"/>
  <c r="K64" i="76" s="1"/>
  <c r="AZ63" i="76"/>
  <c r="AY63" i="76"/>
  <c r="AX63" i="76"/>
  <c r="AW63" i="76"/>
  <c r="AV63" i="76"/>
  <c r="AZ62" i="76"/>
  <c r="AY62" i="76"/>
  <c r="AX62" i="76"/>
  <c r="AW62" i="76"/>
  <c r="AV62" i="76"/>
  <c r="CS61" i="76"/>
  <c r="CO61" i="76"/>
  <c r="CH61" i="76"/>
  <c r="CI61" i="76" s="1"/>
  <c r="BX61" i="76"/>
  <c r="BD61" i="76"/>
  <c r="BE61" i="76" s="1"/>
  <c r="BR61" i="76" s="1"/>
  <c r="BC61" i="76"/>
  <c r="AZ61" i="76"/>
  <c r="AY61" i="76"/>
  <c r="AX61" i="76"/>
  <c r="AW61" i="76"/>
  <c r="AV61" i="76"/>
  <c r="AC61" i="76"/>
  <c r="Y61" i="76"/>
  <c r="W61" i="76"/>
  <c r="Q61" i="76"/>
  <c r="J61" i="76"/>
  <c r="BY61" i="76" s="1"/>
  <c r="H61" i="76"/>
  <c r="AZ60" i="76"/>
  <c r="AY60" i="76"/>
  <c r="AX60" i="76"/>
  <c r="AW60" i="76"/>
  <c r="AV60" i="76"/>
  <c r="AZ59" i="76"/>
  <c r="AY59" i="76"/>
  <c r="AX59" i="76"/>
  <c r="AW59" i="76"/>
  <c r="AV59" i="76"/>
  <c r="CS58" i="76"/>
  <c r="CU58" i="76" s="1"/>
  <c r="CO58" i="76"/>
  <c r="CH58" i="76"/>
  <c r="CI58" i="76" s="1"/>
  <c r="CP58" i="76" s="1"/>
  <c r="BX58" i="76"/>
  <c r="BT58" i="76"/>
  <c r="BD58" i="76"/>
  <c r="BC58" i="76"/>
  <c r="AV58" i="76"/>
  <c r="BM58" i="76" s="1"/>
  <c r="AC58" i="76"/>
  <c r="Y58" i="76"/>
  <c r="W58" i="76"/>
  <c r="Z58" i="76" s="1"/>
  <c r="Q58" i="76"/>
  <c r="J58" i="76"/>
  <c r="N58" i="76" s="1"/>
  <c r="M58" i="76" s="1"/>
  <c r="H58" i="76"/>
  <c r="AZ57" i="76"/>
  <c r="AY57" i="76"/>
  <c r="AX57" i="76"/>
  <c r="AW57" i="76"/>
  <c r="AV57" i="76"/>
  <c r="AZ56" i="76"/>
  <c r="AY56" i="76"/>
  <c r="AX56" i="76"/>
  <c r="AW56" i="76"/>
  <c r="AV56" i="76"/>
  <c r="CS55" i="76"/>
  <c r="CO55" i="76"/>
  <c r="CH55" i="76"/>
  <c r="CI55" i="76" s="1"/>
  <c r="BX55" i="76"/>
  <c r="BD55" i="76"/>
  <c r="BC55" i="76"/>
  <c r="AZ55" i="76"/>
  <c r="AY55" i="76"/>
  <c r="AX55" i="76"/>
  <c r="AW55" i="76"/>
  <c r="AV55" i="76"/>
  <c r="AC55" i="76"/>
  <c r="Y55" i="76"/>
  <c r="W55" i="76"/>
  <c r="Z55" i="76" s="1"/>
  <c r="Q55" i="76"/>
  <c r="J55" i="76"/>
  <c r="N55" i="76" s="1"/>
  <c r="H55" i="76"/>
  <c r="I55" i="76" s="1"/>
  <c r="AZ54" i="76"/>
  <c r="AY54" i="76"/>
  <c r="AX54" i="76"/>
  <c r="AW54" i="76"/>
  <c r="AV54" i="76"/>
  <c r="AZ53" i="76"/>
  <c r="AY53" i="76"/>
  <c r="AX53" i="76"/>
  <c r="AW53" i="76"/>
  <c r="AV53" i="76"/>
  <c r="CS52" i="76"/>
  <c r="CO52" i="76"/>
  <c r="CH52" i="76"/>
  <c r="CI52" i="76" s="1"/>
  <c r="BX52" i="76"/>
  <c r="BD52" i="76"/>
  <c r="BC52" i="76"/>
  <c r="AZ52" i="76"/>
  <c r="AY52" i="76"/>
  <c r="AX52" i="76"/>
  <c r="AW52" i="76"/>
  <c r="AV52" i="76"/>
  <c r="AC52" i="76"/>
  <c r="Y52" i="76"/>
  <c r="W52" i="76"/>
  <c r="Q52" i="76"/>
  <c r="J52" i="76"/>
  <c r="H52" i="76"/>
  <c r="CS51" i="76"/>
  <c r="CO51" i="76"/>
  <c r="CH51" i="76"/>
  <c r="CI51" i="76" s="1"/>
  <c r="BX51" i="76"/>
  <c r="BC51" i="76"/>
  <c r="AZ51" i="76"/>
  <c r="AY51" i="76"/>
  <c r="AX51" i="76"/>
  <c r="AW51" i="76"/>
  <c r="AV51" i="76"/>
  <c r="AC51" i="76"/>
  <c r="T51" i="76"/>
  <c r="BD51" i="76" s="1"/>
  <c r="BE51" i="76" s="1"/>
  <c r="Q51" i="76"/>
  <c r="J51" i="76"/>
  <c r="N51" i="76" s="1"/>
  <c r="H51" i="76"/>
  <c r="AZ50" i="76"/>
  <c r="AY50" i="76"/>
  <c r="AX50" i="76"/>
  <c r="AW50" i="76"/>
  <c r="AV50" i="76"/>
  <c r="AZ49" i="76"/>
  <c r="AY49" i="76"/>
  <c r="AX49" i="76"/>
  <c r="AW49" i="76"/>
  <c r="AV49" i="76"/>
  <c r="CO48" i="76"/>
  <c r="CH48" i="76"/>
  <c r="CI48" i="76" s="1"/>
  <c r="BX48" i="76"/>
  <c r="BD48" i="76"/>
  <c r="BC48" i="76"/>
  <c r="AZ48" i="76"/>
  <c r="AY48" i="76"/>
  <c r="AX48" i="76"/>
  <c r="AW48" i="76"/>
  <c r="AV48" i="76"/>
  <c r="AC48" i="76"/>
  <c r="Y48" i="76"/>
  <c r="W48" i="76"/>
  <c r="Q48" i="76"/>
  <c r="J48" i="76"/>
  <c r="N48" i="76" s="1"/>
  <c r="H48" i="76"/>
  <c r="CS47" i="76"/>
  <c r="CO47" i="76"/>
  <c r="CH47" i="76"/>
  <c r="CI47" i="76" s="1"/>
  <c r="BX47" i="76"/>
  <c r="BD47" i="76"/>
  <c r="BC47" i="76"/>
  <c r="AZ47" i="76"/>
  <c r="AY47" i="76"/>
  <c r="AX47" i="76"/>
  <c r="AW47" i="76"/>
  <c r="AV47" i="76"/>
  <c r="AC47" i="76"/>
  <c r="Y47" i="76"/>
  <c r="W47" i="76"/>
  <c r="Q47" i="76"/>
  <c r="J47" i="76"/>
  <c r="BY47" i="76" s="1"/>
  <c r="BZ47" i="76" s="1"/>
  <c r="H47" i="76"/>
  <c r="AZ46" i="76"/>
  <c r="AY46" i="76"/>
  <c r="AX46" i="76"/>
  <c r="AW46" i="76"/>
  <c r="AV46" i="76"/>
  <c r="AZ45" i="76"/>
  <c r="AY45" i="76"/>
  <c r="AX45" i="76"/>
  <c r="AW45" i="76"/>
  <c r="AV45" i="76"/>
  <c r="CS44" i="76"/>
  <c r="CO44" i="76"/>
  <c r="CH44" i="76"/>
  <c r="CI44" i="76" s="1"/>
  <c r="BX44" i="76"/>
  <c r="BD44" i="76"/>
  <c r="BC44" i="76"/>
  <c r="AZ44" i="76"/>
  <c r="AY44" i="76"/>
  <c r="AX44" i="76"/>
  <c r="AW44" i="76"/>
  <c r="AV44" i="76"/>
  <c r="AC44" i="76"/>
  <c r="Y44" i="76"/>
  <c r="W44" i="76"/>
  <c r="Q44" i="76"/>
  <c r="J44" i="76"/>
  <c r="BY44" i="76" s="1"/>
  <c r="BZ44" i="76" s="1"/>
  <c r="H44" i="76"/>
  <c r="AZ43" i="76"/>
  <c r="AY43" i="76"/>
  <c r="AX43" i="76"/>
  <c r="AW43" i="76"/>
  <c r="AV43" i="76"/>
  <c r="AZ42" i="76"/>
  <c r="AY42" i="76"/>
  <c r="AX42" i="76"/>
  <c r="AW42" i="76"/>
  <c r="AV42" i="76"/>
  <c r="CS41" i="76"/>
  <c r="CU41" i="76" s="1"/>
  <c r="CO41" i="76"/>
  <c r="CH41" i="76"/>
  <c r="BX41" i="76"/>
  <c r="BT41" i="76"/>
  <c r="BU41" i="76" s="1"/>
  <c r="BD41" i="76"/>
  <c r="BC41" i="76"/>
  <c r="AZ41" i="76"/>
  <c r="AY41" i="76"/>
  <c r="AX41" i="76"/>
  <c r="AW41" i="76"/>
  <c r="AV41" i="76"/>
  <c r="AC41" i="76"/>
  <c r="Y41" i="76"/>
  <c r="W41" i="76"/>
  <c r="Z41" i="76" s="1"/>
  <c r="AD41" i="76" s="1"/>
  <c r="AE41" i="76" s="1"/>
  <c r="AK41" i="76" s="1"/>
  <c r="AR41" i="76" s="1"/>
  <c r="Q41" i="76"/>
  <c r="O41" i="76"/>
  <c r="J41" i="76"/>
  <c r="L41" i="76" s="1"/>
  <c r="H41" i="76"/>
  <c r="CS40" i="76"/>
  <c r="CU40" i="76" s="1"/>
  <c r="CO40" i="76"/>
  <c r="CH40" i="76"/>
  <c r="BX40" i="76"/>
  <c r="BT40" i="76"/>
  <c r="BU40" i="76" s="1"/>
  <c r="BD40" i="76"/>
  <c r="BC40" i="76"/>
  <c r="AZ40" i="76"/>
  <c r="AY40" i="76"/>
  <c r="AX40" i="76"/>
  <c r="AW40" i="76"/>
  <c r="AV40" i="76"/>
  <c r="AC40" i="76"/>
  <c r="Y40" i="76"/>
  <c r="W40" i="76"/>
  <c r="Q40" i="76"/>
  <c r="O40" i="76"/>
  <c r="J40" i="76"/>
  <c r="L40" i="76" s="1"/>
  <c r="H40" i="76"/>
  <c r="CS39" i="76"/>
  <c r="CU39" i="76" s="1"/>
  <c r="CO39" i="76"/>
  <c r="CH39" i="76"/>
  <c r="BX39" i="76"/>
  <c r="BT39" i="76"/>
  <c r="BU39" i="76" s="1"/>
  <c r="BD39" i="76"/>
  <c r="BC39" i="76"/>
  <c r="AZ39" i="76"/>
  <c r="AY39" i="76"/>
  <c r="AX39" i="76"/>
  <c r="AW39" i="76"/>
  <c r="AV39" i="76"/>
  <c r="AC39" i="76"/>
  <c r="Y39" i="76"/>
  <c r="W39" i="76"/>
  <c r="Q39" i="76"/>
  <c r="O39" i="76"/>
  <c r="J39" i="76"/>
  <c r="L39" i="76" s="1"/>
  <c r="H39" i="76"/>
  <c r="CS38" i="76"/>
  <c r="CU38" i="76" s="1"/>
  <c r="CO38" i="76"/>
  <c r="CH38" i="76"/>
  <c r="BX38" i="76"/>
  <c r="BT38" i="76"/>
  <c r="BU38" i="76" s="1"/>
  <c r="CI38" i="76" s="1"/>
  <c r="CP38" i="76" s="1"/>
  <c r="BD38" i="76"/>
  <c r="BC38" i="76"/>
  <c r="AZ38" i="76"/>
  <c r="AY38" i="76"/>
  <c r="AX38" i="76"/>
  <c r="AW38" i="76"/>
  <c r="AV38" i="76"/>
  <c r="AC38" i="76"/>
  <c r="Y38" i="76"/>
  <c r="W38" i="76"/>
  <c r="Q38" i="76"/>
  <c r="O38" i="76"/>
  <c r="J38" i="76"/>
  <c r="H38" i="76"/>
  <c r="CS37" i="76"/>
  <c r="CO37" i="76"/>
  <c r="CH37" i="76"/>
  <c r="BX37" i="76"/>
  <c r="BD37" i="76"/>
  <c r="BC37" i="76"/>
  <c r="AZ37" i="76"/>
  <c r="AY37" i="76"/>
  <c r="AX37" i="76"/>
  <c r="AW37" i="76"/>
  <c r="AV37" i="76"/>
  <c r="AC37" i="76"/>
  <c r="Y37" i="76"/>
  <c r="W37" i="76"/>
  <c r="Q37" i="76"/>
  <c r="J37" i="76"/>
  <c r="N37" i="76" s="1"/>
  <c r="H37" i="76"/>
  <c r="I37" i="76" s="1"/>
  <c r="CS36" i="76"/>
  <c r="CO36" i="76"/>
  <c r="CH36" i="76"/>
  <c r="BX36" i="76"/>
  <c r="BD36" i="76"/>
  <c r="BC36" i="76"/>
  <c r="AZ36" i="76"/>
  <c r="AY36" i="76"/>
  <c r="AX36" i="76"/>
  <c r="AW36" i="76"/>
  <c r="AV36" i="76"/>
  <c r="AC36" i="76"/>
  <c r="Y36" i="76"/>
  <c r="W36" i="76"/>
  <c r="Q36" i="76"/>
  <c r="J36" i="76"/>
  <c r="H36" i="76"/>
  <c r="CS33" i="76"/>
  <c r="CO33" i="76"/>
  <c r="CH33" i="76"/>
  <c r="BX33" i="76"/>
  <c r="BT33" i="76"/>
  <c r="BM33" i="76"/>
  <c r="BD33" i="76"/>
  <c r="BC33" i="76"/>
  <c r="AC33" i="76"/>
  <c r="Y33" i="76"/>
  <c r="W33" i="76"/>
  <c r="Q33" i="76"/>
  <c r="J33" i="76"/>
  <c r="N33" i="76" s="1"/>
  <c r="H33" i="76"/>
  <c r="CS32" i="76"/>
  <c r="CO32" i="76"/>
  <c r="CH32" i="76"/>
  <c r="CI32" i="76" s="1"/>
  <c r="BX32" i="76"/>
  <c r="BT32" i="76"/>
  <c r="BU32" i="76" s="1"/>
  <c r="BM32" i="76"/>
  <c r="BD32" i="76"/>
  <c r="BC32" i="76"/>
  <c r="AC32" i="76"/>
  <c r="Y32" i="76"/>
  <c r="W32" i="76"/>
  <c r="Q32" i="76"/>
  <c r="J32" i="76"/>
  <c r="L32" i="76" s="1"/>
  <c r="H32" i="76"/>
  <c r="I32" i="76" s="1"/>
  <c r="BG31" i="76"/>
  <c r="BF31" i="76"/>
  <c r="BG30" i="76"/>
  <c r="BF30" i="76"/>
  <c r="CS29" i="76"/>
  <c r="CO29" i="76"/>
  <c r="CP29" i="76" s="1"/>
  <c r="CH29" i="76"/>
  <c r="BX29" i="76"/>
  <c r="BT29" i="76"/>
  <c r="BM29" i="76"/>
  <c r="BN29" i="76" s="1"/>
  <c r="BD29" i="76"/>
  <c r="BC29" i="76"/>
  <c r="AC29" i="76"/>
  <c r="Y29" i="76"/>
  <c r="U29" i="76"/>
  <c r="W29" i="76" s="1"/>
  <c r="Q29" i="76"/>
  <c r="J29" i="76"/>
  <c r="H29" i="76"/>
  <c r="CS26" i="76"/>
  <c r="CO26" i="76"/>
  <c r="CH26" i="76"/>
  <c r="CI26" i="76" s="1"/>
  <c r="CP26" i="76" s="1"/>
  <c r="BY26" i="76"/>
  <c r="BX26" i="76"/>
  <c r="BX14" i="76" s="1"/>
  <c r="BZ14" i="76" s="1"/>
  <c r="Q26" i="76"/>
  <c r="J26" i="76"/>
  <c r="N26" i="76" s="1"/>
  <c r="P26" i="76" s="1"/>
  <c r="H26" i="76"/>
  <c r="K26" i="76" s="1"/>
  <c r="O26" i="76" s="1"/>
  <c r="CS23" i="76"/>
  <c r="CO23" i="76"/>
  <c r="CH23" i="76"/>
  <c r="CI23" i="76" s="1"/>
  <c r="BY23" i="76"/>
  <c r="BZ23" i="76" s="1"/>
  <c r="BX23" i="76"/>
  <c r="Q23" i="76"/>
  <c r="J23" i="76"/>
  <c r="N23" i="76" s="1"/>
  <c r="H23" i="76"/>
  <c r="K23" i="76" s="1"/>
  <c r="CS20" i="76"/>
  <c r="CO20" i="76"/>
  <c r="CH20" i="76"/>
  <c r="CI20" i="76" s="1"/>
  <c r="BY20" i="76"/>
  <c r="BX20" i="76"/>
  <c r="Q20" i="76"/>
  <c r="J20" i="76"/>
  <c r="N20" i="76" s="1"/>
  <c r="H20" i="76"/>
  <c r="CS17" i="76"/>
  <c r="CO17" i="76"/>
  <c r="CH17" i="76"/>
  <c r="CI17" i="76" s="1"/>
  <c r="BY17" i="76"/>
  <c r="BX17" i="76"/>
  <c r="Q17" i="76"/>
  <c r="J17" i="76"/>
  <c r="N17" i="76" s="1"/>
  <c r="H17" i="76"/>
  <c r="DN14" i="76"/>
  <c r="CS14" i="76"/>
  <c r="CO14" i="76"/>
  <c r="CH14" i="76"/>
  <c r="BT14" i="76"/>
  <c r="BM14" i="76"/>
  <c r="BD14" i="76"/>
  <c r="BC14" i="76"/>
  <c r="AC14" i="76"/>
  <c r="Y14" i="76"/>
  <c r="W14" i="76"/>
  <c r="AD14" i="76" s="1"/>
  <c r="Q14" i="76"/>
  <c r="J14" i="76"/>
  <c r="N14" i="76" s="1"/>
  <c r="M14" i="76" s="1"/>
  <c r="H14" i="76"/>
  <c r="AV122" i="76" l="1"/>
  <c r="AZ122" i="76"/>
  <c r="DO38" i="76"/>
  <c r="CP20" i="76"/>
  <c r="I33" i="76"/>
  <c r="Z39" i="76"/>
  <c r="AD39" i="76" s="1"/>
  <c r="AE39" i="76" s="1"/>
  <c r="AK39" i="76" s="1"/>
  <c r="AR39" i="76" s="1"/>
  <c r="BE39" i="76"/>
  <c r="BF39" i="76" s="1"/>
  <c r="I51" i="76"/>
  <c r="M55" i="76"/>
  <c r="CP67" i="76"/>
  <c r="CP70" i="76"/>
  <c r="Z72" i="76"/>
  <c r="Z81" i="76"/>
  <c r="BE81" i="76"/>
  <c r="CP81" i="76"/>
  <c r="CP84" i="76"/>
  <c r="DO29" i="76"/>
  <c r="M37" i="76"/>
  <c r="Z47" i="76"/>
  <c r="L51" i="76"/>
  <c r="BZ67" i="76"/>
  <c r="BE75" i="76"/>
  <c r="BR75" i="76" s="1"/>
  <c r="I78" i="76"/>
  <c r="BE78" i="76"/>
  <c r="I81" i="76"/>
  <c r="BE84" i="76"/>
  <c r="Z87" i="76"/>
  <c r="BE87" i="76"/>
  <c r="CP115" i="76"/>
  <c r="I118" i="76"/>
  <c r="AE14" i="76"/>
  <c r="AK14" i="76" s="1"/>
  <c r="AR14" i="76" s="1"/>
  <c r="BD122" i="76"/>
  <c r="BE36" i="76"/>
  <c r="BE38" i="76"/>
  <c r="BF38" i="76" s="1"/>
  <c r="I44" i="76"/>
  <c r="I89" i="76"/>
  <c r="CP90" i="76"/>
  <c r="BY88" i="76"/>
  <c r="BZ88" i="76" s="1"/>
  <c r="I14" i="76"/>
  <c r="CO122" i="76"/>
  <c r="M17" i="76"/>
  <c r="BZ17" i="76"/>
  <c r="CP17" i="76"/>
  <c r="CP23" i="76"/>
  <c r="BU29" i="76"/>
  <c r="Z32" i="76"/>
  <c r="BE32" i="76"/>
  <c r="Z33" i="76"/>
  <c r="BE33" i="76"/>
  <c r="Z37" i="76"/>
  <c r="Z40" i="76"/>
  <c r="AD40" i="76" s="1"/>
  <c r="AE40" i="76" s="1"/>
  <c r="AK40" i="76" s="1"/>
  <c r="AR40" i="76" s="1"/>
  <c r="BE40" i="76"/>
  <c r="BF40" i="76" s="1"/>
  <c r="Z44" i="76"/>
  <c r="I47" i="76"/>
  <c r="BE47" i="76"/>
  <c r="CP47" i="76"/>
  <c r="Z48" i="76"/>
  <c r="BE48" i="76"/>
  <c r="CP48" i="76"/>
  <c r="CP51" i="76"/>
  <c r="BE52" i="76"/>
  <c r="CP52" i="76"/>
  <c r="BZ64" i="76"/>
  <c r="L78" i="76"/>
  <c r="K78" i="76" s="1"/>
  <c r="Z78" i="76"/>
  <c r="I88" i="76"/>
  <c r="L88" i="76"/>
  <c r="Z88" i="76"/>
  <c r="Z89" i="76"/>
  <c r="Z90" i="76"/>
  <c r="BE90" i="76"/>
  <c r="BR90" i="76" s="1"/>
  <c r="Z93" i="76"/>
  <c r="BZ96" i="76"/>
  <c r="BE96" i="76"/>
  <c r="BR96" i="76" s="1"/>
  <c r="CP99" i="76"/>
  <c r="I102" i="76"/>
  <c r="CP102" i="76"/>
  <c r="M108" i="76"/>
  <c r="BN108" i="76"/>
  <c r="BE114" i="76"/>
  <c r="M115" i="76"/>
  <c r="BE115" i="76"/>
  <c r="DO58" i="76"/>
  <c r="DO23" i="76"/>
  <c r="DO115" i="76"/>
  <c r="M23" i="76"/>
  <c r="O23" i="76" s="1"/>
  <c r="P23" i="76"/>
  <c r="Z14" i="76"/>
  <c r="AS14" i="76" s="1"/>
  <c r="BN14" i="76" s="1"/>
  <c r="BE14" i="76"/>
  <c r="CH122" i="76"/>
  <c r="CS122" i="76"/>
  <c r="I17" i="76"/>
  <c r="I20" i="76"/>
  <c r="BZ20" i="76"/>
  <c r="I23" i="76"/>
  <c r="BZ26" i="76"/>
  <c r="N29" i="76"/>
  <c r="M29" i="76" s="1"/>
  <c r="L29" i="76"/>
  <c r="K29" i="76" s="1"/>
  <c r="BS36" i="76"/>
  <c r="BO36" i="76"/>
  <c r="BS81" i="76"/>
  <c r="BF81" i="76"/>
  <c r="L14" i="76"/>
  <c r="K14" i="76" s="1"/>
  <c r="O14" i="76" s="1"/>
  <c r="N36" i="76"/>
  <c r="M36" i="76" s="1"/>
  <c r="L36" i="76"/>
  <c r="BQ52" i="76"/>
  <c r="BF52" i="76"/>
  <c r="BI52" i="76"/>
  <c r="I29" i="76"/>
  <c r="Z29" i="76"/>
  <c r="AD29" i="76" s="1"/>
  <c r="AE29" i="76" s="1"/>
  <c r="AK29" i="76" s="1"/>
  <c r="BE29" i="76"/>
  <c r="BY32" i="76"/>
  <c r="CP32" i="76"/>
  <c r="M33" i="76"/>
  <c r="I36" i="76"/>
  <c r="AW122" i="76"/>
  <c r="BE37" i="76"/>
  <c r="Z38" i="76"/>
  <c r="AD38" i="76" s="1"/>
  <c r="AE38" i="76" s="1"/>
  <c r="AK38" i="76" s="1"/>
  <c r="AR38" i="76" s="1"/>
  <c r="BE41" i="76"/>
  <c r="L44" i="76"/>
  <c r="BE44" i="76"/>
  <c r="CP44" i="76"/>
  <c r="M48" i="76"/>
  <c r="M51" i="76"/>
  <c r="BE55" i="76"/>
  <c r="CP55" i="76"/>
  <c r="I58" i="76"/>
  <c r="L58" i="76"/>
  <c r="BE58" i="76"/>
  <c r="BZ61" i="76"/>
  <c r="Z61" i="76"/>
  <c r="CP61" i="76"/>
  <c r="CP64" i="76"/>
  <c r="I72" i="76"/>
  <c r="K72" i="76"/>
  <c r="BE72" i="76"/>
  <c r="BZ75" i="76"/>
  <c r="Z75" i="76"/>
  <c r="CP75" i="76"/>
  <c r="M78" i="76"/>
  <c r="Z84" i="76"/>
  <c r="L87" i="76"/>
  <c r="P87" i="76" s="1"/>
  <c r="M88" i="76"/>
  <c r="CP88" i="76"/>
  <c r="BE89" i="76"/>
  <c r="CP89" i="76"/>
  <c r="BE93" i="76"/>
  <c r="CP93" i="76"/>
  <c r="CP96" i="76"/>
  <c r="CP105" i="76"/>
  <c r="L108" i="76"/>
  <c r="M112" i="76"/>
  <c r="BZ112" i="76"/>
  <c r="CP112" i="76"/>
  <c r="L114" i="76"/>
  <c r="BN114" i="76"/>
  <c r="CP114" i="76"/>
  <c r="CP118" i="76"/>
  <c r="CP121" i="76"/>
  <c r="K51" i="76"/>
  <c r="AS51" i="76"/>
  <c r="O78" i="76"/>
  <c r="M87" i="76"/>
  <c r="BY87" i="76"/>
  <c r="BZ87" i="76" s="1"/>
  <c r="K88" i="76"/>
  <c r="M89" i="76"/>
  <c r="M93" i="76"/>
  <c r="L96" i="76"/>
  <c r="K96" i="76" s="1"/>
  <c r="BY108" i="76"/>
  <c r="BZ108" i="76" s="1"/>
  <c r="M118" i="76"/>
  <c r="O118" i="76" s="1"/>
  <c r="DN122" i="76"/>
  <c r="DO32" i="76"/>
  <c r="DO64" i="76"/>
  <c r="DO114" i="76"/>
  <c r="DO121" i="76"/>
  <c r="DO17" i="76"/>
  <c r="BY29" i="76"/>
  <c r="BZ29" i="76" s="1"/>
  <c r="AD33" i="76"/>
  <c r="AE33" i="76" s="1"/>
  <c r="AK33" i="76" s="1"/>
  <c r="AR33" i="76" s="1"/>
  <c r="AS33" i="76" s="1"/>
  <c r="BN33" i="76" s="1"/>
  <c r="M20" i="76"/>
  <c r="P20" i="76"/>
  <c r="CT20" i="76"/>
  <c r="DO20" i="76"/>
  <c r="O29" i="76"/>
  <c r="K32" i="76"/>
  <c r="P14" i="76"/>
  <c r="CU20" i="76"/>
  <c r="DO26" i="76"/>
  <c r="CT26" i="76"/>
  <c r="CU26" i="76" s="1"/>
  <c r="BE122" i="76"/>
  <c r="L17" i="76"/>
  <c r="CT23" i="76"/>
  <c r="CU23" i="76" s="1"/>
  <c r="P36" i="76"/>
  <c r="BP37" i="76"/>
  <c r="BI37" i="76"/>
  <c r="BR37" i="76"/>
  <c r="BG37" i="76"/>
  <c r="BQ37" i="76"/>
  <c r="BF37" i="76"/>
  <c r="BY38" i="76"/>
  <c r="BZ38" i="76" s="1"/>
  <c r="L38" i="76"/>
  <c r="N38" i="76"/>
  <c r="BS47" i="76"/>
  <c r="BO47" i="76"/>
  <c r="BH47" i="76"/>
  <c r="BR47" i="76"/>
  <c r="BG47" i="76"/>
  <c r="BQ47" i="76"/>
  <c r="BF47" i="76"/>
  <c r="BP47" i="76"/>
  <c r="BI47" i="76"/>
  <c r="CT51" i="76"/>
  <c r="CU51" i="76" s="1"/>
  <c r="DO51" i="76"/>
  <c r="CI14" i="76"/>
  <c r="CU14" i="76"/>
  <c r="K20" i="76"/>
  <c r="I26" i="76"/>
  <c r="N32" i="76"/>
  <c r="M32" i="76" s="1"/>
  <c r="AD32" i="76" s="1"/>
  <c r="AE32" i="76" s="1"/>
  <c r="AK32" i="76" s="1"/>
  <c r="AR32" i="76" s="1"/>
  <c r="AS32" i="76" s="1"/>
  <c r="L33" i="76"/>
  <c r="Z36" i="76"/>
  <c r="BH37" i="76"/>
  <c r="BY40" i="76"/>
  <c r="BZ40" i="76" s="1"/>
  <c r="CI40" i="76"/>
  <c r="CP40" i="76" s="1"/>
  <c r="DO40" i="76" s="1"/>
  <c r="BF41" i="76"/>
  <c r="BI41" i="76"/>
  <c r="BH41" i="76"/>
  <c r="BG41" i="76"/>
  <c r="BR44" i="76"/>
  <c r="BG44" i="76"/>
  <c r="BQ44" i="76"/>
  <c r="BF44" i="76"/>
  <c r="BP44" i="76"/>
  <c r="BI44" i="76"/>
  <c r="BS44" i="76"/>
  <c r="BO44" i="76"/>
  <c r="BH44" i="76"/>
  <c r="CT44" i="76"/>
  <c r="CU44" i="76" s="1"/>
  <c r="DO44" i="76"/>
  <c r="DO48" i="76"/>
  <c r="AX122" i="76"/>
  <c r="BP36" i="76"/>
  <c r="BI36" i="76"/>
  <c r="BR36" i="76"/>
  <c r="BG36" i="76"/>
  <c r="BQ36" i="76"/>
  <c r="BF36" i="76"/>
  <c r="BO37" i="76"/>
  <c r="BY41" i="76"/>
  <c r="BZ41" i="76" s="1"/>
  <c r="CI41" i="76"/>
  <c r="CP41" i="76" s="1"/>
  <c r="DO41" i="76" s="1"/>
  <c r="DO47" i="76"/>
  <c r="BP48" i="76"/>
  <c r="BI48" i="76"/>
  <c r="BS48" i="76"/>
  <c r="BO48" i="76"/>
  <c r="BH48" i="76"/>
  <c r="BR48" i="76"/>
  <c r="BG48" i="76"/>
  <c r="BQ48" i="76"/>
  <c r="BF48" i="76"/>
  <c r="BP51" i="76"/>
  <c r="BI51" i="76"/>
  <c r="BS51" i="76"/>
  <c r="BO51" i="76"/>
  <c r="BH51" i="76"/>
  <c r="BR51" i="76"/>
  <c r="BG51" i="76"/>
  <c r="BQ51" i="76"/>
  <c r="BF51" i="76"/>
  <c r="K36" i="76"/>
  <c r="O36" i="76" s="1"/>
  <c r="BH36" i="76"/>
  <c r="BS37" i="76"/>
  <c r="BY39" i="76"/>
  <c r="BZ39" i="76" s="1"/>
  <c r="CI39" i="76"/>
  <c r="CP39" i="76" s="1"/>
  <c r="DO39" i="76" s="1"/>
  <c r="BM36" i="76"/>
  <c r="BG38" i="76"/>
  <c r="N39" i="76"/>
  <c r="BG39" i="76"/>
  <c r="N40" i="76"/>
  <c r="BG40" i="76"/>
  <c r="N41" i="76"/>
  <c r="N47" i="76"/>
  <c r="M47" i="76" s="1"/>
  <c r="P51" i="76"/>
  <c r="O51" i="76" s="1"/>
  <c r="AD51" i="76"/>
  <c r="AE51" i="76" s="1"/>
  <c r="BY52" i="76"/>
  <c r="BZ52" i="76" s="1"/>
  <c r="L52" i="76"/>
  <c r="CT52" i="76" s="1"/>
  <c r="CU52" i="76" s="1"/>
  <c r="DO67" i="76"/>
  <c r="CT70" i="76"/>
  <c r="DO70" i="76"/>
  <c r="BF78" i="76"/>
  <c r="BI78" i="76"/>
  <c r="BO78" i="76"/>
  <c r="BT78" i="76" s="1"/>
  <c r="BH78" i="76"/>
  <c r="BG78" i="76"/>
  <c r="DO81" i="76"/>
  <c r="DO84" i="76"/>
  <c r="L37" i="76"/>
  <c r="BH38" i="76"/>
  <c r="BH39" i="76"/>
  <c r="BH40" i="76"/>
  <c r="N44" i="76"/>
  <c r="M44" i="76" s="1"/>
  <c r="L48" i="76"/>
  <c r="CT48" i="76" s="1"/>
  <c r="BY48" i="76"/>
  <c r="BZ48" i="76" s="1"/>
  <c r="BY51" i="76"/>
  <c r="BZ51" i="76" s="1"/>
  <c r="DO52" i="76"/>
  <c r="DO55" i="76"/>
  <c r="P58" i="76"/>
  <c r="DO61" i="76"/>
  <c r="M70" i="76"/>
  <c r="O70" i="76" s="1"/>
  <c r="P70" i="76"/>
  <c r="BI38" i="76"/>
  <c r="BI39" i="76"/>
  <c r="BI40" i="76"/>
  <c r="K44" i="76"/>
  <c r="L47" i="76"/>
  <c r="CT47" i="76" s="1"/>
  <c r="CU47" i="76" s="1"/>
  <c r="I48" i="76"/>
  <c r="AP51" i="76"/>
  <c r="Z52" i="76"/>
  <c r="CU70" i="76"/>
  <c r="M72" i="76"/>
  <c r="P72" i="76"/>
  <c r="BR84" i="76"/>
  <c r="BG84" i="76"/>
  <c r="BQ84" i="76"/>
  <c r="BF84" i="76"/>
  <c r="BP84" i="76"/>
  <c r="BI84" i="76"/>
  <c r="BS84" i="76"/>
  <c r="BO84" i="76"/>
  <c r="BH84" i="76"/>
  <c r="AY122" i="76"/>
  <c r="I52" i="76"/>
  <c r="N52" i="76"/>
  <c r="M52" i="76" s="1"/>
  <c r="BR52" i="76"/>
  <c r="BG52" i="76"/>
  <c r="BS52" i="76"/>
  <c r="BO52" i="76"/>
  <c r="BH52" i="76"/>
  <c r="BP52" i="76"/>
  <c r="BQ55" i="76"/>
  <c r="BF55" i="76"/>
  <c r="BP55" i="76"/>
  <c r="BI55" i="76"/>
  <c r="BS55" i="76"/>
  <c r="BO55" i="76"/>
  <c r="BH55" i="76"/>
  <c r="BR55" i="76"/>
  <c r="BG55" i="76"/>
  <c r="O72" i="76"/>
  <c r="DO75" i="76"/>
  <c r="L55" i="76"/>
  <c r="BY55" i="76"/>
  <c r="BZ55" i="76" s="1"/>
  <c r="K58" i="76"/>
  <c r="O58" i="76" s="1"/>
  <c r="BY58" i="76"/>
  <c r="I61" i="76"/>
  <c r="BH61" i="76"/>
  <c r="BO61" i="76"/>
  <c r="BS61" i="76"/>
  <c r="N64" i="76"/>
  <c r="L67" i="76"/>
  <c r="CT67" i="76" s="1"/>
  <c r="CU67" i="76" s="1"/>
  <c r="BY72" i="76"/>
  <c r="I75" i="76"/>
  <c r="BH75" i="76"/>
  <c r="BO75" i="76"/>
  <c r="BS75" i="76"/>
  <c r="P78" i="76"/>
  <c r="BY78" i="76"/>
  <c r="N81" i="76"/>
  <c r="M81" i="76" s="1"/>
  <c r="BI81" i="76"/>
  <c r="BP81" i="76"/>
  <c r="I84" i="76"/>
  <c r="BS87" i="76"/>
  <c r="BO87" i="76"/>
  <c r="BH87" i="76"/>
  <c r="BP87" i="76"/>
  <c r="BI87" i="76"/>
  <c r="DO90" i="76"/>
  <c r="N61" i="76"/>
  <c r="M61" i="76" s="1"/>
  <c r="BI61" i="76"/>
  <c r="BP61" i="76"/>
  <c r="N75" i="76"/>
  <c r="M75" i="76" s="1"/>
  <c r="BI75" i="76"/>
  <c r="BP75" i="76"/>
  <c r="BQ81" i="76"/>
  <c r="N84" i="76"/>
  <c r="M84" i="76" s="1"/>
  <c r="BF87" i="76"/>
  <c r="BQ87" i="76"/>
  <c r="O88" i="76"/>
  <c r="DO89" i="76"/>
  <c r="DO93" i="76"/>
  <c r="CT96" i="76"/>
  <c r="CU96" i="76" s="1"/>
  <c r="DO96" i="76"/>
  <c r="P108" i="76"/>
  <c r="P114" i="76"/>
  <c r="BF61" i="76"/>
  <c r="BQ61" i="76"/>
  <c r="BF75" i="76"/>
  <c r="BQ75" i="76"/>
  <c r="AD78" i="76"/>
  <c r="AE78" i="76" s="1"/>
  <c r="AK78" i="76" s="1"/>
  <c r="AR78" i="76" s="1"/>
  <c r="AS78" i="76" s="1"/>
  <c r="L81" i="76"/>
  <c r="CT81" i="76" s="1"/>
  <c r="CU81" i="76" s="1"/>
  <c r="BG81" i="76"/>
  <c r="BR81" i="76"/>
  <c r="BY81" i="76"/>
  <c r="BZ81" i="76" s="1"/>
  <c r="K87" i="76"/>
  <c r="O87" i="76" s="1"/>
  <c r="BG87" i="76"/>
  <c r="BR87" i="76"/>
  <c r="CP87" i="76"/>
  <c r="P88" i="76"/>
  <c r="AD88" i="76"/>
  <c r="AE88" i="76" s="1"/>
  <c r="AK88" i="76" s="1"/>
  <c r="AR88" i="76" s="1"/>
  <c r="AS88" i="76" s="1"/>
  <c r="BP88" i="76"/>
  <c r="BI88" i="76"/>
  <c r="BS88" i="76"/>
  <c r="BO88" i="76"/>
  <c r="BH88" i="76"/>
  <c r="BR88" i="76"/>
  <c r="BG88" i="76"/>
  <c r="BQ88" i="76"/>
  <c r="BF88" i="76"/>
  <c r="CT99" i="76"/>
  <c r="CU99" i="76" s="1"/>
  <c r="DO99" i="76"/>
  <c r="CT108" i="76"/>
  <c r="CU108" i="76" s="1"/>
  <c r="DO108" i="76"/>
  <c r="L61" i="76"/>
  <c r="CT61" i="76" s="1"/>
  <c r="CU61" i="76" s="1"/>
  <c r="BG61" i="76"/>
  <c r="AD72" i="76"/>
  <c r="AE72" i="76" s="1"/>
  <c r="AK72" i="76" s="1"/>
  <c r="AR72" i="76" s="1"/>
  <c r="AS72" i="76" s="1"/>
  <c r="BN72" i="76" s="1"/>
  <c r="CI72" i="76" s="1"/>
  <c r="CP72" i="76" s="1"/>
  <c r="DO72" i="76" s="1"/>
  <c r="L75" i="76"/>
  <c r="CT75" i="76" s="1"/>
  <c r="CU75" i="76" s="1"/>
  <c r="BG75" i="76"/>
  <c r="BH81" i="76"/>
  <c r="BO81" i="76"/>
  <c r="BT81" i="76" s="1"/>
  <c r="L84" i="76"/>
  <c r="DO88" i="76"/>
  <c r="CT88" i="76"/>
  <c r="CU88" i="76" s="1"/>
  <c r="BQ89" i="76"/>
  <c r="BF89" i="76"/>
  <c r="BP89" i="76"/>
  <c r="BI89" i="76"/>
  <c r="BS89" i="76"/>
  <c r="BO89" i="76"/>
  <c r="BH89" i="76"/>
  <c r="BR89" i="76"/>
  <c r="BG89" i="76"/>
  <c r="BQ93" i="76"/>
  <c r="BF93" i="76"/>
  <c r="BP93" i="76"/>
  <c r="BI93" i="76"/>
  <c r="BS93" i="76"/>
  <c r="BO93" i="76"/>
  <c r="BH93" i="76"/>
  <c r="BR93" i="76"/>
  <c r="BG93" i="76"/>
  <c r="M102" i="76"/>
  <c r="O102" i="76" s="1"/>
  <c r="P102" i="76"/>
  <c r="CT102" i="76"/>
  <c r="CU102" i="76" s="1"/>
  <c r="DO102" i="76"/>
  <c r="DO105" i="76"/>
  <c r="DO112" i="76"/>
  <c r="CT118" i="76"/>
  <c r="CU118" i="76" s="1"/>
  <c r="DO118" i="76"/>
  <c r="L89" i="76"/>
  <c r="CT89" i="76" s="1"/>
  <c r="CU89" i="76" s="1"/>
  <c r="BY89" i="76"/>
  <c r="BZ89" i="76" s="1"/>
  <c r="I90" i="76"/>
  <c r="BH90" i="76"/>
  <c r="BO90" i="76"/>
  <c r="BS90" i="76"/>
  <c r="L93" i="76"/>
  <c r="CT93" i="76" s="1"/>
  <c r="CU93" i="76" s="1"/>
  <c r="BY93" i="76"/>
  <c r="BZ93" i="76" s="1"/>
  <c r="N96" i="76"/>
  <c r="M96" i="76" s="1"/>
  <c r="BH96" i="76"/>
  <c r="BO96" i="76"/>
  <c r="BS96" i="76"/>
  <c r="M99" i="76"/>
  <c r="O99" i="76" s="1"/>
  <c r="L105" i="76"/>
  <c r="CT105" i="76" s="1"/>
  <c r="CU105" i="76" s="1"/>
  <c r="BY105" i="76"/>
  <c r="BZ105" i="76" s="1"/>
  <c r="L112" i="76"/>
  <c r="CT112" i="76" s="1"/>
  <c r="CU112" i="76" s="1"/>
  <c r="K114" i="76"/>
  <c r="O114" i="76" s="1"/>
  <c r="L115" i="76"/>
  <c r="N90" i="76"/>
  <c r="M90" i="76" s="1"/>
  <c r="BI90" i="76"/>
  <c r="BP90" i="76"/>
  <c r="BI96" i="76"/>
  <c r="BP96" i="76"/>
  <c r="K108" i="76"/>
  <c r="O108" i="76" s="1"/>
  <c r="BF90" i="76"/>
  <c r="BQ90" i="76"/>
  <c r="BF96" i="76"/>
  <c r="BQ96" i="76"/>
  <c r="P118" i="76"/>
  <c r="N121" i="76"/>
  <c r="L90" i="76"/>
  <c r="CT90" i="76" s="1"/>
  <c r="CU90" i="76" s="1"/>
  <c r="BG90" i="76"/>
  <c r="BG96" i="76"/>
  <c r="BM90" i="76" l="1"/>
  <c r="BM47" i="76"/>
  <c r="BM37" i="76"/>
  <c r="BM88" i="76"/>
  <c r="BM52" i="76"/>
  <c r="BM41" i="76"/>
  <c r="BM89" i="76"/>
  <c r="P29" i="76"/>
  <c r="BT84" i="76"/>
  <c r="BT93" i="76"/>
  <c r="BM51" i="76"/>
  <c r="BN51" i="76" s="1"/>
  <c r="AD44" i="76"/>
  <c r="AE44" i="76" s="1"/>
  <c r="AK44" i="76" s="1"/>
  <c r="AR44" i="76" s="1"/>
  <c r="AS44" i="76" s="1"/>
  <c r="BM93" i="76"/>
  <c r="BF122" i="76"/>
  <c r="BM87" i="76"/>
  <c r="BM75" i="76"/>
  <c r="BT87" i="76"/>
  <c r="BM84" i="76"/>
  <c r="BT36" i="76"/>
  <c r="BM81" i="76"/>
  <c r="BM55" i="76"/>
  <c r="BM78" i="76"/>
  <c r="BN78" i="76" s="1"/>
  <c r="BM40" i="76"/>
  <c r="BM39" i="76"/>
  <c r="BG122" i="76"/>
  <c r="BS122" i="76"/>
  <c r="BM48" i="76"/>
  <c r="BO122" i="76"/>
  <c r="BT44" i="76"/>
  <c r="BM44" i="76"/>
  <c r="BN44" i="76" s="1"/>
  <c r="BN88" i="76"/>
  <c r="CI33" i="76"/>
  <c r="CP33" i="76" s="1"/>
  <c r="DO33" i="76" s="1"/>
  <c r="BU33" i="76"/>
  <c r="BT90" i="76"/>
  <c r="K89" i="76"/>
  <c r="P89" i="76"/>
  <c r="DO87" i="76"/>
  <c r="CT87" i="76"/>
  <c r="CU87" i="76" s="1"/>
  <c r="BT75" i="76"/>
  <c r="P67" i="76"/>
  <c r="K67" i="76"/>
  <c r="AD87" i="76"/>
  <c r="AE87" i="76" s="1"/>
  <c r="AK87" i="76" s="1"/>
  <c r="AR87" i="76" s="1"/>
  <c r="AS87" i="76" s="1"/>
  <c r="BN87" i="76" s="1"/>
  <c r="BT51" i="76"/>
  <c r="P44" i="76"/>
  <c r="AR29" i="76"/>
  <c r="K112" i="76"/>
  <c r="O112" i="76" s="1"/>
  <c r="P112" i="76"/>
  <c r="P61" i="76"/>
  <c r="K61" i="76"/>
  <c r="O61" i="76" s="1"/>
  <c r="BT88" i="76"/>
  <c r="M64" i="76"/>
  <c r="O64" i="76" s="1"/>
  <c r="P64" i="76"/>
  <c r="K55" i="76"/>
  <c r="P55" i="76"/>
  <c r="O44" i="76"/>
  <c r="P48" i="76"/>
  <c r="K48" i="76"/>
  <c r="BM61" i="76"/>
  <c r="BH122" i="76"/>
  <c r="BT48" i="76"/>
  <c r="BR122" i="76"/>
  <c r="AS36" i="76"/>
  <c r="BN36" i="76" s="1"/>
  <c r="BU36" i="76" s="1"/>
  <c r="AD36" i="76"/>
  <c r="AE36" i="76" s="1"/>
  <c r="AK36" i="76" s="1"/>
  <c r="AR36" i="76" s="1"/>
  <c r="O20" i="76"/>
  <c r="BT47" i="76"/>
  <c r="O32" i="76"/>
  <c r="P90" i="76"/>
  <c r="K90" i="76"/>
  <c r="O90" i="76" s="1"/>
  <c r="BM96" i="76"/>
  <c r="BN96" i="76" s="1"/>
  <c r="BT96" i="76"/>
  <c r="K93" i="76"/>
  <c r="P93" i="76"/>
  <c r="BT89" i="76"/>
  <c r="P84" i="76"/>
  <c r="K84" i="76"/>
  <c r="O84" i="76" s="1"/>
  <c r="P75" i="76"/>
  <c r="K75" i="76"/>
  <c r="O75" i="76" s="1"/>
  <c r="AD58" i="76"/>
  <c r="AE58" i="76" s="1"/>
  <c r="AK58" i="76" s="1"/>
  <c r="AR58" i="76" s="1"/>
  <c r="AS58" i="76" s="1"/>
  <c r="BN58" i="76" s="1"/>
  <c r="P96" i="76"/>
  <c r="O96" i="76" s="1"/>
  <c r="BT55" i="76"/>
  <c r="BT52" i="76"/>
  <c r="CT55" i="76"/>
  <c r="CU55" i="76" s="1"/>
  <c r="P52" i="76"/>
  <c r="K52" i="76"/>
  <c r="O52" i="76" s="1"/>
  <c r="BT37" i="76"/>
  <c r="BI122" i="76"/>
  <c r="P33" i="76"/>
  <c r="K33" i="76"/>
  <c r="O33" i="76" s="1"/>
  <c r="K17" i="76"/>
  <c r="O17" i="76" s="1"/>
  <c r="P17" i="76"/>
  <c r="P32" i="76"/>
  <c r="CT17" i="76"/>
  <c r="CU17" i="76" s="1"/>
  <c r="M121" i="76"/>
  <c r="O121" i="76" s="1"/>
  <c r="P121" i="76"/>
  <c r="K115" i="76"/>
  <c r="O115" i="76" s="1"/>
  <c r="P115" i="76"/>
  <c r="K105" i="76"/>
  <c r="P105" i="76"/>
  <c r="O105" i="76" s="1"/>
  <c r="P81" i="76"/>
  <c r="K81" i="76"/>
  <c r="O81" i="76" s="1"/>
  <c r="BT61" i="76"/>
  <c r="P47" i="76"/>
  <c r="K47" i="76"/>
  <c r="O47" i="76" s="1"/>
  <c r="P37" i="76"/>
  <c r="K37" i="76"/>
  <c r="CT84" i="76"/>
  <c r="CU84" i="76" s="1"/>
  <c r="BM38" i="76"/>
  <c r="BQ122" i="76"/>
  <c r="BP122" i="76"/>
  <c r="CP14" i="76"/>
  <c r="BM122" i="76" l="1"/>
  <c r="BT122" i="76"/>
  <c r="DO14" i="76"/>
  <c r="O48" i="76"/>
  <c r="AD48" i="76"/>
  <c r="AE48" i="76" s="1"/>
  <c r="AK48" i="76" s="1"/>
  <c r="AR48" i="76" s="1"/>
  <c r="AS48" i="76" s="1"/>
  <c r="BN48" i="76" s="1"/>
  <c r="O55" i="76"/>
  <c r="AD55" i="76"/>
  <c r="AE55" i="76" s="1"/>
  <c r="AK55" i="76" s="1"/>
  <c r="AR55" i="76" s="1"/>
  <c r="AS55" i="76" s="1"/>
  <c r="BN55" i="76" s="1"/>
  <c r="AD52" i="76"/>
  <c r="AE52" i="76" s="1"/>
  <c r="AK52" i="76" s="1"/>
  <c r="AR52" i="76" s="1"/>
  <c r="AS52" i="76" s="1"/>
  <c r="BN52" i="76" s="1"/>
  <c r="O89" i="76"/>
  <c r="AD89" i="76"/>
  <c r="AE89" i="76" s="1"/>
  <c r="AK89" i="76" s="1"/>
  <c r="AR89" i="76" s="1"/>
  <c r="AS89" i="76" s="1"/>
  <c r="BN89" i="76" s="1"/>
  <c r="BY33" i="76"/>
  <c r="AD61" i="76"/>
  <c r="AE61" i="76" s="1"/>
  <c r="AK61" i="76" s="1"/>
  <c r="AR61" i="76" s="1"/>
  <c r="AS61" i="76" s="1"/>
  <c r="BN61" i="76" s="1"/>
  <c r="O93" i="76"/>
  <c r="AD93" i="76"/>
  <c r="AE93" i="76" s="1"/>
  <c r="AK93" i="76" s="1"/>
  <c r="AR93" i="76" s="1"/>
  <c r="AS93" i="76" s="1"/>
  <c r="BN93" i="76" s="1"/>
  <c r="AD75" i="76"/>
  <c r="AE75" i="76" s="1"/>
  <c r="AK75" i="76" s="1"/>
  <c r="AR75" i="76" s="1"/>
  <c r="AS75" i="76" s="1"/>
  <c r="BN75" i="76" s="1"/>
  <c r="O37" i="76"/>
  <c r="AD37" i="76"/>
  <c r="AE37" i="76" s="1"/>
  <c r="AK37" i="76" s="1"/>
  <c r="AR37" i="76" s="1"/>
  <c r="AS37" i="76" s="1"/>
  <c r="BN37" i="76" s="1"/>
  <c r="BU37" i="76" s="1"/>
  <c r="CI36" i="76"/>
  <c r="BY36" i="76"/>
  <c r="BZ36" i="76" s="1"/>
  <c r="AD84" i="76"/>
  <c r="AE84" i="76" s="1"/>
  <c r="AK84" i="76" s="1"/>
  <c r="AR84" i="76" s="1"/>
  <c r="AS84" i="76" s="1"/>
  <c r="BN84" i="76" s="1"/>
  <c r="AD90" i="76"/>
  <c r="AE90" i="76" s="1"/>
  <c r="AK90" i="76" s="1"/>
  <c r="AR90" i="76" s="1"/>
  <c r="AS90" i="76" s="1"/>
  <c r="BN90" i="76" s="1"/>
  <c r="AD47" i="76"/>
  <c r="AE47" i="76" s="1"/>
  <c r="AK47" i="76" s="1"/>
  <c r="AR47" i="76" s="1"/>
  <c r="AS47" i="76" s="1"/>
  <c r="BN47" i="76" s="1"/>
  <c r="AD81" i="76"/>
  <c r="AE81" i="76" s="1"/>
  <c r="AK81" i="76" s="1"/>
  <c r="AR81" i="76" s="1"/>
  <c r="AS81" i="76" s="1"/>
  <c r="BN81" i="76" s="1"/>
  <c r="BN122" i="76" l="1"/>
  <c r="CI37" i="76"/>
  <c r="CP37" i="76" s="1"/>
  <c r="BY37" i="76"/>
  <c r="BZ37" i="76" s="1"/>
  <c r="BZ122" i="76" s="1"/>
  <c r="AR122" i="76"/>
  <c r="AS122" i="76"/>
  <c r="CP36" i="76"/>
  <c r="AK122" i="76"/>
  <c r="BU122" i="76"/>
  <c r="CI125" i="76" s="1"/>
  <c r="CI122" i="76" l="1"/>
  <c r="CP123" i="76" s="1"/>
  <c r="BY122" i="76"/>
  <c r="CT36" i="76"/>
  <c r="CU36" i="76" s="1"/>
  <c r="DO36" i="76"/>
  <c r="CP122" i="76"/>
  <c r="DO123" i="76" s="1"/>
  <c r="CT37" i="76"/>
  <c r="CU37" i="76" s="1"/>
  <c r="DO37" i="76"/>
  <c r="CU122" i="76" l="1"/>
  <c r="DO122" i="76"/>
  <c r="J15" i="69" l="1"/>
  <c r="L15" i="69" s="1"/>
  <c r="DG33" i="74"/>
  <c r="CY33" i="74"/>
  <c r="CX33" i="74"/>
  <c r="CW33" i="74"/>
  <c r="CV33" i="74"/>
  <c r="CU33" i="74"/>
  <c r="CR33" i="74"/>
  <c r="CQ33" i="74"/>
  <c r="CP33" i="74"/>
  <c r="CO33" i="74"/>
  <c r="CN33" i="74"/>
  <c r="CM33" i="74"/>
  <c r="CL33" i="74"/>
  <c r="CD33" i="74"/>
  <c r="CC33" i="74"/>
  <c r="CB33" i="74"/>
  <c r="CA33" i="74"/>
  <c r="BZ33" i="74"/>
  <c r="BY33" i="74"/>
  <c r="BX33" i="74"/>
  <c r="BR33" i="74"/>
  <c r="BQ33" i="74"/>
  <c r="BP33" i="74"/>
  <c r="BO33" i="74"/>
  <c r="BN33" i="74"/>
  <c r="BK33" i="74"/>
  <c r="BJ33" i="74"/>
  <c r="BI33" i="74"/>
  <c r="AP33" i="74"/>
  <c r="AI33" i="74"/>
  <c r="AH33" i="74"/>
  <c r="AG33" i="74"/>
  <c r="AF33" i="74"/>
  <c r="AE33" i="74"/>
  <c r="DD32" i="74"/>
  <c r="CZ32" i="74"/>
  <c r="CS32" i="74"/>
  <c r="CI32" i="74"/>
  <c r="CE32" i="74"/>
  <c r="BU32" i="74"/>
  <c r="BC32" i="74"/>
  <c r="BB32" i="74"/>
  <c r="AY32" i="74"/>
  <c r="AX32" i="74"/>
  <c r="AW32" i="74"/>
  <c r="AV32" i="74"/>
  <c r="AU32" i="74"/>
  <c r="AB32" i="74"/>
  <c r="Q32" i="74"/>
  <c r="J32" i="74"/>
  <c r="L32" i="74" s="1"/>
  <c r="P32" i="74" s="1"/>
  <c r="H32" i="74"/>
  <c r="M32" i="74" s="1"/>
  <c r="AY31" i="74"/>
  <c r="AX31" i="74"/>
  <c r="AW31" i="74"/>
  <c r="AV31" i="74"/>
  <c r="AU31" i="74"/>
  <c r="AY30" i="74"/>
  <c r="AX30" i="74"/>
  <c r="AW30" i="74"/>
  <c r="AV30" i="74"/>
  <c r="AU30" i="74"/>
  <c r="DD29" i="74"/>
  <c r="CZ29" i="74"/>
  <c r="CS29" i="74"/>
  <c r="CI29" i="74"/>
  <c r="CE29" i="74"/>
  <c r="BU29" i="74"/>
  <c r="BC29" i="74"/>
  <c r="BB29" i="74"/>
  <c r="AY29" i="74"/>
  <c r="AX29" i="74"/>
  <c r="AW29" i="74"/>
  <c r="AV29" i="74"/>
  <c r="AU29" i="74"/>
  <c r="AB29" i="74"/>
  <c r="Q29" i="74"/>
  <c r="J29" i="74"/>
  <c r="L29" i="74" s="1"/>
  <c r="H29" i="74"/>
  <c r="M29" i="74" s="1"/>
  <c r="AY28" i="74"/>
  <c r="AX28" i="74"/>
  <c r="AW28" i="74"/>
  <c r="AV28" i="74"/>
  <c r="AU28" i="74"/>
  <c r="AY27" i="74"/>
  <c r="AX27" i="74"/>
  <c r="AW27" i="74"/>
  <c r="AV27" i="74"/>
  <c r="AU27" i="74"/>
  <c r="DD26" i="74"/>
  <c r="CZ26" i="74"/>
  <c r="CS26" i="74"/>
  <c r="CI26" i="74"/>
  <c r="CE26" i="74"/>
  <c r="BU26" i="74"/>
  <c r="BC26" i="74"/>
  <c r="BB26" i="74"/>
  <c r="AY26" i="74"/>
  <c r="AX26" i="74"/>
  <c r="AW26" i="74"/>
  <c r="AV26" i="74"/>
  <c r="AU26" i="74"/>
  <c r="AB26" i="74"/>
  <c r="Q26" i="74"/>
  <c r="J26" i="74"/>
  <c r="L26" i="74" s="1"/>
  <c r="P26" i="74" s="1"/>
  <c r="H26" i="74"/>
  <c r="M26" i="74" s="1"/>
  <c r="AY25" i="74"/>
  <c r="AX25" i="74"/>
  <c r="AW25" i="74"/>
  <c r="AV25" i="74"/>
  <c r="AU25" i="74"/>
  <c r="AY24" i="74"/>
  <c r="AX24" i="74"/>
  <c r="AW24" i="74"/>
  <c r="AV24" i="74"/>
  <c r="AU24" i="74"/>
  <c r="DD23" i="74"/>
  <c r="CZ23" i="74"/>
  <c r="CS23" i="74"/>
  <c r="CS33" i="74" s="1"/>
  <c r="CI23" i="74"/>
  <c r="CE23" i="74"/>
  <c r="BU23" i="74"/>
  <c r="BC23" i="74"/>
  <c r="BD23" i="74" s="1"/>
  <c r="BE23" i="74" s="1"/>
  <c r="BB23" i="74"/>
  <c r="AY23" i="74"/>
  <c r="AX23" i="74"/>
  <c r="AW23" i="74"/>
  <c r="AV23" i="74"/>
  <c r="AU23" i="74"/>
  <c r="AB23" i="74"/>
  <c r="Q23" i="74"/>
  <c r="J23" i="74"/>
  <c r="L23" i="74" s="1"/>
  <c r="H23" i="74"/>
  <c r="M23" i="74" s="1"/>
  <c r="AY22" i="74"/>
  <c r="AX22" i="74"/>
  <c r="AW22" i="74"/>
  <c r="AV22" i="74"/>
  <c r="AU22" i="74"/>
  <c r="AY21" i="74"/>
  <c r="AX21" i="74"/>
  <c r="AW21" i="74"/>
  <c r="AV21" i="74"/>
  <c r="AU21" i="74"/>
  <c r="DD20" i="74"/>
  <c r="DF20" i="74" s="1"/>
  <c r="CZ20" i="74"/>
  <c r="CT20" i="74"/>
  <c r="DA20" i="74" s="1"/>
  <c r="CJ20" i="74"/>
  <c r="CK20" i="74" s="1"/>
  <c r="CI20" i="74"/>
  <c r="CE20" i="74"/>
  <c r="BU20" i="74"/>
  <c r="BC20" i="74"/>
  <c r="BD20" i="74" s="1"/>
  <c r="BB20" i="74"/>
  <c r="AV20" i="74"/>
  <c r="AU20" i="74"/>
  <c r="AB20" i="74"/>
  <c r="Q20" i="74"/>
  <c r="J20" i="74"/>
  <c r="L20" i="74" s="1"/>
  <c r="H20" i="74"/>
  <c r="M20" i="74" s="1"/>
  <c r="AY19" i="74"/>
  <c r="AX19" i="74"/>
  <c r="AW19" i="74"/>
  <c r="AV19" i="74"/>
  <c r="AU19" i="74"/>
  <c r="DD18" i="74"/>
  <c r="DF18" i="74" s="1"/>
  <c r="CZ18" i="74"/>
  <c r="CT18" i="74"/>
  <c r="CJ18" i="74"/>
  <c r="CI18" i="74"/>
  <c r="CE18" i="74"/>
  <c r="BU18" i="74"/>
  <c r="BC18" i="74"/>
  <c r="BB18" i="74"/>
  <c r="AY18" i="74"/>
  <c r="AX18" i="74"/>
  <c r="AW18" i="74"/>
  <c r="AV18" i="74"/>
  <c r="AU18" i="74"/>
  <c r="AB18" i="74"/>
  <c r="Q18" i="74"/>
  <c r="M18" i="74"/>
  <c r="J18" i="74"/>
  <c r="L18" i="74" s="1"/>
  <c r="H18" i="74"/>
  <c r="I18" i="74" s="1"/>
  <c r="DD17" i="74"/>
  <c r="DF17" i="74" s="1"/>
  <c r="CZ17" i="74"/>
  <c r="CT17" i="74"/>
  <c r="DA17" i="74" s="1"/>
  <c r="CJ17" i="74"/>
  <c r="CI17" i="74"/>
  <c r="CE17" i="74"/>
  <c r="BU17" i="74"/>
  <c r="BC17" i="74"/>
  <c r="BB17" i="74"/>
  <c r="AY17" i="74"/>
  <c r="AX17" i="74"/>
  <c r="AW17" i="74"/>
  <c r="AV17" i="74"/>
  <c r="AU17" i="74"/>
  <c r="AB17" i="74"/>
  <c r="Q17" i="74"/>
  <c r="J17" i="74"/>
  <c r="L17" i="74" s="1"/>
  <c r="P17" i="74" s="1"/>
  <c r="H17" i="74"/>
  <c r="M17" i="74" s="1"/>
  <c r="DD16" i="74"/>
  <c r="DF16" i="74" s="1"/>
  <c r="CZ16" i="74"/>
  <c r="CZ33" i="74" s="1"/>
  <c r="CT16" i="74"/>
  <c r="CJ16" i="74"/>
  <c r="CI16" i="74"/>
  <c r="CK16" i="74" s="1"/>
  <c r="CE16" i="74"/>
  <c r="CE33" i="74" s="1"/>
  <c r="BU16" i="74"/>
  <c r="BC16" i="74"/>
  <c r="BB16" i="74"/>
  <c r="BD16" i="74" s="1"/>
  <c r="AY16" i="74"/>
  <c r="AX16" i="74"/>
  <c r="AW16" i="74"/>
  <c r="AV16" i="74"/>
  <c r="AU16" i="74"/>
  <c r="AB16" i="74"/>
  <c r="Q16" i="74"/>
  <c r="J16" i="74"/>
  <c r="L16" i="74" s="1"/>
  <c r="H16" i="74"/>
  <c r="M16" i="74" s="1"/>
  <c r="CO38" i="79"/>
  <c r="CG38" i="79"/>
  <c r="CF38" i="79"/>
  <c r="CE38" i="79"/>
  <c r="CD38" i="79"/>
  <c r="CC38" i="79"/>
  <c r="BI38" i="79"/>
  <c r="AL38" i="79"/>
  <c r="AK38" i="79"/>
  <c r="CH37" i="79"/>
  <c r="BQ37" i="79"/>
  <c r="BS37" i="79" s="1"/>
  <c r="BT37" i="79" s="1"/>
  <c r="BH37" i="79"/>
  <c r="AY37" i="79"/>
  <c r="AX37" i="79"/>
  <c r="AC37" i="79"/>
  <c r="Y37" i="79"/>
  <c r="Z37" i="79" s="1"/>
  <c r="Q37" i="79"/>
  <c r="J37" i="79"/>
  <c r="L37" i="79" s="1"/>
  <c r="P37" i="79" s="1"/>
  <c r="H37" i="79"/>
  <c r="M37" i="79" s="1"/>
  <c r="AQ36" i="79"/>
  <c r="AQ35" i="79"/>
  <c r="CL34" i="79"/>
  <c r="CH34" i="79"/>
  <c r="BQ34" i="79"/>
  <c r="AY34" i="79"/>
  <c r="AZ34" i="79" s="1"/>
  <c r="BN34" i="79" s="1"/>
  <c r="AX34" i="79"/>
  <c r="AC34" i="79"/>
  <c r="Y34" i="79"/>
  <c r="Z34" i="79" s="1"/>
  <c r="Q34" i="79"/>
  <c r="J34" i="79"/>
  <c r="L34" i="79" s="1"/>
  <c r="BR34" i="79" s="1"/>
  <c r="BS34" i="79" s="1"/>
  <c r="BT34" i="79" s="1"/>
  <c r="H34" i="79"/>
  <c r="M34" i="79" s="1"/>
  <c r="AU33" i="79"/>
  <c r="AT33" i="79"/>
  <c r="AS33" i="79"/>
  <c r="AR33" i="79"/>
  <c r="AQ33" i="79"/>
  <c r="AU32" i="79"/>
  <c r="AT32" i="79"/>
  <c r="AS32" i="79"/>
  <c r="AR32" i="79"/>
  <c r="AQ32" i="79"/>
  <c r="CL31" i="79"/>
  <c r="CH31" i="79"/>
  <c r="CA31" i="79"/>
  <c r="CB31" i="79" s="1"/>
  <c r="CI31" i="79" s="1"/>
  <c r="BQ31" i="79"/>
  <c r="AY31" i="79"/>
  <c r="AZ31" i="79" s="1"/>
  <c r="BN31" i="79" s="1"/>
  <c r="AX31" i="79"/>
  <c r="AC31" i="79"/>
  <c r="Y31" i="79"/>
  <c r="Z31" i="79" s="1"/>
  <c r="Q31" i="79"/>
  <c r="J31" i="79"/>
  <c r="L31" i="79" s="1"/>
  <c r="BR31" i="79" s="1"/>
  <c r="H31" i="79"/>
  <c r="M31" i="79" s="1"/>
  <c r="AU30" i="79"/>
  <c r="AT30" i="79"/>
  <c r="AS30" i="79"/>
  <c r="AR30" i="79"/>
  <c r="AQ30" i="79"/>
  <c r="AU29" i="79"/>
  <c r="AT29" i="79"/>
  <c r="AS29" i="79"/>
  <c r="AR29" i="79"/>
  <c r="AQ29" i="79"/>
  <c r="CL28" i="79"/>
  <c r="CH28" i="79"/>
  <c r="CA28" i="79"/>
  <c r="CB28" i="79" s="1"/>
  <c r="BQ28" i="79"/>
  <c r="AY28" i="79"/>
  <c r="AX28" i="79"/>
  <c r="AC28" i="79"/>
  <c r="Y28" i="79"/>
  <c r="Z28" i="79" s="1"/>
  <c r="Q28" i="79"/>
  <c r="J28" i="79"/>
  <c r="L28" i="79" s="1"/>
  <c r="H28" i="79"/>
  <c r="M28" i="79" s="1"/>
  <c r="AU27" i="79"/>
  <c r="AT27" i="79"/>
  <c r="AS27" i="79"/>
  <c r="AR27" i="79"/>
  <c r="AQ27" i="79"/>
  <c r="AU26" i="79"/>
  <c r="AT26" i="79"/>
  <c r="AS26" i="79"/>
  <c r="AR26" i="79"/>
  <c r="AQ26" i="79"/>
  <c r="CL25" i="79"/>
  <c r="CH25" i="79"/>
  <c r="CA25" i="79"/>
  <c r="CB25" i="79" s="1"/>
  <c r="BQ25" i="79"/>
  <c r="AY25" i="79"/>
  <c r="AZ25" i="79" s="1"/>
  <c r="AX25" i="79"/>
  <c r="AC25" i="79"/>
  <c r="Y25" i="79"/>
  <c r="Z25" i="79" s="1"/>
  <c r="Q25" i="79"/>
  <c r="J25" i="79"/>
  <c r="L25" i="79" s="1"/>
  <c r="H25" i="79"/>
  <c r="M25" i="79" s="1"/>
  <c r="AU24" i="79"/>
  <c r="AT24" i="79"/>
  <c r="AS24" i="79"/>
  <c r="AR24" i="79"/>
  <c r="AQ24" i="79"/>
  <c r="AU23" i="79"/>
  <c r="AT23" i="79"/>
  <c r="AS23" i="79"/>
  <c r="AR23" i="79"/>
  <c r="AQ23" i="79"/>
  <c r="CL22" i="79"/>
  <c r="CH22" i="79"/>
  <c r="CA22" i="79"/>
  <c r="CB22" i="79" s="1"/>
  <c r="CI22" i="79" s="1"/>
  <c r="BQ22" i="79"/>
  <c r="AY22" i="79"/>
  <c r="AX22" i="79"/>
  <c r="AC22" i="79"/>
  <c r="Y22" i="79"/>
  <c r="Z22" i="79" s="1"/>
  <c r="Q22" i="79"/>
  <c r="J22" i="79"/>
  <c r="L22" i="79" s="1"/>
  <c r="H22" i="79"/>
  <c r="M22" i="79" s="1"/>
  <c r="CQ21" i="79"/>
  <c r="CL21" i="79"/>
  <c r="CH21" i="79"/>
  <c r="CB21" i="79"/>
  <c r="CI21" i="79" s="1"/>
  <c r="CA21" i="79"/>
  <c r="BQ21" i="79"/>
  <c r="AY21" i="79"/>
  <c r="AX21" i="79"/>
  <c r="AC21" i="79"/>
  <c r="Y21" i="79"/>
  <c r="Z21" i="79" s="1"/>
  <c r="Q21" i="79"/>
  <c r="J21" i="79"/>
  <c r="L21" i="79" s="1"/>
  <c r="BR21" i="79" s="1"/>
  <c r="BS21" i="79" s="1"/>
  <c r="H21" i="79"/>
  <c r="M21" i="79" s="1"/>
  <c r="DG18" i="79"/>
  <c r="CL18" i="79"/>
  <c r="CH18" i="79"/>
  <c r="CB18" i="79"/>
  <c r="CI18" i="79" s="1"/>
  <c r="BQ18" i="79"/>
  <c r="BS18" i="79" s="1"/>
  <c r="BH18" i="79"/>
  <c r="AY18" i="79"/>
  <c r="AX18" i="79"/>
  <c r="AC18" i="79"/>
  <c r="Y18" i="79"/>
  <c r="Z18" i="79" s="1"/>
  <c r="Q18" i="79"/>
  <c r="J18" i="79"/>
  <c r="L18" i="79" s="1"/>
  <c r="H18" i="79"/>
  <c r="M18" i="79" s="1"/>
  <c r="DG15" i="79"/>
  <c r="CL15" i="79"/>
  <c r="CH15" i="79"/>
  <c r="CA15" i="79"/>
  <c r="CB15" i="79" s="1"/>
  <c r="BQ15" i="79"/>
  <c r="BS15" i="79" s="1"/>
  <c r="BH15" i="79"/>
  <c r="AY15" i="79"/>
  <c r="AX15" i="79"/>
  <c r="AZ15" i="79" s="1"/>
  <c r="AC15" i="79"/>
  <c r="Y15" i="79"/>
  <c r="Z15" i="79" s="1"/>
  <c r="Q15" i="79"/>
  <c r="J15" i="79"/>
  <c r="L15" i="79" s="1"/>
  <c r="H15" i="79"/>
  <c r="M15" i="79" s="1"/>
  <c r="DZ31" i="82"/>
  <c r="DR30" i="82"/>
  <c r="DQ30" i="82"/>
  <c r="DP30" i="82"/>
  <c r="DO30" i="82"/>
  <c r="DN30" i="82"/>
  <c r="DK30" i="82"/>
  <c r="DJ30" i="82"/>
  <c r="DI30" i="82"/>
  <c r="DH30" i="82"/>
  <c r="DG30" i="82"/>
  <c r="DF30" i="82"/>
  <c r="DE30" i="82"/>
  <c r="CY30" i="82"/>
  <c r="CE30" i="82"/>
  <c r="CD30" i="82"/>
  <c r="CC30" i="82"/>
  <c r="CB30" i="82"/>
  <c r="CA30" i="82"/>
  <c r="BZ30" i="82"/>
  <c r="BY30" i="82"/>
  <c r="AQ30" i="82"/>
  <c r="AP30" i="82"/>
  <c r="AJ30" i="82"/>
  <c r="AI30" i="82"/>
  <c r="AH30" i="82"/>
  <c r="AG30" i="82"/>
  <c r="AF30" i="82"/>
  <c r="DW29" i="82"/>
  <c r="DS29" i="82"/>
  <c r="DL29" i="82"/>
  <c r="DM29" i="82" s="1"/>
  <c r="DB29" i="82"/>
  <c r="CU29" i="82"/>
  <c r="CN29" i="82"/>
  <c r="CP29" i="82" s="1"/>
  <c r="CT29" i="82" s="1"/>
  <c r="CL29" i="82"/>
  <c r="CQ29" i="82" s="1"/>
  <c r="BV29" i="82"/>
  <c r="BD29" i="82"/>
  <c r="BC29" i="82"/>
  <c r="AZ29" i="82"/>
  <c r="AY29" i="82"/>
  <c r="AX29" i="82"/>
  <c r="AW29" i="82"/>
  <c r="AV29" i="82"/>
  <c r="AC29" i="82"/>
  <c r="V29" i="82"/>
  <c r="W29" i="82" s="1"/>
  <c r="J29" i="82"/>
  <c r="L29" i="82" s="1"/>
  <c r="H29" i="82"/>
  <c r="DW28" i="82"/>
  <c r="DS28" i="82"/>
  <c r="DL28" i="82"/>
  <c r="DM28" i="82" s="1"/>
  <c r="DB28" i="82"/>
  <c r="CU28" i="82"/>
  <c r="CN28" i="82"/>
  <c r="CP28" i="82" s="1"/>
  <c r="CT28" i="82" s="1"/>
  <c r="CL28" i="82"/>
  <c r="CQ28" i="82" s="1"/>
  <c r="BV28" i="82"/>
  <c r="BD28" i="82"/>
  <c r="BC28" i="82"/>
  <c r="AZ28" i="82"/>
  <c r="AY28" i="82"/>
  <c r="AX28" i="82"/>
  <c r="AW28" i="82"/>
  <c r="AV28" i="82"/>
  <c r="AC28" i="82"/>
  <c r="V28" i="82"/>
  <c r="W28" i="82" s="1"/>
  <c r="J28" i="82"/>
  <c r="L28" i="82" s="1"/>
  <c r="H28" i="82"/>
  <c r="DS27" i="82"/>
  <c r="AZ27" i="82"/>
  <c r="AY27" i="82"/>
  <c r="AX27" i="82"/>
  <c r="AW27" i="82"/>
  <c r="AV27" i="82"/>
  <c r="AZ26" i="82"/>
  <c r="AY26" i="82"/>
  <c r="AX26" i="82"/>
  <c r="AW26" i="82"/>
  <c r="AV26" i="82"/>
  <c r="DW25" i="82"/>
  <c r="DS25" i="82"/>
  <c r="DL25" i="82"/>
  <c r="DM25" i="82" s="1"/>
  <c r="DB25" i="82"/>
  <c r="CU25" i="82"/>
  <c r="CN25" i="82"/>
  <c r="CP25" i="82" s="1"/>
  <c r="CL25" i="82"/>
  <c r="BV25" i="82"/>
  <c r="BD25" i="82"/>
  <c r="BC25" i="82"/>
  <c r="AZ25" i="82"/>
  <c r="AY25" i="82"/>
  <c r="AX25" i="82"/>
  <c r="AW25" i="82"/>
  <c r="AV25" i="82"/>
  <c r="AC25" i="82"/>
  <c r="V25" i="82"/>
  <c r="X25" i="82" s="1"/>
  <c r="J25" i="82"/>
  <c r="I25" i="82" s="1"/>
  <c r="H25" i="82"/>
  <c r="M25" i="82" s="1"/>
  <c r="DS24" i="82"/>
  <c r="AZ24" i="82"/>
  <c r="AY24" i="82"/>
  <c r="AX24" i="82"/>
  <c r="AW24" i="82"/>
  <c r="AV24" i="82"/>
  <c r="AZ23" i="82"/>
  <c r="AY23" i="82"/>
  <c r="AX23" i="82"/>
  <c r="AW23" i="82"/>
  <c r="AV23" i="82"/>
  <c r="DW22" i="82"/>
  <c r="DS22" i="82"/>
  <c r="DL22" i="82"/>
  <c r="DM22" i="82" s="1"/>
  <c r="DB22" i="82"/>
  <c r="CU22" i="82"/>
  <c r="CN22" i="82"/>
  <c r="CP22" i="82" s="1"/>
  <c r="DC22" i="82" s="1"/>
  <c r="DD22" i="82" s="1"/>
  <c r="CL22" i="82"/>
  <c r="CQ22" i="82" s="1"/>
  <c r="BV22" i="82"/>
  <c r="BD22" i="82"/>
  <c r="BC22" i="82"/>
  <c r="AZ22" i="82"/>
  <c r="AY22" i="82"/>
  <c r="AX22" i="82"/>
  <c r="AW22" i="82"/>
  <c r="AV22" i="82"/>
  <c r="AC22" i="82"/>
  <c r="V22" i="82"/>
  <c r="X22" i="82" s="1"/>
  <c r="Y22" i="82" s="1"/>
  <c r="J22" i="82"/>
  <c r="H22" i="82"/>
  <c r="M22" i="82" s="1"/>
  <c r="DW21" i="82"/>
  <c r="DS21" i="82"/>
  <c r="DL21" i="82"/>
  <c r="DM21" i="82" s="1"/>
  <c r="DB21" i="82"/>
  <c r="CU21" i="82"/>
  <c r="CN21" i="82"/>
  <c r="CP21" i="82" s="1"/>
  <c r="DC21" i="82" s="1"/>
  <c r="DD21" i="82" s="1"/>
  <c r="CL21" i="82"/>
  <c r="CQ21" i="82" s="1"/>
  <c r="BV21" i="82"/>
  <c r="BD21" i="82"/>
  <c r="BC21" i="82"/>
  <c r="AZ21" i="82"/>
  <c r="AY21" i="82"/>
  <c r="AX21" i="82"/>
  <c r="AW21" i="82"/>
  <c r="AV21" i="82"/>
  <c r="AC21" i="82"/>
  <c r="V21" i="82"/>
  <c r="W21" i="82" s="1"/>
  <c r="BW21" i="82" s="1"/>
  <c r="BX21" i="82" s="1"/>
  <c r="J21" i="82"/>
  <c r="L21" i="82" s="1"/>
  <c r="H21" i="82"/>
  <c r="M21" i="82" s="1"/>
  <c r="DW20" i="82"/>
  <c r="DS20" i="82"/>
  <c r="DL20" i="82"/>
  <c r="DM20" i="82" s="1"/>
  <c r="DB20" i="82"/>
  <c r="CU20" i="82"/>
  <c r="CN20" i="82"/>
  <c r="CP20" i="82" s="1"/>
  <c r="CL20" i="82"/>
  <c r="BV20" i="82"/>
  <c r="BD20" i="82"/>
  <c r="BC20" i="82"/>
  <c r="BE20" i="82" s="1"/>
  <c r="AZ20" i="82"/>
  <c r="AY20" i="82"/>
  <c r="AX20" i="82"/>
  <c r="AW20" i="82"/>
  <c r="AV20" i="82"/>
  <c r="AC20" i="82"/>
  <c r="V20" i="82"/>
  <c r="X20" i="82" s="1"/>
  <c r="Y20" i="82" s="1"/>
  <c r="J20" i="82"/>
  <c r="L20" i="82" s="1"/>
  <c r="P20" i="82" s="1"/>
  <c r="H20" i="82"/>
  <c r="M20" i="82" s="1"/>
  <c r="DW19" i="82"/>
  <c r="DS19" i="82"/>
  <c r="DL19" i="82"/>
  <c r="DM19" i="82" s="1"/>
  <c r="DB19" i="82"/>
  <c r="CU19" i="82"/>
  <c r="CN19" i="82"/>
  <c r="CP19" i="82" s="1"/>
  <c r="CL19" i="82"/>
  <c r="BV19" i="82"/>
  <c r="BD19" i="82"/>
  <c r="BC19" i="82"/>
  <c r="AZ19" i="82"/>
  <c r="AY19" i="82"/>
  <c r="AX19" i="82"/>
  <c r="AW19" i="82"/>
  <c r="AV19" i="82"/>
  <c r="AC19" i="82"/>
  <c r="V19" i="82"/>
  <c r="X19" i="82" s="1"/>
  <c r="Y19" i="82" s="1"/>
  <c r="J19" i="82"/>
  <c r="L19" i="82" s="1"/>
  <c r="P19" i="82" s="1"/>
  <c r="H19" i="82"/>
  <c r="M19" i="82" s="1"/>
  <c r="DW18" i="82"/>
  <c r="DS18" i="82"/>
  <c r="DL18" i="82"/>
  <c r="DM18" i="82" s="1"/>
  <c r="DB18" i="82"/>
  <c r="CU18" i="82"/>
  <c r="CN18" i="82"/>
  <c r="CP18" i="82" s="1"/>
  <c r="CL18" i="82"/>
  <c r="CQ18" i="82" s="1"/>
  <c r="BV18" i="82"/>
  <c r="BD18" i="82"/>
  <c r="BC18" i="82"/>
  <c r="AZ18" i="82"/>
  <c r="AY18" i="82"/>
  <c r="AX18" i="82"/>
  <c r="AW18" i="82"/>
  <c r="AV18" i="82"/>
  <c r="AC18" i="82"/>
  <c r="V18" i="82"/>
  <c r="X18" i="82" s="1"/>
  <c r="Y18" i="82" s="1"/>
  <c r="J18" i="82"/>
  <c r="L18" i="82" s="1"/>
  <c r="P18" i="82" s="1"/>
  <c r="H18" i="82"/>
  <c r="M18" i="82" s="1"/>
  <c r="DW17" i="82"/>
  <c r="DS17" i="82"/>
  <c r="DL17" i="82"/>
  <c r="DM17" i="82" s="1"/>
  <c r="DB17" i="82"/>
  <c r="CU17" i="82"/>
  <c r="CN17" i="82"/>
  <c r="CP17" i="82" s="1"/>
  <c r="CL17" i="82"/>
  <c r="CQ17" i="82" s="1"/>
  <c r="BV17" i="82"/>
  <c r="BD17" i="82"/>
  <c r="BC17" i="82"/>
  <c r="AZ17" i="82"/>
  <c r="AY17" i="82"/>
  <c r="AX17" i="82"/>
  <c r="AW17" i="82"/>
  <c r="AV17" i="82"/>
  <c r="AC17" i="82"/>
  <c r="V17" i="82"/>
  <c r="W17" i="82" s="1"/>
  <c r="J17" i="82"/>
  <c r="L17" i="82" s="1"/>
  <c r="H17" i="82"/>
  <c r="DW16" i="82"/>
  <c r="DS16" i="82"/>
  <c r="DL16" i="82"/>
  <c r="DM16" i="82" s="1"/>
  <c r="DB16" i="82"/>
  <c r="CU16" i="82"/>
  <c r="CN16" i="82"/>
  <c r="CP16" i="82" s="1"/>
  <c r="CT16" i="82" s="1"/>
  <c r="CL16" i="82"/>
  <c r="CQ16" i="82" s="1"/>
  <c r="BV16" i="82"/>
  <c r="BD16" i="82"/>
  <c r="BC16" i="82"/>
  <c r="AZ16" i="82"/>
  <c r="AY16" i="82"/>
  <c r="AX16" i="82"/>
  <c r="AW16" i="82"/>
  <c r="AV16" i="82"/>
  <c r="AC16" i="82"/>
  <c r="V16" i="82"/>
  <c r="W16" i="82" s="1"/>
  <c r="J16" i="82"/>
  <c r="L16" i="82" s="1"/>
  <c r="H16" i="82"/>
  <c r="M16" i="82" s="1"/>
  <c r="DW15" i="82"/>
  <c r="DS15" i="82"/>
  <c r="DL15" i="82"/>
  <c r="DB15" i="82"/>
  <c r="CU15" i="82"/>
  <c r="CN15" i="82"/>
  <c r="CP15" i="82" s="1"/>
  <c r="CT15" i="82" s="1"/>
  <c r="CL15" i="82"/>
  <c r="CQ15" i="82" s="1"/>
  <c r="BV15" i="82"/>
  <c r="BD15" i="82"/>
  <c r="BC15" i="82"/>
  <c r="AZ15" i="82"/>
  <c r="AY15" i="82"/>
  <c r="AX15" i="82"/>
  <c r="AW15" i="82"/>
  <c r="AV15" i="82"/>
  <c r="AC15" i="82"/>
  <c r="V15" i="82"/>
  <c r="W15" i="82" s="1"/>
  <c r="J15" i="82"/>
  <c r="L15" i="82" s="1"/>
  <c r="H15" i="82"/>
  <c r="CF28" i="87"/>
  <c r="BK27" i="87"/>
  <c r="CP25" i="87"/>
  <c r="CL25" i="87"/>
  <c r="CE25" i="87"/>
  <c r="BU25" i="87"/>
  <c r="BQ25" i="87"/>
  <c r="BA25" i="87"/>
  <c r="AZ25" i="87"/>
  <c r="AW25" i="87"/>
  <c r="AV25" i="87"/>
  <c r="AU25" i="87"/>
  <c r="AT25" i="87"/>
  <c r="AS25" i="87"/>
  <c r="AP25" i="87"/>
  <c r="Q25" i="87"/>
  <c r="J25" i="87"/>
  <c r="L25" i="87" s="1"/>
  <c r="P25" i="87" s="1"/>
  <c r="H25" i="87"/>
  <c r="M25" i="87" s="1"/>
  <c r="AW24" i="87"/>
  <c r="AV24" i="87"/>
  <c r="AU24" i="87"/>
  <c r="AT24" i="87"/>
  <c r="AS24" i="87"/>
  <c r="CP23" i="87"/>
  <c r="CL23" i="87"/>
  <c r="CE23" i="87"/>
  <c r="BU23" i="87"/>
  <c r="BQ23" i="87"/>
  <c r="BA23" i="87"/>
  <c r="AZ23" i="87"/>
  <c r="AW23" i="87"/>
  <c r="AV23" i="87"/>
  <c r="AU23" i="87"/>
  <c r="AT23" i="87"/>
  <c r="AS23" i="87"/>
  <c r="AP23" i="87"/>
  <c r="Q23" i="87"/>
  <c r="J23" i="87"/>
  <c r="L23" i="87" s="1"/>
  <c r="H23" i="87"/>
  <c r="M23" i="87" s="1"/>
  <c r="CP22" i="87"/>
  <c r="CL22" i="87"/>
  <c r="CE22" i="87"/>
  <c r="BU22" i="87"/>
  <c r="BQ22" i="87"/>
  <c r="BA22" i="87"/>
  <c r="AZ22" i="87"/>
  <c r="AW22" i="87"/>
  <c r="AV22" i="87"/>
  <c r="AU22" i="87"/>
  <c r="AT22" i="87"/>
  <c r="AS22" i="87"/>
  <c r="AP22" i="87"/>
  <c r="Q22" i="87"/>
  <c r="J22" i="87"/>
  <c r="L22" i="87" s="1"/>
  <c r="H22" i="87"/>
  <c r="M22" i="87" s="1"/>
  <c r="AW21" i="87"/>
  <c r="AV21" i="87"/>
  <c r="AU21" i="87"/>
  <c r="AT21" i="87"/>
  <c r="AS21" i="87"/>
  <c r="CP20" i="87"/>
  <c r="CL20" i="87"/>
  <c r="CE20" i="87"/>
  <c r="BU20" i="87"/>
  <c r="BQ20" i="87"/>
  <c r="BA20" i="87"/>
  <c r="AZ20" i="87"/>
  <c r="Z20" i="87"/>
  <c r="Q20" i="87"/>
  <c r="J20" i="87"/>
  <c r="L20" i="87" s="1"/>
  <c r="P20" i="87" s="1"/>
  <c r="H20" i="87"/>
  <c r="AA20" i="87" s="1"/>
  <c r="AW19" i="87"/>
  <c r="AV19" i="87"/>
  <c r="AU19" i="87"/>
  <c r="AT19" i="87"/>
  <c r="AS19" i="87"/>
  <c r="AW18" i="87"/>
  <c r="AV18" i="87"/>
  <c r="AU18" i="87"/>
  <c r="AT18" i="87"/>
  <c r="AS18" i="87"/>
  <c r="CP17" i="87"/>
  <c r="CL17" i="87"/>
  <c r="CE17" i="87"/>
  <c r="BU17" i="87"/>
  <c r="BQ17" i="87"/>
  <c r="BA17" i="87"/>
  <c r="AZ17" i="87"/>
  <c r="AW17" i="87"/>
  <c r="AV17" i="87"/>
  <c r="AU17" i="87"/>
  <c r="AT17" i="87"/>
  <c r="AS17" i="87"/>
  <c r="AP17" i="87"/>
  <c r="Z17" i="87"/>
  <c r="AB17" i="87" s="1"/>
  <c r="Q17" i="87"/>
  <c r="J17" i="87"/>
  <c r="L17" i="87" s="1"/>
  <c r="H17" i="87"/>
  <c r="M17" i="87" s="1"/>
  <c r="CP15" i="87"/>
  <c r="CL15" i="87"/>
  <c r="CE15" i="87"/>
  <c r="BU15" i="87"/>
  <c r="BQ15" i="87"/>
  <c r="BA15" i="87"/>
  <c r="AZ15" i="87"/>
  <c r="AW15" i="87"/>
  <c r="AV15" i="87"/>
  <c r="AU15" i="87"/>
  <c r="AT15" i="87"/>
  <c r="AS15" i="87"/>
  <c r="AO15" i="87"/>
  <c r="AP15" i="87" s="1"/>
  <c r="Z15" i="87"/>
  <c r="Q15" i="87"/>
  <c r="J15" i="87"/>
  <c r="L15" i="87" s="1"/>
  <c r="H15" i="87"/>
  <c r="M15" i="87" s="1"/>
  <c r="CK22" i="88"/>
  <c r="CJ22" i="88"/>
  <c r="CI22" i="88"/>
  <c r="CH22" i="88"/>
  <c r="CG22" i="88"/>
  <c r="CD22" i="88"/>
  <c r="CC22" i="88"/>
  <c r="CB22" i="88"/>
  <c r="CA22" i="88"/>
  <c r="BZ22" i="88"/>
  <c r="BY22" i="88"/>
  <c r="BX22" i="88"/>
  <c r="AN22" i="88"/>
  <c r="AH22" i="88"/>
  <c r="CP21" i="88"/>
  <c r="CL21" i="88"/>
  <c r="CS21" i="88" s="1"/>
  <c r="CE21" i="88"/>
  <c r="CF21" i="88" s="1"/>
  <c r="BV21" i="88"/>
  <c r="BU21" i="88"/>
  <c r="BW21" i="88" s="1"/>
  <c r="BA21" i="88"/>
  <c r="AZ21" i="88"/>
  <c r="Q21" i="88"/>
  <c r="M21" i="88"/>
  <c r="J21" i="88"/>
  <c r="L21" i="88" s="1"/>
  <c r="I21" i="88"/>
  <c r="H21" i="88"/>
  <c r="CP18" i="88"/>
  <c r="CL18" i="88"/>
  <c r="BU18" i="88"/>
  <c r="BA18" i="88"/>
  <c r="BB18" i="88" s="1"/>
  <c r="AZ18" i="88"/>
  <c r="AW18" i="88"/>
  <c r="AV18" i="88"/>
  <c r="AU18" i="88"/>
  <c r="AT18" i="88"/>
  <c r="AS18" i="88"/>
  <c r="AP18" i="88"/>
  <c r="Z18" i="88"/>
  <c r="Q18" i="88"/>
  <c r="J18" i="88"/>
  <c r="L18" i="88" s="1"/>
  <c r="H18" i="88"/>
  <c r="M18" i="88" s="1"/>
  <c r="CP15" i="88"/>
  <c r="CL15" i="88"/>
  <c r="CL22" i="88" s="1"/>
  <c r="BU15" i="88"/>
  <c r="BA15" i="88"/>
  <c r="AZ15" i="88"/>
  <c r="AW15" i="88"/>
  <c r="AW22" i="88" s="1"/>
  <c r="AV15" i="88"/>
  <c r="AV22" i="88" s="1"/>
  <c r="AU15" i="88"/>
  <c r="AU22" i="88" s="1"/>
  <c r="AT15" i="88"/>
  <c r="AS15" i="88"/>
  <c r="AS22" i="88" s="1"/>
  <c r="AO15" i="88"/>
  <c r="AO22" i="88" s="1"/>
  <c r="Z15" i="88"/>
  <c r="Q15" i="88"/>
  <c r="J15" i="88"/>
  <c r="L15" i="88" s="1"/>
  <c r="P15" i="88" s="1"/>
  <c r="H15" i="88"/>
  <c r="M15" i="88" s="1"/>
  <c r="J50" i="93"/>
  <c r="J49" i="93"/>
  <c r="J48" i="93"/>
  <c r="J47" i="93"/>
  <c r="J46" i="93"/>
  <c r="J45" i="93"/>
  <c r="J44" i="93"/>
  <c r="J43" i="93"/>
  <c r="L43" i="93" s="1"/>
  <c r="J42" i="93"/>
  <c r="L42" i="93" s="1"/>
  <c r="J41" i="93"/>
  <c r="L41" i="93" s="1"/>
  <c r="J40" i="93"/>
  <c r="J39" i="93"/>
  <c r="J38" i="93"/>
  <c r="J37" i="93"/>
  <c r="J36" i="93"/>
  <c r="J35" i="93"/>
  <c r="J34" i="93"/>
  <c r="J33" i="93"/>
  <c r="J32" i="93"/>
  <c r="J31" i="93"/>
  <c r="J30" i="93"/>
  <c r="J29" i="93"/>
  <c r="J28" i="93"/>
  <c r="J27" i="93"/>
  <c r="J26" i="93"/>
  <c r="J25" i="93"/>
  <c r="J24" i="93"/>
  <c r="J23" i="93"/>
  <c r="J22" i="93"/>
  <c r="J21" i="93"/>
  <c r="J20" i="93"/>
  <c r="J19" i="93"/>
  <c r="J18" i="93"/>
  <c r="J16" i="93"/>
  <c r="L16" i="93" s="1"/>
  <c r="J15" i="93"/>
  <c r="L15" i="93" s="1"/>
  <c r="J14" i="93"/>
  <c r="L14" i="93" s="1"/>
  <c r="I14" i="95"/>
  <c r="DR25" i="95"/>
  <c r="DQ25" i="95"/>
  <c r="DP25" i="95"/>
  <c r="DO25" i="95"/>
  <c r="DN25" i="95"/>
  <c r="DM25" i="95"/>
  <c r="DL25" i="95"/>
  <c r="DH25" i="95"/>
  <c r="DG25" i="95"/>
  <c r="DC25" i="95"/>
  <c r="DB25" i="95"/>
  <c r="DA25" i="95"/>
  <c r="CZ25" i="95"/>
  <c r="CY25" i="95"/>
  <c r="CV25" i="95"/>
  <c r="CU25" i="95"/>
  <c r="CT25" i="95"/>
  <c r="CS25" i="95"/>
  <c r="CR25" i="95"/>
  <c r="CQ25" i="95"/>
  <c r="CP25" i="95"/>
  <c r="CH25" i="95"/>
  <c r="CG25" i="95"/>
  <c r="EE24" i="95"/>
  <c r="DI24" i="95"/>
  <c r="DK24" i="95" s="1"/>
  <c r="DD24" i="95"/>
  <c r="CW24" i="95"/>
  <c r="CO24" i="95"/>
  <c r="CM24" i="95"/>
  <c r="CI24" i="95"/>
  <c r="CB24" i="95"/>
  <c r="BR24" i="95"/>
  <c r="AY24" i="95"/>
  <c r="Y24" i="95"/>
  <c r="AA24" i="95" s="1"/>
  <c r="AC24" i="95" s="1"/>
  <c r="I24" i="95"/>
  <c r="F24" i="95"/>
  <c r="P24" i="95" s="1"/>
  <c r="C24" i="95"/>
  <c r="BS24" i="95" s="1"/>
  <c r="EE23" i="95"/>
  <c r="DI23" i="95"/>
  <c r="DD23" i="95"/>
  <c r="CW23" i="95"/>
  <c r="CX23" i="95" s="1"/>
  <c r="CM23" i="95"/>
  <c r="I23" i="95"/>
  <c r="C23" i="95"/>
  <c r="F23" i="95" s="1"/>
  <c r="CO23" i="95" s="1"/>
  <c r="EE22" i="95"/>
  <c r="EE21" i="95"/>
  <c r="DI21" i="95"/>
  <c r="DD21" i="95"/>
  <c r="CW21" i="95"/>
  <c r="CM21" i="95"/>
  <c r="BR21" i="95"/>
  <c r="AY21" i="95"/>
  <c r="Y21" i="95"/>
  <c r="AA21" i="95" s="1"/>
  <c r="I21" i="95"/>
  <c r="C21" i="95"/>
  <c r="BS21" i="95" s="1"/>
  <c r="BT21" i="95" s="1"/>
  <c r="EE20" i="95"/>
  <c r="DI20" i="95"/>
  <c r="DK20" i="95" s="1"/>
  <c r="DD20" i="95"/>
  <c r="CW20" i="95"/>
  <c r="CM20" i="95"/>
  <c r="BR20" i="95"/>
  <c r="AY20" i="95"/>
  <c r="Y20" i="95"/>
  <c r="AA20" i="95" s="1"/>
  <c r="I20" i="95"/>
  <c r="C20" i="95"/>
  <c r="BS20" i="95" s="1"/>
  <c r="BT20" i="95" s="1"/>
  <c r="EE19" i="95"/>
  <c r="DI19" i="95"/>
  <c r="DD19" i="95"/>
  <c r="CW19" i="95"/>
  <c r="CM19" i="95"/>
  <c r="BR19" i="95"/>
  <c r="AY19" i="95"/>
  <c r="Y19" i="95"/>
  <c r="AA19" i="95" s="1"/>
  <c r="I19" i="95"/>
  <c r="C19" i="95"/>
  <c r="F19" i="95" s="1"/>
  <c r="EE18" i="95"/>
  <c r="DI18" i="95"/>
  <c r="DD18" i="95"/>
  <c r="CW18" i="95"/>
  <c r="CM18" i="95"/>
  <c r="CF18" i="95"/>
  <c r="CE18" i="95"/>
  <c r="CD18" i="95"/>
  <c r="BR18" i="95"/>
  <c r="BO18" i="95"/>
  <c r="BN18" i="95"/>
  <c r="BM18" i="95"/>
  <c r="BL18" i="95"/>
  <c r="BK18" i="95"/>
  <c r="AY18" i="95"/>
  <c r="Y18" i="95"/>
  <c r="AA18" i="95" s="1"/>
  <c r="C18" i="95"/>
  <c r="BS18" i="95" s="1"/>
  <c r="ED17" i="95"/>
  <c r="EE17" i="95" s="1"/>
  <c r="DI17" i="95"/>
  <c r="DD17" i="95"/>
  <c r="CW17" i="95"/>
  <c r="CM17" i="95"/>
  <c r="CO17" i="95" s="1"/>
  <c r="CB17" i="95"/>
  <c r="CC17" i="95" s="1"/>
  <c r="CX17" i="95" s="1"/>
  <c r="DE17" i="95" s="1"/>
  <c r="BR17" i="95"/>
  <c r="AY17" i="95"/>
  <c r="Y17" i="95"/>
  <c r="AA17" i="95" s="1"/>
  <c r="I17" i="95"/>
  <c r="C17" i="95"/>
  <c r="BS17" i="95" s="1"/>
  <c r="BT17" i="95" s="1"/>
  <c r="ED16" i="95"/>
  <c r="EE16" i="95" s="1"/>
  <c r="DI16" i="95"/>
  <c r="DD16" i="95"/>
  <c r="CW16" i="95"/>
  <c r="CM16" i="95"/>
  <c r="CO16" i="95" s="1"/>
  <c r="CB16" i="95"/>
  <c r="CC16" i="95" s="1"/>
  <c r="BR16" i="95"/>
  <c r="AY16" i="95"/>
  <c r="Y16" i="95"/>
  <c r="AA16" i="95" s="1"/>
  <c r="I16" i="95"/>
  <c r="C16" i="95"/>
  <c r="BS16" i="95" s="1"/>
  <c r="BT16" i="95" s="1"/>
  <c r="ED15" i="95"/>
  <c r="EE15" i="95" s="1"/>
  <c r="DI15" i="95"/>
  <c r="DD15" i="95"/>
  <c r="CW15" i="95"/>
  <c r="CM15" i="95"/>
  <c r="CB15" i="95"/>
  <c r="BR15" i="95"/>
  <c r="BF15" i="95"/>
  <c r="BE15" i="95"/>
  <c r="BD15" i="95"/>
  <c r="BC15" i="95"/>
  <c r="BB15" i="95"/>
  <c r="BA15" i="95"/>
  <c r="AY15" i="95"/>
  <c r="Y15" i="95"/>
  <c r="AA15" i="95" s="1"/>
  <c r="I15" i="95"/>
  <c r="C15" i="95"/>
  <c r="BS15" i="95" s="1"/>
  <c r="ED14" i="95"/>
  <c r="DI14" i="95"/>
  <c r="DD14" i="95"/>
  <c r="CW14" i="95"/>
  <c r="CM14" i="95"/>
  <c r="CO14" i="95" s="1"/>
  <c r="BR14" i="95"/>
  <c r="BK14" i="95"/>
  <c r="AY14" i="95"/>
  <c r="Y14" i="95"/>
  <c r="AA14" i="95" s="1"/>
  <c r="C14" i="95"/>
  <c r="BS14" i="95" s="1"/>
  <c r="BT14" i="95" s="1"/>
  <c r="BF12" i="95"/>
  <c r="BE12" i="95"/>
  <c r="BD12" i="95"/>
  <c r="BC12" i="95"/>
  <c r="BB12" i="95"/>
  <c r="BA12" i="95"/>
  <c r="AZ12" i="95"/>
  <c r="AV12" i="95"/>
  <c r="AU12" i="95"/>
  <c r="AT12" i="95"/>
  <c r="AS12" i="95"/>
  <c r="AR12" i="95"/>
  <c r="AP12" i="95"/>
  <c r="AO12" i="95"/>
  <c r="AN12" i="95"/>
  <c r="AM12" i="95"/>
  <c r="AL12" i="95"/>
  <c r="AK12" i="95"/>
  <c r="AJ12" i="95"/>
  <c r="AI12" i="95"/>
  <c r="AH12" i="95"/>
  <c r="DT18" i="82" l="1"/>
  <c r="BE25" i="82"/>
  <c r="DT29" i="82"/>
  <c r="K20" i="82"/>
  <c r="BE28" i="82"/>
  <c r="CM28" i="82"/>
  <c r="I15" i="82"/>
  <c r="AV30" i="82"/>
  <c r="BE16" i="82"/>
  <c r="BR16" i="82" s="1"/>
  <c r="I17" i="82"/>
  <c r="DT19" i="82"/>
  <c r="K21" i="82"/>
  <c r="X29" i="82"/>
  <c r="Y29" i="82" s="1"/>
  <c r="AX30" i="82"/>
  <c r="AZ30" i="82"/>
  <c r="BB15" i="87"/>
  <c r="BF15" i="87" s="1"/>
  <c r="DK27" i="87"/>
  <c r="BB17" i="87"/>
  <c r="BF17" i="87" s="1"/>
  <c r="AB20" i="87"/>
  <c r="AN20" i="87" s="1"/>
  <c r="BB23" i="87"/>
  <c r="AU33" i="74"/>
  <c r="AY33" i="74"/>
  <c r="AV33" i="74"/>
  <c r="AX33" i="74"/>
  <c r="BT15" i="95"/>
  <c r="BG15" i="95"/>
  <c r="BH15" i="95" s="1"/>
  <c r="CC15" i="95" s="1"/>
  <c r="AA18" i="88"/>
  <c r="AB18" i="88" s="1"/>
  <c r="BJ23" i="87"/>
  <c r="BK23" i="87" s="1"/>
  <c r="BR23" i="87" s="1"/>
  <c r="BD32" i="74"/>
  <c r="BG32" i="74" s="1"/>
  <c r="F18" i="95"/>
  <c r="G18" i="95" s="1"/>
  <c r="F20" i="95"/>
  <c r="DE23" i="95"/>
  <c r="BB22" i="87"/>
  <c r="M15" i="82"/>
  <c r="DL30" i="82"/>
  <c r="M17" i="82"/>
  <c r="DT17" i="82"/>
  <c r="BE21" i="82"/>
  <c r="BS21" i="82" s="1"/>
  <c r="W25" i="82"/>
  <c r="BW25" i="82" s="1"/>
  <c r="BX25" i="82" s="1"/>
  <c r="X28" i="82"/>
  <c r="Y28" i="82" s="1"/>
  <c r="DT28" i="82"/>
  <c r="DH21" i="79"/>
  <c r="CQ38" i="79"/>
  <c r="I25" i="79"/>
  <c r="CK17" i="74"/>
  <c r="BD29" i="74"/>
  <c r="BE29" i="74" s="1"/>
  <c r="I20" i="82"/>
  <c r="AZ37" i="79"/>
  <c r="AW33" i="74"/>
  <c r="BL20" i="74"/>
  <c r="BB15" i="88"/>
  <c r="BB20" i="87"/>
  <c r="BC20" i="87" s="1"/>
  <c r="BJ22" i="87"/>
  <c r="BK22" i="87" s="1"/>
  <c r="BR22" i="87" s="1"/>
  <c r="X15" i="82"/>
  <c r="Y15" i="82" s="1"/>
  <c r="BE15" i="82"/>
  <c r="BR15" i="82" s="1"/>
  <c r="X17" i="82"/>
  <c r="Y17" i="82" s="1"/>
  <c r="DT21" i="82"/>
  <c r="DT22" i="82"/>
  <c r="DT25" i="82"/>
  <c r="BE29" i="82"/>
  <c r="BP29" i="82" s="1"/>
  <c r="CM29" i="82"/>
  <c r="CH38" i="79"/>
  <c r="I18" i="79"/>
  <c r="AZ21" i="79"/>
  <c r="BN21" i="79" s="1"/>
  <c r="BS31" i="79"/>
  <c r="DA18" i="74"/>
  <c r="DH18" i="79"/>
  <c r="ES28" i="82"/>
  <c r="DH31" i="79"/>
  <c r="DD25" i="95"/>
  <c r="ED25" i="95"/>
  <c r="EE26" i="95" s="1"/>
  <c r="BT18" i="95"/>
  <c r="K19" i="95"/>
  <c r="P19" i="95"/>
  <c r="BO20" i="82"/>
  <c r="BQ20" i="82"/>
  <c r="BG20" i="82"/>
  <c r="BL20" i="82"/>
  <c r="BI25" i="82"/>
  <c r="BQ25" i="82"/>
  <c r="BP28" i="82"/>
  <c r="BJ28" i="82"/>
  <c r="BR28" i="82"/>
  <c r="BF28" i="82"/>
  <c r="K18" i="79"/>
  <c r="O18" i="79" s="1"/>
  <c r="P18" i="79"/>
  <c r="BR25" i="79"/>
  <c r="BS25" i="79" s="1"/>
  <c r="K25" i="79"/>
  <c r="O25" i="79" s="1"/>
  <c r="P25" i="79"/>
  <c r="AB23" i="87"/>
  <c r="P23" i="87"/>
  <c r="O23" i="87" s="1"/>
  <c r="K23" i="87"/>
  <c r="BR29" i="82"/>
  <c r="BJ29" i="82"/>
  <c r="DK22" i="88"/>
  <c r="BJ17" i="87"/>
  <c r="BK17" i="87" s="1"/>
  <c r="BR17" i="87" s="1"/>
  <c r="O20" i="87"/>
  <c r="O25" i="87"/>
  <c r="O20" i="82"/>
  <c r="O21" i="82"/>
  <c r="X21" i="82"/>
  <c r="Y21" i="82" s="1"/>
  <c r="CO22" i="82"/>
  <c r="CS22" i="82" s="1"/>
  <c r="DX25" i="82"/>
  <c r="DY25" i="82" s="1"/>
  <c r="AZ18" i="79"/>
  <c r="AZ22" i="79"/>
  <c r="CI25" i="79"/>
  <c r="I28" i="79"/>
  <c r="BD17" i="74"/>
  <c r="BH17" i="74" s="1"/>
  <c r="BD18" i="74"/>
  <c r="CK18" i="74"/>
  <c r="BD26" i="74"/>
  <c r="BT24" i="95"/>
  <c r="AT22" i="88"/>
  <c r="BB21" i="88"/>
  <c r="CM21" i="88"/>
  <c r="BJ25" i="87"/>
  <c r="BK25" i="87" s="1"/>
  <c r="BR25" i="87" s="1"/>
  <c r="CF25" i="87" s="1"/>
  <c r="CM25" i="87" s="1"/>
  <c r="BB25" i="87"/>
  <c r="AW30" i="82"/>
  <c r="AY30" i="82"/>
  <c r="DS30" i="82"/>
  <c r="ER31" i="82"/>
  <c r="I16" i="82"/>
  <c r="X16" i="82"/>
  <c r="Y16" i="82" s="1"/>
  <c r="DT16" i="82"/>
  <c r="BE17" i="82"/>
  <c r="I18" i="82"/>
  <c r="BE18" i="82"/>
  <c r="BE19" i="82"/>
  <c r="W20" i="82"/>
  <c r="BW20" i="82" s="1"/>
  <c r="BX20" i="82" s="1"/>
  <c r="DT20" i="82"/>
  <c r="W22" i="82"/>
  <c r="BE22" i="82"/>
  <c r="CT22" i="82"/>
  <c r="AZ28" i="79"/>
  <c r="CI28" i="79"/>
  <c r="ES29" i="82"/>
  <c r="DG38" i="79"/>
  <c r="BG17" i="74"/>
  <c r="BF17" i="74"/>
  <c r="BE17" i="74"/>
  <c r="BF18" i="74"/>
  <c r="BE18" i="74"/>
  <c r="BG18" i="74"/>
  <c r="P23" i="74"/>
  <c r="K23" i="74"/>
  <c r="O23" i="74" s="1"/>
  <c r="P20" i="74"/>
  <c r="K20" i="74"/>
  <c r="O20" i="74" s="1"/>
  <c r="P18" i="74"/>
  <c r="K18" i="74"/>
  <c r="O18" i="74" s="1"/>
  <c r="BG26" i="74"/>
  <c r="BF26" i="74"/>
  <c r="BE26" i="74"/>
  <c r="BH26" i="74"/>
  <c r="P29" i="74"/>
  <c r="K29" i="74"/>
  <c r="O29" i="74" s="1"/>
  <c r="P16" i="74"/>
  <c r="K16" i="74"/>
  <c r="O16" i="74" s="1"/>
  <c r="BG16" i="74"/>
  <c r="BF16" i="74"/>
  <c r="BE16" i="74"/>
  <c r="AC18" i="74"/>
  <c r="AD18" i="74" s="1"/>
  <c r="AJ18" i="74" s="1"/>
  <c r="AQ18" i="74" s="1"/>
  <c r="AR18" i="74" s="1"/>
  <c r="AC23" i="74"/>
  <c r="AD23" i="74" s="1"/>
  <c r="AJ23" i="74" s="1"/>
  <c r="AQ23" i="74" s="1"/>
  <c r="AR23" i="74" s="1"/>
  <c r="BF23" i="74"/>
  <c r="BF29" i="74"/>
  <c r="BL29" i="74" s="1"/>
  <c r="BH32" i="74"/>
  <c r="DA16" i="74"/>
  <c r="K17" i="74"/>
  <c r="O17" i="74" s="1"/>
  <c r="I20" i="74"/>
  <c r="I23" i="74"/>
  <c r="BG23" i="74"/>
  <c r="K26" i="74"/>
  <c r="O26" i="74" s="1"/>
  <c r="I29" i="74"/>
  <c r="BG29" i="74"/>
  <c r="K32" i="74"/>
  <c r="O32" i="74" s="1"/>
  <c r="BE32" i="74"/>
  <c r="BH23" i="74"/>
  <c r="BH29" i="74"/>
  <c r="BF32" i="74"/>
  <c r="I16" i="74"/>
  <c r="I17" i="74"/>
  <c r="I26" i="74"/>
  <c r="I32" i="74"/>
  <c r="AD25" i="79"/>
  <c r="AE25" i="79" s="1"/>
  <c r="AF25" i="79" s="1"/>
  <c r="AM25" i="79" s="1"/>
  <c r="AN25" i="79" s="1"/>
  <c r="BU37" i="79"/>
  <c r="BR22" i="79"/>
  <c r="BS22" i="79" s="1"/>
  <c r="P22" i="79"/>
  <c r="K22" i="79"/>
  <c r="O22" i="79" s="1"/>
  <c r="BM28" i="79"/>
  <c r="BD28" i="79"/>
  <c r="BL28" i="79"/>
  <c r="BG28" i="79"/>
  <c r="BC28" i="79"/>
  <c r="BK28" i="79"/>
  <c r="BF28" i="79"/>
  <c r="BB28" i="79"/>
  <c r="BN28" i="79"/>
  <c r="BJ28" i="79"/>
  <c r="BE28" i="79"/>
  <c r="BA28" i="79"/>
  <c r="P15" i="79"/>
  <c r="K15" i="79"/>
  <c r="O15" i="79" s="1"/>
  <c r="BL22" i="79"/>
  <c r="BG22" i="79"/>
  <c r="BC22" i="79"/>
  <c r="BK22" i="79"/>
  <c r="BF22" i="79"/>
  <c r="BB22" i="79"/>
  <c r="BN22" i="79"/>
  <c r="BJ22" i="79"/>
  <c r="BE22" i="79"/>
  <c r="BA22" i="79"/>
  <c r="BM22" i="79"/>
  <c r="BD22" i="79"/>
  <c r="CM22" i="79"/>
  <c r="DH22" i="79"/>
  <c r="DH25" i="79"/>
  <c r="CM25" i="79"/>
  <c r="CI15" i="79"/>
  <c r="AD18" i="79"/>
  <c r="AE18" i="79" s="1"/>
  <c r="AF18" i="79" s="1"/>
  <c r="AM18" i="79" s="1"/>
  <c r="AN18" i="79" s="1"/>
  <c r="BM25" i="79"/>
  <c r="BD25" i="79"/>
  <c r="BL25" i="79"/>
  <c r="BG25" i="79"/>
  <c r="BC25" i="79"/>
  <c r="BK25" i="79"/>
  <c r="BF25" i="79"/>
  <c r="BB25" i="79"/>
  <c r="BN25" i="79"/>
  <c r="BJ25" i="79"/>
  <c r="BE25" i="79"/>
  <c r="BA25" i="79"/>
  <c r="BR28" i="79"/>
  <c r="BS28" i="79" s="1"/>
  <c r="P28" i="79"/>
  <c r="K28" i="79"/>
  <c r="O28" i="79" s="1"/>
  <c r="DH28" i="79"/>
  <c r="CM28" i="79"/>
  <c r="BT38" i="79"/>
  <c r="CA34" i="79"/>
  <c r="CB34" i="79" s="1"/>
  <c r="CI34" i="79" s="1"/>
  <c r="I15" i="79"/>
  <c r="BB21" i="79"/>
  <c r="BF21" i="79"/>
  <c r="BK21" i="79"/>
  <c r="CM21" i="79"/>
  <c r="AD22" i="79"/>
  <c r="AE22" i="79" s="1"/>
  <c r="AF22" i="79" s="1"/>
  <c r="AM22" i="79" s="1"/>
  <c r="AN22" i="79" s="1"/>
  <c r="BB31" i="79"/>
  <c r="BF31" i="79"/>
  <c r="BK31" i="79"/>
  <c r="CM31" i="79"/>
  <c r="BB34" i="79"/>
  <c r="BF34" i="79"/>
  <c r="BK34" i="79"/>
  <c r="K21" i="79"/>
  <c r="O21" i="79" s="1"/>
  <c r="P21" i="79"/>
  <c r="BC21" i="79"/>
  <c r="BG21" i="79"/>
  <c r="BL21" i="79"/>
  <c r="I22" i="79"/>
  <c r="K31" i="79"/>
  <c r="O31" i="79" s="1"/>
  <c r="P31" i="79"/>
  <c r="BC31" i="79"/>
  <c r="BG31" i="79"/>
  <c r="BL31" i="79"/>
  <c r="K34" i="79"/>
  <c r="O34" i="79" s="1"/>
  <c r="P34" i="79"/>
  <c r="BC34" i="79"/>
  <c r="BG34" i="79"/>
  <c r="BL34" i="79"/>
  <c r="K37" i="79"/>
  <c r="O37" i="79" s="1"/>
  <c r="BD21" i="79"/>
  <c r="BM21" i="79"/>
  <c r="BD31" i="79"/>
  <c r="BM31" i="79"/>
  <c r="BD34" i="79"/>
  <c r="BM34" i="79"/>
  <c r="I21" i="79"/>
  <c r="BA21" i="79"/>
  <c r="BE21" i="79"/>
  <c r="BJ21" i="79"/>
  <c r="I31" i="79"/>
  <c r="BA31" i="79"/>
  <c r="BE31" i="79"/>
  <c r="BJ31" i="79"/>
  <c r="I34" i="79"/>
  <c r="BA34" i="79"/>
  <c r="BE34" i="79"/>
  <c r="BJ34" i="79"/>
  <c r="I37" i="79"/>
  <c r="P16" i="82"/>
  <c r="K16" i="82"/>
  <c r="O16" i="82" s="1"/>
  <c r="CO20" i="82"/>
  <c r="CT20" i="82"/>
  <c r="DC20" i="82"/>
  <c r="DD20" i="82" s="1"/>
  <c r="DX22" i="82"/>
  <c r="DY22" i="82" s="1"/>
  <c r="ES22" i="82"/>
  <c r="BW15" i="82"/>
  <c r="BX15" i="82" s="1"/>
  <c r="Z15" i="82"/>
  <c r="Q16" i="82"/>
  <c r="P17" i="82"/>
  <c r="K17" i="82"/>
  <c r="O17" i="82" s="1"/>
  <c r="BR18" i="82"/>
  <c r="BJ18" i="82"/>
  <c r="BF18" i="82"/>
  <c r="BQ18" i="82"/>
  <c r="BI18" i="82"/>
  <c r="BP18" i="82"/>
  <c r="BL18" i="82"/>
  <c r="BH18" i="82"/>
  <c r="BS18" i="82"/>
  <c r="BO18" i="82"/>
  <c r="BK18" i="82"/>
  <c r="BG18" i="82"/>
  <c r="CT18" i="82"/>
  <c r="CO18" i="82"/>
  <c r="CS18" i="82" s="1"/>
  <c r="DC18" i="82"/>
  <c r="DD18" i="82" s="1"/>
  <c r="DX18" i="82"/>
  <c r="DY18" i="82" s="1"/>
  <c r="ES18" i="82"/>
  <c r="BW16" i="82"/>
  <c r="BX16" i="82" s="1"/>
  <c r="Z16" i="82"/>
  <c r="Q17" i="82"/>
  <c r="DX17" i="82"/>
  <c r="DY17" i="82" s="1"/>
  <c r="ES17" i="82"/>
  <c r="P15" i="82"/>
  <c r="K15" i="82"/>
  <c r="O15" i="82" s="1"/>
  <c r="Q15" i="82" s="1"/>
  <c r="DX16" i="82"/>
  <c r="DY16" i="82" s="1"/>
  <c r="ES16" i="82"/>
  <c r="BW17" i="82"/>
  <c r="BX17" i="82" s="1"/>
  <c r="Z17" i="82"/>
  <c r="BR17" i="82"/>
  <c r="BJ17" i="82"/>
  <c r="BF17" i="82"/>
  <c r="BQ17" i="82"/>
  <c r="BI17" i="82"/>
  <c r="BP17" i="82"/>
  <c r="BL17" i="82"/>
  <c r="BH17" i="82"/>
  <c r="BS17" i="82"/>
  <c r="BO17" i="82"/>
  <c r="BK17" i="82"/>
  <c r="BG17" i="82"/>
  <c r="CT17" i="82"/>
  <c r="CO17" i="82"/>
  <c r="CS17" i="82" s="1"/>
  <c r="DC17" i="82"/>
  <c r="DD17" i="82" s="1"/>
  <c r="BR19" i="82"/>
  <c r="BJ19" i="82"/>
  <c r="BF19" i="82"/>
  <c r="BQ19" i="82"/>
  <c r="BI19" i="82"/>
  <c r="BP19" i="82"/>
  <c r="BL19" i="82"/>
  <c r="BH19" i="82"/>
  <c r="BS19" i="82"/>
  <c r="BO19" i="82"/>
  <c r="BK19" i="82"/>
  <c r="BG19" i="82"/>
  <c r="CT19" i="82"/>
  <c r="DC19" i="82"/>
  <c r="DD19" i="82" s="1"/>
  <c r="CO19" i="82"/>
  <c r="DX20" i="82"/>
  <c r="DY20" i="82" s="1"/>
  <c r="ES20" i="82"/>
  <c r="BG15" i="82"/>
  <c r="BK15" i="82"/>
  <c r="BO15" i="82"/>
  <c r="BS15" i="82"/>
  <c r="DC15" i="82"/>
  <c r="DD15" i="82" s="1"/>
  <c r="BG16" i="82"/>
  <c r="BK16" i="82"/>
  <c r="BO16" i="82"/>
  <c r="BS16" i="82"/>
  <c r="DC16" i="82"/>
  <c r="DD16" i="82" s="1"/>
  <c r="I19" i="82"/>
  <c r="BH20" i="82"/>
  <c r="BS20" i="82"/>
  <c r="P21" i="82"/>
  <c r="Z21" i="82"/>
  <c r="BH21" i="82"/>
  <c r="BP21" i="82"/>
  <c r="CT21" i="82"/>
  <c r="ES25" i="82"/>
  <c r="M28" i="82"/>
  <c r="I28" i="82"/>
  <c r="Z28" i="82"/>
  <c r="BW28" i="82"/>
  <c r="BX28" i="82" s="1"/>
  <c r="M29" i="82"/>
  <c r="I29" i="82"/>
  <c r="Z29" i="82"/>
  <c r="BW29" i="82"/>
  <c r="BX29" i="82" s="1"/>
  <c r="V30" i="82"/>
  <c r="BH15" i="82"/>
  <c r="BL15" i="82"/>
  <c r="BP15" i="82"/>
  <c r="CO15" i="82"/>
  <c r="CS15" i="82" s="1"/>
  <c r="BH16" i="82"/>
  <c r="BL16" i="82"/>
  <c r="BP16" i="82"/>
  <c r="CO16" i="82"/>
  <c r="CS16" i="82" s="1"/>
  <c r="W18" i="82"/>
  <c r="W19" i="82"/>
  <c r="Z20" i="82"/>
  <c r="BI20" i="82"/>
  <c r="CQ20" i="82"/>
  <c r="CM20" i="82"/>
  <c r="BK21" i="82"/>
  <c r="BL22" i="82"/>
  <c r="BS25" i="82"/>
  <c r="BO25" i="82"/>
  <c r="BK25" i="82"/>
  <c r="BG25" i="82"/>
  <c r="BR25" i="82"/>
  <c r="BJ25" i="82"/>
  <c r="BF25" i="82"/>
  <c r="BP25" i="82"/>
  <c r="BL25" i="82"/>
  <c r="BH25" i="82"/>
  <c r="DC25" i="82"/>
  <c r="DD25" i="82" s="1"/>
  <c r="CT25" i="82"/>
  <c r="CO25" i="82"/>
  <c r="BI15" i="82"/>
  <c r="BQ15" i="82"/>
  <c r="BI16" i="82"/>
  <c r="BQ16" i="82"/>
  <c r="K18" i="82"/>
  <c r="O18" i="82" s="1"/>
  <c r="Q18" i="82" s="1"/>
  <c r="K19" i="82"/>
  <c r="O19" i="82" s="1"/>
  <c r="Q19" i="82" s="1"/>
  <c r="CQ19" i="82"/>
  <c r="CM19" i="82"/>
  <c r="DX19" i="82"/>
  <c r="DY19" i="82" s="1"/>
  <c r="ES19" i="82"/>
  <c r="BR20" i="82"/>
  <c r="BJ20" i="82"/>
  <c r="BF20" i="82"/>
  <c r="BK20" i="82"/>
  <c r="BP20" i="82"/>
  <c r="Q21" i="82"/>
  <c r="BR21" i="82"/>
  <c r="BJ21" i="82"/>
  <c r="BF21" i="82"/>
  <c r="BQ21" i="82"/>
  <c r="BI21" i="82"/>
  <c r="BL21" i="82"/>
  <c r="DX21" i="82"/>
  <c r="DY21" i="82" s="1"/>
  <c r="ES21" i="82"/>
  <c r="L22" i="82"/>
  <c r="I22" i="82"/>
  <c r="BW22" i="82"/>
  <c r="BX22" i="82" s="1"/>
  <c r="Z22" i="82"/>
  <c r="X30" i="82"/>
  <c r="Y25" i="82"/>
  <c r="Z25" i="82" s="1"/>
  <c r="P28" i="82"/>
  <c r="K28" i="82"/>
  <c r="DX28" i="82"/>
  <c r="DY28" i="82" s="1"/>
  <c r="P29" i="82"/>
  <c r="K29" i="82"/>
  <c r="O29" i="82" s="1"/>
  <c r="DX29" i="82"/>
  <c r="DY29" i="82" s="1"/>
  <c r="DM32" i="82"/>
  <c r="BF15" i="82"/>
  <c r="BJ15" i="82"/>
  <c r="CM15" i="82"/>
  <c r="DM15" i="82"/>
  <c r="BF16" i="82"/>
  <c r="BJ16" i="82"/>
  <c r="CM16" i="82"/>
  <c r="CM17" i="82"/>
  <c r="CM18" i="82"/>
  <c r="Q20" i="82"/>
  <c r="I21" i="82"/>
  <c r="BG21" i="82"/>
  <c r="BO21" i="82"/>
  <c r="CO21" i="82"/>
  <c r="CS21" i="82" s="1"/>
  <c r="BR22" i="82"/>
  <c r="BJ22" i="82"/>
  <c r="BF22" i="82"/>
  <c r="BQ22" i="82"/>
  <c r="BI22" i="82"/>
  <c r="BS22" i="82"/>
  <c r="BO22" i="82"/>
  <c r="BK22" i="82"/>
  <c r="BG22" i="82"/>
  <c r="CQ25" i="82"/>
  <c r="CM25" i="82"/>
  <c r="BI28" i="82"/>
  <c r="BQ28" i="82"/>
  <c r="BI29" i="82"/>
  <c r="BQ29" i="82"/>
  <c r="L25" i="82"/>
  <c r="BG28" i="82"/>
  <c r="BK28" i="82"/>
  <c r="BO28" i="82"/>
  <c r="BS28" i="82"/>
  <c r="DC28" i="82"/>
  <c r="DD28" i="82" s="1"/>
  <c r="BG29" i="82"/>
  <c r="BK29" i="82"/>
  <c r="BO29" i="82"/>
  <c r="BS29" i="82"/>
  <c r="DC29" i="82"/>
  <c r="DD29" i="82" s="1"/>
  <c r="CM21" i="82"/>
  <c r="CM22" i="82"/>
  <c r="BH28" i="82"/>
  <c r="BL28" i="82"/>
  <c r="CO28" i="82"/>
  <c r="CS28" i="82" s="1"/>
  <c r="BH29" i="82"/>
  <c r="BL29" i="82"/>
  <c r="CO29" i="82"/>
  <c r="CS29" i="82" s="1"/>
  <c r="P15" i="87"/>
  <c r="K15" i="87"/>
  <c r="O15" i="87" s="1"/>
  <c r="BD20" i="87"/>
  <c r="BV25" i="87"/>
  <c r="BW25" i="87" s="1"/>
  <c r="AB22" i="87"/>
  <c r="P22" i="87"/>
  <c r="O22" i="87" s="1"/>
  <c r="K22" i="87"/>
  <c r="BE15" i="87"/>
  <c r="BC15" i="87"/>
  <c r="P17" i="87"/>
  <c r="K17" i="87"/>
  <c r="O17" i="87" s="1"/>
  <c r="AT20" i="87"/>
  <c r="AW20" i="87"/>
  <c r="AS20" i="87"/>
  <c r="AV20" i="87"/>
  <c r="AU20" i="87"/>
  <c r="AO20" i="87"/>
  <c r="AP20" i="87" s="1"/>
  <c r="I20" i="87"/>
  <c r="M20" i="87"/>
  <c r="AB25" i="87"/>
  <c r="I17" i="87"/>
  <c r="K20" i="87"/>
  <c r="K25" i="87"/>
  <c r="I15" i="87"/>
  <c r="BN21" i="88"/>
  <c r="BF21" i="88"/>
  <c r="BM21" i="88"/>
  <c r="BI21" i="88"/>
  <c r="BE21" i="88"/>
  <c r="BP21" i="88"/>
  <c r="BL21" i="88"/>
  <c r="BH21" i="88"/>
  <c r="BD21" i="88"/>
  <c r="BO21" i="88"/>
  <c r="BG21" i="88"/>
  <c r="BC21" i="88"/>
  <c r="BO15" i="88"/>
  <c r="BG15" i="88"/>
  <c r="BC15" i="88"/>
  <c r="BN15" i="88"/>
  <c r="BF15" i="88"/>
  <c r="BM15" i="88"/>
  <c r="BI15" i="88"/>
  <c r="BE15" i="88"/>
  <c r="BP15" i="88"/>
  <c r="BL15" i="88"/>
  <c r="BH15" i="88"/>
  <c r="BD15" i="88"/>
  <c r="P21" i="88"/>
  <c r="O21" i="88" s="1"/>
  <c r="K21" i="88"/>
  <c r="DL21" i="88"/>
  <c r="CQ21" i="88"/>
  <c r="CR21" i="88" s="1"/>
  <c r="P18" i="88"/>
  <c r="O18" i="88" s="1"/>
  <c r="K18" i="88"/>
  <c r="BN18" i="88"/>
  <c r="BF18" i="88"/>
  <c r="BM18" i="88"/>
  <c r="BI18" i="88"/>
  <c r="BE18" i="88"/>
  <c r="BP18" i="88"/>
  <c r="BL18" i="88"/>
  <c r="BH18" i="88"/>
  <c r="BD18" i="88"/>
  <c r="BO18" i="88"/>
  <c r="BG18" i="88"/>
  <c r="BC18" i="88"/>
  <c r="K15" i="88"/>
  <c r="O15" i="88" s="1"/>
  <c r="I18" i="88"/>
  <c r="I15" i="88"/>
  <c r="AP15" i="88"/>
  <c r="CX16" i="95"/>
  <c r="DE16" i="95" s="1"/>
  <c r="CJ16" i="95"/>
  <c r="H18" i="95"/>
  <c r="T18" i="95" s="1"/>
  <c r="L18" i="95"/>
  <c r="V18" i="95"/>
  <c r="O19" i="95"/>
  <c r="DJ19" i="95"/>
  <c r="DK19" i="95" s="1"/>
  <c r="CX15" i="95"/>
  <c r="DE15" i="95" s="1"/>
  <c r="CJ15" i="95"/>
  <c r="BX18" i="95"/>
  <c r="BW18" i="95"/>
  <c r="CA18" i="95"/>
  <c r="BV18" i="95"/>
  <c r="BZ18" i="95"/>
  <c r="BU18" i="95"/>
  <c r="BY18" i="95"/>
  <c r="EE14" i="95"/>
  <c r="EE25" i="95" s="1"/>
  <c r="G19" i="95"/>
  <c r="J19" i="95" s="1"/>
  <c r="P20" i="95"/>
  <c r="K20" i="95"/>
  <c r="G20" i="95"/>
  <c r="CB14" i="95"/>
  <c r="K18" i="95"/>
  <c r="P18" i="95"/>
  <c r="BC24" i="95"/>
  <c r="AV24" i="95"/>
  <c r="AR24" i="95"/>
  <c r="AN24" i="95"/>
  <c r="AJ24" i="95"/>
  <c r="BF24" i="95"/>
  <c r="BB24" i="95"/>
  <c r="AU24" i="95"/>
  <c r="AM24" i="95"/>
  <c r="AI24" i="95"/>
  <c r="BE24" i="95"/>
  <c r="BA24" i="95"/>
  <c r="AT24" i="95"/>
  <c r="AL24" i="95"/>
  <c r="BD24" i="95"/>
  <c r="AS24" i="95"/>
  <c r="AO24" i="95"/>
  <c r="AK24" i="95"/>
  <c r="F14" i="95"/>
  <c r="CW25" i="95"/>
  <c r="DI25" i="95"/>
  <c r="F15" i="95"/>
  <c r="F16" i="95"/>
  <c r="F17" i="95"/>
  <c r="CJ17" i="95"/>
  <c r="CA21" i="95"/>
  <c r="BW21" i="95"/>
  <c r="BZ21" i="95"/>
  <c r="BV21" i="95"/>
  <c r="BY21" i="95"/>
  <c r="BU21" i="95"/>
  <c r="BX21" i="95"/>
  <c r="CI18" i="95"/>
  <c r="BX20" i="95"/>
  <c r="CA20" i="95"/>
  <c r="BW20" i="95"/>
  <c r="BZ20" i="95"/>
  <c r="BV20" i="95"/>
  <c r="BY20" i="95"/>
  <c r="BU20" i="95"/>
  <c r="BS19" i="95"/>
  <c r="BT19" i="95" s="1"/>
  <c r="F21" i="95"/>
  <c r="G23" i="95"/>
  <c r="K23" i="95"/>
  <c r="G24" i="95"/>
  <c r="K24" i="95"/>
  <c r="CQ15" i="85"/>
  <c r="CP15" i="90"/>
  <c r="CP20" i="91"/>
  <c r="CP18" i="91"/>
  <c r="CP15" i="91"/>
  <c r="CR88" i="92"/>
  <c r="CR87" i="92"/>
  <c r="CR84" i="92"/>
  <c r="CR81" i="92"/>
  <c r="CR75" i="92"/>
  <c r="CR72" i="92"/>
  <c r="CR69" i="92"/>
  <c r="CR67" i="92"/>
  <c r="CR66" i="92"/>
  <c r="CR65" i="92"/>
  <c r="CR64" i="92"/>
  <c r="CR63" i="92"/>
  <c r="CR62" i="92"/>
  <c r="CR59" i="92"/>
  <c r="CR56" i="92"/>
  <c r="CR53" i="92"/>
  <c r="CR50" i="92"/>
  <c r="CR47" i="92"/>
  <c r="CR44" i="92"/>
  <c r="CR43" i="92"/>
  <c r="CR40" i="92"/>
  <c r="CR39" i="92"/>
  <c r="CR36" i="92"/>
  <c r="CR33" i="92"/>
  <c r="CR32" i="92"/>
  <c r="CR31" i="92"/>
  <c r="CR30" i="92"/>
  <c r="CR27" i="92"/>
  <c r="CR24" i="92"/>
  <c r="CR21" i="92"/>
  <c r="CR20" i="92"/>
  <c r="CR19" i="92"/>
  <c r="CR18" i="92"/>
  <c r="CR15" i="92"/>
  <c r="CR19" i="93"/>
  <c r="CR18" i="93"/>
  <c r="CR16" i="93"/>
  <c r="CR15" i="93"/>
  <c r="CR14" i="93"/>
  <c r="EI26" i="94"/>
  <c r="DS15" i="99"/>
  <c r="DS32" i="99"/>
  <c r="DS30" i="99"/>
  <c r="DS27" i="99"/>
  <c r="DS24" i="99"/>
  <c r="DS21" i="99"/>
  <c r="DS18" i="99"/>
  <c r="BF29" i="82" l="1"/>
  <c r="BD15" i="87"/>
  <c r="BF20" i="87"/>
  <c r="CF22" i="87"/>
  <c r="CM22" i="87" s="1"/>
  <c r="BV22" i="87"/>
  <c r="BW22" i="87" s="1"/>
  <c r="BV23" i="87"/>
  <c r="BW23" i="87" s="1"/>
  <c r="CF23" i="87"/>
  <c r="CM23" i="87" s="1"/>
  <c r="CQ23" i="87" s="1"/>
  <c r="CR23" i="87" s="1"/>
  <c r="BE20" i="87"/>
  <c r="CF20" i="82"/>
  <c r="BL18" i="74"/>
  <c r="BM18" i="74" s="1"/>
  <c r="BL16" i="74"/>
  <c r="BL17" i="74"/>
  <c r="BM17" i="74" s="1"/>
  <c r="CB18" i="95"/>
  <c r="BJ15" i="87"/>
  <c r="BK15" i="87" s="1"/>
  <c r="BR15" i="87" s="1"/>
  <c r="BV15" i="87" s="1"/>
  <c r="BW15" i="87" s="1"/>
  <c r="BM20" i="82"/>
  <c r="CF18" i="82"/>
  <c r="BM17" i="82"/>
  <c r="BK38" i="79"/>
  <c r="BJ18" i="88"/>
  <c r="BK18" i="88" s="1"/>
  <c r="BJ21" i="88"/>
  <c r="BK21" i="88" s="1"/>
  <c r="CF28" i="82"/>
  <c r="BM28" i="82"/>
  <c r="CF21" i="82"/>
  <c r="BM16" i="82"/>
  <c r="BM15" i="82"/>
  <c r="O28" i="82"/>
  <c r="BM25" i="82"/>
  <c r="BM18" i="82"/>
  <c r="BA38" i="79"/>
  <c r="AD37" i="79"/>
  <c r="AE37" i="79" s="1"/>
  <c r="AF37" i="79" s="1"/>
  <c r="AM37" i="79" s="1"/>
  <c r="AN37" i="79" s="1"/>
  <c r="BD38" i="79"/>
  <c r="BN38" i="79"/>
  <c r="BL32" i="74"/>
  <c r="AC29" i="74"/>
  <c r="AD29" i="74" s="1"/>
  <c r="AJ29" i="74" s="1"/>
  <c r="AQ29" i="74" s="1"/>
  <c r="AR29" i="74" s="1"/>
  <c r="BM29" i="82"/>
  <c r="BM21" i="82"/>
  <c r="BM19" i="82"/>
  <c r="BR30" i="82"/>
  <c r="BC38" i="79"/>
  <c r="BL23" i="74"/>
  <c r="BL26" i="74"/>
  <c r="AC17" i="74"/>
  <c r="AD17" i="74" s="1"/>
  <c r="AJ17" i="74" s="1"/>
  <c r="AQ17" i="74" s="1"/>
  <c r="AR17" i="74" s="1"/>
  <c r="AC20" i="74"/>
  <c r="AD20" i="74" s="1"/>
  <c r="AJ20" i="74" s="1"/>
  <c r="AQ20" i="74" s="1"/>
  <c r="AR20" i="74" s="1"/>
  <c r="BM20" i="74" s="1"/>
  <c r="BP22" i="82"/>
  <c r="CF22" i="82" s="1"/>
  <c r="BH22" i="82"/>
  <c r="BM22" i="82" s="1"/>
  <c r="BM29" i="74"/>
  <c r="CF29" i="74" s="1"/>
  <c r="BH33" i="74"/>
  <c r="BE33" i="74"/>
  <c r="AC26" i="74"/>
  <c r="AD26" i="74" s="1"/>
  <c r="AJ26" i="74" s="1"/>
  <c r="AQ26" i="74" s="1"/>
  <c r="AR26" i="74" s="1"/>
  <c r="BM23" i="74"/>
  <c r="CF23" i="74" s="1"/>
  <c r="BF33" i="74"/>
  <c r="AC32" i="74"/>
  <c r="AD32" i="74" s="1"/>
  <c r="AJ32" i="74" s="1"/>
  <c r="AQ32" i="74" s="1"/>
  <c r="AR32" i="74" s="1"/>
  <c r="BM32" i="74" s="1"/>
  <c r="CF32" i="74" s="1"/>
  <c r="AC16" i="74"/>
  <c r="AD16" i="74" s="1"/>
  <c r="AJ16" i="74" s="1"/>
  <c r="BG33" i="74"/>
  <c r="AD31" i="79"/>
  <c r="AE31" i="79" s="1"/>
  <c r="AF31" i="79" s="1"/>
  <c r="AM31" i="79" s="1"/>
  <c r="BF38" i="79"/>
  <c r="AD28" i="79"/>
  <c r="AE28" i="79" s="1"/>
  <c r="AF28" i="79" s="1"/>
  <c r="AM28" i="79" s="1"/>
  <c r="BJ38" i="79"/>
  <c r="BL38" i="79"/>
  <c r="AS22" i="79"/>
  <c r="AR22" i="79"/>
  <c r="AU22" i="79"/>
  <c r="AQ22" i="79"/>
  <c r="AT22" i="79"/>
  <c r="BB38" i="79"/>
  <c r="DH15" i="79"/>
  <c r="BU38" i="79"/>
  <c r="BV37" i="79"/>
  <c r="AD15" i="79"/>
  <c r="AE15" i="79" s="1"/>
  <c r="AF15" i="79" s="1"/>
  <c r="DH34" i="79"/>
  <c r="CM34" i="79"/>
  <c r="BE38" i="79"/>
  <c r="BM38" i="79"/>
  <c r="BG38" i="79"/>
  <c r="AD21" i="79"/>
  <c r="AE21" i="79" s="1"/>
  <c r="AF21" i="79" s="1"/>
  <c r="AM21" i="79" s="1"/>
  <c r="AD34" i="79"/>
  <c r="AE34" i="79" s="1"/>
  <c r="AF34" i="79" s="1"/>
  <c r="AM34" i="79" s="1"/>
  <c r="AT25" i="79"/>
  <c r="AS25" i="79"/>
  <c r="AR25" i="79"/>
  <c r="AU25" i="79"/>
  <c r="AQ25" i="79"/>
  <c r="BJ30" i="82"/>
  <c r="P22" i="82"/>
  <c r="K22" i="82"/>
  <c r="O22" i="82" s="1"/>
  <c r="Q22" i="82" s="1"/>
  <c r="CS25" i="82"/>
  <c r="AD20" i="82"/>
  <c r="AE20" i="82" s="1"/>
  <c r="AK20" i="82" s="1"/>
  <c r="AR20" i="82" s="1"/>
  <c r="AS20" i="82" s="1"/>
  <c r="BN20" i="82" s="1"/>
  <c r="CG20" i="82" s="1"/>
  <c r="CF16" i="82"/>
  <c r="BS30" i="82"/>
  <c r="BF30" i="82"/>
  <c r="AD22" i="82"/>
  <c r="AE22" i="82" s="1"/>
  <c r="AK22" i="82" s="1"/>
  <c r="AR22" i="82" s="1"/>
  <c r="AS22" i="82" s="1"/>
  <c r="BI30" i="82"/>
  <c r="BW19" i="82"/>
  <c r="BX19" i="82" s="1"/>
  <c r="Z19" i="82"/>
  <c r="BL30" i="82"/>
  <c r="AD29" i="82"/>
  <c r="AE29" i="82" s="1"/>
  <c r="AK29" i="82" s="1"/>
  <c r="AR29" i="82" s="1"/>
  <c r="AS29" i="82" s="1"/>
  <c r="BN29" i="82" s="1"/>
  <c r="AD28" i="82"/>
  <c r="AE28" i="82" s="1"/>
  <c r="AK28" i="82" s="1"/>
  <c r="AR28" i="82" s="1"/>
  <c r="AS28" i="82" s="1"/>
  <c r="BN28" i="82" s="1"/>
  <c r="CG28" i="82" s="1"/>
  <c r="AD21" i="82"/>
  <c r="AE21" i="82" s="1"/>
  <c r="AK21" i="82" s="1"/>
  <c r="AR21" i="82" s="1"/>
  <c r="AS21" i="82" s="1"/>
  <c r="BN21" i="82" s="1"/>
  <c r="CG21" i="82" s="1"/>
  <c r="BO30" i="82"/>
  <c r="CF15" i="82"/>
  <c r="AD17" i="82"/>
  <c r="AE17" i="82" s="1"/>
  <c r="AK17" i="82" s="1"/>
  <c r="AR17" i="82" s="1"/>
  <c r="AS17" i="82" s="1"/>
  <c r="BN17" i="82" s="1"/>
  <c r="AD15" i="82"/>
  <c r="AE15" i="82" s="1"/>
  <c r="AK15" i="82" s="1"/>
  <c r="CS20" i="82"/>
  <c r="DM30" i="82"/>
  <c r="DT31" i="82" s="1"/>
  <c r="ES32" i="82" s="1"/>
  <c r="DT15" i="82"/>
  <c r="BW18" i="82"/>
  <c r="BX18" i="82" s="1"/>
  <c r="Z18" i="82"/>
  <c r="BH30" i="82"/>
  <c r="BK30" i="82"/>
  <c r="CS19" i="82"/>
  <c r="CF17" i="82"/>
  <c r="AD16" i="82"/>
  <c r="AE16" i="82" s="1"/>
  <c r="AK16" i="82" s="1"/>
  <c r="AR16" i="82" s="1"/>
  <c r="AS16" i="82" s="1"/>
  <c r="BN16" i="82" s="1"/>
  <c r="CG16" i="82" s="1"/>
  <c r="CF29" i="82"/>
  <c r="P25" i="82"/>
  <c r="K25" i="82"/>
  <c r="O25" i="82" s="1"/>
  <c r="Q25" i="82" s="1"/>
  <c r="BQ30" i="82"/>
  <c r="CF25" i="82"/>
  <c r="Q29" i="82"/>
  <c r="Q28" i="82"/>
  <c r="DD30" i="82"/>
  <c r="BG30" i="82"/>
  <c r="CF19" i="82"/>
  <c r="W30" i="82"/>
  <c r="BV17" i="87"/>
  <c r="BW17" i="87" s="1"/>
  <c r="CF17" i="87"/>
  <c r="CM17" i="87" s="1"/>
  <c r="CQ25" i="87"/>
  <c r="CR25" i="87" s="1"/>
  <c r="DL25" i="87"/>
  <c r="DL23" i="87"/>
  <c r="BJ20" i="87"/>
  <c r="BK20" i="87" s="1"/>
  <c r="BR20" i="87" s="1"/>
  <c r="CQ22" i="87"/>
  <c r="CR22" i="87" s="1"/>
  <c r="DL22" i="87"/>
  <c r="AA15" i="87"/>
  <c r="AB15" i="87" s="1"/>
  <c r="CE18" i="88"/>
  <c r="BQ18" i="88"/>
  <c r="BL22" i="88"/>
  <c r="CE15" i="88"/>
  <c r="CE22" i="88" s="1"/>
  <c r="BQ15" i="88"/>
  <c r="BM22" i="88"/>
  <c r="BG22" i="88"/>
  <c r="BP22" i="88"/>
  <c r="BF22" i="88"/>
  <c r="BO22" i="88"/>
  <c r="BQ21" i="88"/>
  <c r="BD22" i="88"/>
  <c r="BE22" i="88"/>
  <c r="BN22" i="88"/>
  <c r="AA15" i="88"/>
  <c r="AB15" i="88" s="1"/>
  <c r="AP22" i="88"/>
  <c r="BH22" i="88"/>
  <c r="BI22" i="88"/>
  <c r="BC22" i="88"/>
  <c r="BJ15" i="88"/>
  <c r="O24" i="95"/>
  <c r="N24" i="95" s="1"/>
  <c r="J24" i="95"/>
  <c r="P21" i="95"/>
  <c r="K21" i="95"/>
  <c r="G21" i="95"/>
  <c r="P15" i="95"/>
  <c r="K15" i="95"/>
  <c r="G15" i="95"/>
  <c r="AP24" i="95"/>
  <c r="AQ24" i="95" s="1"/>
  <c r="L20" i="95"/>
  <c r="H20" i="95"/>
  <c r="T20" i="95" s="1"/>
  <c r="V20" i="95"/>
  <c r="L24" i="95"/>
  <c r="H24" i="95"/>
  <c r="T24" i="95" s="1"/>
  <c r="V24" i="95"/>
  <c r="U24" i="95" s="1"/>
  <c r="W24" i="95" s="1"/>
  <c r="BZ19" i="95"/>
  <c r="BZ25" i="95" s="1"/>
  <c r="BV19" i="95"/>
  <c r="BV25" i="95" s="1"/>
  <c r="BY19" i="95"/>
  <c r="BY25" i="95" s="1"/>
  <c r="BU19" i="95"/>
  <c r="BU25" i="95" s="1"/>
  <c r="CA19" i="95"/>
  <c r="CA25" i="95" s="1"/>
  <c r="BW19" i="95"/>
  <c r="BW25" i="95" s="1"/>
  <c r="BX19" i="95"/>
  <c r="BX25" i="95" s="1"/>
  <c r="DJ18" i="95"/>
  <c r="O18" i="95"/>
  <c r="N18" i="95" s="1"/>
  <c r="J18" i="95"/>
  <c r="O20" i="95"/>
  <c r="N20" i="95" s="1"/>
  <c r="J20" i="95"/>
  <c r="CN23" i="95"/>
  <c r="J23" i="95"/>
  <c r="DJ23" i="95"/>
  <c r="DK23" i="95" s="1"/>
  <c r="P17" i="95"/>
  <c r="K17" i="95"/>
  <c r="G17" i="95"/>
  <c r="N19" i="95"/>
  <c r="L23" i="95"/>
  <c r="H23" i="95"/>
  <c r="P16" i="95"/>
  <c r="K16" i="95"/>
  <c r="G16" i="95"/>
  <c r="P14" i="95"/>
  <c r="K14" i="95"/>
  <c r="G14" i="95"/>
  <c r="BG24" i="95"/>
  <c r="V19" i="95"/>
  <c r="H19" i="95"/>
  <c r="T19" i="95" s="1"/>
  <c r="L19" i="95"/>
  <c r="AZ18" i="95"/>
  <c r="U18" i="95"/>
  <c r="W18" i="95"/>
  <c r="ED28" i="94"/>
  <c r="EC28" i="94"/>
  <c r="EB28" i="94"/>
  <c r="EA28" i="94"/>
  <c r="DZ28" i="94"/>
  <c r="DW28" i="94"/>
  <c r="DV28" i="94"/>
  <c r="DU28" i="94"/>
  <c r="DT28" i="94"/>
  <c r="DS28" i="94"/>
  <c r="DR28" i="94"/>
  <c r="DQ28" i="94"/>
  <c r="DM28" i="94"/>
  <c r="DL28" i="94"/>
  <c r="DC28" i="94"/>
  <c r="DB28" i="94"/>
  <c r="DA28" i="94"/>
  <c r="CZ28" i="94"/>
  <c r="CY28" i="94"/>
  <c r="CX28" i="94"/>
  <c r="CW28" i="94"/>
  <c r="CV28" i="94"/>
  <c r="CM28" i="94"/>
  <c r="CL28" i="94"/>
  <c r="CK28" i="94"/>
  <c r="CJ28" i="94"/>
  <c r="CI28" i="94"/>
  <c r="CH28" i="94"/>
  <c r="CE28" i="94"/>
  <c r="CD28" i="94"/>
  <c r="CB28" i="94"/>
  <c r="CA28" i="94"/>
  <c r="BZ28" i="94"/>
  <c r="BY28" i="94"/>
  <c r="EE27" i="94"/>
  <c r="DX27" i="94"/>
  <c r="DY27" i="94" s="1"/>
  <c r="DN27" i="94"/>
  <c r="DJ27" i="94"/>
  <c r="DK27" i="94" s="1"/>
  <c r="DO27" i="94" s="1"/>
  <c r="EE26" i="94"/>
  <c r="DX26" i="94"/>
  <c r="DY26" i="94" s="1"/>
  <c r="DN26" i="94"/>
  <c r="DJ26" i="94"/>
  <c r="DD26" i="94"/>
  <c r="CQ26" i="94"/>
  <c r="CC26" i="94"/>
  <c r="CC28" i="94" s="1"/>
  <c r="BW26" i="94"/>
  <c r="BX26" i="94" s="1"/>
  <c r="BV26" i="94"/>
  <c r="BP26" i="94"/>
  <c r="BO26" i="94"/>
  <c r="BN26" i="94"/>
  <c r="BM26" i="94"/>
  <c r="BL26" i="94"/>
  <c r="AP26" i="94"/>
  <c r="AG26" i="94"/>
  <c r="AW26" i="94" s="1"/>
  <c r="AE26" i="94"/>
  <c r="AC26" i="94"/>
  <c r="Y26" i="94"/>
  <c r="Z26" i="94" s="1"/>
  <c r="W26" i="94"/>
  <c r="X26" i="94" s="1"/>
  <c r="K26" i="94"/>
  <c r="H26" i="94"/>
  <c r="I26" i="94" s="1"/>
  <c r="N26" i="94" s="1"/>
  <c r="FD25" i="94"/>
  <c r="EE25" i="94"/>
  <c r="DX25" i="94"/>
  <c r="DY25" i="94" s="1"/>
  <c r="DN25" i="94"/>
  <c r="DJ25" i="94"/>
  <c r="DD25" i="94"/>
  <c r="CN25" i="94"/>
  <c r="BW25" i="94"/>
  <c r="BV25" i="94"/>
  <c r="BP25" i="94"/>
  <c r="BO25" i="94"/>
  <c r="BN25" i="94"/>
  <c r="BM25" i="94"/>
  <c r="BL25" i="94"/>
  <c r="AP25" i="94"/>
  <c r="AG25" i="94"/>
  <c r="AE25" i="94"/>
  <c r="AC25" i="94"/>
  <c r="W25" i="94"/>
  <c r="V25" i="94"/>
  <c r="Y25" i="94" s="1"/>
  <c r="Z25" i="94" s="1"/>
  <c r="K25" i="94"/>
  <c r="M25" i="94" s="1"/>
  <c r="Q25" i="94" s="1"/>
  <c r="H25" i="94"/>
  <c r="I25" i="94" s="1"/>
  <c r="N25" i="94" s="1"/>
  <c r="FD24" i="94"/>
  <c r="EE24" i="94"/>
  <c r="DY24" i="94"/>
  <c r="DX24" i="94"/>
  <c r="DN24" i="94"/>
  <c r="DJ24" i="94"/>
  <c r="DD24" i="94"/>
  <c r="CN24" i="94"/>
  <c r="BW24" i="94"/>
  <c r="BV24" i="94"/>
  <c r="BM24" i="94"/>
  <c r="BL24" i="94"/>
  <c r="CF24" i="94" s="1"/>
  <c r="AP24" i="94"/>
  <c r="AG24" i="94"/>
  <c r="AE24" i="94"/>
  <c r="AC24" i="94"/>
  <c r="W24" i="94"/>
  <c r="V24" i="94"/>
  <c r="K24" i="94"/>
  <c r="H24" i="94"/>
  <c r="R24" i="94" s="1"/>
  <c r="FD23" i="94"/>
  <c r="EE23" i="94"/>
  <c r="DX23" i="94"/>
  <c r="DY23" i="94" s="1"/>
  <c r="DN23" i="94"/>
  <c r="DJ23" i="94"/>
  <c r="DD23" i="94"/>
  <c r="CN23" i="94"/>
  <c r="BW23" i="94"/>
  <c r="BV23" i="94"/>
  <c r="BP23" i="94"/>
  <c r="BO23" i="94"/>
  <c r="BN23" i="94"/>
  <c r="BM23" i="94"/>
  <c r="BL23" i="94"/>
  <c r="AP23" i="94"/>
  <c r="AG23" i="94"/>
  <c r="AE23" i="94"/>
  <c r="AC23" i="94"/>
  <c r="W23" i="94"/>
  <c r="V23" i="94"/>
  <c r="Y23" i="94" s="1"/>
  <c r="Z23" i="94" s="1"/>
  <c r="AD23" i="94" s="1"/>
  <c r="K23" i="94"/>
  <c r="H23" i="94"/>
  <c r="FD22" i="94"/>
  <c r="EE22" i="94"/>
  <c r="DX22" i="94"/>
  <c r="DY22" i="94" s="1"/>
  <c r="DN22" i="94"/>
  <c r="DJ22" i="94"/>
  <c r="DD22" i="94"/>
  <c r="CN22" i="94"/>
  <c r="BW22" i="94"/>
  <c r="BV22" i="94"/>
  <c r="BP22" i="94"/>
  <c r="BO22" i="94"/>
  <c r="BN22" i="94"/>
  <c r="BM22" i="94"/>
  <c r="BL22" i="94"/>
  <c r="AP22" i="94"/>
  <c r="AG22" i="94"/>
  <c r="AE22" i="94"/>
  <c r="AF22" i="94" s="1"/>
  <c r="AQ22" i="94" s="1"/>
  <c r="AC22" i="94"/>
  <c r="W22" i="94"/>
  <c r="X22" i="94" s="1"/>
  <c r="V22" i="94"/>
  <c r="Y22" i="94" s="1"/>
  <c r="Z22" i="94" s="1"/>
  <c r="K22" i="94"/>
  <c r="H22" i="94"/>
  <c r="FD21" i="94"/>
  <c r="EE21" i="94"/>
  <c r="DJ21" i="94"/>
  <c r="DD21" i="94"/>
  <c r="CN21" i="94"/>
  <c r="BW21" i="94"/>
  <c r="BV21" i="94"/>
  <c r="BP21" i="94"/>
  <c r="BO21" i="94"/>
  <c r="BN21" i="94"/>
  <c r="BM21" i="94"/>
  <c r="BL21" i="94"/>
  <c r="AP21" i="94"/>
  <c r="AG21" i="94"/>
  <c r="AE21" i="94"/>
  <c r="AC21" i="94"/>
  <c r="W21" i="94"/>
  <c r="V21" i="94"/>
  <c r="Y21" i="94" s="1"/>
  <c r="Z21" i="94" s="1"/>
  <c r="K21" i="94"/>
  <c r="H21" i="94"/>
  <c r="I21" i="94" s="1"/>
  <c r="N21" i="94" s="1"/>
  <c r="DD20" i="94"/>
  <c r="CN20" i="94"/>
  <c r="FD19" i="94"/>
  <c r="EE19" i="94"/>
  <c r="DJ19" i="94"/>
  <c r="DD19" i="94"/>
  <c r="CN19" i="94"/>
  <c r="BW19" i="94"/>
  <c r="BV19" i="94"/>
  <c r="BL19" i="94"/>
  <c r="CF19" i="94" s="1"/>
  <c r="AP19" i="94"/>
  <c r="AG19" i="94"/>
  <c r="AF19" i="94" s="1"/>
  <c r="AR19" i="94" s="1"/>
  <c r="AE19" i="94"/>
  <c r="AC19" i="94"/>
  <c r="W19" i="94"/>
  <c r="V19" i="94"/>
  <c r="Y19" i="94" s="1"/>
  <c r="Z19" i="94" s="1"/>
  <c r="K19" i="94"/>
  <c r="H19" i="94"/>
  <c r="DX18" i="94"/>
  <c r="DN18" i="94"/>
  <c r="DJ18" i="94"/>
  <c r="DD18" i="94"/>
  <c r="CN18" i="94"/>
  <c r="CF18" i="94"/>
  <c r="BW18" i="94"/>
  <c r="BV18" i="94"/>
  <c r="AP18" i="94"/>
  <c r="AG18" i="94"/>
  <c r="AE18" i="94"/>
  <c r="AC18" i="94"/>
  <c r="W18" i="94"/>
  <c r="V18" i="94"/>
  <c r="Y18" i="94" s="1"/>
  <c r="Z18" i="94" s="1"/>
  <c r="AD18" i="94" s="1"/>
  <c r="K18" i="94"/>
  <c r="H18" i="94"/>
  <c r="R18" i="94" s="1"/>
  <c r="EE17" i="94"/>
  <c r="DJ17" i="94"/>
  <c r="DD17" i="94"/>
  <c r="CN17" i="94"/>
  <c r="BW17" i="94"/>
  <c r="BV17" i="94"/>
  <c r="BP17" i="94"/>
  <c r="BO17" i="94"/>
  <c r="BO28" i="94" s="1"/>
  <c r="BN17" i="94"/>
  <c r="BN28" i="94" s="1"/>
  <c r="BM17" i="94"/>
  <c r="BL17" i="94"/>
  <c r="AP17" i="94"/>
  <c r="AG17" i="94"/>
  <c r="AE17" i="94"/>
  <c r="AF17" i="94" s="1"/>
  <c r="AR17" i="94" s="1"/>
  <c r="AC17" i="94"/>
  <c r="W17" i="94"/>
  <c r="V17" i="94"/>
  <c r="Y17" i="94" s="1"/>
  <c r="Z17" i="94" s="1"/>
  <c r="K17" i="94"/>
  <c r="H17" i="94"/>
  <c r="R17" i="94" s="1"/>
  <c r="DJ16" i="94"/>
  <c r="DD16" i="94"/>
  <c r="CN16" i="94"/>
  <c r="BW16" i="94"/>
  <c r="BV16" i="94"/>
  <c r="BL16" i="94"/>
  <c r="AP16" i="94"/>
  <c r="AG16" i="94"/>
  <c r="AE16" i="94"/>
  <c r="AC16" i="94"/>
  <c r="W16" i="94"/>
  <c r="V16" i="94"/>
  <c r="K16" i="94"/>
  <c r="H16" i="94"/>
  <c r="EL15" i="94"/>
  <c r="EE15" i="94"/>
  <c r="DO15" i="94"/>
  <c r="DO28" i="94" s="1"/>
  <c r="DN15" i="94"/>
  <c r="DN28" i="94" s="1"/>
  <c r="DJ15" i="94"/>
  <c r="FE14" i="94"/>
  <c r="DC25" i="83"/>
  <c r="DB25" i="83"/>
  <c r="DA25" i="83"/>
  <c r="CZ25" i="83"/>
  <c r="CY25" i="83"/>
  <c r="CX25" i="83"/>
  <c r="CW25" i="83"/>
  <c r="CS25" i="83"/>
  <c r="CR25" i="83"/>
  <c r="CQ25" i="83"/>
  <c r="AQ25" i="83"/>
  <c r="AP25" i="83"/>
  <c r="AJ25" i="83"/>
  <c r="AI25" i="83"/>
  <c r="AH25" i="83"/>
  <c r="AG25" i="83"/>
  <c r="AF25" i="83"/>
  <c r="DO24" i="83"/>
  <c r="DP24" i="83" s="1"/>
  <c r="CV24" i="83"/>
  <c r="CT24" i="83"/>
  <c r="CO24" i="83"/>
  <c r="CH24" i="83"/>
  <c r="CI24" i="83" s="1"/>
  <c r="BX24" i="83"/>
  <c r="BT24" i="83"/>
  <c r="BC24" i="83"/>
  <c r="AZ24" i="83"/>
  <c r="AY24" i="83"/>
  <c r="AX24" i="83"/>
  <c r="AW24" i="83"/>
  <c r="AV24" i="83"/>
  <c r="AC24" i="83"/>
  <c r="Q24" i="83"/>
  <c r="J24" i="83"/>
  <c r="L24" i="83" s="1"/>
  <c r="P24" i="83" s="1"/>
  <c r="H24" i="83"/>
  <c r="M24" i="83" s="1"/>
  <c r="CO23" i="83"/>
  <c r="CP23" i="83" s="1"/>
  <c r="AZ23" i="83"/>
  <c r="AY23" i="83"/>
  <c r="AX23" i="83"/>
  <c r="AW23" i="83"/>
  <c r="AV23" i="83"/>
  <c r="CP22" i="83"/>
  <c r="CO22" i="83"/>
  <c r="AZ22" i="83"/>
  <c r="AY22" i="83"/>
  <c r="AX22" i="83"/>
  <c r="AW22" i="83"/>
  <c r="AV22" i="83"/>
  <c r="DP21" i="83"/>
  <c r="CT21" i="83"/>
  <c r="CO21" i="83"/>
  <c r="BX21" i="83"/>
  <c r="BD21" i="83"/>
  <c r="BE21" i="83" s="1"/>
  <c r="BR21" i="83" s="1"/>
  <c r="BC21" i="83"/>
  <c r="AZ21" i="83"/>
  <c r="AY21" i="83"/>
  <c r="AX21" i="83"/>
  <c r="AW21" i="83"/>
  <c r="AV21" i="83"/>
  <c r="AC21" i="83"/>
  <c r="X21" i="83"/>
  <c r="Y21" i="83" s="1"/>
  <c r="Z21" i="83" s="1"/>
  <c r="W21" i="83"/>
  <c r="Q21" i="83"/>
  <c r="J21" i="83"/>
  <c r="L21" i="83" s="1"/>
  <c r="H21" i="83"/>
  <c r="M21" i="83" s="1"/>
  <c r="CO20" i="83"/>
  <c r="CP20" i="83" s="1"/>
  <c r="AZ20" i="83"/>
  <c r="AY20" i="83"/>
  <c r="AX20" i="83"/>
  <c r="AW20" i="83"/>
  <c r="AV20" i="83"/>
  <c r="CO19" i="83"/>
  <c r="CP19" i="83" s="1"/>
  <c r="AZ19" i="83"/>
  <c r="AY19" i="83"/>
  <c r="AX19" i="83"/>
  <c r="AW19" i="83"/>
  <c r="AV19" i="83"/>
  <c r="DP18" i="83"/>
  <c r="CT18" i="83"/>
  <c r="CO18" i="83"/>
  <c r="BX18" i="83"/>
  <c r="BD18" i="83"/>
  <c r="BC18" i="83"/>
  <c r="AZ18" i="83"/>
  <c r="AY18" i="83"/>
  <c r="AX18" i="83"/>
  <c r="AW18" i="83"/>
  <c r="AV18" i="83"/>
  <c r="AC18" i="83"/>
  <c r="X18" i="83"/>
  <c r="Y18" i="83" s="1"/>
  <c r="Z18" i="83" s="1"/>
  <c r="W18" i="83"/>
  <c r="Q18" i="83"/>
  <c r="J18" i="83"/>
  <c r="L18" i="83" s="1"/>
  <c r="CU18" i="83" s="1"/>
  <c r="H18" i="83"/>
  <c r="M18" i="83" s="1"/>
  <c r="CJ17" i="83"/>
  <c r="CK17" i="83" s="1"/>
  <c r="CL17" i="83" s="1"/>
  <c r="CM17" i="83" s="1"/>
  <c r="CN17" i="83" s="1"/>
  <c r="AZ17" i="83"/>
  <c r="AY17" i="83"/>
  <c r="AX17" i="83"/>
  <c r="AW17" i="83"/>
  <c r="AV17" i="83"/>
  <c r="CJ16" i="83"/>
  <c r="CK16" i="83" s="1"/>
  <c r="CL16" i="83" s="1"/>
  <c r="CM16" i="83" s="1"/>
  <c r="CN16" i="83" s="1"/>
  <c r="AZ16" i="83"/>
  <c r="AY16" i="83"/>
  <c r="AX16" i="83"/>
  <c r="AW16" i="83"/>
  <c r="AV16" i="83"/>
  <c r="DO15" i="83"/>
  <c r="CT15" i="83"/>
  <c r="BX15" i="83"/>
  <c r="BZ15" i="83" s="1"/>
  <c r="CA15" i="83" s="1"/>
  <c r="BD15" i="83"/>
  <c r="BC15" i="83"/>
  <c r="BE15" i="83" s="1"/>
  <c r="AZ15" i="83"/>
  <c r="AY15" i="83"/>
  <c r="AX15" i="83"/>
  <c r="AW15" i="83"/>
  <c r="AW25" i="83" s="1"/>
  <c r="AV15" i="83"/>
  <c r="AC15" i="83"/>
  <c r="Q15" i="83"/>
  <c r="M15" i="83"/>
  <c r="J15" i="83"/>
  <c r="L15" i="83" s="1"/>
  <c r="H15" i="83"/>
  <c r="X15" i="83" s="1"/>
  <c r="Y15" i="83" s="1"/>
  <c r="CM16" i="97"/>
  <c r="CL16" i="97"/>
  <c r="CK16" i="97"/>
  <c r="CJ16" i="97"/>
  <c r="CI16" i="97"/>
  <c r="CF16" i="97"/>
  <c r="CE16" i="97"/>
  <c r="CD16" i="97"/>
  <c r="CC16" i="97"/>
  <c r="CB16" i="97"/>
  <c r="CA16" i="97"/>
  <c r="BZ16" i="97"/>
  <c r="BR16" i="97"/>
  <c r="BQ16" i="97"/>
  <c r="BP16" i="97"/>
  <c r="BO16" i="97"/>
  <c r="BN16" i="97"/>
  <c r="BK16" i="97"/>
  <c r="BJ16" i="97"/>
  <c r="BI16" i="97"/>
  <c r="DM16" i="97"/>
  <c r="CR15" i="97"/>
  <c r="CN15" i="97"/>
  <c r="CN16" i="97" s="1"/>
  <c r="CG15" i="97"/>
  <c r="CG16" i="97" s="1"/>
  <c r="BW15" i="97"/>
  <c r="BS15" i="97"/>
  <c r="BC15" i="97"/>
  <c r="BB15" i="97"/>
  <c r="X15" i="97"/>
  <c r="J15" i="97"/>
  <c r="G15" i="97"/>
  <c r="N15" i="97" s="1"/>
  <c r="DS34" i="99"/>
  <c r="DN33" i="99"/>
  <c r="DM33" i="99"/>
  <c r="DL33" i="99"/>
  <c r="DK33" i="99"/>
  <c r="DJ33" i="99"/>
  <c r="DG33" i="99"/>
  <c r="DF33" i="99"/>
  <c r="DE33" i="99"/>
  <c r="DD33" i="99"/>
  <c r="DC33" i="99"/>
  <c r="DB33" i="99"/>
  <c r="DA33" i="99"/>
  <c r="CY33" i="99"/>
  <c r="CX33" i="99"/>
  <c r="CW33" i="99"/>
  <c r="CV33" i="99"/>
  <c r="CU33" i="99"/>
  <c r="CT33" i="99"/>
  <c r="CS33" i="99"/>
  <c r="CM33" i="99"/>
  <c r="BK33" i="99"/>
  <c r="AN33" i="99"/>
  <c r="DO32" i="99"/>
  <c r="DH32" i="99"/>
  <c r="DI32" i="99" s="1"/>
  <c r="CP32" i="99"/>
  <c r="CI32" i="99"/>
  <c r="CB32" i="99"/>
  <c r="CF32" i="99" s="1"/>
  <c r="BZ32" i="99"/>
  <c r="BS32" i="99"/>
  <c r="BA32" i="99"/>
  <c r="BB32" i="99" s="1"/>
  <c r="BL32" i="99" s="1"/>
  <c r="BT32" i="99" s="1"/>
  <c r="BU32" i="99" s="1"/>
  <c r="AZ32" i="99"/>
  <c r="L32" i="99"/>
  <c r="P32" i="99" s="1"/>
  <c r="O32" i="99" s="1"/>
  <c r="H32" i="99"/>
  <c r="I32" i="99" s="1"/>
  <c r="DO30" i="99"/>
  <c r="DH30" i="99"/>
  <c r="DI30" i="99" s="1"/>
  <c r="CB30" i="99"/>
  <c r="CD30" i="99" s="1"/>
  <c r="BZ30" i="99"/>
  <c r="Q30" i="99"/>
  <c r="J30" i="99"/>
  <c r="L30" i="99" s="1"/>
  <c r="P30" i="99" s="1"/>
  <c r="H30" i="99"/>
  <c r="M30" i="99" s="1"/>
  <c r="DO27" i="99"/>
  <c r="DH27" i="99"/>
  <c r="DI27" i="99" s="1"/>
  <c r="CQ27" i="99"/>
  <c r="CP27" i="99"/>
  <c r="CI27" i="99"/>
  <c r="CB27" i="99"/>
  <c r="CD27" i="99" s="1"/>
  <c r="CH27" i="99" s="1"/>
  <c r="CG27" i="99" s="1"/>
  <c r="BZ27" i="99"/>
  <c r="Q27" i="99"/>
  <c r="J27" i="99"/>
  <c r="L27" i="99" s="1"/>
  <c r="H27" i="99"/>
  <c r="I27" i="99" s="1"/>
  <c r="DO24" i="99"/>
  <c r="DH24" i="99"/>
  <c r="DH33" i="99" s="1"/>
  <c r="CZ24" i="99"/>
  <c r="CZ33" i="99" s="1"/>
  <c r="CP24" i="99"/>
  <c r="CI24" i="99"/>
  <c r="CB24" i="99"/>
  <c r="CF24" i="99" s="1"/>
  <c r="BZ24" i="99"/>
  <c r="BT24" i="99"/>
  <c r="BS24" i="99"/>
  <c r="BJ24" i="99"/>
  <c r="BK24" i="99" s="1"/>
  <c r="BU24" i="99" s="1"/>
  <c r="BA24" i="99"/>
  <c r="AZ24" i="99"/>
  <c r="AS24" i="99"/>
  <c r="AP24" i="99"/>
  <c r="Z24" i="99"/>
  <c r="P24" i="99"/>
  <c r="O24" i="99" s="1"/>
  <c r="L24" i="99"/>
  <c r="K24" i="99"/>
  <c r="H24" i="99"/>
  <c r="I24" i="99" s="1"/>
  <c r="DO21" i="99"/>
  <c r="DH21" i="99"/>
  <c r="DI21" i="99" s="1"/>
  <c r="DP21" i="99" s="1"/>
  <c r="CQ21" i="99"/>
  <c r="CP21" i="99"/>
  <c r="CB21" i="99"/>
  <c r="CD21" i="99" s="1"/>
  <c r="BZ21" i="99"/>
  <c r="CE21" i="99" s="1"/>
  <c r="DO18" i="99"/>
  <c r="DH18" i="99"/>
  <c r="DI18" i="99" s="1"/>
  <c r="CQ18" i="99"/>
  <c r="CP18" i="99"/>
  <c r="CB18" i="99"/>
  <c r="CD18" i="99" s="1"/>
  <c r="BZ18" i="99"/>
  <c r="CE18" i="99" s="1"/>
  <c r="DO15" i="99"/>
  <c r="DH15" i="99"/>
  <c r="DI15" i="99" s="1"/>
  <c r="CQ15" i="99"/>
  <c r="CP15" i="99"/>
  <c r="CB15" i="99"/>
  <c r="CD15" i="99" s="1"/>
  <c r="CH15" i="99" s="1"/>
  <c r="BZ15" i="99"/>
  <c r="CE15" i="99" s="1"/>
  <c r="CF15" i="87" l="1"/>
  <c r="CM15" i="87" s="1"/>
  <c r="BJ22" i="88"/>
  <c r="BR18" i="88"/>
  <c r="BP30" i="82"/>
  <c r="BL33" i="74"/>
  <c r="BM26" i="74"/>
  <c r="CF26" i="74" s="1"/>
  <c r="DO25" i="83"/>
  <c r="DO33" i="99"/>
  <c r="CR21" i="99"/>
  <c r="CA24" i="99"/>
  <c r="M27" i="99"/>
  <c r="DP27" i="99"/>
  <c r="DP30" i="99"/>
  <c r="CA32" i="99"/>
  <c r="I15" i="83"/>
  <c r="V15" i="83" s="1"/>
  <c r="AY25" i="83"/>
  <c r="AF23" i="94"/>
  <c r="AJ23" i="94" s="1"/>
  <c r="Q15" i="97"/>
  <c r="X16" i="94"/>
  <c r="R21" i="94"/>
  <c r="BX21" i="94"/>
  <c r="DP18" i="99"/>
  <c r="CD24" i="99"/>
  <c r="CH24" i="99" s="1"/>
  <c r="CA27" i="99"/>
  <c r="X23" i="94"/>
  <c r="CE30" i="99"/>
  <c r="H15" i="97"/>
  <c r="I15" i="97" s="1"/>
  <c r="U15" i="97" s="1"/>
  <c r="V15" i="97" s="1"/>
  <c r="Y15" i="97" s="1"/>
  <c r="BM24" i="83"/>
  <c r="CP24" i="83"/>
  <c r="M16" i="94"/>
  <c r="AD17" i="94"/>
  <c r="CF23" i="94"/>
  <c r="BX24" i="94"/>
  <c r="AD25" i="94"/>
  <c r="BX25" i="94"/>
  <c r="P15" i="83"/>
  <c r="K15" i="83"/>
  <c r="O15" i="83" s="1"/>
  <c r="CE32" i="99"/>
  <c r="CG29" i="82"/>
  <c r="CR15" i="99"/>
  <c r="CR18" i="99"/>
  <c r="BB24" i="99"/>
  <c r="CE24" i="99"/>
  <c r="CR27" i="99"/>
  <c r="DP32" i="99"/>
  <c r="L15" i="97"/>
  <c r="BD15" i="97"/>
  <c r="AV25" i="83"/>
  <c r="AX25" i="83"/>
  <c r="AZ25" i="83"/>
  <c r="CT25" i="83"/>
  <c r="BE18" i="83"/>
  <c r="EL28" i="94"/>
  <c r="EM15" i="94"/>
  <c r="AF16" i="94"/>
  <c r="AR16" i="94" s="1"/>
  <c r="I17" i="94"/>
  <c r="X17" i="94"/>
  <c r="BX17" i="94"/>
  <c r="BX18" i="94"/>
  <c r="X19" i="94"/>
  <c r="AK19" i="94"/>
  <c r="AD22" i="94"/>
  <c r="CF22" i="94"/>
  <c r="BX22" i="94"/>
  <c r="AF24" i="94"/>
  <c r="AV24" i="94" s="1"/>
  <c r="AF25" i="94"/>
  <c r="M26" i="94"/>
  <c r="Q26" i="94" s="1"/>
  <c r="AD26" i="94"/>
  <c r="DP27" i="94"/>
  <c r="CG17" i="82"/>
  <c r="BN22" i="82"/>
  <c r="CG22" i="82" s="1"/>
  <c r="EN33" i="99"/>
  <c r="CJ32" i="74"/>
  <c r="CK32" i="74" s="1"/>
  <c r="CT32" i="74"/>
  <c r="DA32" i="74" s="1"/>
  <c r="CF33" i="74"/>
  <c r="CT35" i="74" s="1"/>
  <c r="CJ23" i="74"/>
  <c r="CK23" i="74" s="1"/>
  <c r="CT23" i="74"/>
  <c r="CJ29" i="74"/>
  <c r="CK29" i="74" s="1"/>
  <c r="CT29" i="74"/>
  <c r="DA29" i="74" s="1"/>
  <c r="AJ33" i="74"/>
  <c r="AQ16" i="74"/>
  <c r="CJ26" i="74"/>
  <c r="CK26" i="74" s="1"/>
  <c r="CT26" i="74"/>
  <c r="DA26" i="74" s="1"/>
  <c r="AU21" i="79"/>
  <c r="AQ21" i="79"/>
  <c r="AT21" i="79"/>
  <c r="AN21" i="79"/>
  <c r="AS21" i="79"/>
  <c r="AR21" i="79"/>
  <c r="BV38" i="79"/>
  <c r="BW37" i="79"/>
  <c r="AT28" i="79"/>
  <c r="AS28" i="79"/>
  <c r="AR28" i="79"/>
  <c r="AU28" i="79"/>
  <c r="AQ28" i="79"/>
  <c r="AN28" i="79"/>
  <c r="BH25" i="79"/>
  <c r="BH22" i="79"/>
  <c r="AU34" i="79"/>
  <c r="AQ34" i="79"/>
  <c r="AT34" i="79"/>
  <c r="AN34" i="79"/>
  <c r="AS34" i="79"/>
  <c r="AR34" i="79"/>
  <c r="AF38" i="79"/>
  <c r="AM15" i="79"/>
  <c r="AU31" i="79"/>
  <c r="AQ31" i="79"/>
  <c r="AT31" i="79"/>
  <c r="AN31" i="79"/>
  <c r="AS31" i="79"/>
  <c r="AR31" i="79"/>
  <c r="AD18" i="82"/>
  <c r="AE18" i="82" s="1"/>
  <c r="AK18" i="82" s="1"/>
  <c r="AR18" i="82" s="1"/>
  <c r="AS18" i="82" s="1"/>
  <c r="BN18" i="82" s="1"/>
  <c r="CG18" i="82" s="1"/>
  <c r="BM30" i="82"/>
  <c r="AR15" i="82"/>
  <c r="DX15" i="82"/>
  <c r="DY15" i="82" s="1"/>
  <c r="ES15" i="82"/>
  <c r="ES31" i="82" s="1"/>
  <c r="AD25" i="82"/>
  <c r="AE25" i="82" s="1"/>
  <c r="AK25" i="82" s="1"/>
  <c r="AR25" i="82" s="1"/>
  <c r="AS25" i="82" s="1"/>
  <c r="BN25" i="82" s="1"/>
  <c r="CG25" i="82" s="1"/>
  <c r="Z30" i="82"/>
  <c r="CF30" i="82"/>
  <c r="AD19" i="82"/>
  <c r="AE19" i="82" s="1"/>
  <c r="AK19" i="82" s="1"/>
  <c r="AR19" i="82" s="1"/>
  <c r="AS19" i="82" s="1"/>
  <c r="BN19" i="82" s="1"/>
  <c r="CG19" i="82" s="1"/>
  <c r="CQ17" i="87"/>
  <c r="CR17" i="87" s="1"/>
  <c r="DL17" i="87"/>
  <c r="DL15" i="87"/>
  <c r="CQ15" i="87"/>
  <c r="CR15" i="87" s="1"/>
  <c r="BV20" i="87"/>
  <c r="BW20" i="87" s="1"/>
  <c r="CF20" i="87"/>
  <c r="CM20" i="87" s="1"/>
  <c r="CM27" i="87" s="1"/>
  <c r="DL28" i="87" s="1"/>
  <c r="BV18" i="88"/>
  <c r="BW18" i="88" s="1"/>
  <c r="CF18" i="88"/>
  <c r="CM18" i="88" s="1"/>
  <c r="BK15" i="88"/>
  <c r="BQ22" i="88"/>
  <c r="BD18" i="95"/>
  <c r="BE18" i="95"/>
  <c r="BC18" i="95"/>
  <c r="BB18" i="95"/>
  <c r="BF18" i="95"/>
  <c r="BA18" i="95"/>
  <c r="O14" i="95"/>
  <c r="N14" i="95" s="1"/>
  <c r="J14" i="95"/>
  <c r="AZ20" i="95"/>
  <c r="W20" i="95"/>
  <c r="U20" i="95"/>
  <c r="V15" i="95"/>
  <c r="L15" i="95"/>
  <c r="H15" i="95"/>
  <c r="T15" i="95" s="1"/>
  <c r="DJ21" i="95"/>
  <c r="DK21" i="95" s="1"/>
  <c r="O21" i="95"/>
  <c r="N21" i="95" s="1"/>
  <c r="J21" i="95"/>
  <c r="U19" i="95"/>
  <c r="X19" i="95" s="1"/>
  <c r="W19" i="95"/>
  <c r="AZ19" i="95"/>
  <c r="O15" i="95"/>
  <c r="N15" i="95" s="1"/>
  <c r="J15" i="95"/>
  <c r="V16" i="95"/>
  <c r="L16" i="95"/>
  <c r="H16" i="95"/>
  <c r="T16" i="95" s="1"/>
  <c r="V17" i="95"/>
  <c r="L17" i="95"/>
  <c r="H17" i="95"/>
  <c r="T17" i="95" s="1"/>
  <c r="DK18" i="95"/>
  <c r="DJ25" i="95"/>
  <c r="X18" i="95"/>
  <c r="V14" i="95"/>
  <c r="L14" i="95"/>
  <c r="H14" i="95"/>
  <c r="T14" i="95" s="1"/>
  <c r="O16" i="95"/>
  <c r="N16" i="95" s="1"/>
  <c r="J16" i="95"/>
  <c r="O17" i="95"/>
  <c r="N17" i="95" s="1"/>
  <c r="J17" i="95"/>
  <c r="BH24" i="95"/>
  <c r="CC24" i="95" s="1"/>
  <c r="V21" i="95"/>
  <c r="L21" i="95"/>
  <c r="H21" i="95"/>
  <c r="T21" i="95" s="1"/>
  <c r="Y16" i="94"/>
  <c r="Z16" i="94" s="1"/>
  <c r="AD16" i="94" s="1"/>
  <c r="I18" i="94"/>
  <c r="N18" i="94" s="1"/>
  <c r="AF18" i="94"/>
  <c r="AD19" i="94"/>
  <c r="AD21" i="94"/>
  <c r="AF21" i="94"/>
  <c r="AT21" i="94" s="1"/>
  <c r="AV22" i="94"/>
  <c r="AR23" i="94"/>
  <c r="BX23" i="94"/>
  <c r="R25" i="94"/>
  <c r="CF25" i="94"/>
  <c r="R26" i="94"/>
  <c r="AI16" i="94"/>
  <c r="M18" i="94"/>
  <c r="AU19" i="94"/>
  <c r="AJ22" i="94"/>
  <c r="AH23" i="94"/>
  <c r="AT23" i="94"/>
  <c r="CF26" i="94"/>
  <c r="CG26" i="94" s="1"/>
  <c r="BX16" i="94"/>
  <c r="CF21" i="94"/>
  <c r="X25" i="94"/>
  <c r="M17" i="94"/>
  <c r="Q17" i="94" s="1"/>
  <c r="Q16" i="94"/>
  <c r="AW18" i="94"/>
  <c r="AS18" i="94"/>
  <c r="AI18" i="94"/>
  <c r="AV18" i="94"/>
  <c r="AR18" i="94"/>
  <c r="AL18" i="94"/>
  <c r="AH18" i="94"/>
  <c r="AU18" i="94"/>
  <c r="AK18" i="94"/>
  <c r="AT18" i="94"/>
  <c r="AJ18" i="94"/>
  <c r="AQ18" i="94"/>
  <c r="I16" i="94"/>
  <c r="L16" i="94" s="1"/>
  <c r="AU16" i="94"/>
  <c r="AQ16" i="94"/>
  <c r="AK16" i="94"/>
  <c r="AT16" i="94"/>
  <c r="AJ16" i="94"/>
  <c r="AL16" i="94"/>
  <c r="AS16" i="94"/>
  <c r="AV17" i="94"/>
  <c r="CF17" i="94"/>
  <c r="X18" i="94"/>
  <c r="DX28" i="94"/>
  <c r="DY18" i="94"/>
  <c r="DY28" i="94" s="1"/>
  <c r="AL19" i="94"/>
  <c r="CR26" i="94"/>
  <c r="DE26" i="94"/>
  <c r="DK26" i="94" s="1"/>
  <c r="DP15" i="94"/>
  <c r="DP28" i="94" s="1"/>
  <c r="R16" i="94"/>
  <c r="AV16" i="94"/>
  <c r="AH17" i="94"/>
  <c r="AW17" i="94"/>
  <c r="AT19" i="94"/>
  <c r="AJ19" i="94"/>
  <c r="AW19" i="94"/>
  <c r="AS19" i="94"/>
  <c r="AI19" i="94"/>
  <c r="AV19" i="94"/>
  <c r="AV21" i="94"/>
  <c r="AR21" i="94"/>
  <c r="AL21" i="94"/>
  <c r="AH21" i="94"/>
  <c r="AS21" i="94"/>
  <c r="AK21" i="94"/>
  <c r="AU21" i="94"/>
  <c r="AI21" i="94"/>
  <c r="AW21" i="94"/>
  <c r="AQ21" i="94"/>
  <c r="AJ21" i="94"/>
  <c r="X24" i="94"/>
  <c r="Y24" i="94"/>
  <c r="Z24" i="94" s="1"/>
  <c r="AD24" i="94" s="1"/>
  <c r="AH16" i="94"/>
  <c r="AW16" i="94"/>
  <c r="AI17" i="94"/>
  <c r="J18" i="94"/>
  <c r="R19" i="94"/>
  <c r="M19" i="94"/>
  <c r="I19" i="94"/>
  <c r="AH19" i="94"/>
  <c r="AQ19" i="94"/>
  <c r="BX19" i="94"/>
  <c r="J21" i="94"/>
  <c r="M21" i="94"/>
  <c r="N17" i="94"/>
  <c r="J17" i="94"/>
  <c r="AU17" i="94"/>
  <c r="AQ17" i="94"/>
  <c r="AK17" i="94"/>
  <c r="AT17" i="94"/>
  <c r="AJ17" i="94"/>
  <c r="AL17" i="94"/>
  <c r="AS17" i="94"/>
  <c r="Q18" i="94"/>
  <c r="L18" i="94"/>
  <c r="P18" i="94" s="1"/>
  <c r="AW22" i="94"/>
  <c r="AS22" i="94"/>
  <c r="AI22" i="94"/>
  <c r="DJ28" i="94"/>
  <c r="EE28" i="94"/>
  <c r="BL28" i="94"/>
  <c r="CF16" i="94"/>
  <c r="BP28" i="94"/>
  <c r="X21" i="94"/>
  <c r="AL22" i="94"/>
  <c r="AT22" i="94"/>
  <c r="AU23" i="94"/>
  <c r="AQ23" i="94"/>
  <c r="AK23" i="94"/>
  <c r="AW23" i="94"/>
  <c r="AS23" i="94"/>
  <c r="AI23" i="94"/>
  <c r="AL23" i="94"/>
  <c r="AV23" i="94"/>
  <c r="BE26" i="94"/>
  <c r="BA26" i="94"/>
  <c r="BD26" i="94"/>
  <c r="AZ26" i="94"/>
  <c r="BG26" i="94"/>
  <c r="BC26" i="94"/>
  <c r="BF26" i="94"/>
  <c r="BB26" i="94"/>
  <c r="AK22" i="94"/>
  <c r="AR22" i="94"/>
  <c r="R23" i="94"/>
  <c r="M23" i="94"/>
  <c r="I23" i="94"/>
  <c r="BM28" i="94"/>
  <c r="R22" i="94"/>
  <c r="M22" i="94"/>
  <c r="I22" i="94"/>
  <c r="AH22" i="94"/>
  <c r="AU22" i="94"/>
  <c r="AU25" i="94"/>
  <c r="AQ25" i="94"/>
  <c r="AK25" i="94"/>
  <c r="AT25" i="94"/>
  <c r="AJ25" i="94"/>
  <c r="AW25" i="94"/>
  <c r="AS25" i="94"/>
  <c r="AI25" i="94"/>
  <c r="AV25" i="94"/>
  <c r="AR25" i="94"/>
  <c r="AL25" i="94"/>
  <c r="AH25" i="94"/>
  <c r="I24" i="94"/>
  <c r="M24" i="94"/>
  <c r="AI24" i="94"/>
  <c r="AS24" i="94"/>
  <c r="AW24" i="94"/>
  <c r="L25" i="94"/>
  <c r="P25" i="94" s="1"/>
  <c r="L26" i="94"/>
  <c r="P26" i="94" s="1"/>
  <c r="AJ26" i="94"/>
  <c r="AT26" i="94"/>
  <c r="AJ24" i="94"/>
  <c r="AT24" i="94"/>
  <c r="AK26" i="94"/>
  <c r="AQ26" i="94"/>
  <c r="AU26" i="94"/>
  <c r="AK24" i="94"/>
  <c r="AQ24" i="94"/>
  <c r="AU24" i="94"/>
  <c r="J25" i="94"/>
  <c r="J26" i="94"/>
  <c r="AH26" i="94"/>
  <c r="AL26" i="94"/>
  <c r="AR26" i="94"/>
  <c r="AV26" i="94"/>
  <c r="AH24" i="94"/>
  <c r="AL24" i="94"/>
  <c r="AR24" i="94"/>
  <c r="AI26" i="94"/>
  <c r="AS26" i="94"/>
  <c r="W15" i="83"/>
  <c r="CB15" i="83"/>
  <c r="BP18" i="83"/>
  <c r="BL18" i="83"/>
  <c r="BH18" i="83"/>
  <c r="BS18" i="83"/>
  <c r="BO18" i="83"/>
  <c r="BK18" i="83"/>
  <c r="BG18" i="83"/>
  <c r="BR18" i="83"/>
  <c r="BJ18" i="83"/>
  <c r="BF18" i="83"/>
  <c r="BQ18" i="83"/>
  <c r="BI18" i="83"/>
  <c r="P21" i="83"/>
  <c r="K21" i="83"/>
  <c r="O21" i="83" s="1"/>
  <c r="CU21" i="83"/>
  <c r="CV21" i="83" s="1"/>
  <c r="BP15" i="83"/>
  <c r="BL15" i="83"/>
  <c r="BH15" i="83"/>
  <c r="BS15" i="83"/>
  <c r="BO15" i="83"/>
  <c r="BK15" i="83"/>
  <c r="BG15" i="83"/>
  <c r="BR15" i="83"/>
  <c r="BJ15" i="83"/>
  <c r="BF15" i="83"/>
  <c r="BQ15" i="83"/>
  <c r="BI15" i="83"/>
  <c r="DP26" i="83"/>
  <c r="CV18" i="83"/>
  <c r="CU25" i="83"/>
  <c r="CO16" i="83"/>
  <c r="CP16" i="83" s="1"/>
  <c r="CO17" i="83"/>
  <c r="CP17" i="83" s="1"/>
  <c r="BG21" i="83"/>
  <c r="BK21" i="83"/>
  <c r="BO21" i="83"/>
  <c r="BS21" i="83"/>
  <c r="DP15" i="83"/>
  <c r="DP25" i="83" s="1"/>
  <c r="K18" i="83"/>
  <c r="O18" i="83" s="1"/>
  <c r="P18" i="83"/>
  <c r="I21" i="83"/>
  <c r="BH21" i="83"/>
  <c r="BL21" i="83"/>
  <c r="BP21" i="83"/>
  <c r="K24" i="83"/>
  <c r="O24" i="83" s="1"/>
  <c r="X24" i="83"/>
  <c r="Y24" i="83" s="1"/>
  <c r="BI21" i="83"/>
  <c r="BQ21" i="83"/>
  <c r="CV15" i="83"/>
  <c r="I18" i="83"/>
  <c r="BF21" i="83"/>
  <c r="BJ21" i="83"/>
  <c r="I24" i="83"/>
  <c r="V24" i="83" s="1"/>
  <c r="W24" i="83" s="1"/>
  <c r="P15" i="97"/>
  <c r="O15" i="97" s="1"/>
  <c r="K15" i="97"/>
  <c r="AC15" i="97" s="1"/>
  <c r="AD15" i="97" s="1"/>
  <c r="BE15" i="97"/>
  <c r="BH15" i="97"/>
  <c r="BH16" i="97" s="1"/>
  <c r="BG15" i="97"/>
  <c r="BG16" i="97" s="1"/>
  <c r="BF15" i="97"/>
  <c r="DT18" i="99"/>
  <c r="DU18" i="99" s="1"/>
  <c r="EO18" i="99"/>
  <c r="P27" i="99"/>
  <c r="O27" i="99" s="1"/>
  <c r="K27" i="99"/>
  <c r="DT30" i="99"/>
  <c r="DU30" i="99" s="1"/>
  <c r="EO30" i="99"/>
  <c r="DT27" i="99"/>
  <c r="DU27" i="99" s="1"/>
  <c r="EO27" i="99"/>
  <c r="EO32" i="99"/>
  <c r="CH18" i="99"/>
  <c r="CC18" i="99"/>
  <c r="CG18" i="99" s="1"/>
  <c r="CH21" i="99"/>
  <c r="CC21" i="99"/>
  <c r="CG21" i="99" s="1"/>
  <c r="DT21" i="99"/>
  <c r="DU21" i="99" s="1"/>
  <c r="EO21" i="99"/>
  <c r="DP15" i="99"/>
  <c r="M24" i="99"/>
  <c r="AA24" i="99" s="1"/>
  <c r="AB24" i="99" s="1"/>
  <c r="AH24" i="99" s="1"/>
  <c r="AO24" i="99" s="1"/>
  <c r="CC15" i="99"/>
  <c r="CG15" i="99" s="1"/>
  <c r="CC24" i="99"/>
  <c r="CG24" i="99" s="1"/>
  <c r="CQ24" i="99"/>
  <c r="CR24" i="99" s="1"/>
  <c r="CR33" i="99" s="1"/>
  <c r="DI24" i="99"/>
  <c r="DP24" i="99" s="1"/>
  <c r="CC27" i="99"/>
  <c r="K30" i="99"/>
  <c r="O30" i="99" s="1"/>
  <c r="CC30" i="99"/>
  <c r="CH30" i="99"/>
  <c r="CG30" i="99" s="1"/>
  <c r="K32" i="99"/>
  <c r="CD32" i="99"/>
  <c r="DT32" i="99" s="1"/>
  <c r="DU32" i="99" s="1"/>
  <c r="CE27" i="99"/>
  <c r="M32" i="99"/>
  <c r="BR25" i="83" l="1"/>
  <c r="BM18" i="83"/>
  <c r="EM28" i="94"/>
  <c r="EN15" i="94"/>
  <c r="BI25" i="83"/>
  <c r="BM21" i="83"/>
  <c r="CV25" i="83"/>
  <c r="BG25" i="83"/>
  <c r="BT18" i="83"/>
  <c r="AX22" i="94"/>
  <c r="AM23" i="94"/>
  <c r="AX18" i="94"/>
  <c r="AS38" i="79"/>
  <c r="DE26" i="74"/>
  <c r="DF26" i="74" s="1"/>
  <c r="DE29" i="74"/>
  <c r="DF29" i="74" s="1"/>
  <c r="AQ33" i="74"/>
  <c r="AR16" i="74"/>
  <c r="DA23" i="74"/>
  <c r="CT33" i="74"/>
  <c r="DA34" i="74" s="1"/>
  <c r="DE32" i="74"/>
  <c r="DF32" i="74" s="1"/>
  <c r="CK33" i="74"/>
  <c r="BH31" i="79"/>
  <c r="BH34" i="79"/>
  <c r="BW38" i="79"/>
  <c r="BX37" i="79"/>
  <c r="AT38" i="79"/>
  <c r="AM38" i="79"/>
  <c r="AN15" i="79"/>
  <c r="AN38" i="79" s="1"/>
  <c r="BH28" i="79"/>
  <c r="AR38" i="79"/>
  <c r="AQ38" i="79"/>
  <c r="BH21" i="79"/>
  <c r="AU38" i="79"/>
  <c r="AK30" i="82"/>
  <c r="AR30" i="82"/>
  <c r="AS15" i="82"/>
  <c r="CQ20" i="87"/>
  <c r="CR20" i="87" s="1"/>
  <c r="DL20" i="87"/>
  <c r="DL27" i="87" s="1"/>
  <c r="BR15" i="88"/>
  <c r="BK22" i="88"/>
  <c r="BK23" i="88" s="1"/>
  <c r="DL18" i="88"/>
  <c r="CQ18" i="88"/>
  <c r="CR18" i="88" s="1"/>
  <c r="W21" i="95"/>
  <c r="U21" i="95"/>
  <c r="X21" i="95" s="1"/>
  <c r="AZ21" i="95"/>
  <c r="W14" i="95"/>
  <c r="U14" i="95"/>
  <c r="AZ14" i="95"/>
  <c r="CD19" i="95"/>
  <c r="BL19" i="95"/>
  <c r="BF19" i="95"/>
  <c r="BB19" i="95"/>
  <c r="BO19" i="95"/>
  <c r="BK19" i="95"/>
  <c r="BE19" i="95"/>
  <c r="BA19" i="95"/>
  <c r="CE19" i="95"/>
  <c r="BM19" i="95"/>
  <c r="BC19" i="95"/>
  <c r="CF19" i="95"/>
  <c r="BN19" i="95"/>
  <c r="BD19" i="95"/>
  <c r="W15" i="95"/>
  <c r="U15" i="95"/>
  <c r="X15" i="95" s="1"/>
  <c r="AB15" i="95" s="1"/>
  <c r="AC15" i="95" s="1"/>
  <c r="CN15" i="95"/>
  <c r="CO15" i="95" s="1"/>
  <c r="CX24" i="95"/>
  <c r="DE24" i="95" s="1"/>
  <c r="CJ24" i="95"/>
  <c r="AB18" i="95"/>
  <c r="AC18" i="95" s="1"/>
  <c r="W16" i="95"/>
  <c r="U16" i="95"/>
  <c r="X20" i="95"/>
  <c r="W17" i="95"/>
  <c r="U17" i="95"/>
  <c r="AB19" i="95"/>
  <c r="AC19" i="95" s="1"/>
  <c r="DK25" i="95"/>
  <c r="CF20" i="95"/>
  <c r="BN20" i="95"/>
  <c r="BD20" i="95"/>
  <c r="CE20" i="95"/>
  <c r="BM20" i="95"/>
  <c r="BC20" i="95"/>
  <c r="CD20" i="95"/>
  <c r="BL20" i="95"/>
  <c r="BF20" i="95"/>
  <c r="BB20" i="95"/>
  <c r="BO20" i="95"/>
  <c r="BK20" i="95"/>
  <c r="BE20" i="95"/>
  <c r="BA20" i="95"/>
  <c r="AX24" i="94"/>
  <c r="AM25" i="94"/>
  <c r="AX21" i="94"/>
  <c r="AM22" i="94"/>
  <c r="AX23" i="94"/>
  <c r="AY23" i="94" s="1"/>
  <c r="AM19" i="94"/>
  <c r="L17" i="94"/>
  <c r="P17" i="94" s="1"/>
  <c r="N19" i="94"/>
  <c r="J19" i="94"/>
  <c r="BD21" i="94"/>
  <c r="AZ21" i="94"/>
  <c r="BC21" i="94"/>
  <c r="BF21" i="94"/>
  <c r="BA21" i="94"/>
  <c r="BG21" i="94"/>
  <c r="BB21" i="94"/>
  <c r="BE21" i="94"/>
  <c r="EF26" i="94"/>
  <c r="DO26" i="94"/>
  <c r="DP26" i="94" s="1"/>
  <c r="Q24" i="94"/>
  <c r="L24" i="94"/>
  <c r="BG25" i="94"/>
  <c r="BC25" i="94"/>
  <c r="BF25" i="94"/>
  <c r="BB25" i="94"/>
  <c r="BE25" i="94"/>
  <c r="BA25" i="94"/>
  <c r="BD25" i="94"/>
  <c r="AZ25" i="94"/>
  <c r="AX25" i="94"/>
  <c r="AY25" i="94" s="1"/>
  <c r="AX17" i="94"/>
  <c r="Q19" i="94"/>
  <c r="L19" i="94"/>
  <c r="BG16" i="94"/>
  <c r="BC16" i="94"/>
  <c r="BF16" i="94"/>
  <c r="BB16" i="94"/>
  <c r="AZ16" i="94"/>
  <c r="BE16" i="94"/>
  <c r="BD16" i="94"/>
  <c r="BA16" i="94"/>
  <c r="AM21" i="94"/>
  <c r="AY21" i="94" s="1"/>
  <c r="BG17" i="94"/>
  <c r="BC17" i="94"/>
  <c r="BF17" i="94"/>
  <c r="BB17" i="94"/>
  <c r="BA17" i="94"/>
  <c r="AZ17" i="94"/>
  <c r="BE17" i="94"/>
  <c r="BD17" i="94"/>
  <c r="AM18" i="94"/>
  <c r="AM24" i="94"/>
  <c r="AY24" i="94" s="1"/>
  <c r="AM26" i="94"/>
  <c r="AX26" i="94"/>
  <c r="BD24" i="94"/>
  <c r="AZ24" i="94"/>
  <c r="BG24" i="94"/>
  <c r="BC24" i="94"/>
  <c r="BF24" i="94"/>
  <c r="BB24" i="94"/>
  <c r="BE24" i="94"/>
  <c r="BA24" i="94"/>
  <c r="N24" i="94"/>
  <c r="J24" i="94"/>
  <c r="N22" i="94"/>
  <c r="J22" i="94"/>
  <c r="N23" i="94"/>
  <c r="J23" i="94"/>
  <c r="Q21" i="94"/>
  <c r="L21" i="94"/>
  <c r="P21" i="94" s="1"/>
  <c r="AX19" i="94"/>
  <c r="AM16" i="94"/>
  <c r="BF19" i="94"/>
  <c r="BB19" i="94"/>
  <c r="BE19" i="94"/>
  <c r="BA19" i="94"/>
  <c r="AZ19" i="94"/>
  <c r="BG19" i="94"/>
  <c r="BD19" i="94"/>
  <c r="BC19" i="94"/>
  <c r="AM17" i="94"/>
  <c r="AY17" i="94" s="1"/>
  <c r="N16" i="94"/>
  <c r="P16" i="94" s="1"/>
  <c r="J16" i="94"/>
  <c r="Q22" i="94"/>
  <c r="L22" i="94"/>
  <c r="Q23" i="94"/>
  <c r="L23" i="94"/>
  <c r="P23" i="94" s="1"/>
  <c r="BH26" i="94"/>
  <c r="BG23" i="94"/>
  <c r="BC23" i="94"/>
  <c r="BE23" i="94"/>
  <c r="BA23" i="94"/>
  <c r="BF23" i="94"/>
  <c r="BB23" i="94"/>
  <c r="BD23" i="94"/>
  <c r="AZ23" i="94"/>
  <c r="BE22" i="94"/>
  <c r="BA22" i="94"/>
  <c r="BF22" i="94"/>
  <c r="AZ22" i="94"/>
  <c r="BC22" i="94"/>
  <c r="BD22" i="94"/>
  <c r="BG22" i="94"/>
  <c r="BB22" i="94"/>
  <c r="AX16" i="94"/>
  <c r="BE18" i="94"/>
  <c r="BA18" i="94"/>
  <c r="BD18" i="94"/>
  <c r="AZ18" i="94"/>
  <c r="BC18" i="94"/>
  <c r="BB18" i="94"/>
  <c r="BG18" i="94"/>
  <c r="BF18" i="94"/>
  <c r="BM15" i="83"/>
  <c r="AD18" i="83"/>
  <c r="AE18" i="83" s="1"/>
  <c r="AK18" i="83" s="1"/>
  <c r="AR18" i="83" s="1"/>
  <c r="AS18" i="83" s="1"/>
  <c r="BN18" i="83" s="1"/>
  <c r="BU18" i="83" s="1"/>
  <c r="BF25" i="83"/>
  <c r="BK25" i="83"/>
  <c r="BL25" i="83"/>
  <c r="BJ25" i="83"/>
  <c r="BT15" i="83"/>
  <c r="BO25" i="83"/>
  <c r="BP25" i="83"/>
  <c r="AD21" i="83"/>
  <c r="AE21" i="83" s="1"/>
  <c r="AK21" i="83" s="1"/>
  <c r="AR21" i="83" s="1"/>
  <c r="AS21" i="83" s="1"/>
  <c r="BN21" i="83" s="1"/>
  <c r="CB25" i="83"/>
  <c r="CC15" i="83"/>
  <c r="Z24" i="83"/>
  <c r="BS25" i="83"/>
  <c r="V25" i="83"/>
  <c r="BT21" i="83"/>
  <c r="BQ25" i="83"/>
  <c r="BH25" i="83"/>
  <c r="W25" i="83"/>
  <c r="Z15" i="83"/>
  <c r="AP15" i="97"/>
  <c r="AL15" i="97"/>
  <c r="AO15" i="97"/>
  <c r="AK15" i="97"/>
  <c r="AN15" i="97"/>
  <c r="AJ15" i="97"/>
  <c r="AM15" i="97"/>
  <c r="EO24" i="99"/>
  <c r="DT24" i="99"/>
  <c r="DU24" i="99" s="1"/>
  <c r="DT15" i="99"/>
  <c r="DU15" i="99" s="1"/>
  <c r="DP33" i="99"/>
  <c r="EO34" i="99" s="1"/>
  <c r="EO15" i="99"/>
  <c r="CQ32" i="99"/>
  <c r="CR32" i="99" s="1"/>
  <c r="CC32" i="99"/>
  <c r="CG32" i="99" s="1"/>
  <c r="CH32" i="99"/>
  <c r="DI33" i="99"/>
  <c r="DP34" i="99" s="1"/>
  <c r="EO33" i="99" l="1"/>
  <c r="CI20" i="95"/>
  <c r="AY18" i="94"/>
  <c r="AY22" i="94"/>
  <c r="EO15" i="94"/>
  <c r="EN28" i="94"/>
  <c r="X17" i="95"/>
  <c r="BH16" i="94"/>
  <c r="DE23" i="74"/>
  <c r="DF23" i="74" s="1"/>
  <c r="DA33" i="74"/>
  <c r="AR33" i="74"/>
  <c r="BM33" i="74" s="1"/>
  <c r="BM34" i="74" s="1"/>
  <c r="BM16" i="74"/>
  <c r="BX38" i="79"/>
  <c r="BY37" i="79"/>
  <c r="BH38" i="79"/>
  <c r="AS30" i="82"/>
  <c r="BN15" i="82"/>
  <c r="CF15" i="88"/>
  <c r="BR22" i="88"/>
  <c r="CF24" i="88" s="1"/>
  <c r="BV15" i="88"/>
  <c r="BW15" i="88" s="1"/>
  <c r="BW22" i="88" s="1"/>
  <c r="AV19" i="95"/>
  <c r="AR19" i="95"/>
  <c r="AN19" i="95"/>
  <c r="AJ19" i="95"/>
  <c r="AU19" i="95"/>
  <c r="AM19" i="95"/>
  <c r="AI19" i="95"/>
  <c r="AS19" i="95"/>
  <c r="AO19" i="95"/>
  <c r="AK19" i="95"/>
  <c r="AL19" i="95"/>
  <c r="AT19" i="95"/>
  <c r="AB17" i="95"/>
  <c r="AC17" i="95" s="1"/>
  <c r="CB19" i="95"/>
  <c r="CB20" i="95"/>
  <c r="AT18" i="95"/>
  <c r="AR18" i="95"/>
  <c r="AM18" i="95"/>
  <c r="AI18" i="95"/>
  <c r="AV18" i="95"/>
  <c r="AL18" i="95"/>
  <c r="AU18" i="95"/>
  <c r="AO18" i="95"/>
  <c r="AK18" i="95"/>
  <c r="AS18" i="95"/>
  <c r="AN18" i="95"/>
  <c r="AJ18" i="95"/>
  <c r="CI19" i="95"/>
  <c r="CE21" i="95"/>
  <c r="CE25" i="95" s="1"/>
  <c r="BM21" i="95"/>
  <c r="BM25" i="95" s="1"/>
  <c r="BC21" i="95"/>
  <c r="CD21" i="95"/>
  <c r="BL21" i="95"/>
  <c r="BL25" i="95" s="1"/>
  <c r="BF21" i="95"/>
  <c r="BB21" i="95"/>
  <c r="BO21" i="95"/>
  <c r="BO25" i="95" s="1"/>
  <c r="BK21" i="95"/>
  <c r="BE21" i="95"/>
  <c r="BA21" i="95"/>
  <c r="CF21" i="95"/>
  <c r="CF25" i="95" s="1"/>
  <c r="BN21" i="95"/>
  <c r="BN25" i="95" s="1"/>
  <c r="BD21" i="95"/>
  <c r="AB20" i="95"/>
  <c r="AC20" i="95" s="1"/>
  <c r="AB21" i="95"/>
  <c r="AC21" i="95" s="1"/>
  <c r="AJ15" i="95"/>
  <c r="AI15" i="95"/>
  <c r="BC14" i="95"/>
  <c r="BF14" i="95"/>
  <c r="BB14" i="95"/>
  <c r="BE14" i="95"/>
  <c r="BA14" i="95"/>
  <c r="BD14" i="95"/>
  <c r="X16" i="95"/>
  <c r="X14" i="95"/>
  <c r="BH23" i="94"/>
  <c r="BI23" i="94" s="1"/>
  <c r="CG23" i="94" s="1"/>
  <c r="DE23" i="94" s="1"/>
  <c r="DK23" i="94" s="1"/>
  <c r="DO23" i="94" s="1"/>
  <c r="DP23" i="94" s="1"/>
  <c r="AY19" i="94"/>
  <c r="BH19" i="94"/>
  <c r="AY26" i="94"/>
  <c r="P19" i="94"/>
  <c r="BH18" i="94"/>
  <c r="BI18" i="94" s="1"/>
  <c r="CG18" i="94" s="1"/>
  <c r="DE18" i="94" s="1"/>
  <c r="DK18" i="94" s="1"/>
  <c r="P22" i="94"/>
  <c r="BH21" i="94"/>
  <c r="BI21" i="94" s="1"/>
  <c r="CG21" i="94" s="1"/>
  <c r="DE21" i="94" s="1"/>
  <c r="DK21" i="94" s="1"/>
  <c r="EF21" i="94" s="1"/>
  <c r="BH22" i="94"/>
  <c r="BI22" i="94" s="1"/>
  <c r="CG22" i="94" s="1"/>
  <c r="DE22" i="94" s="1"/>
  <c r="DK22" i="94" s="1"/>
  <c r="BG28" i="94"/>
  <c r="FE26" i="94"/>
  <c r="EJ26" i="94"/>
  <c r="EK26" i="94" s="1"/>
  <c r="AY16" i="94"/>
  <c r="BI16" i="94" s="1"/>
  <c r="BH24" i="94"/>
  <c r="BI24" i="94" s="1"/>
  <c r="CG24" i="94" s="1"/>
  <c r="DE24" i="94" s="1"/>
  <c r="DK24" i="94" s="1"/>
  <c r="BH25" i="94"/>
  <c r="BI25" i="94" s="1"/>
  <c r="CG25" i="94" s="1"/>
  <c r="P24" i="94"/>
  <c r="BH17" i="94"/>
  <c r="BT25" i="83"/>
  <c r="BM25" i="83"/>
  <c r="BU21" i="83"/>
  <c r="BU25" i="83" s="1"/>
  <c r="BY18" i="83"/>
  <c r="BZ18" i="83" s="1"/>
  <c r="CA18" i="83" s="1"/>
  <c r="AD24" i="83"/>
  <c r="AE24" i="83" s="1"/>
  <c r="AK24" i="83" s="1"/>
  <c r="Z25" i="83"/>
  <c r="AD15" i="83"/>
  <c r="AE15" i="83" s="1"/>
  <c r="AK15" i="83" s="1"/>
  <c r="CC25" i="83"/>
  <c r="CD15" i="83"/>
  <c r="AQ15" i="97"/>
  <c r="AR15" i="97" s="1"/>
  <c r="AW15" i="97"/>
  <c r="AV15" i="97"/>
  <c r="AU15" i="97"/>
  <c r="BH28" i="94" l="1"/>
  <c r="EF23" i="94"/>
  <c r="AP15" i="95"/>
  <c r="EP15" i="94"/>
  <c r="EO28" i="94"/>
  <c r="BI17" i="94"/>
  <c r="CG17" i="94" s="1"/>
  <c r="DE17" i="94" s="1"/>
  <c r="DK17" i="94" s="1"/>
  <c r="EF17" i="94" s="1"/>
  <c r="FE17" i="94" s="1"/>
  <c r="BG19" i="95"/>
  <c r="DE33" i="74"/>
  <c r="BY38" i="79"/>
  <c r="BZ37" i="79"/>
  <c r="BN30" i="82"/>
  <c r="BN31" i="82" s="1"/>
  <c r="CG15" i="82"/>
  <c r="CG30" i="82" s="1"/>
  <c r="CF22" i="88"/>
  <c r="CM23" i="88" s="1"/>
  <c r="DL23" i="88" s="1"/>
  <c r="CM15" i="88"/>
  <c r="AB16" i="95"/>
  <c r="AC16" i="95" s="1"/>
  <c r="CI21" i="95"/>
  <c r="CD25" i="95"/>
  <c r="BF26" i="95"/>
  <c r="AT20" i="95"/>
  <c r="AL20" i="95"/>
  <c r="AS20" i="95"/>
  <c r="AO20" i="95"/>
  <c r="AK20" i="95"/>
  <c r="AV20" i="95"/>
  <c r="AU20" i="95"/>
  <c r="AM20" i="95"/>
  <c r="AI20" i="95"/>
  <c r="AJ20" i="95"/>
  <c r="AR20" i="95"/>
  <c r="AN20" i="95"/>
  <c r="CI25" i="95"/>
  <c r="AP18" i="95"/>
  <c r="AQ18" i="95" s="1"/>
  <c r="AP19" i="95"/>
  <c r="AQ19" i="95" s="1"/>
  <c r="BH19" i="95" s="1"/>
  <c r="CC19" i="95" s="1"/>
  <c r="CJ19" i="95" s="1"/>
  <c r="AB14" i="95"/>
  <c r="AC14" i="95" s="1"/>
  <c r="AS21" i="95"/>
  <c r="AO21" i="95"/>
  <c r="AK21" i="95"/>
  <c r="AV21" i="95"/>
  <c r="AR21" i="95"/>
  <c r="AN21" i="95"/>
  <c r="AJ21" i="95"/>
  <c r="AU21" i="95"/>
  <c r="AM21" i="95"/>
  <c r="AI21" i="95"/>
  <c r="AT21" i="95"/>
  <c r="AL21" i="95"/>
  <c r="CB21" i="95"/>
  <c r="CB25" i="95" s="1"/>
  <c r="BG18" i="95"/>
  <c r="BK25" i="95"/>
  <c r="AO17" i="95"/>
  <c r="AK17" i="95"/>
  <c r="AR17" i="95"/>
  <c r="BG17" i="95" s="1"/>
  <c r="AN17" i="95"/>
  <c r="AJ17" i="95"/>
  <c r="AM17" i="95"/>
  <c r="AI17" i="95"/>
  <c r="AL17" i="95"/>
  <c r="BI19" i="94"/>
  <c r="CG19" i="94" s="1"/>
  <c r="DE19" i="94" s="1"/>
  <c r="DK19" i="94" s="1"/>
  <c r="EF19" i="94" s="1"/>
  <c r="FE21" i="94"/>
  <c r="EF18" i="94"/>
  <c r="FE18" i="94" s="1"/>
  <c r="DO18" i="94"/>
  <c r="DP18" i="94" s="1"/>
  <c r="FE23" i="94"/>
  <c r="EF24" i="94"/>
  <c r="DO24" i="94"/>
  <c r="DP24" i="94" s="1"/>
  <c r="DE25" i="94"/>
  <c r="DK25" i="94" s="1"/>
  <c r="EF22" i="94"/>
  <c r="DO22" i="94"/>
  <c r="DP22" i="94" s="1"/>
  <c r="CG16" i="94"/>
  <c r="DE16" i="94" s="1"/>
  <c r="AR24" i="83"/>
  <c r="AS24" i="83" s="1"/>
  <c r="BN24" i="83" s="1"/>
  <c r="BD24" i="83"/>
  <c r="BE24" i="83" s="1"/>
  <c r="AR15" i="83"/>
  <c r="AK25" i="83"/>
  <c r="BY21" i="83"/>
  <c r="BZ21" i="83" s="1"/>
  <c r="CA21" i="83" s="1"/>
  <c r="CH21" i="83" s="1"/>
  <c r="CI21" i="83" s="1"/>
  <c r="CP21" i="83" s="1"/>
  <c r="CH18" i="83"/>
  <c r="CI18" i="83" s="1"/>
  <c r="CP18" i="83" s="1"/>
  <c r="CA25" i="83"/>
  <c r="CD25" i="83"/>
  <c r="CE15" i="83"/>
  <c r="BL15" i="97"/>
  <c r="BL16" i="97" s="1"/>
  <c r="EQ15" i="94" l="1"/>
  <c r="ER15" i="94" s="1"/>
  <c r="EP28" i="94"/>
  <c r="BH18" i="95"/>
  <c r="CC18" i="95" s="1"/>
  <c r="CJ18" i="95" s="1"/>
  <c r="CN18" i="95" s="1"/>
  <c r="CO18" i="95" s="1"/>
  <c r="BZ38" i="79"/>
  <c r="CA37" i="79"/>
  <c r="CQ15" i="88"/>
  <c r="CR15" i="88" s="1"/>
  <c r="DL15" i="88"/>
  <c r="DL22" i="88" s="1"/>
  <c r="CM22" i="88"/>
  <c r="CX18" i="95"/>
  <c r="DE18" i="95" s="1"/>
  <c r="BG21" i="95"/>
  <c r="AP20" i="95"/>
  <c r="AQ20" i="95" s="1"/>
  <c r="AS14" i="95"/>
  <c r="AO14" i="95"/>
  <c r="AK14" i="95"/>
  <c r="AV14" i="95"/>
  <c r="AR14" i="95"/>
  <c r="AN14" i="95"/>
  <c r="AJ14" i="95"/>
  <c r="AU14" i="95"/>
  <c r="AM14" i="95"/>
  <c r="AI14" i="95"/>
  <c r="AT14" i="95"/>
  <c r="AL14" i="95"/>
  <c r="AS16" i="95"/>
  <c r="AO16" i="95"/>
  <c r="AK16" i="95"/>
  <c r="AR16" i="95"/>
  <c r="AN16" i="95"/>
  <c r="AJ16" i="95"/>
  <c r="AM16" i="95"/>
  <c r="AI16" i="95"/>
  <c r="AP16" i="95" s="1"/>
  <c r="AQ16" i="95" s="1"/>
  <c r="AL16" i="95"/>
  <c r="AP17" i="95"/>
  <c r="AQ17" i="95" s="1"/>
  <c r="AP21" i="95"/>
  <c r="AQ21" i="95" s="1"/>
  <c r="BH21" i="95" s="1"/>
  <c r="CC21" i="95" s="1"/>
  <c r="CJ21" i="95" s="1"/>
  <c r="CX19" i="95"/>
  <c r="DE19" i="95" s="1"/>
  <c r="CN19" i="95"/>
  <c r="CO19" i="95" s="1"/>
  <c r="BG20" i="95"/>
  <c r="FE19" i="94"/>
  <c r="BI28" i="94"/>
  <c r="FE22" i="94"/>
  <c r="DE28" i="94"/>
  <c r="DK30" i="94" s="1"/>
  <c r="DK16" i="94"/>
  <c r="CG29" i="94"/>
  <c r="FE24" i="94"/>
  <c r="EF25" i="94"/>
  <c r="DO25" i="94"/>
  <c r="DP25" i="94" s="1"/>
  <c r="AR25" i="83"/>
  <c r="AS15" i="83"/>
  <c r="CF15" i="83"/>
  <c r="CE25" i="83"/>
  <c r="BM15" i="97"/>
  <c r="ES15" i="94" l="1"/>
  <c r="ET15" i="94" s="1"/>
  <c r="ER28" i="94"/>
  <c r="EQ28" i="94"/>
  <c r="FD15" i="94"/>
  <c r="FD28" i="94" s="1"/>
  <c r="BG16" i="95"/>
  <c r="CB37" i="79"/>
  <c r="CA38" i="79"/>
  <c r="CB40" i="79" s="1"/>
  <c r="BH20" i="95"/>
  <c r="CC20" i="95" s="1"/>
  <c r="CJ20" i="95" s="1"/>
  <c r="CX21" i="95"/>
  <c r="DE21" i="95" s="1"/>
  <c r="CN21" i="95"/>
  <c r="CO21" i="95" s="1"/>
  <c r="AP14" i="95"/>
  <c r="AQ14" i="95" s="1"/>
  <c r="BG14" i="95"/>
  <c r="BG26" i="95" s="1"/>
  <c r="FE25" i="94"/>
  <c r="DK28" i="94"/>
  <c r="EF30" i="94" s="1"/>
  <c r="EF16" i="94"/>
  <c r="CF25" i="83"/>
  <c r="CG15" i="83"/>
  <c r="AS25" i="83"/>
  <c r="BN25" i="83" s="1"/>
  <c r="BN26" i="83" s="1"/>
  <c r="BN15" i="83"/>
  <c r="BT15" i="97"/>
  <c r="BM16" i="97"/>
  <c r="BM17" i="97" s="1"/>
  <c r="ES28" i="94" l="1"/>
  <c r="ET28" i="94"/>
  <c r="FE30" i="94"/>
  <c r="BH14" i="95"/>
  <c r="BH26" i="95" s="1"/>
  <c r="CI37" i="79"/>
  <c r="CB38" i="79"/>
  <c r="CI39" i="79" s="1"/>
  <c r="CN20" i="95"/>
  <c r="CO20" i="95" s="1"/>
  <c r="CX20" i="95"/>
  <c r="DE20" i="95" s="1"/>
  <c r="EF28" i="94"/>
  <c r="FE16" i="94"/>
  <c r="FE28" i="94" s="1"/>
  <c r="CG25" i="83"/>
  <c r="CH15" i="83"/>
  <c r="BX15" i="97"/>
  <c r="BY15" i="97" s="1"/>
  <c r="BT16" i="97"/>
  <c r="CH18" i="97" s="1"/>
  <c r="CH15" i="97"/>
  <c r="CC14" i="95" l="1"/>
  <c r="CC25" i="95" s="1"/>
  <c r="CC26" i="95" s="1"/>
  <c r="DH37" i="79"/>
  <c r="DH38" i="79" s="1"/>
  <c r="CI38" i="79"/>
  <c r="DH39" i="79" s="1"/>
  <c r="CH25" i="83"/>
  <c r="CI30" i="83" s="1"/>
  <c r="CI15" i="83"/>
  <c r="CO15" i="97"/>
  <c r="CH16" i="97"/>
  <c r="CO16" i="97" s="1"/>
  <c r="DN16" i="97" s="1"/>
  <c r="CJ14" i="95" l="1"/>
  <c r="CJ25" i="95" s="1"/>
  <c r="CX27" i="95" s="1"/>
  <c r="CX14" i="95"/>
  <c r="CX25" i="95" s="1"/>
  <c r="DE26" i="95" s="1"/>
  <c r="CJ15" i="83"/>
  <c r="CI25" i="83"/>
  <c r="DN15" i="97"/>
  <c r="CS15" i="97"/>
  <c r="CT15" i="97" s="1"/>
  <c r="DE14" i="95" l="1"/>
  <c r="DE25" i="95" s="1"/>
  <c r="CJ25" i="83"/>
  <c r="CK15" i="83"/>
  <c r="CK25" i="83" l="1"/>
  <c r="CL15" i="83"/>
  <c r="CL25" i="83" l="1"/>
  <c r="CM15" i="83"/>
  <c r="CN15" i="83" l="1"/>
  <c r="CM25" i="83"/>
  <c r="CN25" i="83" l="1"/>
  <c r="CO15" i="83"/>
  <c r="CO25" i="83" l="1"/>
  <c r="CP26" i="83" s="1"/>
  <c r="CP15" i="83"/>
  <c r="CP25" i="83" s="1"/>
  <c r="CQ26" i="83" s="1"/>
  <c r="CR20" i="93" l="1"/>
  <c r="CR21" i="93"/>
  <c r="CR22" i="93"/>
  <c r="CR23" i="93"/>
  <c r="CR24" i="93"/>
  <c r="CR25" i="93"/>
  <c r="CR26" i="93"/>
  <c r="CR27" i="93"/>
  <c r="CR28" i="93"/>
  <c r="CR29" i="93"/>
  <c r="CR30" i="93"/>
  <c r="CR31" i="93"/>
  <c r="CR32" i="93"/>
  <c r="CR33" i="93"/>
  <c r="CR34" i="93"/>
  <c r="CR35" i="93"/>
  <c r="CR36" i="93"/>
  <c r="CR37" i="93"/>
  <c r="CR38" i="93"/>
  <c r="CR39" i="93"/>
  <c r="CR40" i="93"/>
  <c r="CR41" i="93"/>
  <c r="CR42" i="93"/>
  <c r="CR43" i="93"/>
  <c r="CR44" i="93"/>
  <c r="CR45" i="93"/>
  <c r="CR46" i="93"/>
  <c r="CR47" i="93"/>
  <c r="CR48" i="93"/>
  <c r="CR49" i="93"/>
  <c r="CR50" i="93"/>
  <c r="CP19" i="90"/>
  <c r="CP16" i="90"/>
  <c r="CQ23" i="85"/>
  <c r="CQ22" i="85"/>
  <c r="CQ21" i="85"/>
  <c r="CQ18" i="85"/>
  <c r="CS18" i="84"/>
  <c r="CS15" i="84"/>
  <c r="CT72" i="81"/>
  <c r="CT69" i="81"/>
  <c r="CT68" i="81"/>
  <c r="CT65" i="81"/>
  <c r="CT62" i="81"/>
  <c r="CT61" i="81"/>
  <c r="CT60" i="81"/>
  <c r="CT57" i="81"/>
  <c r="CT56" i="81"/>
  <c r="CT55" i="81"/>
  <c r="CT52" i="81"/>
  <c r="CT49" i="81"/>
  <c r="CT40" i="81"/>
  <c r="CT41" i="81"/>
  <c r="CT42" i="81"/>
  <c r="CT43" i="81"/>
  <c r="CT44" i="81"/>
  <c r="CT45" i="81"/>
  <c r="CT46" i="81"/>
  <c r="CT39" i="81"/>
  <c r="CT34" i="81"/>
  <c r="CT31" i="81"/>
  <c r="CT28" i="81"/>
  <c r="CT25" i="81"/>
  <c r="CT22" i="81"/>
  <c r="CT19" i="81"/>
  <c r="CT16" i="81"/>
  <c r="CT15" i="81"/>
  <c r="BW29" i="80"/>
  <c r="BW26" i="80"/>
  <c r="BW25" i="80"/>
  <c r="BW22" i="80"/>
  <c r="BW19" i="80"/>
  <c r="BW18" i="80"/>
  <c r="BW15" i="80"/>
  <c r="DN15" i="92"/>
  <c r="J21" i="85"/>
  <c r="DL22" i="85"/>
  <c r="DL23" i="85"/>
  <c r="DL18" i="85"/>
  <c r="DL15" i="85"/>
  <c r="J72" i="81"/>
  <c r="J49" i="81"/>
  <c r="J34" i="81"/>
  <c r="I34" i="81" s="1"/>
  <c r="H34" i="81"/>
  <c r="J22" i="81"/>
  <c r="DL24" i="85" l="1"/>
  <c r="BY34" i="81"/>
  <c r="BY15" i="81"/>
  <c r="BY16" i="81"/>
  <c r="BY19" i="81"/>
  <c r="BY22" i="81"/>
  <c r="BY25" i="81"/>
  <c r="BY28" i="81"/>
  <c r="BY31" i="81"/>
  <c r="BY39" i="81"/>
  <c r="BY40" i="81"/>
  <c r="BY41" i="81"/>
  <c r="BY42" i="81"/>
  <c r="BY43" i="81"/>
  <c r="BY44" i="81"/>
  <c r="BY45" i="81"/>
  <c r="BY46" i="81"/>
  <c r="BY49" i="81"/>
  <c r="BY52" i="81"/>
  <c r="BY55" i="81"/>
  <c r="BY56" i="81"/>
  <c r="BY57" i="81"/>
  <c r="BY60" i="81"/>
  <c r="BY61" i="81"/>
  <c r="BY62" i="81"/>
  <c r="BY65" i="81"/>
  <c r="BY68" i="81"/>
  <c r="BY69" i="81"/>
  <c r="BY72" i="81"/>
  <c r="CY19" i="80"/>
  <c r="CZ19" i="80" s="1"/>
  <c r="CG30" i="80"/>
  <c r="CZ29" i="80"/>
  <c r="DD29" i="80" s="1"/>
  <c r="CZ26" i="80"/>
  <c r="CZ25" i="80"/>
  <c r="CZ22" i="80"/>
  <c r="CY18" i="80"/>
  <c r="CZ18" i="80" s="1"/>
  <c r="CY15" i="80"/>
  <c r="J29" i="80"/>
  <c r="N29" i="80" s="1"/>
  <c r="BX29" i="80" s="1"/>
  <c r="J26" i="80"/>
  <c r="N26" i="80" s="1"/>
  <c r="BX26" i="80" s="1"/>
  <c r="J25" i="80"/>
  <c r="N25" i="80" s="1"/>
  <c r="BX25" i="80" s="1"/>
  <c r="J22" i="80"/>
  <c r="L22" i="80" s="1"/>
  <c r="DC15" i="80"/>
  <c r="DC17" i="80"/>
  <c r="DD17" i="80"/>
  <c r="DC19" i="80"/>
  <c r="DC20" i="80"/>
  <c r="DD20" i="80"/>
  <c r="DE20" i="80" s="1"/>
  <c r="DC22" i="80"/>
  <c r="DC24" i="80"/>
  <c r="DD24" i="80"/>
  <c r="DC26" i="80"/>
  <c r="DC29" i="80"/>
  <c r="Q29" i="80"/>
  <c r="Q26" i="80"/>
  <c r="Q25" i="80"/>
  <c r="Q22" i="80"/>
  <c r="Q19" i="80"/>
  <c r="Q18" i="80"/>
  <c r="Q15" i="80"/>
  <c r="L29" i="80"/>
  <c r="L26" i="80"/>
  <c r="L25" i="80"/>
  <c r="L15" i="80"/>
  <c r="J15" i="80"/>
  <c r="N15" i="80" s="1"/>
  <c r="BY15" i="80" s="1"/>
  <c r="H18" i="80"/>
  <c r="DV45" i="78"/>
  <c r="DV42" i="78"/>
  <c r="CZ15" i="78"/>
  <c r="J15" i="78"/>
  <c r="L15" i="78" s="1"/>
  <c r="CZ48" i="78"/>
  <c r="DB48" i="78" s="1"/>
  <c r="CZ45" i="78"/>
  <c r="DB45" i="78" s="1"/>
  <c r="CZ42" i="78"/>
  <c r="DB42" i="78" s="1"/>
  <c r="CZ39" i="78"/>
  <c r="DB39" i="78" s="1"/>
  <c r="CZ38" i="78"/>
  <c r="DB38" i="78" s="1"/>
  <c r="CZ35" i="78"/>
  <c r="CZ32" i="78"/>
  <c r="DB32" i="78" s="1"/>
  <c r="CZ31" i="78"/>
  <c r="CZ28" i="78"/>
  <c r="CZ27" i="78"/>
  <c r="CZ24" i="78"/>
  <c r="CZ21" i="78"/>
  <c r="CZ20" i="78"/>
  <c r="CZ19" i="78"/>
  <c r="J48" i="78"/>
  <c r="J45" i="78"/>
  <c r="J42" i="78"/>
  <c r="J39" i="78"/>
  <c r="J38" i="78"/>
  <c r="J35" i="78"/>
  <c r="J32" i="78"/>
  <c r="J31" i="78"/>
  <c r="J28" i="78"/>
  <c r="J27" i="78"/>
  <c r="J24" i="78"/>
  <c r="J21" i="78"/>
  <c r="J20" i="78"/>
  <c r="J19" i="78"/>
  <c r="L19" i="78" s="1"/>
  <c r="H15" i="78"/>
  <c r="J15" i="77"/>
  <c r="L15" i="77" s="1"/>
  <c r="DE24" i="80" l="1"/>
  <c r="N22" i="80"/>
  <c r="BX22" i="80" s="1"/>
  <c r="CZ15" i="80"/>
  <c r="DD15" i="80" s="1"/>
  <c r="DE15" i="80" s="1"/>
  <c r="DD22" i="80"/>
  <c r="DD19" i="80"/>
  <c r="DU49" i="78"/>
  <c r="I15" i="78"/>
  <c r="DX15" i="73"/>
  <c r="DC32" i="73"/>
  <c r="DC29" i="73"/>
  <c r="DC26" i="73"/>
  <c r="DE26" i="73" s="1"/>
  <c r="DC25" i="73"/>
  <c r="DC22" i="73"/>
  <c r="DC21" i="73"/>
  <c r="DC18" i="73"/>
  <c r="J15" i="73"/>
  <c r="L15" i="73" s="1"/>
  <c r="DG30" i="70"/>
  <c r="DY16" i="70"/>
  <c r="DY15" i="70"/>
  <c r="J15" i="70"/>
  <c r="L15" i="70" s="1"/>
  <c r="DF16" i="70"/>
  <c r="DD28" i="70"/>
  <c r="DD15" i="70"/>
  <c r="DD19" i="70"/>
  <c r="DD22" i="70"/>
  <c r="DD25" i="70"/>
  <c r="CP34" i="69"/>
  <c r="DK22" i="69"/>
  <c r="DK19" i="69"/>
  <c r="DK18" i="69"/>
  <c r="DK17" i="69"/>
  <c r="DK16" i="69"/>
  <c r="DK15" i="69"/>
  <c r="CP45" i="69"/>
  <c r="CP42" i="69"/>
  <c r="CR42" i="69" s="1"/>
  <c r="CP39" i="69"/>
  <c r="CP38" i="69"/>
  <c r="CP37" i="69"/>
  <c r="CP33" i="69"/>
  <c r="CR33" i="69" s="1"/>
  <c r="CP30" i="69"/>
  <c r="CR30" i="69" s="1"/>
  <c r="CP29" i="69"/>
  <c r="CP26" i="69"/>
  <c r="CP25" i="69"/>
  <c r="CP22" i="69"/>
  <c r="CR22" i="69" s="1"/>
  <c r="CP19" i="69"/>
  <c r="CR19" i="69" s="1"/>
  <c r="CP18" i="69"/>
  <c r="CR18" i="69" s="1"/>
  <c r="CP17" i="69"/>
  <c r="CR17" i="69" s="1"/>
  <c r="CP16" i="69"/>
  <c r="CR16" i="69" s="1"/>
  <c r="CR29" i="69"/>
  <c r="CR26" i="69"/>
  <c r="L30" i="69"/>
  <c r="L29" i="69"/>
  <c r="L22" i="69"/>
  <c r="CQ15" i="63"/>
  <c r="J28" i="63"/>
  <c r="L28" i="63" s="1"/>
  <c r="J25" i="63"/>
  <c r="L25" i="63" s="1"/>
  <c r="J24" i="63"/>
  <c r="L24" i="63" s="1"/>
  <c r="J21" i="63"/>
  <c r="L21" i="63" s="1"/>
  <c r="J18" i="63"/>
  <c r="L18" i="63" s="1"/>
  <c r="J15" i="63"/>
  <c r="L15" i="63" s="1"/>
  <c r="BV28" i="63"/>
  <c r="BV25" i="63"/>
  <c r="BV24" i="63"/>
  <c r="BV21" i="63"/>
  <c r="BV18" i="63"/>
  <c r="EW15" i="61"/>
  <c r="CK31" i="67"/>
  <c r="CK28" i="67"/>
  <c r="CK27" i="67"/>
  <c r="CK24" i="67"/>
  <c r="CK21" i="67"/>
  <c r="CM21" i="67" s="1"/>
  <c r="CK20" i="67"/>
  <c r="CM20" i="67" s="1"/>
  <c r="CK17" i="67"/>
  <c r="CM17" i="67" s="1"/>
  <c r="CK16" i="67"/>
  <c r="CM16" i="67" s="1"/>
  <c r="CM31" i="67"/>
  <c r="CM28" i="67"/>
  <c r="CM27" i="67"/>
  <c r="CM24" i="67"/>
  <c r="DT31" i="67"/>
  <c r="DV31" i="67" s="1"/>
  <c r="DT28" i="67"/>
  <c r="DT27" i="67"/>
  <c r="DT24" i="67"/>
  <c r="DV24" i="67" s="1"/>
  <c r="DT21" i="67"/>
  <c r="DT20" i="67"/>
  <c r="DT17" i="67"/>
  <c r="DT16" i="67"/>
  <c r="DZ18" i="66"/>
  <c r="DX29" i="66"/>
  <c r="DX28" i="66"/>
  <c r="DX25" i="66"/>
  <c r="DX24" i="66"/>
  <c r="DX21" i="66"/>
  <c r="CM18" i="66"/>
  <c r="DX15" i="66"/>
  <c r="EW44" i="61"/>
  <c r="EW41" i="61"/>
  <c r="EW38" i="61"/>
  <c r="EW35" i="61"/>
  <c r="EY35" i="61" s="1"/>
  <c r="EW32" i="61"/>
  <c r="EY32" i="61" s="1"/>
  <c r="EW29" i="61"/>
  <c r="EY29" i="61" s="1"/>
  <c r="EW26" i="61"/>
  <c r="EY26" i="61" s="1"/>
  <c r="EW25" i="61"/>
  <c r="EW24" i="61"/>
  <c r="EW21" i="61"/>
  <c r="EY21" i="61" s="1"/>
  <c r="EW18" i="61"/>
  <c r="EY18" i="61" s="1"/>
  <c r="EW17" i="61"/>
  <c r="EW16" i="61"/>
  <c r="CK44" i="61"/>
  <c r="CM44" i="61" s="1"/>
  <c r="CK41" i="61"/>
  <c r="CM41" i="61" s="1"/>
  <c r="CK38" i="61"/>
  <c r="CM38" i="61" s="1"/>
  <c r="CK35" i="61"/>
  <c r="CK32" i="61"/>
  <c r="CK29" i="61"/>
  <c r="CK26" i="61"/>
  <c r="CK25" i="61"/>
  <c r="CK24" i="61"/>
  <c r="CK21" i="61"/>
  <c r="CK18" i="61"/>
  <c r="CK17" i="61"/>
  <c r="CK16" i="61"/>
  <c r="CK15" i="61"/>
  <c r="CM15" i="61" s="1"/>
  <c r="FR45" i="61" l="1"/>
  <c r="DX33" i="73"/>
  <c r="CQ29" i="63"/>
  <c r="DW55" i="62" l="1"/>
  <c r="EO15" i="62"/>
  <c r="EO53" i="62"/>
  <c r="EO50" i="62"/>
  <c r="EO47" i="62"/>
  <c r="EP47" i="62" s="1"/>
  <c r="EO38" i="62"/>
  <c r="EO35" i="62"/>
  <c r="EO34" i="62"/>
  <c r="EO33" i="62"/>
  <c r="EO32" i="62"/>
  <c r="EO29" i="62"/>
  <c r="EO28" i="62"/>
  <c r="EO25" i="62"/>
  <c r="EO22" i="62"/>
  <c r="EO21" i="62"/>
  <c r="EO20" i="62"/>
  <c r="EO19" i="62"/>
  <c r="EO18" i="62"/>
  <c r="DT53" i="62"/>
  <c r="DV53" i="62" s="1"/>
  <c r="DT50" i="62"/>
  <c r="DV50" i="62" s="1"/>
  <c r="DT47" i="62"/>
  <c r="DV47" i="62" s="1"/>
  <c r="DT44" i="62"/>
  <c r="DT43" i="62"/>
  <c r="DT42" i="62"/>
  <c r="DV42" i="62" s="1"/>
  <c r="DT41" i="62"/>
  <c r="DV41" i="62" s="1"/>
  <c r="DT38" i="62"/>
  <c r="DV38" i="62" s="1"/>
  <c r="DT35" i="62"/>
  <c r="DV35" i="62" s="1"/>
  <c r="DT34" i="62"/>
  <c r="DV34" i="62" s="1"/>
  <c r="DT33" i="62"/>
  <c r="DV33" i="62" s="1"/>
  <c r="DT32" i="62"/>
  <c r="DV32" i="62" s="1"/>
  <c r="DT29" i="62"/>
  <c r="DV29" i="62" s="1"/>
  <c r="DT28" i="62"/>
  <c r="DV28" i="62" s="1"/>
  <c r="DT25" i="62"/>
  <c r="DV25" i="62" s="1"/>
  <c r="DT22" i="62"/>
  <c r="DV22" i="62" s="1"/>
  <c r="DT21" i="62"/>
  <c r="DV21" i="62" s="1"/>
  <c r="DT20" i="62"/>
  <c r="DV20" i="62" s="1"/>
  <c r="DT19" i="62"/>
  <c r="DV19" i="62" s="1"/>
  <c r="DT18" i="62"/>
  <c r="DV18" i="62" s="1"/>
  <c r="CK15" i="62"/>
  <c r="CN18" i="86"/>
  <c r="CR18" i="86" s="1"/>
  <c r="CN15" i="86"/>
  <c r="CR15" i="86" s="1"/>
  <c r="DW75" i="57"/>
  <c r="CO15" i="57"/>
  <c r="CK74" i="57"/>
  <c r="CO74" i="57" s="1"/>
  <c r="CK73" i="57"/>
  <c r="CO73" i="57" s="1"/>
  <c r="CK70" i="57"/>
  <c r="CO70" i="57" s="1"/>
  <c r="CK67" i="57"/>
  <c r="CO67" i="57" s="1"/>
  <c r="CK66" i="57"/>
  <c r="CO66" i="57" s="1"/>
  <c r="CK65" i="57"/>
  <c r="CO65" i="57" s="1"/>
  <c r="CK64" i="57"/>
  <c r="CO64" i="57" s="1"/>
  <c r="CK61" i="57"/>
  <c r="CO61" i="57" s="1"/>
  <c r="CK60" i="57"/>
  <c r="CO60" i="57" s="1"/>
  <c r="CK59" i="57"/>
  <c r="CO59" i="57" s="1"/>
  <c r="CK56" i="57"/>
  <c r="CO56" i="57" s="1"/>
  <c r="CK55" i="57"/>
  <c r="CO55" i="57" s="1"/>
  <c r="CK54" i="57"/>
  <c r="CO54" i="57" s="1"/>
  <c r="CK53" i="57"/>
  <c r="CO53" i="57" s="1"/>
  <c r="CK52" i="57"/>
  <c r="CO52" i="57" s="1"/>
  <c r="CK48" i="57"/>
  <c r="CO48" i="57" s="1"/>
  <c r="CK45" i="57"/>
  <c r="CO45" i="57" s="1"/>
  <c r="CK44" i="57"/>
  <c r="CO44" i="57" s="1"/>
  <c r="CK41" i="57"/>
  <c r="CO41" i="57" s="1"/>
  <c r="CK40" i="57"/>
  <c r="CO40" i="57" s="1"/>
  <c r="CK39" i="57"/>
  <c r="CO39" i="57" s="1"/>
  <c r="CK38" i="57"/>
  <c r="CO38" i="57" s="1"/>
  <c r="CK37" i="57"/>
  <c r="CO37" i="57" s="1"/>
  <c r="CK36" i="57"/>
  <c r="CO36" i="57" s="1"/>
  <c r="CK35" i="57"/>
  <c r="CO35" i="57" s="1"/>
  <c r="CK34" i="57"/>
  <c r="CO34" i="57" s="1"/>
  <c r="CK31" i="57"/>
  <c r="CO31" i="57" s="1"/>
  <c r="CK30" i="57"/>
  <c r="CK29" i="57"/>
  <c r="CO29" i="57" s="1"/>
  <c r="CK26" i="57"/>
  <c r="CO26" i="57" s="1"/>
  <c r="CK23" i="57"/>
  <c r="CO23" i="57" s="1"/>
  <c r="CK20" i="57"/>
  <c r="CK19" i="57"/>
  <c r="CO19" i="57" s="1"/>
  <c r="CK18" i="57"/>
  <c r="CO18" i="57" s="1"/>
  <c r="CK17" i="57"/>
  <c r="CO17" i="57" s="1"/>
  <c r="CK16" i="57"/>
  <c r="CO16" i="57" s="1"/>
  <c r="CP15" i="86" l="1"/>
  <c r="CO15" i="62"/>
  <c r="CM15" i="62"/>
  <c r="CO20" i="57"/>
  <c r="CO30" i="57"/>
  <c r="EO55" i="62"/>
  <c r="EO75" i="57"/>
  <c r="FX19" i="86"/>
  <c r="CQ74" i="57"/>
  <c r="CQ73" i="57"/>
  <c r="CQ70" i="57"/>
  <c r="CQ67" i="57"/>
  <c r="CQ66" i="57"/>
  <c r="CQ65" i="57"/>
  <c r="CQ64" i="57"/>
  <c r="CQ61" i="57"/>
  <c r="CQ60" i="57"/>
  <c r="CQ59" i="57"/>
  <c r="CQ56" i="57"/>
  <c r="CQ55" i="57"/>
  <c r="CQ54" i="57"/>
  <c r="CQ53" i="57"/>
  <c r="CQ52" i="57"/>
  <c r="CQ48" i="57"/>
  <c r="CQ45" i="57"/>
  <c r="CQ44" i="57"/>
  <c r="CQ41" i="57"/>
  <c r="CQ40" i="57"/>
  <c r="CQ39" i="57"/>
  <c r="CQ38" i="57"/>
  <c r="CQ37" i="57"/>
  <c r="CQ36" i="57"/>
  <c r="CQ35" i="57"/>
  <c r="CQ34" i="57"/>
  <c r="CQ31" i="57"/>
  <c r="CQ30" i="57"/>
  <c r="CQ29" i="57"/>
  <c r="CQ26" i="57"/>
  <c r="CQ23" i="57"/>
  <c r="CQ19" i="57"/>
  <c r="CQ20" i="57"/>
  <c r="CR20" i="57"/>
  <c r="DP20" i="57"/>
  <c r="DJ20" i="57"/>
  <c r="DI20" i="57"/>
  <c r="DK65" i="60"/>
  <c r="CD15" i="89"/>
  <c r="DQ20" i="57" l="1"/>
  <c r="DU20" i="57"/>
  <c r="EP20" i="57"/>
  <c r="EC65" i="60"/>
  <c r="DH16" i="60"/>
  <c r="CM51" i="93"/>
  <c r="CM89" i="92"/>
  <c r="CK21" i="91"/>
  <c r="CK20" i="90"/>
  <c r="CN19" i="84"/>
  <c r="CO73" i="81"/>
  <c r="CU49" i="78"/>
  <c r="CX33" i="73"/>
  <c r="CY29" i="70"/>
  <c r="DO32" i="67"/>
  <c r="DS30" i="66"/>
  <c r="ER45" i="61"/>
  <c r="DO54" i="62"/>
  <c r="EX19" i="86"/>
  <c r="DO75" i="57"/>
  <c r="DC65" i="60"/>
  <c r="DA20" i="89"/>
  <c r="CL51" i="93"/>
  <c r="CL89" i="92"/>
  <c r="CJ21" i="91"/>
  <c r="CJ20" i="90"/>
  <c r="CK24" i="85"/>
  <c r="CM19" i="84"/>
  <c r="CN73" i="81" l="1"/>
  <c r="CT49" i="78"/>
  <c r="CZ51" i="77"/>
  <c r="CW33" i="73"/>
  <c r="CX29" i="70"/>
  <c r="CJ30" i="69"/>
  <c r="CJ29" i="69"/>
  <c r="DN32" i="67"/>
  <c r="DR30" i="66"/>
  <c r="EP45" i="61"/>
  <c r="EQ45" i="61"/>
  <c r="DN54" i="62"/>
  <c r="EW19" i="86"/>
  <c r="DN75" i="57"/>
  <c r="DB65" i="60"/>
  <c r="CZ20" i="89"/>
  <c r="CO15" i="78"/>
  <c r="CP15" i="78" s="1"/>
  <c r="CO19" i="78"/>
  <c r="CV15" i="78"/>
  <c r="CE15" i="78"/>
  <c r="Q15" i="78"/>
  <c r="CF15" i="78"/>
  <c r="M15" i="78"/>
  <c r="CJ46" i="69" l="1"/>
  <c r="CG15" i="78"/>
  <c r="CW15" i="78"/>
  <c r="K15" i="78"/>
  <c r="O15" i="78" s="1"/>
  <c r="P15" i="78"/>
  <c r="CK51" i="93"/>
  <c r="CK89" i="92"/>
  <c r="CI21" i="91"/>
  <c r="CI20" i="90"/>
  <c r="CJ24" i="85"/>
  <c r="CL19" i="84"/>
  <c r="CM73" i="81"/>
  <c r="CV27" i="78"/>
  <c r="CS49" i="78"/>
  <c r="CY51" i="77"/>
  <c r="CV33" i="73"/>
  <c r="CW29" i="70"/>
  <c r="CI30" i="69"/>
  <c r="CI29" i="69"/>
  <c r="DM32" i="67"/>
  <c r="DQ30" i="66"/>
  <c r="DM54" i="62"/>
  <c r="EV19" i="86"/>
  <c r="DM75" i="57"/>
  <c r="DA65" i="60"/>
  <c r="CY20" i="89"/>
  <c r="CI46" i="69" l="1"/>
  <c r="DV15" i="78"/>
  <c r="DA15" i="78"/>
  <c r="DB15" i="78" s="1"/>
  <c r="CJ51" i="93"/>
  <c r="CJ89" i="92"/>
  <c r="CH20" i="90"/>
  <c r="CM18" i="85"/>
  <c r="CM21" i="85"/>
  <c r="CM22" i="85"/>
  <c r="CM23" i="85"/>
  <c r="CM25" i="85"/>
  <c r="CO18" i="84"/>
  <c r="CO15" i="84"/>
  <c r="CJ19" i="84"/>
  <c r="CK19" i="84"/>
  <c r="CQ19" i="84"/>
  <c r="CR19" i="84"/>
  <c r="CV19" i="84"/>
  <c r="CW19" i="84"/>
  <c r="CX19" i="84"/>
  <c r="CY19" i="84"/>
  <c r="CZ19" i="84"/>
  <c r="DA19" i="84"/>
  <c r="DB19" i="84"/>
  <c r="CS19" i="84"/>
  <c r="CP15" i="81"/>
  <c r="CL73" i="81"/>
  <c r="CH49" i="78"/>
  <c r="CI49" i="78"/>
  <c r="CJ49" i="78"/>
  <c r="CK49" i="78"/>
  <c r="CL49" i="78"/>
  <c r="CM49" i="78"/>
  <c r="CN49" i="78"/>
  <c r="CR49" i="78"/>
  <c r="CW51" i="77"/>
  <c r="CX51" i="77"/>
  <c r="DA51" i="77"/>
  <c r="DN19" i="84" l="1"/>
  <c r="CO19" i="84"/>
  <c r="DF54" i="77"/>
  <c r="DB54" i="77"/>
  <c r="DC54" i="77" s="1"/>
  <c r="DG54" i="77" s="1"/>
  <c r="DP53" i="77"/>
  <c r="DQ53" i="77" s="1"/>
  <c r="DF52" i="77"/>
  <c r="DF50" i="77"/>
  <c r="DB50" i="77"/>
  <c r="DF47" i="77"/>
  <c r="DB47" i="77"/>
  <c r="DP46" i="77"/>
  <c r="DQ46" i="77" s="1"/>
  <c r="DF45" i="77"/>
  <c r="DB45" i="77"/>
  <c r="DF43" i="77"/>
  <c r="DB43" i="77"/>
  <c r="DF40" i="77"/>
  <c r="DB40" i="77"/>
  <c r="DP39" i="77"/>
  <c r="DQ39" i="77" s="1"/>
  <c r="DF38" i="77"/>
  <c r="DB38" i="77"/>
  <c r="DF36" i="77"/>
  <c r="DB36" i="77"/>
  <c r="DF33" i="77"/>
  <c r="DB33" i="77"/>
  <c r="DP32" i="77"/>
  <c r="DQ32" i="77" s="1"/>
  <c r="DF31" i="77"/>
  <c r="DB31" i="77"/>
  <c r="DF29" i="77"/>
  <c r="DQ25" i="77"/>
  <c r="DF24" i="77"/>
  <c r="DB24" i="77"/>
  <c r="DF19" i="77"/>
  <c r="DB19" i="77"/>
  <c r="DP18" i="77"/>
  <c r="DQ18" i="77" s="1"/>
  <c r="DF17" i="77"/>
  <c r="DB17" i="77"/>
  <c r="DF15" i="77"/>
  <c r="DB15" i="77"/>
  <c r="CU33" i="73"/>
  <c r="CV29" i="70"/>
  <c r="CH30" i="69"/>
  <c r="CH29" i="69"/>
  <c r="DL32" i="67"/>
  <c r="DP30" i="66"/>
  <c r="DO30" i="66"/>
  <c r="DT29" i="66"/>
  <c r="DT25" i="66"/>
  <c r="DT21" i="66"/>
  <c r="DT15" i="66"/>
  <c r="EO45" i="61"/>
  <c r="DL54" i="62"/>
  <c r="EK19" i="86"/>
  <c r="EL19" i="86"/>
  <c r="EM19" i="86"/>
  <c r="EN19" i="86"/>
  <c r="EO19" i="86"/>
  <c r="EP19" i="86"/>
  <c r="EQ19" i="86"/>
  <c r="EU19" i="86"/>
  <c r="CZ65" i="60"/>
  <c r="CX20" i="89"/>
  <c r="CH46" i="69" l="1"/>
  <c r="DB51" i="77"/>
  <c r="DT30" i="66"/>
  <c r="CN14" i="93"/>
  <c r="CN15" i="93"/>
  <c r="CN16" i="93"/>
  <c r="CN17" i="93"/>
  <c r="CO17" i="93" s="1"/>
  <c r="CN18" i="93"/>
  <c r="CN19" i="93"/>
  <c r="CN20" i="93"/>
  <c r="CN21" i="93"/>
  <c r="CN22" i="93"/>
  <c r="CN23" i="93"/>
  <c r="CN24" i="93"/>
  <c r="CN25" i="93"/>
  <c r="CN26" i="93"/>
  <c r="CN27" i="93"/>
  <c r="CN28" i="93"/>
  <c r="CN29" i="93"/>
  <c r="CN30" i="93"/>
  <c r="CN31" i="93"/>
  <c r="CN32" i="93"/>
  <c r="CN33" i="93"/>
  <c r="CN34" i="93"/>
  <c r="CN35" i="93"/>
  <c r="CN36" i="93"/>
  <c r="CN37" i="93"/>
  <c r="CN38" i="93"/>
  <c r="CN39" i="93"/>
  <c r="CN40" i="93"/>
  <c r="CN41" i="93"/>
  <c r="CN42" i="93"/>
  <c r="CN43" i="93"/>
  <c r="CN44" i="93"/>
  <c r="CN45" i="93"/>
  <c r="CN46" i="93"/>
  <c r="CN47" i="93"/>
  <c r="CN48" i="93"/>
  <c r="CN49" i="93"/>
  <c r="CI51" i="93"/>
  <c r="CP51" i="93"/>
  <c r="CQ51" i="93"/>
  <c r="CU51" i="93"/>
  <c r="CV51" i="93"/>
  <c r="CW51" i="93"/>
  <c r="CX51" i="93"/>
  <c r="CY51" i="93"/>
  <c r="CZ51" i="93"/>
  <c r="DA51" i="93"/>
  <c r="CN50" i="93"/>
  <c r="DM51" i="93"/>
  <c r="CN27" i="92"/>
  <c r="CN18" i="92"/>
  <c r="CN19" i="92"/>
  <c r="CN20" i="92"/>
  <c r="CN21" i="92"/>
  <c r="CN24" i="92"/>
  <c r="CN30" i="92"/>
  <c r="CN31" i="92"/>
  <c r="CN32" i="92"/>
  <c r="CN33" i="92"/>
  <c r="CN36" i="92"/>
  <c r="CN39" i="92"/>
  <c r="CN40" i="92"/>
  <c r="CN43" i="92"/>
  <c r="CN44" i="92"/>
  <c r="CN47" i="92"/>
  <c r="CN50" i="92"/>
  <c r="CN53" i="92"/>
  <c r="CN56" i="92"/>
  <c r="CN59" i="92"/>
  <c r="CN62" i="92"/>
  <c r="CN63" i="92"/>
  <c r="CN64" i="92"/>
  <c r="CN65" i="92"/>
  <c r="CN66" i="92"/>
  <c r="CN67" i="92"/>
  <c r="CN69" i="92"/>
  <c r="CN72" i="92"/>
  <c r="CN75" i="92"/>
  <c r="CN76" i="92"/>
  <c r="CN77" i="92"/>
  <c r="CN78" i="92"/>
  <c r="CN81" i="92"/>
  <c r="CN84" i="92"/>
  <c r="CN87" i="92"/>
  <c r="CN88" i="92"/>
  <c r="CI89" i="92"/>
  <c r="CP89" i="92"/>
  <c r="CQ89" i="92"/>
  <c r="CR77" i="92"/>
  <c r="DN76" i="92"/>
  <c r="DN68" i="92"/>
  <c r="DN60" i="92"/>
  <c r="DN46" i="92"/>
  <c r="CN15" i="92"/>
  <c r="CG21" i="91"/>
  <c r="CH21" i="91"/>
  <c r="CL15" i="91"/>
  <c r="CL16" i="90"/>
  <c r="CL19" i="90"/>
  <c r="CG20" i="90"/>
  <c r="CN20" i="90"/>
  <c r="CO20" i="90"/>
  <c r="CS20" i="90"/>
  <c r="CT20" i="90"/>
  <c r="CU20" i="90"/>
  <c r="CV20" i="90"/>
  <c r="CW20" i="90"/>
  <c r="CX20" i="90"/>
  <c r="CY20" i="90"/>
  <c r="DK20" i="90"/>
  <c r="CL15" i="90"/>
  <c r="CH24" i="85"/>
  <c r="CI24" i="85"/>
  <c r="CL24" i="85"/>
  <c r="CM15" i="85"/>
  <c r="CP16" i="81"/>
  <c r="CP19" i="81"/>
  <c r="CP22" i="81"/>
  <c r="CP25" i="81"/>
  <c r="CP28" i="81"/>
  <c r="CP31" i="81"/>
  <c r="CP34" i="81"/>
  <c r="CP39" i="81"/>
  <c r="CP40" i="81"/>
  <c r="CP41" i="81"/>
  <c r="CP42" i="81"/>
  <c r="CP43" i="81"/>
  <c r="CP44" i="81"/>
  <c r="CP45" i="81"/>
  <c r="CP46" i="81"/>
  <c r="CP49" i="81"/>
  <c r="CP52" i="81"/>
  <c r="CP55" i="81"/>
  <c r="CP56" i="81"/>
  <c r="CP57" i="81"/>
  <c r="CP60" i="81"/>
  <c r="CP61" i="81"/>
  <c r="CP62" i="81"/>
  <c r="CP65" i="81"/>
  <c r="CP68" i="81"/>
  <c r="CP69" i="81"/>
  <c r="CP72" i="81"/>
  <c r="CK73" i="81"/>
  <c r="CR73" i="81"/>
  <c r="CS73" i="81"/>
  <c r="CW73" i="81"/>
  <c r="CX73" i="81"/>
  <c r="CY73" i="81"/>
  <c r="CZ73" i="81"/>
  <c r="DA73" i="81"/>
  <c r="DB73" i="81"/>
  <c r="DC73" i="81"/>
  <c r="DP66" i="81"/>
  <c r="DP54" i="81"/>
  <c r="DP48" i="81"/>
  <c r="DP36" i="81"/>
  <c r="DP30" i="81"/>
  <c r="DP24" i="81"/>
  <c r="DA30" i="80"/>
  <c r="DB30" i="80"/>
  <c r="DF30" i="80"/>
  <c r="DG30" i="80"/>
  <c r="DH30" i="80"/>
  <c r="DI30" i="80"/>
  <c r="DJ30" i="80"/>
  <c r="DK30" i="80"/>
  <c r="DL30" i="80"/>
  <c r="DM27" i="80"/>
  <c r="DN27" i="80" s="1"/>
  <c r="DM23" i="80"/>
  <c r="DN23" i="80" s="1"/>
  <c r="DM18" i="80"/>
  <c r="DC30" i="80"/>
  <c r="CV20" i="78"/>
  <c r="CV21" i="78"/>
  <c r="CV24" i="78"/>
  <c r="CV28" i="78"/>
  <c r="CV31" i="78"/>
  <c r="CV32" i="78"/>
  <c r="CV35" i="78"/>
  <c r="CV38" i="78"/>
  <c r="CV39" i="78"/>
  <c r="CV42" i="78"/>
  <c r="CV45" i="78"/>
  <c r="CV48" i="78"/>
  <c r="CQ49" i="78"/>
  <c r="CV19" i="78"/>
  <c r="CU15" i="77"/>
  <c r="CY18" i="73"/>
  <c r="CY21" i="73"/>
  <c r="CY22" i="73"/>
  <c r="CY25" i="73"/>
  <c r="CY26" i="73"/>
  <c r="CZ26" i="73" s="1"/>
  <c r="DY26" i="73" s="1"/>
  <c r="CY29" i="73"/>
  <c r="CY32" i="73"/>
  <c r="CZ22" i="73"/>
  <c r="DY22" i="73" s="1"/>
  <c r="CT33" i="73"/>
  <c r="DC15" i="73"/>
  <c r="CY15" i="73"/>
  <c r="CZ15" i="73" s="1"/>
  <c r="DY15" i="73" s="1"/>
  <c r="CZ16" i="70"/>
  <c r="CZ19" i="70"/>
  <c r="CZ22" i="70"/>
  <c r="CZ25" i="70"/>
  <c r="CZ28" i="70"/>
  <c r="CZ15" i="70"/>
  <c r="CU29" i="70"/>
  <c r="CZ29" i="70" s="1"/>
  <c r="CN46" i="69"/>
  <c r="CO46" i="69"/>
  <c r="CS46" i="69"/>
  <c r="CT46" i="69"/>
  <c r="CU46" i="69"/>
  <c r="CV46" i="69"/>
  <c r="CG30" i="69"/>
  <c r="CG29" i="69"/>
  <c r="AS46" i="69"/>
  <c r="AT46" i="69"/>
  <c r="AZ46" i="69"/>
  <c r="BA46" i="69"/>
  <c r="BS46" i="69"/>
  <c r="BT46" i="69"/>
  <c r="BV46" i="69"/>
  <c r="BW46" i="69"/>
  <c r="BX46" i="69"/>
  <c r="BY46" i="69"/>
  <c r="BZ46" i="69"/>
  <c r="CA46" i="69"/>
  <c r="CB46" i="69"/>
  <c r="CC46" i="69"/>
  <c r="CD46" i="69"/>
  <c r="CW46" i="69"/>
  <c r="CX46" i="69"/>
  <c r="CY46" i="69"/>
  <c r="CL45" i="69"/>
  <c r="CL42" i="69"/>
  <c r="CL39" i="69"/>
  <c r="CL38" i="69"/>
  <c r="CL37" i="69"/>
  <c r="CL34" i="69"/>
  <c r="CL33" i="69"/>
  <c r="CL26" i="69"/>
  <c r="CL25" i="69"/>
  <c r="CL22" i="69"/>
  <c r="CL19" i="69"/>
  <c r="CL18" i="69"/>
  <c r="CL17" i="69"/>
  <c r="CL16" i="69"/>
  <c r="CL15" i="69"/>
  <c r="BT29" i="63"/>
  <c r="BU29" i="63"/>
  <c r="BY29" i="63"/>
  <c r="BZ29" i="63"/>
  <c r="CA29" i="63"/>
  <c r="CB29" i="63"/>
  <c r="CC29" i="63"/>
  <c r="CD29" i="63"/>
  <c r="CE29" i="63"/>
  <c r="BR28" i="63"/>
  <c r="BR21" i="63"/>
  <c r="BR15" i="63"/>
  <c r="DP16" i="67"/>
  <c r="DP17" i="67"/>
  <c r="DP20" i="67"/>
  <c r="DP21" i="67"/>
  <c r="DP24" i="67"/>
  <c r="DP27" i="67"/>
  <c r="DP28" i="67"/>
  <c r="DP31" i="67"/>
  <c r="DR32" i="67"/>
  <c r="DS32" i="67"/>
  <c r="DW32" i="67"/>
  <c r="DX32" i="67"/>
  <c r="DY32" i="67"/>
  <c r="DZ32" i="67"/>
  <c r="EA32" i="67"/>
  <c r="EB32" i="67"/>
  <c r="EC32" i="67"/>
  <c r="DP15" i="67"/>
  <c r="DK32" i="67"/>
  <c r="DT15" i="67"/>
  <c r="EL29" i="65"/>
  <c r="EM29" i="65"/>
  <c r="EN29" i="65"/>
  <c r="EO29" i="65"/>
  <c r="EP29" i="65"/>
  <c r="EQ29" i="65"/>
  <c r="ER29" i="65"/>
  <c r="ES29" i="65"/>
  <c r="EN45" i="61"/>
  <c r="DM30" i="80" l="1"/>
  <c r="DN25" i="92"/>
  <c r="DM89" i="92"/>
  <c r="DT32" i="67"/>
  <c r="CP46" i="69"/>
  <c r="CT73" i="81"/>
  <c r="EO32" i="67"/>
  <c r="CG46" i="69"/>
  <c r="DO73" i="81"/>
  <c r="CR51" i="93"/>
  <c r="CP20" i="90"/>
  <c r="CN51" i="93"/>
  <c r="CP73" i="81"/>
  <c r="CM24" i="85"/>
  <c r="DP32" i="67"/>
  <c r="CN89" i="92"/>
  <c r="CL20" i="90"/>
  <c r="DL18" i="90"/>
  <c r="DP18" i="81"/>
  <c r="DN18" i="80"/>
  <c r="DN30" i="80" s="1"/>
  <c r="CV49" i="78"/>
  <c r="CY33" i="73"/>
  <c r="DK46" i="69"/>
  <c r="BS15" i="63"/>
  <c r="CR15" i="63" s="1"/>
  <c r="DI18" i="62"/>
  <c r="DK54" i="62"/>
  <c r="ET25" i="65"/>
  <c r="ES16" i="61"/>
  <c r="ES17" i="61"/>
  <c r="ES18" i="61"/>
  <c r="ES21" i="61"/>
  <c r="ES24" i="61"/>
  <c r="ES25" i="61"/>
  <c r="ES26" i="61"/>
  <c r="ES29" i="61"/>
  <c r="ES32" i="61"/>
  <c r="ES35" i="61"/>
  <c r="ES38" i="61"/>
  <c r="ES41" i="61"/>
  <c r="ES44" i="61"/>
  <c r="ES15" i="61"/>
  <c r="DP53" i="62"/>
  <c r="DP50" i="62"/>
  <c r="DP47" i="62"/>
  <c r="DP44" i="62"/>
  <c r="DP43" i="62"/>
  <c r="DP42" i="62"/>
  <c r="DP41" i="62"/>
  <c r="DP38" i="62"/>
  <c r="DP35" i="62"/>
  <c r="DP34" i="62"/>
  <c r="DP33" i="62"/>
  <c r="DP32" i="62"/>
  <c r="DP29" i="62"/>
  <c r="DP28" i="62"/>
  <c r="DP25" i="62"/>
  <c r="DP22" i="62"/>
  <c r="DP21" i="62"/>
  <c r="DP20" i="62"/>
  <c r="DP19" i="62"/>
  <c r="DP18" i="62"/>
  <c r="DB54" i="62"/>
  <c r="DC54" i="62"/>
  <c r="DD54" i="62"/>
  <c r="DF54" i="62"/>
  <c r="DG54" i="62"/>
  <c r="DH54" i="62"/>
  <c r="DI53" i="62"/>
  <c r="DJ53" i="62" s="1"/>
  <c r="DQ53" i="62" l="1"/>
  <c r="EP53" i="62" s="1"/>
  <c r="EU25" i="65"/>
  <c r="ET29" i="65"/>
  <c r="ES45" i="61"/>
  <c r="DP54" i="62"/>
  <c r="DT15" i="62"/>
  <c r="DV15" i="62" s="1"/>
  <c r="DP15" i="62"/>
  <c r="CY65" i="60"/>
  <c r="DD15" i="60"/>
  <c r="DD20" i="89"/>
  <c r="DE20" i="89"/>
  <c r="DI20" i="89"/>
  <c r="DJ20" i="89"/>
  <c r="DK20" i="89"/>
  <c r="DL20" i="89"/>
  <c r="DM20" i="89"/>
  <c r="DN20" i="89"/>
  <c r="DO20" i="89"/>
  <c r="FA19" i="86"/>
  <c r="FB19" i="86"/>
  <c r="FC18" i="86"/>
  <c r="EY15" i="86"/>
  <c r="ET19" i="86"/>
  <c r="EY18" i="86"/>
  <c r="FC15" i="86"/>
  <c r="DT61" i="57"/>
  <c r="DP61" i="57"/>
  <c r="DT60" i="57"/>
  <c r="DP60" i="57"/>
  <c r="DT59" i="57"/>
  <c r="DP59" i="57"/>
  <c r="DT56" i="57"/>
  <c r="DP56" i="57"/>
  <c r="DT55" i="57"/>
  <c r="DP55" i="57"/>
  <c r="DT53" i="57"/>
  <c r="DP53" i="57"/>
  <c r="DT52" i="57"/>
  <c r="DP52" i="57"/>
  <c r="DT36" i="57"/>
  <c r="DP36" i="57"/>
  <c r="DT37" i="57"/>
  <c r="DP37" i="57"/>
  <c r="DT38" i="57"/>
  <c r="DP38" i="57"/>
  <c r="DT39" i="57"/>
  <c r="DP39" i="57"/>
  <c r="DT40" i="57"/>
  <c r="DP40" i="57"/>
  <c r="DT45" i="57"/>
  <c r="DP45" i="57"/>
  <c r="DT48" i="57"/>
  <c r="DP48" i="57"/>
  <c r="DP15" i="57"/>
  <c r="DP16" i="57"/>
  <c r="DP17" i="57"/>
  <c r="DP18" i="57"/>
  <c r="DL75" i="57"/>
  <c r="DT74" i="57"/>
  <c r="DP74" i="57"/>
  <c r="DT73" i="57"/>
  <c r="DP73" i="57"/>
  <c r="DT70" i="57"/>
  <c r="DP70" i="57"/>
  <c r="DT67" i="57"/>
  <c r="DP67" i="57"/>
  <c r="DT66" i="57"/>
  <c r="DP66" i="57"/>
  <c r="DT65" i="57"/>
  <c r="DP65" i="57"/>
  <c r="DT64" i="57"/>
  <c r="DP64" i="57"/>
  <c r="DK75" i="57"/>
  <c r="DT54" i="57"/>
  <c r="DP54" i="57"/>
  <c r="DT51" i="57"/>
  <c r="DP51" i="57"/>
  <c r="DT44" i="57"/>
  <c r="DP44" i="57"/>
  <c r="DT41" i="57"/>
  <c r="DP41" i="57"/>
  <c r="DT35" i="57"/>
  <c r="DP35" i="57"/>
  <c r="DT34" i="57"/>
  <c r="DP34" i="57"/>
  <c r="DT31" i="57"/>
  <c r="DP31" i="57"/>
  <c r="DP30" i="57"/>
  <c r="DP29" i="57"/>
  <c r="DT26" i="57"/>
  <c r="DP26" i="57"/>
  <c r="DT23" i="57"/>
  <c r="DP23" i="57"/>
  <c r="DT20" i="57"/>
  <c r="DT19" i="57"/>
  <c r="DP19" i="57"/>
  <c r="DT16" i="57"/>
  <c r="DT15" i="57"/>
  <c r="DD16" i="60"/>
  <c r="DD19" i="60"/>
  <c r="DD20" i="60"/>
  <c r="DD23" i="60"/>
  <c r="DD24" i="60"/>
  <c r="DD25" i="60"/>
  <c r="DD26" i="60"/>
  <c r="DD27" i="60"/>
  <c r="DD28" i="60"/>
  <c r="DD31" i="60"/>
  <c r="DD32" i="60"/>
  <c r="DD33" i="60"/>
  <c r="DD34" i="60"/>
  <c r="DD35" i="60"/>
  <c r="DD38" i="60"/>
  <c r="DD41" i="60"/>
  <c r="DD44" i="60"/>
  <c r="DD47" i="60"/>
  <c r="DD50" i="60"/>
  <c r="DD51" i="60"/>
  <c r="DD54" i="60"/>
  <c r="DD57" i="60"/>
  <c r="DD60" i="60"/>
  <c r="DD63" i="60"/>
  <c r="FC19" i="86" l="1"/>
  <c r="EY19" i="86"/>
  <c r="DD65" i="60"/>
  <c r="DP75" i="57"/>
  <c r="CW20" i="89"/>
  <c r="DH63" i="60" l="1"/>
  <c r="DH60" i="60"/>
  <c r="DH57" i="60"/>
  <c r="DH54" i="60"/>
  <c r="DH51" i="60"/>
  <c r="DH50" i="60"/>
  <c r="DH47" i="60"/>
  <c r="DH44" i="60"/>
  <c r="DH41" i="60"/>
  <c r="DH38" i="60"/>
  <c r="DH35" i="60"/>
  <c r="DH34" i="60"/>
  <c r="DH33" i="60"/>
  <c r="DH32" i="60"/>
  <c r="DH31" i="60"/>
  <c r="DH28" i="60"/>
  <c r="DH27" i="60"/>
  <c r="DH26" i="60"/>
  <c r="DH25" i="60"/>
  <c r="DH24" i="60"/>
  <c r="DH23" i="60"/>
  <c r="DH20" i="60"/>
  <c r="DH19" i="60"/>
  <c r="DH15" i="60"/>
  <c r="DF19" i="89" l="1"/>
  <c r="DF17" i="89"/>
  <c r="DF15" i="89"/>
  <c r="DB19" i="89"/>
  <c r="DB17" i="89"/>
  <c r="DB15" i="89"/>
  <c r="CW21" i="91"/>
  <c r="CV21" i="91"/>
  <c r="CT21" i="91"/>
  <c r="CS21" i="91"/>
  <c r="CL20" i="91"/>
  <c r="CL18" i="91"/>
  <c r="J18" i="84"/>
  <c r="DK21" i="91" l="1"/>
  <c r="EA20" i="89"/>
  <c r="DF20" i="89"/>
  <c r="DB20" i="89"/>
  <c r="CL21" i="91"/>
  <c r="DI28" i="62" l="1"/>
  <c r="DJ28" i="62" l="1"/>
  <c r="DQ28" i="62" s="1"/>
  <c r="EP28" i="62" s="1"/>
  <c r="CE15" i="91" l="1"/>
  <c r="CF15" i="91" s="1"/>
  <c r="BU15" i="91"/>
  <c r="Q15" i="91"/>
  <c r="L15" i="91"/>
  <c r="BV15" i="91" s="1"/>
  <c r="BW15" i="91" s="1"/>
  <c r="H15" i="91"/>
  <c r="M15" i="91" s="1"/>
  <c r="EL44" i="61"/>
  <c r="EM44" i="61" s="1"/>
  <c r="ET44" i="61" s="1"/>
  <c r="EB44" i="61"/>
  <c r="EC44" i="61"/>
  <c r="ED44" i="61" s="1"/>
  <c r="CI44" i="61"/>
  <c r="CJ44" i="61" s="1"/>
  <c r="CW38" i="60"/>
  <c r="CX38" i="60" s="1"/>
  <c r="CM38" i="60"/>
  <c r="CA38" i="60"/>
  <c r="CN38" i="60" s="1"/>
  <c r="CO38" i="60" s="1"/>
  <c r="BW38" i="60"/>
  <c r="CC21" i="91"/>
  <c r="EX44" i="61" l="1"/>
  <c r="EY44" i="61" s="1"/>
  <c r="FS44" i="61"/>
  <c r="P15" i="91"/>
  <c r="CM15" i="91"/>
  <c r="DE38" i="60"/>
  <c r="CL44" i="61"/>
  <c r="I15" i="91"/>
  <c r="K15" i="91"/>
  <c r="O15" i="91" s="1"/>
  <c r="CE38" i="60"/>
  <c r="BZ38" i="60"/>
  <c r="CB38" i="60"/>
  <c r="CN44" i="61"/>
  <c r="CW16" i="60"/>
  <c r="CX63" i="60"/>
  <c r="CN63" i="60"/>
  <c r="CM63" i="60"/>
  <c r="BW63" i="60"/>
  <c r="BZ63" i="60" s="1"/>
  <c r="BS21" i="85"/>
  <c r="BS24" i="85" s="1"/>
  <c r="BN21" i="85"/>
  <c r="BV15" i="85"/>
  <c r="BX15" i="85" s="1"/>
  <c r="BV18" i="85"/>
  <c r="BX18" i="85" s="1"/>
  <c r="BV22" i="85"/>
  <c r="BX22" i="85" s="1"/>
  <c r="BV23" i="85"/>
  <c r="BX23" i="85" s="1"/>
  <c r="BP24" i="85"/>
  <c r="BQ24" i="85"/>
  <c r="BR24" i="85"/>
  <c r="BT24" i="85"/>
  <c r="BU24" i="85"/>
  <c r="BW24" i="85"/>
  <c r="BD15" i="85"/>
  <c r="BD18" i="85"/>
  <c r="BD21" i="85"/>
  <c r="BD22" i="85"/>
  <c r="BD23" i="85"/>
  <c r="CF22" i="85"/>
  <c r="CF18" i="85"/>
  <c r="BC21" i="85"/>
  <c r="P21" i="85"/>
  <c r="H21" i="85"/>
  <c r="M21" i="85" s="1"/>
  <c r="O21" i="85" s="1"/>
  <c r="AO30" i="69"/>
  <c r="AO29" i="69"/>
  <c r="CQ15" i="91" l="1"/>
  <c r="CR15" i="91" s="1"/>
  <c r="DL15" i="91"/>
  <c r="ED38" i="60"/>
  <c r="DI38" i="60"/>
  <c r="DJ38" i="60" s="1"/>
  <c r="DE63" i="60"/>
  <c r="CD38" i="60"/>
  <c r="BE21" i="85"/>
  <c r="AO46" i="69"/>
  <c r="BX24" i="85"/>
  <c r="CF21" i="85"/>
  <c r="CG21" i="85" s="1"/>
  <c r="CN21" i="85" s="1"/>
  <c r="BV24" i="85"/>
  <c r="CR21" i="85" l="1"/>
  <c r="CS21" i="85" s="1"/>
  <c r="DM21" i="85"/>
  <c r="DI63" i="60"/>
  <c r="DJ63" i="60" s="1"/>
  <c r="ED63" i="60"/>
  <c r="CD51" i="93"/>
  <c r="CD89" i="92"/>
  <c r="CB21" i="91"/>
  <c r="CB20" i="90"/>
  <c r="CE19" i="84"/>
  <c r="CF73" i="81"/>
  <c r="CD30" i="80"/>
  <c r="CR51" i="77"/>
  <c r="CP29" i="70"/>
  <c r="AN30" i="69"/>
  <c r="AN29" i="69"/>
  <c r="DF30" i="66"/>
  <c r="EI45" i="61"/>
  <c r="DI15" i="57"/>
  <c r="DJ15" i="57" s="1"/>
  <c r="DQ15" i="57" s="1"/>
  <c r="EP15" i="57" s="1"/>
  <c r="DI16" i="57"/>
  <c r="DJ16" i="57" s="1"/>
  <c r="DI17" i="57"/>
  <c r="DJ17" i="57" s="1"/>
  <c r="DQ17" i="57" s="1"/>
  <c r="EP17" i="57" s="1"/>
  <c r="DI18" i="57"/>
  <c r="DJ18" i="57" s="1"/>
  <c r="DQ18" i="57" s="1"/>
  <c r="EP18" i="57" s="1"/>
  <c r="DI19" i="57"/>
  <c r="DJ19" i="57" s="1"/>
  <c r="CT65" i="60"/>
  <c r="DQ16" i="57" l="1"/>
  <c r="EP16" i="57" s="1"/>
  <c r="DQ19" i="57"/>
  <c r="AN46" i="69"/>
  <c r="DV19" i="57" l="1"/>
  <c r="EP19" i="57"/>
  <c r="DV20" i="57"/>
  <c r="CC51" i="93" l="1"/>
  <c r="CA21" i="91"/>
  <c r="CA20" i="90"/>
  <c r="CE73" i="81"/>
  <c r="CC30" i="80"/>
  <c r="CN33" i="73"/>
  <c r="CO29" i="70"/>
  <c r="DE32" i="67"/>
  <c r="EH45" i="61"/>
  <c r="DE75" i="57"/>
  <c r="CQ20" i="89"/>
  <c r="CG69" i="92"/>
  <c r="CH69" i="92" s="1"/>
  <c r="BX69" i="92"/>
  <c r="BW69" i="92"/>
  <c r="CO69" i="92" l="1"/>
  <c r="BY69" i="92"/>
  <c r="N69" i="92"/>
  <c r="H69" i="92"/>
  <c r="O69" i="92" s="1"/>
  <c r="CZ44" i="62"/>
  <c r="CN47" i="60"/>
  <c r="CN16" i="60"/>
  <c r="CZ43" i="62"/>
  <c r="ER18" i="86"/>
  <c r="DI44" i="62"/>
  <c r="CY44" i="62"/>
  <c r="CK44" i="62"/>
  <c r="CK43" i="62"/>
  <c r="CO43" i="62" s="1"/>
  <c r="CR44" i="62"/>
  <c r="CI44" i="62"/>
  <c r="CW47" i="60"/>
  <c r="CX47" i="60" s="1"/>
  <c r="CM47" i="60"/>
  <c r="CF47" i="60"/>
  <c r="BY47" i="60"/>
  <c r="CA47" i="60" s="1"/>
  <c r="BW47" i="60"/>
  <c r="CX16" i="60"/>
  <c r="DE16" i="60" s="1"/>
  <c r="CM16" i="60"/>
  <c r="CF16" i="60"/>
  <c r="BY16" i="60"/>
  <c r="CC16" i="60" s="1"/>
  <c r="BW16" i="60"/>
  <c r="DI16" i="60" l="1"/>
  <c r="DJ16" i="60" s="1"/>
  <c r="ED16" i="60"/>
  <c r="CS69" i="92"/>
  <c r="CT69" i="92" s="1"/>
  <c r="DN69" i="92"/>
  <c r="CM44" i="62"/>
  <c r="CO44" i="62"/>
  <c r="CA16" i="60"/>
  <c r="BZ16" i="60" s="1"/>
  <c r="DJ44" i="62"/>
  <c r="DE47" i="60"/>
  <c r="CO16" i="60"/>
  <c r="CO47" i="60"/>
  <c r="DA44" i="62"/>
  <c r="M69" i="92"/>
  <c r="K69" i="92"/>
  <c r="CJ44" i="62"/>
  <c r="CN44" i="62"/>
  <c r="CL44" i="62"/>
  <c r="BX47" i="60"/>
  <c r="BZ47" i="60"/>
  <c r="CC47" i="60"/>
  <c r="CB47" i="60" s="1"/>
  <c r="BX16" i="60"/>
  <c r="DI47" i="60" l="1"/>
  <c r="ED47" i="60"/>
  <c r="CQ44" i="62"/>
  <c r="CP44" i="62" s="1"/>
  <c r="DQ44" i="62"/>
  <c r="DU44" i="62" s="1"/>
  <c r="DJ47" i="60"/>
  <c r="CE47" i="60"/>
  <c r="CD47" i="60" s="1"/>
  <c r="CB16" i="60"/>
  <c r="CD16" i="60" s="1"/>
  <c r="CE16" i="60"/>
  <c r="EP44" i="62" l="1"/>
  <c r="DV44" i="62"/>
  <c r="CR43" i="62" l="1"/>
  <c r="CR42" i="62"/>
  <c r="CD73" i="81" l="1"/>
  <c r="CB73" i="81"/>
  <c r="CC73" i="81"/>
  <c r="CG73" i="81"/>
  <c r="CH73" i="81"/>
  <c r="CQ51" i="77"/>
  <c r="CS51" i="77"/>
  <c r="CT51" i="77"/>
  <c r="AM30" i="69"/>
  <c r="AM29" i="69"/>
  <c r="DI15" i="62"/>
  <c r="DJ15" i="62" s="1"/>
  <c r="DQ15" i="62" l="1"/>
  <c r="AM46" i="69"/>
  <c r="DI42" i="62"/>
  <c r="DJ42" i="62" s="1"/>
  <c r="DQ42" i="62" s="1"/>
  <c r="EP42" i="62" s="1"/>
  <c r="CY42" i="62"/>
  <c r="CK42" i="62"/>
  <c r="CI42" i="62"/>
  <c r="CC42" i="62"/>
  <c r="BS42" i="62"/>
  <c r="BA42" i="62"/>
  <c r="AZ42" i="62"/>
  <c r="AW42" i="62"/>
  <c r="AV42" i="62"/>
  <c r="AU42" i="62"/>
  <c r="AT42" i="62"/>
  <c r="AS42" i="62"/>
  <c r="AO42" i="62"/>
  <c r="AP42" i="62" s="1"/>
  <c r="Z42" i="62"/>
  <c r="J42" i="62"/>
  <c r="L42" i="62" s="1"/>
  <c r="H42" i="62"/>
  <c r="M42" i="62" s="1"/>
  <c r="BZ21" i="91"/>
  <c r="EP15" i="62" l="1"/>
  <c r="CM42" i="62"/>
  <c r="CO42" i="62"/>
  <c r="CZ42" i="62" s="1"/>
  <c r="DA42" i="62" s="1"/>
  <c r="BB42" i="62"/>
  <c r="BD42" i="62" s="1"/>
  <c r="P42" i="62"/>
  <c r="O42" i="62" s="1"/>
  <c r="K42" i="62"/>
  <c r="AA42" i="62" s="1"/>
  <c r="AB42" i="62" s="1"/>
  <c r="I42" i="62"/>
  <c r="CL42" i="62"/>
  <c r="CJ42" i="62"/>
  <c r="AL30" i="69"/>
  <c r="AL29" i="69"/>
  <c r="AK30" i="69"/>
  <c r="AK29" i="69"/>
  <c r="CN42" i="62" l="1"/>
  <c r="CQ42" i="62"/>
  <c r="CP42" i="62" s="1"/>
  <c r="BE42" i="62"/>
  <c r="BF42" i="62"/>
  <c r="BC42" i="62"/>
  <c r="AL46" i="69"/>
  <c r="CA30" i="80"/>
  <c r="CO51" i="77"/>
  <c r="CL33" i="73"/>
  <c r="CM29" i="70"/>
  <c r="AK22" i="69"/>
  <c r="AK19" i="69"/>
  <c r="AK18" i="69"/>
  <c r="AK17" i="69"/>
  <c r="AK16" i="69"/>
  <c r="AK15" i="69"/>
  <c r="DC32" i="67"/>
  <c r="DC30" i="66"/>
  <c r="EF45" i="61"/>
  <c r="DC75" i="57"/>
  <c r="CQ65" i="60"/>
  <c r="CA51" i="93"/>
  <c r="CA89" i="92"/>
  <c r="BY21" i="91"/>
  <c r="BY20" i="90"/>
  <c r="BJ42" i="62" l="1"/>
  <c r="BK42" i="62" s="1"/>
  <c r="CD42" i="62" s="1"/>
  <c r="AK46" i="69"/>
  <c r="Q43" i="93"/>
  <c r="Q42" i="93"/>
  <c r="Q41" i="93"/>
  <c r="Q17" i="93"/>
  <c r="Q16" i="93"/>
  <c r="Q15" i="93"/>
  <c r="Q14" i="93"/>
  <c r="CB30" i="80"/>
  <c r="CE30" i="80"/>
  <c r="CF30" i="80"/>
  <c r="CT15" i="70"/>
  <c r="DA15" i="70" s="1"/>
  <c r="CT16" i="70"/>
  <c r="DA16" i="70" s="1"/>
  <c r="DZ16" i="70" s="1"/>
  <c r="DF15" i="70" l="1"/>
  <c r="DZ15" i="70"/>
  <c r="CG50" i="93"/>
  <c r="CG49" i="93"/>
  <c r="CG48" i="93"/>
  <c r="CG47" i="93"/>
  <c r="CG46" i="93"/>
  <c r="CG45" i="93"/>
  <c r="CG44" i="93"/>
  <c r="CG43" i="93"/>
  <c r="CG42" i="93"/>
  <c r="CG41" i="93"/>
  <c r="CG40" i="93"/>
  <c r="CG39" i="93"/>
  <c r="CG38" i="93"/>
  <c r="CG37" i="93"/>
  <c r="CG36" i="93"/>
  <c r="CG35" i="93"/>
  <c r="CG34" i="93"/>
  <c r="CG33" i="93"/>
  <c r="CG32" i="93"/>
  <c r="CG31" i="93"/>
  <c r="CG30" i="93"/>
  <c r="CG29" i="93"/>
  <c r="CG28" i="93"/>
  <c r="CG27" i="93"/>
  <c r="CG26" i="93"/>
  <c r="CG25" i="93"/>
  <c r="CG24" i="93"/>
  <c r="CG23" i="93"/>
  <c r="CG22" i="93"/>
  <c r="CG21" i="93"/>
  <c r="CG20" i="93"/>
  <c r="CG19" i="93"/>
  <c r="CG18" i="93"/>
  <c r="CG16" i="93"/>
  <c r="CG15" i="93"/>
  <c r="CG14" i="93"/>
  <c r="BS16" i="93"/>
  <c r="BT16" i="93" s="1"/>
  <c r="BX16" i="93" s="1"/>
  <c r="CG88" i="92"/>
  <c r="CG87" i="92"/>
  <c r="CG84" i="92"/>
  <c r="CG81" i="92"/>
  <c r="CG75" i="92"/>
  <c r="CG72" i="92"/>
  <c r="CH72" i="92" s="1"/>
  <c r="CO72" i="92" s="1"/>
  <c r="DN72" i="92" s="1"/>
  <c r="CG67" i="92"/>
  <c r="CH67" i="92" s="1"/>
  <c r="CO67" i="92" s="1"/>
  <c r="DN67" i="92" s="1"/>
  <c r="CG66" i="92"/>
  <c r="CH66" i="92" s="1"/>
  <c r="CO66" i="92" s="1"/>
  <c r="DN66" i="92" s="1"/>
  <c r="CG65" i="92"/>
  <c r="CH65" i="92" s="1"/>
  <c r="CO65" i="92" s="1"/>
  <c r="DN65" i="92" s="1"/>
  <c r="CG64" i="92"/>
  <c r="CH64" i="92" s="1"/>
  <c r="CO64" i="92" s="1"/>
  <c r="DN64" i="92" s="1"/>
  <c r="CG63" i="92"/>
  <c r="CH63" i="92" s="1"/>
  <c r="CO63" i="92" s="1"/>
  <c r="DN63" i="92" s="1"/>
  <c r="CG62" i="92"/>
  <c r="CH62" i="92" s="1"/>
  <c r="CO62" i="92" s="1"/>
  <c r="DN62" i="92" s="1"/>
  <c r="CG59" i="92"/>
  <c r="CG56" i="92"/>
  <c r="CG53" i="92"/>
  <c r="CG50" i="92"/>
  <c r="CG47" i="92"/>
  <c r="CG44" i="92"/>
  <c r="CG43" i="92"/>
  <c r="CG40" i="92"/>
  <c r="CH40" i="92" s="1"/>
  <c r="CO40" i="92" s="1"/>
  <c r="DN40" i="92" s="1"/>
  <c r="CG39" i="92"/>
  <c r="CG36" i="92"/>
  <c r="CH36" i="92" s="1"/>
  <c r="CO36" i="92" s="1"/>
  <c r="DN36" i="92" s="1"/>
  <c r="CG33" i="92"/>
  <c r="CH33" i="92" s="1"/>
  <c r="CO33" i="92" s="1"/>
  <c r="DN33" i="92" s="1"/>
  <c r="CG32" i="92"/>
  <c r="CH32" i="92" s="1"/>
  <c r="CO32" i="92" s="1"/>
  <c r="DN32" i="92" s="1"/>
  <c r="CG31" i="92"/>
  <c r="CH31" i="92" s="1"/>
  <c r="CO31" i="92" s="1"/>
  <c r="DN31" i="92" s="1"/>
  <c r="CG30" i="92"/>
  <c r="CG27" i="92"/>
  <c r="CG24" i="92"/>
  <c r="CG21" i="92"/>
  <c r="CG20" i="92"/>
  <c r="CG19" i="92"/>
  <c r="CG18" i="92"/>
  <c r="J88" i="92"/>
  <c r="J87" i="92"/>
  <c r="J84" i="92"/>
  <c r="J81" i="92"/>
  <c r="L81" i="92" s="1"/>
  <c r="H81" i="92"/>
  <c r="J75" i="92"/>
  <c r="J72" i="92"/>
  <c r="J67" i="92"/>
  <c r="J66" i="92"/>
  <c r="J65" i="92"/>
  <c r="J64" i="92"/>
  <c r="J63" i="92"/>
  <c r="J62" i="92"/>
  <c r="J59" i="92"/>
  <c r="J56" i="92"/>
  <c r="J53" i="92"/>
  <c r="J50" i="92"/>
  <c r="L50" i="92" s="1"/>
  <c r="H50" i="92"/>
  <c r="M50" i="92" s="1"/>
  <c r="J47" i="92"/>
  <c r="J15" i="92"/>
  <c r="BS81" i="92"/>
  <c r="BS15" i="92"/>
  <c r="CE20" i="91"/>
  <c r="CE18" i="91"/>
  <c r="BX21" i="91"/>
  <c r="Q20" i="91"/>
  <c r="J20" i="91"/>
  <c r="L20" i="91" s="1"/>
  <c r="H20" i="91"/>
  <c r="M20" i="91" s="1"/>
  <c r="Q18" i="91"/>
  <c r="J18" i="91"/>
  <c r="L18" i="91" s="1"/>
  <c r="H18" i="91"/>
  <c r="M18" i="91" s="1"/>
  <c r="BQ20" i="91"/>
  <c r="BQ18" i="91"/>
  <c r="BZ20" i="90"/>
  <c r="CC20" i="90"/>
  <c r="CD20" i="90"/>
  <c r="CE15" i="90"/>
  <c r="EU28" i="65"/>
  <c r="EU22" i="65"/>
  <c r="EU19" i="65"/>
  <c r="EU18" i="65"/>
  <c r="EU17" i="65"/>
  <c r="EU16" i="65"/>
  <c r="EU15" i="65"/>
  <c r="BQ16" i="90"/>
  <c r="CE16" i="90" s="1"/>
  <c r="J19" i="90"/>
  <c r="Q19" i="90"/>
  <c r="Q16" i="90"/>
  <c r="Q15" i="90"/>
  <c r="J16" i="90"/>
  <c r="L16" i="90" s="1"/>
  <c r="H16" i="90"/>
  <c r="I16" i="90" l="1"/>
  <c r="EU29" i="65"/>
  <c r="K50" i="92"/>
  <c r="K81" i="92"/>
  <c r="M16" i="90"/>
  <c r="CH16" i="93"/>
  <c r="CO16" i="93" s="1"/>
  <c r="I81" i="92"/>
  <c r="CG51" i="93"/>
  <c r="I50" i="92"/>
  <c r="P20" i="91"/>
  <c r="O20" i="91" s="1"/>
  <c r="K20" i="91"/>
  <c r="I20" i="91"/>
  <c r="P18" i="91"/>
  <c r="O18" i="91" s="1"/>
  <c r="K18" i="91"/>
  <c r="I18" i="91"/>
  <c r="P16" i="90"/>
  <c r="O16" i="90" s="1"/>
  <c r="K16" i="90"/>
  <c r="Q18" i="84"/>
  <c r="Q15" i="84"/>
  <c r="CH18" i="84"/>
  <c r="CH15" i="84"/>
  <c r="CA19" i="84"/>
  <c r="Q69" i="81"/>
  <c r="Q68" i="81"/>
  <c r="Q65" i="81"/>
  <c r="Q62" i="81"/>
  <c r="Q61" i="81"/>
  <c r="Q60" i="81"/>
  <c r="Q57" i="81"/>
  <c r="Q56" i="81"/>
  <c r="Q55" i="81"/>
  <c r="Q52" i="81"/>
  <c r="Q49" i="81"/>
  <c r="Q46" i="81"/>
  <c r="Q45" i="81"/>
  <c r="Q44" i="81"/>
  <c r="Q43" i="81"/>
  <c r="Q42" i="81"/>
  <c r="Q41" i="81"/>
  <c r="Q40" i="81"/>
  <c r="Q39" i="81"/>
  <c r="Q34" i="81"/>
  <c r="Q31" i="81"/>
  <c r="Q28" i="81"/>
  <c r="Q25" i="81"/>
  <c r="Q22" i="81"/>
  <c r="Q19" i="81"/>
  <c r="Q16" i="81"/>
  <c r="Q15" i="81"/>
  <c r="CI15" i="81"/>
  <c r="BN49" i="81"/>
  <c r="AS15" i="81"/>
  <c r="AS22" i="81"/>
  <c r="AS25" i="81"/>
  <c r="BT49" i="81"/>
  <c r="BT34" i="81"/>
  <c r="BD31" i="81"/>
  <c r="CI72" i="81"/>
  <c r="CJ72" i="81" s="1"/>
  <c r="CQ72" i="81" s="1"/>
  <c r="CI69" i="81"/>
  <c r="CJ69" i="81" s="1"/>
  <c r="CI68" i="81"/>
  <c r="CJ68" i="81" s="1"/>
  <c r="CQ68" i="81" s="1"/>
  <c r="DP68" i="81" s="1"/>
  <c r="CI65" i="81"/>
  <c r="CJ65" i="81" s="1"/>
  <c r="CI62" i="81"/>
  <c r="CJ62" i="81" s="1"/>
  <c r="CQ62" i="81" s="1"/>
  <c r="CI61" i="81"/>
  <c r="CJ61" i="81" s="1"/>
  <c r="CI60" i="81"/>
  <c r="CJ60" i="81" s="1"/>
  <c r="CQ60" i="81" s="1"/>
  <c r="CI57" i="81"/>
  <c r="CJ57" i="81" s="1"/>
  <c r="CI56" i="81"/>
  <c r="CJ56" i="81" s="1"/>
  <c r="CQ56" i="81" s="1"/>
  <c r="DP56" i="81" s="1"/>
  <c r="CI55" i="81"/>
  <c r="CJ55" i="81" s="1"/>
  <c r="CI52" i="81"/>
  <c r="CJ52" i="81" s="1"/>
  <c r="CQ52" i="81" s="1"/>
  <c r="DP52" i="81" s="1"/>
  <c r="CI49" i="81"/>
  <c r="CJ49" i="81" s="1"/>
  <c r="CI46" i="81"/>
  <c r="CJ46" i="81" s="1"/>
  <c r="CQ46" i="81" s="1"/>
  <c r="CI45" i="81"/>
  <c r="CJ45" i="81" s="1"/>
  <c r="CI44" i="81"/>
  <c r="CJ44" i="81" s="1"/>
  <c r="CQ44" i="81" s="1"/>
  <c r="CI43" i="81"/>
  <c r="CJ43" i="81" s="1"/>
  <c r="CI42" i="81"/>
  <c r="CJ42" i="81" s="1"/>
  <c r="CQ42" i="81" s="1"/>
  <c r="CI41" i="81"/>
  <c r="CJ41" i="81" s="1"/>
  <c r="CI40" i="81"/>
  <c r="CJ40" i="81" s="1"/>
  <c r="CQ40" i="81" s="1"/>
  <c r="CI39" i="81"/>
  <c r="CJ39" i="81" s="1"/>
  <c r="CI34" i="81"/>
  <c r="CJ34" i="81" s="1"/>
  <c r="CQ34" i="81" s="1"/>
  <c r="DP34" i="81" s="1"/>
  <c r="CI31" i="81"/>
  <c r="CJ31" i="81" s="1"/>
  <c r="CI28" i="81"/>
  <c r="CJ28" i="81" s="1"/>
  <c r="CQ28" i="81" s="1"/>
  <c r="DP28" i="81" s="1"/>
  <c r="CI25" i="81"/>
  <c r="CJ25" i="81" s="1"/>
  <c r="CI22" i="81"/>
  <c r="CJ22" i="81" s="1"/>
  <c r="CQ22" i="81" s="1"/>
  <c r="CI19" i="81"/>
  <c r="CJ19" i="81" s="1"/>
  <c r="CQ19" i="81" s="1"/>
  <c r="CI16" i="81"/>
  <c r="CJ16" i="81" s="1"/>
  <c r="CQ16" i="81" s="1"/>
  <c r="BZ30" i="80"/>
  <c r="BT30" i="80"/>
  <c r="CZ31" i="80" s="1"/>
  <c r="CO21" i="78"/>
  <c r="CO20" i="78"/>
  <c r="Q48" i="78"/>
  <c r="Q45" i="78"/>
  <c r="Q42" i="78"/>
  <c r="Q39" i="78"/>
  <c r="Q38" i="78"/>
  <c r="Q35" i="78"/>
  <c r="Q32" i="78"/>
  <c r="Q31" i="78"/>
  <c r="Q28" i="78"/>
  <c r="Q27" i="78"/>
  <c r="Q24" i="78"/>
  <c r="Q21" i="78"/>
  <c r="Q20" i="78"/>
  <c r="Q19" i="78"/>
  <c r="CU16" i="81" l="1"/>
  <c r="CV16" i="81" s="1"/>
  <c r="DP16" i="81"/>
  <c r="DP22" i="81"/>
  <c r="DP40" i="81"/>
  <c r="DP42" i="81"/>
  <c r="DP44" i="81"/>
  <c r="DP46" i="81"/>
  <c r="DP60" i="81"/>
  <c r="DP62" i="81"/>
  <c r="DP72" i="81"/>
  <c r="CS16" i="93"/>
  <c r="CT16" i="93" s="1"/>
  <c r="DN16" i="93"/>
  <c r="CU19" i="81"/>
  <c r="CV19" i="81" s="1"/>
  <c r="DP19" i="81"/>
  <c r="CQ31" i="81"/>
  <c r="CQ41" i="81"/>
  <c r="DP41" i="81" s="1"/>
  <c r="CQ45" i="81"/>
  <c r="CQ55" i="81"/>
  <c r="DP55" i="81" s="1"/>
  <c r="CQ61" i="81"/>
  <c r="CQ69" i="81"/>
  <c r="DP69" i="81" s="1"/>
  <c r="CQ25" i="81"/>
  <c r="DP25" i="81" s="1"/>
  <c r="CQ39" i="81"/>
  <c r="DP39" i="81" s="1"/>
  <c r="CQ43" i="81"/>
  <c r="CQ49" i="81"/>
  <c r="CQ57" i="81"/>
  <c r="DP57" i="81" s="1"/>
  <c r="CQ65" i="81"/>
  <c r="DP65" i="81" s="1"/>
  <c r="CH19" i="84"/>
  <c r="BU49" i="81"/>
  <c r="DP43" i="81" l="1"/>
  <c r="DP49" i="81"/>
  <c r="DP61" i="81"/>
  <c r="DP45" i="81"/>
  <c r="DP31" i="81"/>
  <c r="DD30" i="80"/>
  <c r="DE30" i="80"/>
  <c r="CU33" i="77"/>
  <c r="CU27" i="77"/>
  <c r="CV27" i="77" s="1"/>
  <c r="DC27" i="77" s="1"/>
  <c r="J27" i="77"/>
  <c r="L27" i="77" s="1"/>
  <c r="Q15" i="77"/>
  <c r="Q50" i="77"/>
  <c r="Q47" i="77"/>
  <c r="Q44" i="77"/>
  <c r="Q41" i="77"/>
  <c r="Q39" i="77"/>
  <c r="Q38" i="77"/>
  <c r="Q35" i="77"/>
  <c r="Q34" i="77"/>
  <c r="Q33" i="77"/>
  <c r="Q30" i="77"/>
  <c r="Q27" i="77"/>
  <c r="Q24" i="77"/>
  <c r="Q23" i="77"/>
  <c r="Q20" i="77"/>
  <c r="Q17" i="77"/>
  <c r="Q16" i="77"/>
  <c r="Q32" i="73"/>
  <c r="Q29" i="73"/>
  <c r="Q26" i="73"/>
  <c r="Q25" i="73"/>
  <c r="Q21" i="73"/>
  <c r="Q22" i="73"/>
  <c r="Q18" i="73"/>
  <c r="Q15" i="73"/>
  <c r="Q28" i="70"/>
  <c r="Q25" i="70"/>
  <c r="Q22" i="70"/>
  <c r="Q19" i="70"/>
  <c r="Q16" i="70"/>
  <c r="Q15" i="70"/>
  <c r="Q45" i="69"/>
  <c r="Q42" i="69"/>
  <c r="Q39" i="69"/>
  <c r="Q38" i="69"/>
  <c r="Q37" i="69"/>
  <c r="Q34" i="69"/>
  <c r="Q33" i="69"/>
  <c r="Q30" i="69"/>
  <c r="Q29" i="69"/>
  <c r="Q26" i="69"/>
  <c r="Q25" i="69"/>
  <c r="Q22" i="69"/>
  <c r="Q19" i="69"/>
  <c r="Q18" i="69"/>
  <c r="Q17" i="69"/>
  <c r="Q16" i="69"/>
  <c r="Q15" i="69"/>
  <c r="Q28" i="63"/>
  <c r="Q25" i="63"/>
  <c r="Q24" i="63"/>
  <c r="Q21" i="63"/>
  <c r="Q18" i="63"/>
  <c r="Q15" i="63"/>
  <c r="CR31" i="67"/>
  <c r="CR28" i="67"/>
  <c r="CR27" i="67"/>
  <c r="CR24" i="67"/>
  <c r="CR24" i="66"/>
  <c r="CR21" i="66"/>
  <c r="CR18" i="66"/>
  <c r="CR15" i="66"/>
  <c r="EB28" i="65"/>
  <c r="EB25" i="65"/>
  <c r="EB22" i="65"/>
  <c r="EB19" i="65"/>
  <c r="EB18" i="65"/>
  <c r="EB17" i="65"/>
  <c r="EB16" i="65"/>
  <c r="EB15" i="65"/>
  <c r="Q18" i="64"/>
  <c r="Q15" i="64"/>
  <c r="CR41" i="61"/>
  <c r="CR38" i="61"/>
  <c r="CR35" i="61"/>
  <c r="CR32" i="61"/>
  <c r="CR29" i="61"/>
  <c r="CR26" i="61"/>
  <c r="CR25" i="61"/>
  <c r="CR24" i="61"/>
  <c r="CR21" i="61"/>
  <c r="CR18" i="61"/>
  <c r="CR17" i="61"/>
  <c r="CR16" i="61"/>
  <c r="CR15" i="61"/>
  <c r="CR53" i="62"/>
  <c r="CR50" i="62"/>
  <c r="CR47" i="62"/>
  <c r="CR41" i="62"/>
  <c r="CR38" i="62"/>
  <c r="CR35" i="62"/>
  <c r="CR34" i="62"/>
  <c r="CR33" i="62"/>
  <c r="CR32" i="62"/>
  <c r="CR29" i="62"/>
  <c r="CR28" i="62"/>
  <c r="CR25" i="62"/>
  <c r="CR22" i="62"/>
  <c r="CR21" i="62"/>
  <c r="CR20" i="62"/>
  <c r="CR19" i="62"/>
  <c r="CR18" i="62"/>
  <c r="CR15" i="62"/>
  <c r="CU18" i="86"/>
  <c r="CU15" i="86"/>
  <c r="CR74" i="57"/>
  <c r="CR73" i="57"/>
  <c r="CR70" i="57"/>
  <c r="CR67" i="57"/>
  <c r="CR66" i="57"/>
  <c r="CR65" i="57"/>
  <c r="CR64" i="57"/>
  <c r="CR61" i="57"/>
  <c r="CR60" i="57"/>
  <c r="CR59" i="57"/>
  <c r="CR56" i="57"/>
  <c r="CR55" i="57"/>
  <c r="CR54" i="57"/>
  <c r="CR53" i="57"/>
  <c r="CR52" i="57"/>
  <c r="CR51" i="57"/>
  <c r="CR48" i="57"/>
  <c r="CR45" i="57"/>
  <c r="CR44" i="57"/>
  <c r="CR41" i="57"/>
  <c r="CR40" i="57"/>
  <c r="CR39" i="57"/>
  <c r="CR38" i="57"/>
  <c r="CR37" i="57"/>
  <c r="CR36" i="57"/>
  <c r="CR35" i="57"/>
  <c r="CR34" i="57"/>
  <c r="CR31" i="57"/>
  <c r="CR30" i="57"/>
  <c r="CR29" i="57"/>
  <c r="CR26" i="57"/>
  <c r="CR23" i="57"/>
  <c r="CR19" i="57"/>
  <c r="CR18" i="57"/>
  <c r="CR17" i="57"/>
  <c r="CR16" i="57"/>
  <c r="CR15" i="57"/>
  <c r="CF60" i="60"/>
  <c r="CF57" i="60"/>
  <c r="CF54" i="60"/>
  <c r="CF51" i="60"/>
  <c r="CF50" i="60"/>
  <c r="CF44" i="60"/>
  <c r="CF41" i="60"/>
  <c r="CF35" i="60"/>
  <c r="CF32" i="60"/>
  <c r="CF31" i="60"/>
  <c r="CF28" i="60"/>
  <c r="CF27" i="60"/>
  <c r="CF26" i="60"/>
  <c r="CF25" i="60"/>
  <c r="CF24" i="60"/>
  <c r="CF23" i="60"/>
  <c r="CF20" i="60"/>
  <c r="CF15" i="60"/>
  <c r="CD19" i="89"/>
  <c r="CD17" i="89"/>
  <c r="J18" i="73"/>
  <c r="L18" i="73" s="1"/>
  <c r="J19" i="70"/>
  <c r="L19" i="70" s="1"/>
  <c r="J28" i="70"/>
  <c r="L28" i="70" s="1"/>
  <c r="J25" i="70"/>
  <c r="L25" i="70" s="1"/>
  <c r="J22" i="70"/>
  <c r="L22" i="70" s="1"/>
  <c r="J16" i="70"/>
  <c r="L16" i="70" s="1"/>
  <c r="J32" i="73"/>
  <c r="L32" i="73" s="1"/>
  <c r="J29" i="73"/>
  <c r="J26" i="73"/>
  <c r="L26" i="73" s="1"/>
  <c r="J25" i="73"/>
  <c r="L25" i="73" s="1"/>
  <c r="J22" i="73"/>
  <c r="L22" i="73" s="1"/>
  <c r="J21" i="73"/>
  <c r="L21" i="73" s="1"/>
  <c r="CV15" i="77" l="1"/>
  <c r="DC15" i="77" s="1"/>
  <c r="CR22" i="73"/>
  <c r="CR26" i="73"/>
  <c r="V46" i="69"/>
  <c r="AQ34" i="69"/>
  <c r="AQ33" i="69"/>
  <c r="AE46" i="69"/>
  <c r="AF46" i="69"/>
  <c r="AG46" i="69"/>
  <c r="AH46" i="69"/>
  <c r="AI46" i="69"/>
  <c r="BK28" i="63"/>
  <c r="BK21" i="63"/>
  <c r="BA18" i="63"/>
  <c r="DJ31" i="67"/>
  <c r="DQ31" i="67" s="1"/>
  <c r="EP31" i="67" s="1"/>
  <c r="DJ24" i="67"/>
  <c r="DI15" i="66"/>
  <c r="DJ15" i="66" s="1"/>
  <c r="DU15" i="66" s="1"/>
  <c r="DY15" i="66" s="1"/>
  <c r="DI29" i="66"/>
  <c r="DJ29" i="66" s="1"/>
  <c r="DU29" i="66" s="1"/>
  <c r="DI25" i="66"/>
  <c r="DJ25" i="66" s="1"/>
  <c r="DU25" i="66" s="1"/>
  <c r="DI21" i="66"/>
  <c r="DJ21" i="66" s="1"/>
  <c r="DU21" i="66" s="1"/>
  <c r="CK29" i="66"/>
  <c r="CK28" i="66"/>
  <c r="CK25" i="66"/>
  <c r="CK24" i="66"/>
  <c r="CI24" i="66"/>
  <c r="CK21" i="66"/>
  <c r="CI21" i="66"/>
  <c r="CI18" i="66"/>
  <c r="CJ18" i="66" s="1"/>
  <c r="CZ15" i="66"/>
  <c r="CI15" i="66"/>
  <c r="CL15" i="86"/>
  <c r="DI28" i="66"/>
  <c r="DJ28" i="66" s="1"/>
  <c r="DU28" i="66" s="1"/>
  <c r="DI24" i="66"/>
  <c r="DJ24" i="66" s="1"/>
  <c r="DU24" i="66" s="1"/>
  <c r="DI18" i="66"/>
  <c r="DJ18" i="66" s="1"/>
  <c r="DU18" i="66" s="1"/>
  <c r="ET18" i="66" s="1"/>
  <c r="DY45" i="61"/>
  <c r="CV54" i="62"/>
  <c r="EE19" i="86"/>
  <c r="DB75" i="57"/>
  <c r="BW15" i="60"/>
  <c r="BY20" i="60"/>
  <c r="CC20" i="60" s="1"/>
  <c r="CR65" i="60"/>
  <c r="CS65" i="60"/>
  <c r="CU65" i="60"/>
  <c r="CV65" i="60"/>
  <c r="CW60" i="60"/>
  <c r="CX60" i="60" s="1"/>
  <c r="DE60" i="60" s="1"/>
  <c r="CW57" i="60"/>
  <c r="CX57" i="60" s="1"/>
  <c r="DE57" i="60" s="1"/>
  <c r="CW54" i="60"/>
  <c r="CX54" i="60" s="1"/>
  <c r="DE54" i="60" s="1"/>
  <c r="CW51" i="60"/>
  <c r="CX51" i="60" s="1"/>
  <c r="DE51" i="60" s="1"/>
  <c r="CW50" i="60"/>
  <c r="CX50" i="60" s="1"/>
  <c r="DE50" i="60" s="1"/>
  <c r="CW44" i="60"/>
  <c r="CX44" i="60" s="1"/>
  <c r="DE44" i="60" s="1"/>
  <c r="CW41" i="60"/>
  <c r="CX41" i="60" s="1"/>
  <c r="DE41" i="60" s="1"/>
  <c r="CW35" i="60"/>
  <c r="CX35" i="60" s="1"/>
  <c r="DE35" i="60" s="1"/>
  <c r="CW34" i="60"/>
  <c r="CX34" i="60" s="1"/>
  <c r="DE34" i="60" s="1"/>
  <c r="CW33" i="60"/>
  <c r="CX33" i="60" s="1"/>
  <c r="DE33" i="60" s="1"/>
  <c r="CW32" i="60"/>
  <c r="CX32" i="60" s="1"/>
  <c r="DE32" i="60" s="1"/>
  <c r="CW31" i="60"/>
  <c r="CX31" i="60" s="1"/>
  <c r="DE31" i="60" s="1"/>
  <c r="CW28" i="60"/>
  <c r="CX28" i="60" s="1"/>
  <c r="DE28" i="60" s="1"/>
  <c r="CW27" i="60"/>
  <c r="CX27" i="60" s="1"/>
  <c r="DE27" i="60" s="1"/>
  <c r="CW26" i="60"/>
  <c r="CX26" i="60" s="1"/>
  <c r="DE26" i="60" s="1"/>
  <c r="CW25" i="60"/>
  <c r="CX25" i="60" s="1"/>
  <c r="DE25" i="60" s="1"/>
  <c r="CW24" i="60"/>
  <c r="CX24" i="60" s="1"/>
  <c r="DE24" i="60" s="1"/>
  <c r="CW23" i="60"/>
  <c r="CX23" i="60" s="1"/>
  <c r="DE23" i="60" s="1"/>
  <c r="ED23" i="60" s="1"/>
  <c r="CW20" i="60"/>
  <c r="CX20" i="60" s="1"/>
  <c r="DE20" i="60" s="1"/>
  <c r="ED20" i="60" s="1"/>
  <c r="CW19" i="60"/>
  <c r="CX19" i="60" s="1"/>
  <c r="DE19" i="60" s="1"/>
  <c r="CW15" i="60"/>
  <c r="EE45" i="61"/>
  <c r="CI15" i="61"/>
  <c r="CI16" i="61"/>
  <c r="CI17" i="61"/>
  <c r="DI35" i="62"/>
  <c r="DI34" i="62"/>
  <c r="DI29" i="62"/>
  <c r="DJ29" i="62" s="1"/>
  <c r="DQ29" i="62" s="1"/>
  <c r="EP29" i="62" s="1"/>
  <c r="DI21" i="62"/>
  <c r="DJ21" i="62" s="1"/>
  <c r="DQ21" i="62" s="1"/>
  <c r="EP21" i="62" s="1"/>
  <c r="DI19" i="62"/>
  <c r="CI18" i="62"/>
  <c r="DI33" i="62"/>
  <c r="DJ33" i="62" s="1"/>
  <c r="DQ33" i="62" s="1"/>
  <c r="EP33" i="62" s="1"/>
  <c r="DI32" i="62"/>
  <c r="DJ32" i="62" s="1"/>
  <c r="DQ32" i="62" s="1"/>
  <c r="EP32" i="62" s="1"/>
  <c r="DI25" i="62"/>
  <c r="DJ25" i="62" s="1"/>
  <c r="DQ25" i="62" s="1"/>
  <c r="EP25" i="62" s="1"/>
  <c r="DI22" i="62"/>
  <c r="DJ22" i="62" s="1"/>
  <c r="DQ22" i="62" s="1"/>
  <c r="EP22" i="62" s="1"/>
  <c r="DI20" i="62"/>
  <c r="DJ18" i="62"/>
  <c r="CK53" i="62"/>
  <c r="CI53" i="62"/>
  <c r="CK50" i="62"/>
  <c r="CI50" i="62"/>
  <c r="CK47" i="62"/>
  <c r="CO47" i="62" s="1"/>
  <c r="CI47" i="62"/>
  <c r="CM43" i="62"/>
  <c r="CQ43" i="62" s="1"/>
  <c r="CI43" i="62"/>
  <c r="CN43" i="62" s="1"/>
  <c r="CK41" i="62"/>
  <c r="CI41" i="62"/>
  <c r="CK38" i="62"/>
  <c r="CI38" i="62"/>
  <c r="CK35" i="62"/>
  <c r="CI35" i="62"/>
  <c r="CK34" i="62"/>
  <c r="CO34" i="62" s="1"/>
  <c r="CK33" i="62"/>
  <c r="CO33" i="62" s="1"/>
  <c r="CI33" i="62"/>
  <c r="CK32" i="62"/>
  <c r="CI32" i="62"/>
  <c r="CK29" i="62"/>
  <c r="CI29" i="62"/>
  <c r="CK28" i="62"/>
  <c r="CI28" i="62"/>
  <c r="CK25" i="62"/>
  <c r="CI25" i="62"/>
  <c r="CI22" i="62"/>
  <c r="CK22" i="62"/>
  <c r="CK21" i="62"/>
  <c r="CI21" i="62"/>
  <c r="CK20" i="62"/>
  <c r="CI20" i="62"/>
  <c r="CK19" i="62"/>
  <c r="CI19" i="62"/>
  <c r="CK18" i="62"/>
  <c r="CI15" i="62"/>
  <c r="CN15" i="62" s="1"/>
  <c r="CI15" i="57"/>
  <c r="CL18" i="86"/>
  <c r="CP18" i="86"/>
  <c r="ET24" i="66" l="1"/>
  <c r="DY24" i="66"/>
  <c r="DZ24" i="66" s="1"/>
  <c r="ED19" i="60"/>
  <c r="ED25" i="60"/>
  <c r="ED27" i="60"/>
  <c r="ED31" i="60"/>
  <c r="ED33" i="60"/>
  <c r="ED35" i="60"/>
  <c r="ED44" i="60"/>
  <c r="ED51" i="60"/>
  <c r="ED57" i="60"/>
  <c r="ET28" i="66"/>
  <c r="ET21" i="66"/>
  <c r="ET29" i="66"/>
  <c r="ED24" i="60"/>
  <c r="ED26" i="60"/>
  <c r="ED28" i="60"/>
  <c r="ED32" i="60"/>
  <c r="ED34" i="60"/>
  <c r="ED41" i="60"/>
  <c r="ED50" i="60"/>
  <c r="ED54" i="60"/>
  <c r="ED60" i="60"/>
  <c r="ET25" i="66"/>
  <c r="CM24" i="66"/>
  <c r="CZ24" i="66" s="1"/>
  <c r="CM21" i="66"/>
  <c r="CZ21" i="66" s="1"/>
  <c r="CN33" i="62"/>
  <c r="CM22" i="62"/>
  <c r="CL22" i="62" s="1"/>
  <c r="CO22" i="62"/>
  <c r="CN22" i="62" s="1"/>
  <c r="CM38" i="62"/>
  <c r="CQ38" i="62" s="1"/>
  <c r="CP38" i="62" s="1"/>
  <c r="CO38" i="62"/>
  <c r="CM50" i="62"/>
  <c r="CL50" i="62" s="1"/>
  <c r="CO50" i="62"/>
  <c r="CM18" i="62"/>
  <c r="CO18" i="62"/>
  <c r="CM20" i="62"/>
  <c r="CL20" i="62" s="1"/>
  <c r="CO20" i="62"/>
  <c r="CN20" i="62" s="1"/>
  <c r="CM28" i="62"/>
  <c r="CO28" i="62"/>
  <c r="CN28" i="62" s="1"/>
  <c r="CM32" i="62"/>
  <c r="CO32" i="62"/>
  <c r="CN47" i="62"/>
  <c r="CN18" i="62"/>
  <c r="CM35" i="62"/>
  <c r="CO35" i="62"/>
  <c r="CN35" i="62" s="1"/>
  <c r="CM41" i="62"/>
  <c r="CO41" i="62"/>
  <c r="CZ41" i="62" s="1"/>
  <c r="CM53" i="62"/>
  <c r="CO53" i="62"/>
  <c r="CN53" i="62" s="1"/>
  <c r="CM19" i="62"/>
  <c r="CO19" i="62"/>
  <c r="CN19" i="62" s="1"/>
  <c r="CM21" i="62"/>
  <c r="CO21" i="62"/>
  <c r="CN21" i="62" s="1"/>
  <c r="CM25" i="62"/>
  <c r="CO25" i="62"/>
  <c r="CN25" i="62" s="1"/>
  <c r="CM29" i="62"/>
  <c r="CO29" i="62"/>
  <c r="CN29" i="62" s="1"/>
  <c r="CN38" i="62"/>
  <c r="CN50" i="62"/>
  <c r="DQ24" i="67"/>
  <c r="EP24" i="67" s="1"/>
  <c r="CL19" i="62"/>
  <c r="DU30" i="66"/>
  <c r="DZ15" i="66"/>
  <c r="DQ18" i="62"/>
  <c r="DJ20" i="62"/>
  <c r="DJ34" i="62"/>
  <c r="DJ19" i="62"/>
  <c r="DJ35" i="62"/>
  <c r="CL21" i="62"/>
  <c r="CL18" i="66"/>
  <c r="CJ15" i="66"/>
  <c r="CL15" i="62"/>
  <c r="CJ21" i="66"/>
  <c r="CL15" i="66"/>
  <c r="CL15" i="57"/>
  <c r="CJ24" i="66"/>
  <c r="CW65" i="60"/>
  <c r="CX15" i="60"/>
  <c r="CL24" i="66"/>
  <c r="CL21" i="66"/>
  <c r="CJ32" i="62"/>
  <c r="CL18" i="62"/>
  <c r="CN32" i="62"/>
  <c r="CJ35" i="62"/>
  <c r="CJ33" i="62"/>
  <c r="CJ47" i="62"/>
  <c r="CQ53" i="62"/>
  <c r="CP53" i="62" s="1"/>
  <c r="CL53" i="62"/>
  <c r="CJ53" i="62"/>
  <c r="CJ50" i="62"/>
  <c r="CM47" i="62"/>
  <c r="CQ41" i="62"/>
  <c r="CP41" i="62" s="1"/>
  <c r="CL41" i="62"/>
  <c r="CP43" i="62"/>
  <c r="CL43" i="62"/>
  <c r="CJ41" i="62"/>
  <c r="CJ43" i="62"/>
  <c r="CL38" i="62"/>
  <c r="CJ38" i="62"/>
  <c r="CQ32" i="62"/>
  <c r="CP32" i="62" s="1"/>
  <c r="CL32" i="62"/>
  <c r="CQ35" i="62"/>
  <c r="CP35" i="62" s="1"/>
  <c r="CL35" i="62"/>
  <c r="CM33" i="62"/>
  <c r="CM34" i="62"/>
  <c r="CL29" i="62"/>
  <c r="CJ29" i="62"/>
  <c r="CL28" i="62"/>
  <c r="CJ28" i="62"/>
  <c r="CL25" i="62"/>
  <c r="CJ25" i="62"/>
  <c r="CJ22" i="62"/>
  <c r="CJ21" i="62"/>
  <c r="CJ20" i="62"/>
  <c r="CJ19" i="62"/>
  <c r="CJ18" i="62"/>
  <c r="CJ15" i="62"/>
  <c r="CN15" i="57"/>
  <c r="CJ15" i="57"/>
  <c r="CN41" i="62" l="1"/>
  <c r="DY21" i="66"/>
  <c r="DZ21" i="66" s="1"/>
  <c r="DE15" i="60"/>
  <c r="DE65" i="60" s="1"/>
  <c r="ED68" i="60" s="1"/>
  <c r="EP18" i="62"/>
  <c r="EA30" i="66"/>
  <c r="CQ50" i="62"/>
  <c r="CP50" i="62" s="1"/>
  <c r="CQ29" i="62"/>
  <c r="CP29" i="62" s="1"/>
  <c r="CQ28" i="62"/>
  <c r="CP28" i="62" s="1"/>
  <c r="CQ25" i="62"/>
  <c r="CP25" i="62" s="1"/>
  <c r="CQ18" i="62"/>
  <c r="EP35" i="62"/>
  <c r="DQ19" i="62"/>
  <c r="EP19" i="62" s="1"/>
  <c r="DQ34" i="62"/>
  <c r="EP34" i="62" s="1"/>
  <c r="DQ20" i="62"/>
  <c r="EP20" i="62" s="1"/>
  <c r="CX65" i="60"/>
  <c r="DE69" i="60" s="1"/>
  <c r="CQ47" i="62"/>
  <c r="CP47" i="62" s="1"/>
  <c r="CL47" i="62"/>
  <c r="CQ34" i="62"/>
  <c r="CQ33" i="62"/>
  <c r="CP33" i="62" s="1"/>
  <c r="CL33" i="62"/>
  <c r="CQ15" i="62"/>
  <c r="CP15" i="62"/>
  <c r="CO45" i="78"/>
  <c r="CO42" i="78"/>
  <c r="CO35" i="78"/>
  <c r="CO31" i="78"/>
  <c r="CO28" i="78"/>
  <c r="CO27" i="78"/>
  <c r="CO24" i="78"/>
  <c r="CE28" i="78"/>
  <c r="CE27" i="78"/>
  <c r="CE24" i="78"/>
  <c r="CE21" i="78"/>
  <c r="CE20" i="78"/>
  <c r="CE48" i="78"/>
  <c r="CE45" i="78"/>
  <c r="CE42" i="78"/>
  <c r="CE39" i="78"/>
  <c r="CE38" i="78"/>
  <c r="CG38" i="78" s="1"/>
  <c r="CE35" i="78"/>
  <c r="CE32" i="78"/>
  <c r="CG32" i="78" s="1"/>
  <c r="CE31" i="78"/>
  <c r="CE19" i="78"/>
  <c r="CU50" i="77"/>
  <c r="CU47" i="77"/>
  <c r="CU44" i="77"/>
  <c r="CU41" i="77"/>
  <c r="CU38" i="77"/>
  <c r="CU35" i="77"/>
  <c r="CU34" i="77"/>
  <c r="CU30" i="77"/>
  <c r="CU24" i="77"/>
  <c r="CU23" i="77"/>
  <c r="CU20" i="77"/>
  <c r="CV20" i="77" s="1"/>
  <c r="DC20" i="77" s="1"/>
  <c r="CU17" i="77"/>
  <c r="CV17" i="77" s="1"/>
  <c r="DC17" i="77" s="1"/>
  <c r="CU16" i="77"/>
  <c r="CK50" i="77"/>
  <c r="CK47" i="77"/>
  <c r="CK44" i="77"/>
  <c r="CK41" i="77"/>
  <c r="CK38" i="77"/>
  <c r="CK35" i="77"/>
  <c r="CK34" i="77"/>
  <c r="CK33" i="77"/>
  <c r="CK30" i="77"/>
  <c r="CK27" i="77"/>
  <c r="CK24" i="77"/>
  <c r="CK23" i="77"/>
  <c r="CK20" i="77"/>
  <c r="CK17" i="77"/>
  <c r="CK16" i="77"/>
  <c r="CP51" i="77"/>
  <c r="CN51" i="77"/>
  <c r="CK15" i="77"/>
  <c r="CM15" i="77" s="1"/>
  <c r="CR32" i="73"/>
  <c r="CR29" i="73"/>
  <c r="CR25" i="73"/>
  <c r="CR21" i="73"/>
  <c r="CR18" i="73"/>
  <c r="CQ33" i="73"/>
  <c r="CP33" i="73"/>
  <c r="CO33" i="73"/>
  <c r="CM33" i="73"/>
  <c r="CH32" i="73"/>
  <c r="CH29" i="73"/>
  <c r="CH26" i="73"/>
  <c r="CH25" i="73"/>
  <c r="CH22" i="73"/>
  <c r="CH21" i="73"/>
  <c r="CH18" i="73"/>
  <c r="CK33" i="73"/>
  <c r="CH15" i="73"/>
  <c r="CS28" i="70"/>
  <c r="CS25" i="70"/>
  <c r="CS22" i="70"/>
  <c r="CS19" i="70"/>
  <c r="CI28" i="70"/>
  <c r="CI25" i="70"/>
  <c r="CI22" i="70"/>
  <c r="CI19" i="70"/>
  <c r="CR29" i="70"/>
  <c r="CQ29" i="70"/>
  <c r="CN29" i="70"/>
  <c r="CL29" i="70"/>
  <c r="CI16" i="70"/>
  <c r="CK16" i="70" s="1"/>
  <c r="CI15" i="70"/>
  <c r="CK15" i="70" s="1"/>
  <c r="AR34" i="69"/>
  <c r="CM34" i="69" s="1"/>
  <c r="DL34" i="69" s="1"/>
  <c r="AR33" i="69"/>
  <c r="CM33" i="69" s="1"/>
  <c r="DL33" i="69" s="1"/>
  <c r="AB45" i="69"/>
  <c r="AB42" i="69"/>
  <c r="AB39" i="69"/>
  <c r="AB38" i="69"/>
  <c r="AB37" i="69"/>
  <c r="AB34" i="69"/>
  <c r="AB33" i="69"/>
  <c r="AB26" i="69"/>
  <c r="AB25" i="69"/>
  <c r="BL28" i="63"/>
  <c r="BS28" i="63" s="1"/>
  <c r="CR28" i="63" s="1"/>
  <c r="BL21" i="63"/>
  <c r="BS21" i="63" s="1"/>
  <c r="CR21" i="63" s="1"/>
  <c r="BA28" i="63"/>
  <c r="BA25" i="63"/>
  <c r="BA24" i="63"/>
  <c r="BA21" i="63"/>
  <c r="EK28" i="65"/>
  <c r="DU28" i="65"/>
  <c r="DW28" i="65" s="1"/>
  <c r="DS28" i="65"/>
  <c r="DX28" i="65" s="1"/>
  <c r="EJ25" i="65"/>
  <c r="EJ29" i="65" s="1"/>
  <c r="EI25" i="65"/>
  <c r="DU25" i="65"/>
  <c r="DW25" i="65" s="1"/>
  <c r="DS25" i="65"/>
  <c r="DX25" i="65" s="1"/>
  <c r="EK22" i="65"/>
  <c r="DU22" i="65"/>
  <c r="DW22" i="65" s="1"/>
  <c r="DS22" i="65"/>
  <c r="DX22" i="65" s="1"/>
  <c r="EK19" i="65"/>
  <c r="DU19" i="65"/>
  <c r="DW19" i="65" s="1"/>
  <c r="DS19" i="65"/>
  <c r="DX19" i="65" s="1"/>
  <c r="EK18" i="65"/>
  <c r="DU18" i="65"/>
  <c r="DW18" i="65" s="1"/>
  <c r="DS18" i="65"/>
  <c r="EK17" i="65"/>
  <c r="DU17" i="65"/>
  <c r="DW17" i="65" s="1"/>
  <c r="DS17" i="65"/>
  <c r="DX17" i="65" s="1"/>
  <c r="EK16" i="65"/>
  <c r="DU16" i="65"/>
  <c r="DW16" i="65" s="1"/>
  <c r="DS16" i="65"/>
  <c r="EK15" i="65"/>
  <c r="DU15" i="65"/>
  <c r="DW15" i="65" s="1"/>
  <c r="DS15" i="65"/>
  <c r="DX15" i="65" s="1"/>
  <c r="DI17" i="67"/>
  <c r="DJ17" i="67" s="1"/>
  <c r="DQ17" i="67" s="1"/>
  <c r="DI16" i="67"/>
  <c r="DJ16" i="67" s="1"/>
  <c r="DQ16" i="67" s="1"/>
  <c r="DI15" i="67"/>
  <c r="DJ15" i="67" s="1"/>
  <c r="DQ15" i="67" s="1"/>
  <c r="DI21" i="67"/>
  <c r="DJ21" i="67" s="1"/>
  <c r="DQ21" i="67" s="1"/>
  <c r="DI20" i="67"/>
  <c r="DJ20" i="67" s="1"/>
  <c r="DI28" i="67"/>
  <c r="DJ28" i="67" s="1"/>
  <c r="DQ28" i="67" s="1"/>
  <c r="DI27" i="67"/>
  <c r="DJ27" i="67" s="1"/>
  <c r="DH32" i="67"/>
  <c r="DG32" i="67"/>
  <c r="DF32" i="67"/>
  <c r="DD32" i="67"/>
  <c r="DB32" i="67"/>
  <c r="CY31" i="67"/>
  <c r="CY28" i="67"/>
  <c r="CY27" i="67"/>
  <c r="CY24" i="67"/>
  <c r="CY21" i="67"/>
  <c r="CY20" i="67"/>
  <c r="CY17" i="67"/>
  <c r="CY16" i="67"/>
  <c r="CY15" i="67"/>
  <c r="CQ31" i="67"/>
  <c r="CI31" i="67"/>
  <c r="CL31" i="67" s="1"/>
  <c r="CI28" i="67"/>
  <c r="CN28" i="67" s="1"/>
  <c r="CI27" i="67"/>
  <c r="CI24" i="67"/>
  <c r="CN24" i="67" s="1"/>
  <c r="CI21" i="67"/>
  <c r="CI20" i="67"/>
  <c r="CN20" i="67" s="1"/>
  <c r="CQ17" i="67"/>
  <c r="CZ17" i="67" s="1"/>
  <c r="CI17" i="67"/>
  <c r="CQ16" i="67"/>
  <c r="CZ16" i="67" s="1"/>
  <c r="CI16" i="67"/>
  <c r="CJ16" i="67" s="1"/>
  <c r="CQ15" i="67"/>
  <c r="CZ15" i="67" s="1"/>
  <c r="CI15" i="67"/>
  <c r="DA16" i="67" l="1"/>
  <c r="DU15" i="67"/>
  <c r="DV15" i="67" s="1"/>
  <c r="EP15" i="67"/>
  <c r="DU17" i="67"/>
  <c r="DV17" i="67" s="1"/>
  <c r="EP17" i="67"/>
  <c r="ED15" i="60"/>
  <c r="ED65" i="60" s="1"/>
  <c r="DU28" i="67"/>
  <c r="DV28" i="67" s="1"/>
  <c r="EP28" i="67"/>
  <c r="DU21" i="67"/>
  <c r="DV21" i="67" s="1"/>
  <c r="EP21" i="67"/>
  <c r="DU16" i="67"/>
  <c r="DV16" i="67" s="1"/>
  <c r="EP16" i="67"/>
  <c r="ET15" i="66"/>
  <c r="ET30" i="66" s="1"/>
  <c r="ES30" i="66"/>
  <c r="ET31" i="66" s="1"/>
  <c r="DQ27" i="67"/>
  <c r="DQ20" i="67"/>
  <c r="DA15" i="67"/>
  <c r="DA17" i="67"/>
  <c r="EK29" i="65"/>
  <c r="CL17" i="67"/>
  <c r="CV16" i="77"/>
  <c r="DC16" i="77" s="1"/>
  <c r="CU51" i="77"/>
  <c r="DT16" i="65"/>
  <c r="CN17" i="67"/>
  <c r="CJ17" i="67"/>
  <c r="DT18" i="65"/>
  <c r="DT25" i="65"/>
  <c r="BY73" i="81"/>
  <c r="CO49" i="78"/>
  <c r="CG39" i="78"/>
  <c r="CG42" i="78"/>
  <c r="CG45" i="78"/>
  <c r="CJ26" i="73"/>
  <c r="CJ22" i="73"/>
  <c r="DT28" i="65"/>
  <c r="DV22" i="65"/>
  <c r="EA22" i="65"/>
  <c r="DZ22" i="65" s="1"/>
  <c r="DT17" i="65"/>
  <c r="EA15" i="65"/>
  <c r="DZ15" i="65" s="1"/>
  <c r="DV15" i="65"/>
  <c r="DT15" i="65"/>
  <c r="DV19" i="65"/>
  <c r="EA19" i="65"/>
  <c r="DZ19" i="65" s="1"/>
  <c r="EA16" i="65"/>
  <c r="DZ16" i="65" s="1"/>
  <c r="DV16" i="65"/>
  <c r="EA18" i="65"/>
  <c r="DZ18" i="65" s="1"/>
  <c r="DV18" i="65"/>
  <c r="EA17" i="65"/>
  <c r="DZ17" i="65" s="1"/>
  <c r="DV17" i="65"/>
  <c r="DV25" i="65"/>
  <c r="EA25" i="65"/>
  <c r="DZ25" i="65" s="1"/>
  <c r="EA28" i="65"/>
  <c r="DZ28" i="65" s="1"/>
  <c r="DV28" i="65"/>
  <c r="DT19" i="65"/>
  <c r="DX16" i="65"/>
  <c r="DT22" i="65"/>
  <c r="DX18" i="65"/>
  <c r="CL21" i="67"/>
  <c r="CP31" i="67"/>
  <c r="CP17" i="67"/>
  <c r="CJ27" i="67"/>
  <c r="CJ24" i="67"/>
  <c r="DI32" i="67"/>
  <c r="DJ34" i="67" s="1"/>
  <c r="DJ32" i="67"/>
  <c r="DQ33" i="67" s="1"/>
  <c r="EP33" i="67" s="1"/>
  <c r="CP16" i="67"/>
  <c r="CN27" i="67"/>
  <c r="CJ28" i="67"/>
  <c r="CJ15" i="67"/>
  <c r="CJ20" i="67"/>
  <c r="CP15" i="67"/>
  <c r="CL15" i="67"/>
  <c r="CL20" i="67"/>
  <c r="CQ20" i="67"/>
  <c r="CL27" i="67"/>
  <c r="CQ27" i="67"/>
  <c r="CQ28" i="67"/>
  <c r="CL28" i="67"/>
  <c r="CQ24" i="67"/>
  <c r="CP24" i="67" s="1"/>
  <c r="CL24" i="67"/>
  <c r="CL16" i="67"/>
  <c r="CN16" i="67"/>
  <c r="CJ31" i="67"/>
  <c r="CN15" i="67"/>
  <c r="CN31" i="67"/>
  <c r="CQ21" i="67"/>
  <c r="DU20" i="67" l="1"/>
  <c r="DV20" i="67" s="1"/>
  <c r="EP20" i="67"/>
  <c r="DU27" i="67"/>
  <c r="DV27" i="67" s="1"/>
  <c r="EP27" i="67"/>
  <c r="DV32" i="67"/>
  <c r="DQ32" i="67"/>
  <c r="CP28" i="67"/>
  <c r="CZ28" i="67"/>
  <c r="DA28" i="67" s="1"/>
  <c r="CP27" i="67"/>
  <c r="CZ27" i="67"/>
  <c r="DA27" i="67" s="1"/>
  <c r="CP21" i="67"/>
  <c r="CZ21" i="67"/>
  <c r="DA21" i="67" s="1"/>
  <c r="CP20" i="67"/>
  <c r="CZ20" i="67"/>
  <c r="DA20" i="67" s="1"/>
  <c r="CY29" i="66"/>
  <c r="CY28" i="66"/>
  <c r="CY25" i="66"/>
  <c r="CY24" i="66"/>
  <c r="DA24" i="66" s="1"/>
  <c r="CY21" i="66"/>
  <c r="DA21" i="66" s="1"/>
  <c r="CY15" i="66"/>
  <c r="DN30" i="66"/>
  <c r="DM30" i="66"/>
  <c r="DL30" i="66"/>
  <c r="DK30" i="66"/>
  <c r="DH30" i="66"/>
  <c r="DG30" i="66"/>
  <c r="CH29" i="66"/>
  <c r="CM29" i="66" s="1"/>
  <c r="DY29" i="66" s="1"/>
  <c r="DZ29" i="66" s="1"/>
  <c r="CH28" i="66"/>
  <c r="CM28" i="66" s="1"/>
  <c r="DY28" i="66" s="1"/>
  <c r="DZ28" i="66" s="1"/>
  <c r="CH25" i="66"/>
  <c r="CM25" i="66" s="1"/>
  <c r="DY25" i="66" s="1"/>
  <c r="DZ25" i="66" s="1"/>
  <c r="CN24" i="66"/>
  <c r="CN21" i="66"/>
  <c r="CN18" i="66"/>
  <c r="CN15" i="66"/>
  <c r="DI25" i="65"/>
  <c r="DJ25" i="65" s="1"/>
  <c r="CZ25" i="65"/>
  <c r="CZ29" i="65" s="1"/>
  <c r="CY25" i="65"/>
  <c r="DN29" i="65"/>
  <c r="DM29" i="65"/>
  <c r="DL29" i="65"/>
  <c r="DK29" i="65"/>
  <c r="DH29" i="65"/>
  <c r="DG29" i="65"/>
  <c r="DF29" i="65"/>
  <c r="DA28" i="65"/>
  <c r="DE29" i="65"/>
  <c r="DB29" i="65"/>
  <c r="CK28" i="65"/>
  <c r="CM28" i="65" s="1"/>
  <c r="CI28" i="65"/>
  <c r="CN28" i="65" s="1"/>
  <c r="CK25" i="65"/>
  <c r="CM25" i="65" s="1"/>
  <c r="CI25" i="65"/>
  <c r="CN25" i="65" s="1"/>
  <c r="CK22" i="65"/>
  <c r="CM22" i="65" s="1"/>
  <c r="CI22" i="65"/>
  <c r="CN22" i="65" s="1"/>
  <c r="CK19" i="65"/>
  <c r="CM19" i="65" s="1"/>
  <c r="CI19" i="65"/>
  <c r="CN19" i="65" s="1"/>
  <c r="CK18" i="65"/>
  <c r="CM18" i="65" s="1"/>
  <c r="CI18" i="65"/>
  <c r="CN18" i="65" s="1"/>
  <c r="CK17" i="65"/>
  <c r="CM17" i="65" s="1"/>
  <c r="CI17" i="65"/>
  <c r="CN17" i="65" s="1"/>
  <c r="CK16" i="65"/>
  <c r="CM16" i="65" s="1"/>
  <c r="CI16" i="65"/>
  <c r="CN16" i="65" s="1"/>
  <c r="CK15" i="65"/>
  <c r="CM15" i="65" s="1"/>
  <c r="CI15" i="65"/>
  <c r="CN15" i="65" s="1"/>
  <c r="EP32" i="67" l="1"/>
  <c r="DU32" i="67"/>
  <c r="CR29" i="66"/>
  <c r="CI29" i="66"/>
  <c r="CJ29" i="66" s="1"/>
  <c r="CQ29" i="66"/>
  <c r="CP29" i="66" s="1"/>
  <c r="CR25" i="66"/>
  <c r="CI25" i="66"/>
  <c r="CJ25" i="66" s="1"/>
  <c r="CQ25" i="66"/>
  <c r="CR28" i="66"/>
  <c r="CQ28" i="66"/>
  <c r="CI28" i="66"/>
  <c r="CJ28" i="66" s="1"/>
  <c r="DA15" i="66"/>
  <c r="CJ25" i="65"/>
  <c r="CQ24" i="66"/>
  <c r="CP24" i="66"/>
  <c r="CJ19" i="65"/>
  <c r="CJ22" i="65"/>
  <c r="CJ16" i="65"/>
  <c r="CJ28" i="65"/>
  <c r="CJ17" i="65"/>
  <c r="CJ15" i="65"/>
  <c r="CJ18" i="65"/>
  <c r="DA18" i="65"/>
  <c r="DA22" i="65"/>
  <c r="DA19" i="65"/>
  <c r="DA17" i="65"/>
  <c r="DA16" i="65"/>
  <c r="DC29" i="65"/>
  <c r="DD29" i="65"/>
  <c r="DA15" i="65"/>
  <c r="CL28" i="65"/>
  <c r="CQ28" i="65"/>
  <c r="CP28" i="65" s="1"/>
  <c r="CL22" i="65"/>
  <c r="CQ22" i="65"/>
  <c r="CP22" i="65" s="1"/>
  <c r="CL18" i="65"/>
  <c r="CQ18" i="65"/>
  <c r="CP18" i="65" s="1"/>
  <c r="CL17" i="65"/>
  <c r="CQ17" i="65"/>
  <c r="CP17" i="65" s="1"/>
  <c r="CL15" i="65"/>
  <c r="CQ15" i="65"/>
  <c r="CP15" i="65" s="1"/>
  <c r="CQ25" i="65"/>
  <c r="CP25" i="65" s="1"/>
  <c r="CL25" i="65"/>
  <c r="CL16" i="65"/>
  <c r="CQ16" i="65"/>
  <c r="CP16" i="65" s="1"/>
  <c r="CL19" i="65"/>
  <c r="CQ19" i="65"/>
  <c r="CP19" i="65" s="1"/>
  <c r="EL41" i="61"/>
  <c r="EM41" i="61" s="1"/>
  <c r="ET41" i="61" s="1"/>
  <c r="EL38" i="61"/>
  <c r="EM38" i="61" s="1"/>
  <c r="ET38" i="61" s="1"/>
  <c r="EL32" i="61"/>
  <c r="EM32" i="61" s="1"/>
  <c r="ET32" i="61" s="1"/>
  <c r="FS32" i="61" s="1"/>
  <c r="EL29" i="61"/>
  <c r="EM29" i="61" s="1"/>
  <c r="ET29" i="61" s="1"/>
  <c r="FS29" i="61" s="1"/>
  <c r="EL26" i="61"/>
  <c r="EM26" i="61" s="1"/>
  <c r="ET26" i="61" s="1"/>
  <c r="FS26" i="61" s="1"/>
  <c r="EX38" i="61" l="1"/>
  <c r="EY38" i="61" s="1"/>
  <c r="FS38" i="61"/>
  <c r="EX41" i="61"/>
  <c r="EY41" i="61" s="1"/>
  <c r="FS41" i="61"/>
  <c r="CP28" i="66"/>
  <c r="CZ29" i="66"/>
  <c r="DA29" i="66" s="1"/>
  <c r="CL29" i="66"/>
  <c r="CZ25" i="66"/>
  <c r="DA25" i="66" s="1"/>
  <c r="CL25" i="66"/>
  <c r="CZ28" i="66"/>
  <c r="DA28" i="66" s="1"/>
  <c r="CL28" i="66"/>
  <c r="CP25" i="66"/>
  <c r="CQ21" i="66"/>
  <c r="CP21" i="66" s="1"/>
  <c r="CQ15" i="66"/>
  <c r="CP15" i="66" s="1"/>
  <c r="CQ18" i="66"/>
  <c r="CP18" i="66" s="1"/>
  <c r="DA29" i="65"/>
  <c r="DJ29" i="65"/>
  <c r="DI29" i="65"/>
  <c r="EB41" i="61"/>
  <c r="EB38" i="61"/>
  <c r="EB35" i="61"/>
  <c r="ED35" i="61" s="1"/>
  <c r="EB32" i="61"/>
  <c r="ED32" i="61" s="1"/>
  <c r="EB29" i="61"/>
  <c r="EB26" i="61"/>
  <c r="ED26" i="61" s="1"/>
  <c r="EB25" i="61"/>
  <c r="EB24" i="61"/>
  <c r="EB21" i="61"/>
  <c r="EB18" i="61"/>
  <c r="ED18" i="61" s="1"/>
  <c r="EB17" i="61"/>
  <c r="EB16" i="61"/>
  <c r="EB15" i="61"/>
  <c r="DX41" i="61"/>
  <c r="DW41" i="61"/>
  <c r="DV41" i="61"/>
  <c r="DU41" i="61"/>
  <c r="DT41" i="61"/>
  <c r="DP41" i="61"/>
  <c r="DQ41" i="61" s="1"/>
  <c r="DA41" i="61"/>
  <c r="CI41" i="61"/>
  <c r="CJ41" i="61" s="1"/>
  <c r="DX40" i="61"/>
  <c r="DW40" i="61"/>
  <c r="DV40" i="61"/>
  <c r="DU40" i="61"/>
  <c r="DT40" i="61"/>
  <c r="DX39" i="61"/>
  <c r="DW39" i="61"/>
  <c r="DV39" i="61"/>
  <c r="DU39" i="61"/>
  <c r="DT39" i="61"/>
  <c r="DX38" i="61"/>
  <c r="DW38" i="61"/>
  <c r="DV38" i="61"/>
  <c r="DU38" i="61"/>
  <c r="DT38" i="61"/>
  <c r="DP38" i="61"/>
  <c r="CI38" i="61"/>
  <c r="CN38" i="61" s="1"/>
  <c r="DX36" i="61"/>
  <c r="DW36" i="61"/>
  <c r="DV36" i="61"/>
  <c r="DU36" i="61"/>
  <c r="DT36" i="61"/>
  <c r="DX35" i="61"/>
  <c r="DW35" i="61"/>
  <c r="DV35" i="61"/>
  <c r="DU35" i="61"/>
  <c r="DT35" i="61"/>
  <c r="DP35" i="61"/>
  <c r="DQ35" i="61" s="1"/>
  <c r="DA35" i="61"/>
  <c r="CM35" i="61"/>
  <c r="CI35" i="61"/>
  <c r="DX34" i="61"/>
  <c r="DW34" i="61"/>
  <c r="DV34" i="61"/>
  <c r="DU34" i="61"/>
  <c r="DT34" i="61"/>
  <c r="DX33" i="61"/>
  <c r="DW33" i="61"/>
  <c r="DV33" i="61"/>
  <c r="DU33" i="61"/>
  <c r="DT33" i="61"/>
  <c r="DP32" i="61"/>
  <c r="DQ32" i="61" s="1"/>
  <c r="DB32" i="61"/>
  <c r="DA32" i="61"/>
  <c r="CM32" i="61"/>
  <c r="CI32" i="61"/>
  <c r="CN32" i="61" s="1"/>
  <c r="DP29" i="61"/>
  <c r="DQ29" i="61" s="1"/>
  <c r="DA29" i="61"/>
  <c r="CM29" i="61"/>
  <c r="CQ29" i="61" s="1"/>
  <c r="CI29" i="61"/>
  <c r="CN29" i="61" s="1"/>
  <c r="DI26" i="61"/>
  <c r="DI45" i="61" s="1"/>
  <c r="DA26" i="61"/>
  <c r="CM26" i="61"/>
  <c r="CQ26" i="61" s="1"/>
  <c r="CI26" i="61"/>
  <c r="DA25" i="61"/>
  <c r="CU25" i="61"/>
  <c r="CI25" i="61"/>
  <c r="CN25" i="61" s="1"/>
  <c r="DX24" i="61"/>
  <c r="DW24" i="61"/>
  <c r="DV24" i="61"/>
  <c r="DU24" i="61"/>
  <c r="DT24" i="61"/>
  <c r="DP24" i="61"/>
  <c r="DA24" i="61"/>
  <c r="CU24" i="61"/>
  <c r="CM24" i="61"/>
  <c r="CI24" i="61"/>
  <c r="CN24" i="61" s="1"/>
  <c r="DX23" i="61"/>
  <c r="DW23" i="61"/>
  <c r="DV23" i="61"/>
  <c r="DU23" i="61"/>
  <c r="DT23" i="61"/>
  <c r="DX22" i="61"/>
  <c r="DW22" i="61"/>
  <c r="DV22" i="61"/>
  <c r="DU22" i="61"/>
  <c r="DT22" i="61"/>
  <c r="DX21" i="61"/>
  <c r="DW21" i="61"/>
  <c r="DV21" i="61"/>
  <c r="DU21" i="61"/>
  <c r="DT21" i="61"/>
  <c r="DP21" i="61"/>
  <c r="DQ21" i="61" s="1"/>
  <c r="DA21" i="61"/>
  <c r="CI21" i="61"/>
  <c r="CN21" i="61" s="1"/>
  <c r="DX20" i="61"/>
  <c r="DW20" i="61"/>
  <c r="DV20" i="61"/>
  <c r="DU20" i="61"/>
  <c r="DT20" i="61"/>
  <c r="DX19" i="61"/>
  <c r="DW19" i="61"/>
  <c r="DV19" i="61"/>
  <c r="DU19" i="61"/>
  <c r="DT19" i="61"/>
  <c r="DX18" i="61"/>
  <c r="DW18" i="61"/>
  <c r="DV18" i="61"/>
  <c r="DU18" i="61"/>
  <c r="DT18" i="61"/>
  <c r="DP18" i="61"/>
  <c r="DQ18" i="61" s="1"/>
  <c r="DA18" i="61"/>
  <c r="CI18" i="61"/>
  <c r="CN18" i="61" s="1"/>
  <c r="DX17" i="61"/>
  <c r="DW17" i="61"/>
  <c r="DV17" i="61"/>
  <c r="DU17" i="61"/>
  <c r="DT17" i="61"/>
  <c r="DP17" i="61"/>
  <c r="DQ17" i="61" s="1"/>
  <c r="DA17" i="61"/>
  <c r="CM17" i="61"/>
  <c r="DX16" i="61"/>
  <c r="DW16" i="61"/>
  <c r="DV16" i="61"/>
  <c r="DU16" i="61"/>
  <c r="DT16" i="61"/>
  <c r="DP16" i="61"/>
  <c r="DA16" i="61"/>
  <c r="CM16" i="61"/>
  <c r="CN16" i="61"/>
  <c r="DX15" i="61"/>
  <c r="DW15" i="61"/>
  <c r="DV15" i="61"/>
  <c r="DU15" i="61"/>
  <c r="DT15" i="61"/>
  <c r="DP15" i="61"/>
  <c r="DQ15" i="61" s="1"/>
  <c r="DA15" i="61"/>
  <c r="DI50" i="62"/>
  <c r="DJ50" i="62" s="1"/>
  <c r="DQ50" i="62" s="1"/>
  <c r="EP50" i="62" s="1"/>
  <c r="DI43" i="62"/>
  <c r="DJ43" i="62" s="1"/>
  <c r="DQ43" i="62" s="1"/>
  <c r="DU43" i="62" s="1"/>
  <c r="DI41" i="62"/>
  <c r="DI38" i="62"/>
  <c r="CZ53" i="62"/>
  <c r="CZ50" i="62"/>
  <c r="CZ47" i="62"/>
  <c r="CZ38" i="62"/>
  <c r="CZ35" i="62"/>
  <c r="CZ34" i="62"/>
  <c r="CZ33" i="62"/>
  <c r="CZ32" i="62"/>
  <c r="CZ29" i="62"/>
  <c r="CZ28" i="62"/>
  <c r="CZ25" i="62"/>
  <c r="CZ22" i="62"/>
  <c r="CZ21" i="62"/>
  <c r="CZ20" i="62"/>
  <c r="CZ19" i="62"/>
  <c r="CZ18" i="62"/>
  <c r="CY53" i="62"/>
  <c r="CY50" i="62"/>
  <c r="CY47" i="62"/>
  <c r="CY43" i="62"/>
  <c r="CY41" i="62"/>
  <c r="CY38" i="62"/>
  <c r="CY35" i="62"/>
  <c r="CY34" i="62"/>
  <c r="CY33" i="62"/>
  <c r="CY32" i="62"/>
  <c r="CY29" i="62"/>
  <c r="CY28" i="62"/>
  <c r="CY25" i="62"/>
  <c r="CY22" i="62"/>
  <c r="CY21" i="62"/>
  <c r="CY20" i="62"/>
  <c r="CY19" i="62"/>
  <c r="CY18" i="62"/>
  <c r="CY15" i="62"/>
  <c r="CU34" i="62"/>
  <c r="CI34" i="62" s="1"/>
  <c r="CQ20" i="62"/>
  <c r="CP20" i="62" s="1"/>
  <c r="ES18" i="86"/>
  <c r="EZ18" i="86" s="1"/>
  <c r="ER15" i="86"/>
  <c r="CM18" i="86"/>
  <c r="CQ15" i="86"/>
  <c r="BW15" i="89"/>
  <c r="DT19" i="86"/>
  <c r="DO19" i="86"/>
  <c r="DN19" i="86"/>
  <c r="DM19" i="86"/>
  <c r="DL19" i="86"/>
  <c r="DK19" i="86"/>
  <c r="DJ19" i="86"/>
  <c r="EH18" i="86"/>
  <c r="DU18" i="86"/>
  <c r="DV18" i="86" s="1"/>
  <c r="DG18" i="86"/>
  <c r="DD18" i="86"/>
  <c r="DH18" i="86"/>
  <c r="EB17" i="86"/>
  <c r="EA17" i="86"/>
  <c r="DZ17" i="86"/>
  <c r="EB16" i="86"/>
  <c r="EA16" i="86"/>
  <c r="DZ16" i="86"/>
  <c r="EH15" i="86"/>
  <c r="ED15" i="86"/>
  <c r="EC15" i="86"/>
  <c r="EB15" i="86"/>
  <c r="EA15" i="86"/>
  <c r="DZ15" i="86"/>
  <c r="DV15" i="86"/>
  <c r="DG15" i="86"/>
  <c r="DD15" i="86"/>
  <c r="DI74" i="57"/>
  <c r="DJ74" i="57" s="1"/>
  <c r="DQ74" i="57" s="1"/>
  <c r="DI73" i="57"/>
  <c r="DJ73" i="57" s="1"/>
  <c r="DQ73" i="57" s="1"/>
  <c r="DI60" i="57"/>
  <c r="DJ60" i="57" s="1"/>
  <c r="DQ60" i="57" s="1"/>
  <c r="DI52" i="57"/>
  <c r="DJ52" i="57" s="1"/>
  <c r="DQ52" i="57" s="1"/>
  <c r="DI48" i="57"/>
  <c r="DJ48" i="57" s="1"/>
  <c r="DQ48" i="57" s="1"/>
  <c r="EP48" i="57" s="1"/>
  <c r="DI23" i="57"/>
  <c r="DJ23" i="57" s="1"/>
  <c r="DQ23" i="57" s="1"/>
  <c r="EP23" i="57" s="1"/>
  <c r="CV75" i="57"/>
  <c r="DH75" i="57"/>
  <c r="DG75" i="57"/>
  <c r="DF75" i="57"/>
  <c r="CY74" i="57"/>
  <c r="CY73" i="57"/>
  <c r="CY70" i="57"/>
  <c r="CY67" i="57"/>
  <c r="CY66" i="57"/>
  <c r="CY65" i="57"/>
  <c r="CY64" i="57"/>
  <c r="CY61" i="57"/>
  <c r="CY60" i="57"/>
  <c r="CY59" i="57"/>
  <c r="CY56" i="57"/>
  <c r="CY55" i="57"/>
  <c r="CY54" i="57"/>
  <c r="CY53" i="57"/>
  <c r="CY52" i="57"/>
  <c r="CY51" i="57"/>
  <c r="CY48" i="57"/>
  <c r="CY45" i="57"/>
  <c r="CY44" i="57"/>
  <c r="CY41" i="57"/>
  <c r="CY40" i="57"/>
  <c r="CY39" i="57"/>
  <c r="CY38" i="57"/>
  <c r="CY37" i="57"/>
  <c r="CY36" i="57"/>
  <c r="CY35" i="57"/>
  <c r="CY34" i="57"/>
  <c r="CY31" i="57"/>
  <c r="CY30" i="57"/>
  <c r="CY29" i="57"/>
  <c r="CY26" i="57"/>
  <c r="CY23" i="57"/>
  <c r="CY20" i="57"/>
  <c r="DA20" i="57" s="1"/>
  <c r="CY19" i="57"/>
  <c r="CY18" i="57"/>
  <c r="CY17" i="57"/>
  <c r="CY16" i="57"/>
  <c r="CY15" i="57"/>
  <c r="CI74" i="57"/>
  <c r="CN74" i="57" s="1"/>
  <c r="CI73" i="57"/>
  <c r="CN73" i="57" s="1"/>
  <c r="CI70" i="57"/>
  <c r="CN70" i="57" s="1"/>
  <c r="CI67" i="57"/>
  <c r="CN67" i="57" s="1"/>
  <c r="CI66" i="57"/>
  <c r="CN66" i="57" s="1"/>
  <c r="CI65" i="57"/>
  <c r="CN65" i="57" s="1"/>
  <c r="CI64" i="57"/>
  <c r="CN64" i="57" s="1"/>
  <c r="CI61" i="57"/>
  <c r="CN61" i="57" s="1"/>
  <c r="CI60" i="57"/>
  <c r="CN60" i="57" s="1"/>
  <c r="CI59" i="57"/>
  <c r="CN59" i="57" s="1"/>
  <c r="CI56" i="57"/>
  <c r="CI55" i="57"/>
  <c r="CN55" i="57" s="1"/>
  <c r="CI54" i="57"/>
  <c r="CN54" i="57" s="1"/>
  <c r="CI53" i="57"/>
  <c r="CN53" i="57" s="1"/>
  <c r="CI52" i="57"/>
  <c r="CN52" i="57" s="1"/>
  <c r="CI51" i="57"/>
  <c r="CI48" i="57"/>
  <c r="CN48" i="57" s="1"/>
  <c r="CI45" i="57"/>
  <c r="CN45" i="57" s="1"/>
  <c r="CI44" i="57"/>
  <c r="CN44" i="57" s="1"/>
  <c r="CI41" i="57"/>
  <c r="CI40" i="57"/>
  <c r="CI39" i="57"/>
  <c r="CI38" i="57"/>
  <c r="CI37" i="57"/>
  <c r="CI36" i="57"/>
  <c r="CN36" i="57" s="1"/>
  <c r="CI35" i="57"/>
  <c r="CI34" i="57"/>
  <c r="CN34" i="57" s="1"/>
  <c r="CI31" i="57"/>
  <c r="CI30" i="57"/>
  <c r="CN30" i="57" s="1"/>
  <c r="CI29" i="57"/>
  <c r="CI26" i="57"/>
  <c r="CN26" i="57" s="1"/>
  <c r="CI23" i="57"/>
  <c r="CI20" i="57"/>
  <c r="CI19" i="57"/>
  <c r="CI18" i="57"/>
  <c r="CI17" i="57"/>
  <c r="CI16" i="57"/>
  <c r="CM74" i="57"/>
  <c r="CM73" i="57"/>
  <c r="CM70" i="57"/>
  <c r="CM67" i="57"/>
  <c r="CM66" i="57"/>
  <c r="CZ66" i="57" s="1"/>
  <c r="CM65" i="57"/>
  <c r="CZ65" i="57" s="1"/>
  <c r="CM64" i="57"/>
  <c r="CZ64" i="57" s="1"/>
  <c r="CM61" i="57"/>
  <c r="CM60" i="57"/>
  <c r="CM59" i="57"/>
  <c r="CM56" i="57"/>
  <c r="CM55" i="57"/>
  <c r="CZ55" i="57" s="1"/>
  <c r="CM54" i="57"/>
  <c r="CZ54" i="57" s="1"/>
  <c r="CM53" i="57"/>
  <c r="CZ53" i="57" s="1"/>
  <c r="CM52" i="57"/>
  <c r="CK51" i="57"/>
  <c r="CM48" i="57"/>
  <c r="CM45" i="57"/>
  <c r="CZ45" i="57" s="1"/>
  <c r="CM44" i="57"/>
  <c r="CM41" i="57"/>
  <c r="CZ41" i="57" s="1"/>
  <c r="CM40" i="57"/>
  <c r="CZ40" i="57" s="1"/>
  <c r="CM39" i="57"/>
  <c r="CZ39" i="57" s="1"/>
  <c r="CM38" i="57"/>
  <c r="CM37" i="57"/>
  <c r="CZ37" i="57" s="1"/>
  <c r="CM36" i="57"/>
  <c r="CM35" i="57"/>
  <c r="CZ35" i="57" s="1"/>
  <c r="CM34" i="57"/>
  <c r="CZ34" i="57" s="1"/>
  <c r="CM31" i="57"/>
  <c r="CZ31" i="57" s="1"/>
  <c r="CM30" i="57"/>
  <c r="CZ30" i="57" s="1"/>
  <c r="CM29" i="57"/>
  <c r="CZ29" i="57" s="1"/>
  <c r="CM26" i="57"/>
  <c r="CM23" i="57"/>
  <c r="CM20" i="57"/>
  <c r="CM19" i="57"/>
  <c r="CZ19" i="57" s="1"/>
  <c r="CM18" i="57"/>
  <c r="CM17" i="57"/>
  <c r="CM16" i="57"/>
  <c r="BY15" i="60"/>
  <c r="BW60" i="60"/>
  <c r="BW57" i="60"/>
  <c r="BW54" i="60"/>
  <c r="BW51" i="60"/>
  <c r="BW50" i="60"/>
  <c r="BW44" i="60"/>
  <c r="BW41" i="60"/>
  <c r="BW35" i="60"/>
  <c r="BW32" i="60"/>
  <c r="BW28" i="60"/>
  <c r="BW27" i="60"/>
  <c r="BW26" i="60"/>
  <c r="BW25" i="60"/>
  <c r="BW24" i="60"/>
  <c r="BW23" i="60"/>
  <c r="BW20" i="60"/>
  <c r="BX20" i="60" s="1"/>
  <c r="BU19" i="89"/>
  <c r="BU17" i="89"/>
  <c r="BU15" i="89"/>
  <c r="BZ15" i="89" s="1"/>
  <c r="CM15" i="60"/>
  <c r="CM51" i="57" l="1"/>
  <c r="CO51" i="57"/>
  <c r="CN51" i="57" s="1"/>
  <c r="CQ51" i="57"/>
  <c r="DV60" i="57"/>
  <c r="EP60" i="57"/>
  <c r="DV74" i="57"/>
  <c r="EP74" i="57"/>
  <c r="CA15" i="89"/>
  <c r="BY15" i="89"/>
  <c r="FD18" i="86"/>
  <c r="FE18" i="86" s="1"/>
  <c r="FY18" i="86"/>
  <c r="DU52" i="57"/>
  <c r="DV52" i="57" s="1"/>
  <c r="EP52" i="57"/>
  <c r="DV73" i="57"/>
  <c r="EP73" i="57"/>
  <c r="CL26" i="61"/>
  <c r="CM25" i="61"/>
  <c r="CL25" i="61" s="1"/>
  <c r="CM21" i="61"/>
  <c r="EC21" i="61" s="1"/>
  <c r="ED21" i="61" s="1"/>
  <c r="EL18" i="61"/>
  <c r="EM18" i="61" s="1"/>
  <c r="ET18" i="61" s="1"/>
  <c r="FS18" i="61" s="1"/>
  <c r="CM18" i="61"/>
  <c r="DV43" i="62"/>
  <c r="EP43" i="62"/>
  <c r="BV15" i="89"/>
  <c r="DJ41" i="62"/>
  <c r="DJ38" i="62"/>
  <c r="DA28" i="62"/>
  <c r="DV23" i="57"/>
  <c r="DA21" i="62"/>
  <c r="DA29" i="62"/>
  <c r="DA35" i="62"/>
  <c r="DC32" i="61"/>
  <c r="DB25" i="61"/>
  <c r="DC25" i="61" s="1"/>
  <c r="DO25" i="61" s="1"/>
  <c r="DO45" i="61" s="1"/>
  <c r="DO51" i="61" s="1"/>
  <c r="DE47" i="62"/>
  <c r="DE54" i="62" s="1"/>
  <c r="DA47" i="62"/>
  <c r="EL15" i="61"/>
  <c r="EM15" i="61" s="1"/>
  <c r="ET15" i="61" s="1"/>
  <c r="EC15" i="61"/>
  <c r="ED15" i="61" s="1"/>
  <c r="CZ26" i="57"/>
  <c r="CL38" i="57"/>
  <c r="CZ38" i="57"/>
  <c r="CZ44" i="57"/>
  <c r="CZ51" i="57"/>
  <c r="CZ61" i="57"/>
  <c r="CZ67" i="57"/>
  <c r="CQ41" i="61"/>
  <c r="CP41" i="61" s="1"/>
  <c r="EC41" i="61"/>
  <c r="ED41" i="61" s="1"/>
  <c r="CZ52" i="57"/>
  <c r="CZ56" i="57"/>
  <c r="EL16" i="61"/>
  <c r="EM16" i="61" s="1"/>
  <c r="ET16" i="61" s="1"/>
  <c r="EC16" i="61"/>
  <c r="ED16" i="61" s="1"/>
  <c r="EL17" i="61"/>
  <c r="EM17" i="61" s="1"/>
  <c r="ET17" i="61" s="1"/>
  <c r="EC17" i="61"/>
  <c r="ED17" i="61" s="1"/>
  <c r="EL24" i="61"/>
  <c r="EM24" i="61" s="1"/>
  <c r="ET24" i="61" s="1"/>
  <c r="EC24" i="61"/>
  <c r="ED24" i="61" s="1"/>
  <c r="CJ32" i="61"/>
  <c r="CA15" i="60"/>
  <c r="CC15" i="60"/>
  <c r="CL36" i="57"/>
  <c r="CZ36" i="57"/>
  <c r="DA18" i="62"/>
  <c r="CL38" i="61"/>
  <c r="EC38" i="61"/>
  <c r="ED38" i="61" s="1"/>
  <c r="ES15" i="86"/>
  <c r="ER19" i="86"/>
  <c r="ES21" i="86" s="1"/>
  <c r="CQ35" i="61"/>
  <c r="CP35" i="61" s="1"/>
  <c r="EL35" i="61"/>
  <c r="EM35" i="61" s="1"/>
  <c r="ET35" i="61" s="1"/>
  <c r="FS35" i="61" s="1"/>
  <c r="EL25" i="61"/>
  <c r="EM25" i="61" s="1"/>
  <c r="ET25" i="61" s="1"/>
  <c r="EL21" i="61"/>
  <c r="EM21" i="61" s="1"/>
  <c r="ET21" i="61" s="1"/>
  <c r="FS21" i="61" s="1"/>
  <c r="DA22" i="62"/>
  <c r="DA38" i="62"/>
  <c r="DA50" i="62"/>
  <c r="CN34" i="62"/>
  <c r="CJ34" i="62"/>
  <c r="CL34" i="62"/>
  <c r="CP34" i="62"/>
  <c r="DA19" i="62"/>
  <c r="DA25" i="62"/>
  <c r="DA41" i="62"/>
  <c r="DA53" i="62"/>
  <c r="DA34" i="62"/>
  <c r="DA43" i="62"/>
  <c r="CC15" i="89"/>
  <c r="CB15" i="89" s="1"/>
  <c r="DU19" i="86"/>
  <c r="CP26" i="61"/>
  <c r="CJ35" i="61"/>
  <c r="DI18" i="86"/>
  <c r="DW18" i="86" s="1"/>
  <c r="DV19" i="86"/>
  <c r="CL32" i="61"/>
  <c r="CL41" i="61"/>
  <c r="ED29" i="61"/>
  <c r="BX15" i="89"/>
  <c r="CT15" i="86"/>
  <c r="DQ24" i="61"/>
  <c r="CQ24" i="61"/>
  <c r="CP24" i="61" s="1"/>
  <c r="CL24" i="61"/>
  <c r="CQ25" i="61"/>
  <c r="CP25" i="61" s="1"/>
  <c r="DB24" i="61"/>
  <c r="DC24" i="61" s="1"/>
  <c r="CJ26" i="61"/>
  <c r="CL29" i="61"/>
  <c r="CP32" i="61"/>
  <c r="CJ38" i="61"/>
  <c r="CQ38" i="61"/>
  <c r="CP38" i="61" s="1"/>
  <c r="CQ21" i="61"/>
  <c r="CP21" i="61" s="1"/>
  <c r="EG45" i="61"/>
  <c r="EK45" i="61"/>
  <c r="CQ18" i="61"/>
  <c r="CP18" i="61" s="1"/>
  <c r="CL18" i="61"/>
  <c r="DB18" i="61" s="1"/>
  <c r="DC18" i="61" s="1"/>
  <c r="CQ15" i="61"/>
  <c r="CP15" i="61" s="1"/>
  <c r="CL15" i="61"/>
  <c r="CQ16" i="61"/>
  <c r="CP16" i="61" s="1"/>
  <c r="CL16" i="61"/>
  <c r="DB16" i="61" s="1"/>
  <c r="DC16" i="61" s="1"/>
  <c r="CJ15" i="61"/>
  <c r="CN15" i="61"/>
  <c r="DB15" i="61" s="1"/>
  <c r="DC15" i="61" s="1"/>
  <c r="CQ17" i="61"/>
  <c r="CP17" i="61" s="1"/>
  <c r="CL17" i="61"/>
  <c r="EJ45" i="61"/>
  <c r="CJ17" i="61"/>
  <c r="CN17" i="61"/>
  <c r="CN35" i="61"/>
  <c r="DQ16" i="61"/>
  <c r="CJ21" i="61"/>
  <c r="CJ24" i="61"/>
  <c r="CJ25" i="61"/>
  <c r="CN26" i="61"/>
  <c r="CJ29" i="61"/>
  <c r="CP29" i="61"/>
  <c r="CN41" i="61"/>
  <c r="CJ16" i="61"/>
  <c r="CJ18" i="61"/>
  <c r="DP26" i="61"/>
  <c r="DQ26" i="61" s="1"/>
  <c r="CL35" i="61"/>
  <c r="CP18" i="62"/>
  <c r="CQ19" i="62"/>
  <c r="CP19" i="62" s="1"/>
  <c r="CQ21" i="62"/>
  <c r="CP21" i="62" s="1"/>
  <c r="CQ22" i="62"/>
  <c r="CP22" i="62" s="1"/>
  <c r="DW15" i="86"/>
  <c r="CM15" i="86"/>
  <c r="EI15" i="86"/>
  <c r="EJ15" i="86" s="1"/>
  <c r="CO18" i="86"/>
  <c r="CY18" i="86"/>
  <c r="CJ74" i="57"/>
  <c r="CL66" i="57"/>
  <c r="CP66" i="57" s="1"/>
  <c r="CN38" i="57"/>
  <c r="CJ38" i="57"/>
  <c r="CL56" i="57"/>
  <c r="CJ56" i="57"/>
  <c r="CN56" i="57"/>
  <c r="CN40" i="57"/>
  <c r="CJ40" i="57"/>
  <c r="CJ26" i="57"/>
  <c r="CJ30" i="57"/>
  <c r="CL34" i="57"/>
  <c r="CP34" i="57" s="1"/>
  <c r="CJ52" i="57"/>
  <c r="CL30" i="57"/>
  <c r="CP30" i="57" s="1"/>
  <c r="CJ60" i="57"/>
  <c r="CJ36" i="57"/>
  <c r="CL44" i="57"/>
  <c r="CP44" i="57" s="1"/>
  <c r="CL74" i="57"/>
  <c r="CP74" i="57" s="1"/>
  <c r="CJ70" i="57"/>
  <c r="CL48" i="57"/>
  <c r="CP48" i="57" s="1"/>
  <c r="CJ44" i="57"/>
  <c r="CL40" i="57"/>
  <c r="CP36" i="57"/>
  <c r="CJ34" i="57"/>
  <c r="CJ64" i="57"/>
  <c r="CJ53" i="57"/>
  <c r="CJ48" i="57"/>
  <c r="CQ15" i="57"/>
  <c r="CQ17" i="57"/>
  <c r="CL17" i="57"/>
  <c r="CL19" i="57"/>
  <c r="CL23" i="57"/>
  <c r="CL39" i="57"/>
  <c r="CP35" i="57"/>
  <c r="CL35" i="57"/>
  <c r="CQ16" i="57"/>
  <c r="CL16" i="57"/>
  <c r="CQ18" i="57"/>
  <c r="CL18" i="57"/>
  <c r="CL20" i="57"/>
  <c r="CL37" i="57"/>
  <c r="CL29" i="57"/>
  <c r="CL31" i="57"/>
  <c r="CN39" i="57"/>
  <c r="CJ39" i="57"/>
  <c r="CN41" i="57"/>
  <c r="CJ41" i="57"/>
  <c r="CL60" i="57"/>
  <c r="CP60" i="57" s="1"/>
  <c r="CN29" i="57"/>
  <c r="CJ29" i="57"/>
  <c r="CN31" i="57"/>
  <c r="CJ31" i="57"/>
  <c r="CL41" i="57"/>
  <c r="CP54" i="57"/>
  <c r="CL54" i="57"/>
  <c r="CL64" i="57"/>
  <c r="CP64" i="57" s="1"/>
  <c r="CL73" i="57"/>
  <c r="CP73" i="57" s="1"/>
  <c r="CN16" i="57"/>
  <c r="CJ16" i="57"/>
  <c r="CN17" i="57"/>
  <c r="CJ17" i="57"/>
  <c r="CN18" i="57"/>
  <c r="CJ18" i="57"/>
  <c r="CN19" i="57"/>
  <c r="CJ19" i="57"/>
  <c r="CN20" i="57"/>
  <c r="CJ20" i="57"/>
  <c r="CN23" i="57"/>
  <c r="CJ23" i="57"/>
  <c r="CL26" i="57"/>
  <c r="CP26" i="57" s="1"/>
  <c r="CL45" i="57"/>
  <c r="CP45" i="57" s="1"/>
  <c r="CL53" i="57"/>
  <c r="CP53" i="57" s="1"/>
  <c r="CL70" i="57"/>
  <c r="CP70" i="57" s="1"/>
  <c r="CL55" i="57"/>
  <c r="CP55" i="57" s="1"/>
  <c r="CN35" i="57"/>
  <c r="CJ35" i="57"/>
  <c r="CN37" i="57"/>
  <c r="CJ37" i="57"/>
  <c r="CL59" i="57"/>
  <c r="CP59" i="57" s="1"/>
  <c r="CL65" i="57"/>
  <c r="CP65" i="57" s="1"/>
  <c r="CJ51" i="57"/>
  <c r="CJ59" i="57"/>
  <c r="CJ45" i="57"/>
  <c r="CL51" i="57"/>
  <c r="CL52" i="57"/>
  <c r="CP52" i="57" s="1"/>
  <c r="CJ54" i="57"/>
  <c r="CJ55" i="57"/>
  <c r="CL61" i="57"/>
  <c r="CP61" i="57" s="1"/>
  <c r="CJ65" i="57"/>
  <c r="CL67" i="57"/>
  <c r="CP67" i="57" s="1"/>
  <c r="CJ73" i="57"/>
  <c r="BQ60" i="60"/>
  <c r="BQ57" i="60"/>
  <c r="BQ54" i="60"/>
  <c r="BQ51" i="60"/>
  <c r="CU19" i="89"/>
  <c r="CU17" i="89"/>
  <c r="CU15" i="89"/>
  <c r="CV15" i="89" s="1"/>
  <c r="DC15" i="89" s="1"/>
  <c r="BY60" i="60"/>
  <c r="BY57" i="60"/>
  <c r="BY54" i="60"/>
  <c r="BY51" i="60"/>
  <c r="BY50" i="60"/>
  <c r="BY44" i="60"/>
  <c r="BY41" i="60"/>
  <c r="BY35" i="60"/>
  <c r="BY34" i="60"/>
  <c r="BY33" i="60"/>
  <c r="BY32" i="60"/>
  <c r="BY31" i="60"/>
  <c r="BY28" i="60"/>
  <c r="BY27" i="60"/>
  <c r="BY26" i="60"/>
  <c r="BY25" i="60"/>
  <c r="BY24" i="60"/>
  <c r="BY23" i="60"/>
  <c r="CC23" i="60" s="1"/>
  <c r="CB23" i="60" s="1"/>
  <c r="CA20" i="60"/>
  <c r="BY19" i="60"/>
  <c r="CJ65" i="60"/>
  <c r="CX68" i="60" s="1"/>
  <c r="BV34" i="60"/>
  <c r="BV33" i="60"/>
  <c r="CI31" i="60"/>
  <c r="BW31" i="60" s="1"/>
  <c r="CB20" i="60"/>
  <c r="BV19" i="60"/>
  <c r="CC19" i="60" s="1"/>
  <c r="DI19" i="60" s="1"/>
  <c r="CE15" i="60" l="1"/>
  <c r="EX15" i="61"/>
  <c r="EY15" i="61" s="1"/>
  <c r="ET45" i="61"/>
  <c r="FS47" i="61" s="1"/>
  <c r="FS15" i="61"/>
  <c r="EB15" i="89"/>
  <c r="CP51" i="57"/>
  <c r="EX25" i="61"/>
  <c r="EY25" i="61" s="1"/>
  <c r="FS25" i="61"/>
  <c r="CN15" i="60"/>
  <c r="CO15" i="60" s="1"/>
  <c r="DI15" i="60"/>
  <c r="DJ15" i="60" s="1"/>
  <c r="EX24" i="61"/>
  <c r="EY24" i="61" s="1"/>
  <c r="FS24" i="61"/>
  <c r="EX17" i="61"/>
  <c r="EY17" i="61" s="1"/>
  <c r="FS17" i="61"/>
  <c r="EX16" i="61"/>
  <c r="EY16" i="61" s="1"/>
  <c r="FS16" i="61"/>
  <c r="EC25" i="61"/>
  <c r="ED25" i="61" s="1"/>
  <c r="CL21" i="61"/>
  <c r="DB21" i="61" s="1"/>
  <c r="DC21" i="61" s="1"/>
  <c r="DQ41" i="62"/>
  <c r="EP41" i="62" s="1"/>
  <c r="ES19" i="86"/>
  <c r="EZ20" i="86" s="1"/>
  <c r="FY20" i="86" s="1"/>
  <c r="EZ15" i="86"/>
  <c r="DQ38" i="62"/>
  <c r="DP25" i="61"/>
  <c r="DQ25" i="61" s="1"/>
  <c r="CP38" i="57"/>
  <c r="DW19" i="86"/>
  <c r="DB41" i="61"/>
  <c r="DC41" i="61" s="1"/>
  <c r="DI47" i="62"/>
  <c r="DB17" i="61"/>
  <c r="DC17" i="61" s="1"/>
  <c r="CZ75" i="57"/>
  <c r="CA27" i="60"/>
  <c r="CN27" i="60" s="1"/>
  <c r="CC27" i="60"/>
  <c r="CA23" i="60"/>
  <c r="BZ23" i="60" s="1"/>
  <c r="BW33" i="60"/>
  <c r="CF33" i="60"/>
  <c r="CC33" i="60"/>
  <c r="DI33" i="60" s="1"/>
  <c r="CA24" i="60"/>
  <c r="CN24" i="60" s="1"/>
  <c r="CC24" i="60"/>
  <c r="CA28" i="60"/>
  <c r="CN28" i="60" s="1"/>
  <c r="CC28" i="60"/>
  <c r="DI28" i="60" s="1"/>
  <c r="BX50" i="60"/>
  <c r="CC50" i="60"/>
  <c r="CA60" i="60"/>
  <c r="CC60" i="60"/>
  <c r="DI60" i="60" s="1"/>
  <c r="BW34" i="60"/>
  <c r="CF34" i="60"/>
  <c r="CC34" i="60"/>
  <c r="DI34" i="60" s="1"/>
  <c r="CA25" i="60"/>
  <c r="CN25" i="60" s="1"/>
  <c r="CC25" i="60"/>
  <c r="CA31" i="60"/>
  <c r="CN31" i="60" s="1"/>
  <c r="CC31" i="60"/>
  <c r="CA35" i="60"/>
  <c r="CN35" i="60" s="1"/>
  <c r="CC35" i="60"/>
  <c r="BX51" i="60"/>
  <c r="CC51" i="60"/>
  <c r="DA54" i="62"/>
  <c r="BX44" i="60"/>
  <c r="CC44" i="60"/>
  <c r="BW19" i="60"/>
  <c r="BX19" i="60" s="1"/>
  <c r="CF19" i="60"/>
  <c r="CN19" i="60"/>
  <c r="CA26" i="60"/>
  <c r="CC26" i="60"/>
  <c r="CA32" i="60"/>
  <c r="BZ32" i="60" s="1"/>
  <c r="CC32" i="60"/>
  <c r="CA41" i="60"/>
  <c r="CN41" i="60" s="1"/>
  <c r="CC41" i="60"/>
  <c r="CA54" i="60"/>
  <c r="BZ54" i="60" s="1"/>
  <c r="CC54" i="60"/>
  <c r="DI54" i="60" s="1"/>
  <c r="CA57" i="60"/>
  <c r="BZ57" i="60" s="1"/>
  <c r="CC57" i="60"/>
  <c r="DI57" i="60" s="1"/>
  <c r="BX23" i="60"/>
  <c r="CO15" i="86"/>
  <c r="CS15" i="86" s="1"/>
  <c r="ED45" i="61"/>
  <c r="EL45" i="61"/>
  <c r="EM46" i="61" s="1"/>
  <c r="DB35" i="61"/>
  <c r="DC35" i="61" s="1"/>
  <c r="DQ45" i="61"/>
  <c r="CQ18" i="86"/>
  <c r="CS18" i="86" s="1"/>
  <c r="EI18" i="86"/>
  <c r="EJ18" i="86" s="1"/>
  <c r="EJ19" i="86" s="1"/>
  <c r="CT18" i="86"/>
  <c r="CP18" i="57"/>
  <c r="CP40" i="57"/>
  <c r="CP56" i="57"/>
  <c r="CP15" i="57"/>
  <c r="CP23" i="57"/>
  <c r="CP31" i="57"/>
  <c r="CP17" i="57"/>
  <c r="CP37" i="57"/>
  <c r="CP41" i="57"/>
  <c r="CP29" i="57"/>
  <c r="CP20" i="57"/>
  <c r="CP16" i="57"/>
  <c r="CP39" i="57"/>
  <c r="CP19" i="57"/>
  <c r="CA34" i="60"/>
  <c r="CA33" i="60"/>
  <c r="BX32" i="60"/>
  <c r="BX28" i="60"/>
  <c r="BZ15" i="60"/>
  <c r="CE20" i="60"/>
  <c r="CD20" i="60" s="1"/>
  <c r="BZ20" i="60"/>
  <c r="CE23" i="60"/>
  <c r="CD23" i="60" s="1"/>
  <c r="BX15" i="60"/>
  <c r="CA19" i="60"/>
  <c r="BX24" i="60"/>
  <c r="BX25" i="60"/>
  <c r="BX26" i="60"/>
  <c r="BX27" i="60"/>
  <c r="BX35" i="60"/>
  <c r="BX31" i="60"/>
  <c r="BX41" i="60"/>
  <c r="CA44" i="60"/>
  <c r="CN44" i="60" s="1"/>
  <c r="CA50" i="60"/>
  <c r="CN50" i="60" s="1"/>
  <c r="CA51" i="60"/>
  <c r="CN51" i="60" s="1"/>
  <c r="CB15" i="60"/>
  <c r="CV19" i="89"/>
  <c r="DC19" i="89" s="1"/>
  <c r="EB19" i="89" s="1"/>
  <c r="CV17" i="89"/>
  <c r="DC17" i="89" s="1"/>
  <c r="EB17" i="89" s="1"/>
  <c r="BW19" i="89"/>
  <c r="BW17" i="89"/>
  <c r="AY15" i="89"/>
  <c r="DG15" i="89" s="1"/>
  <c r="DH15" i="89" s="1"/>
  <c r="CB44" i="60" l="1"/>
  <c r="DI44" i="60"/>
  <c r="CB50" i="60"/>
  <c r="DI50" i="60"/>
  <c r="CB24" i="60"/>
  <c r="DI24" i="60"/>
  <c r="CB27" i="60"/>
  <c r="DI27" i="60"/>
  <c r="FD15" i="86"/>
  <c r="FE15" i="86" s="1"/>
  <c r="FY15" i="86"/>
  <c r="FY19" i="86" s="1"/>
  <c r="EB20" i="89"/>
  <c r="CB41" i="60"/>
  <c r="DI41" i="60"/>
  <c r="CB32" i="60"/>
  <c r="DI32" i="60"/>
  <c r="CB26" i="60"/>
  <c r="DI26" i="60"/>
  <c r="CB51" i="60"/>
  <c r="DI51" i="60"/>
  <c r="CB35" i="60"/>
  <c r="DI35" i="60"/>
  <c r="CB31" i="60"/>
  <c r="DI31" i="60"/>
  <c r="CB25" i="60"/>
  <c r="DI25" i="60"/>
  <c r="EP38" i="62"/>
  <c r="EP55" i="62" s="1"/>
  <c r="DQ54" i="62"/>
  <c r="EP56" i="62" s="1"/>
  <c r="FS46" i="61"/>
  <c r="EY45" i="61"/>
  <c r="EZ19" i="86"/>
  <c r="DJ47" i="62"/>
  <c r="DI54" i="62"/>
  <c r="DJ55" i="62" s="1"/>
  <c r="DC20" i="89"/>
  <c r="DP45" i="61"/>
  <c r="BZ35" i="60"/>
  <c r="CE35" i="60"/>
  <c r="CD35" i="60" s="1"/>
  <c r="CN32" i="60"/>
  <c r="CE60" i="60"/>
  <c r="CD60" i="60" s="1"/>
  <c r="BZ28" i="60"/>
  <c r="CV20" i="89"/>
  <c r="DC21" i="89" s="1"/>
  <c r="EB21" i="89" s="1"/>
  <c r="BZ27" i="60"/>
  <c r="CE26" i="60"/>
  <c r="CD26" i="60" s="1"/>
  <c r="CN60" i="60"/>
  <c r="CN54" i="60"/>
  <c r="BZ60" i="60"/>
  <c r="CE28" i="60"/>
  <c r="CD28" i="60" s="1"/>
  <c r="BZ25" i="60"/>
  <c r="CB28" i="60"/>
  <c r="CE27" i="60"/>
  <c r="CD27" i="60" s="1"/>
  <c r="CE54" i="60"/>
  <c r="CD54" i="60" s="1"/>
  <c r="CE24" i="60"/>
  <c r="CD24" i="60" s="1"/>
  <c r="CE25" i="60"/>
  <c r="CD25" i="60" s="1"/>
  <c r="CE32" i="60"/>
  <c r="CD32" i="60" s="1"/>
  <c r="BZ24" i="60"/>
  <c r="CE57" i="60"/>
  <c r="CD57" i="60" s="1"/>
  <c r="BZ26" i="60"/>
  <c r="BZ41" i="60"/>
  <c r="BZ31" i="60"/>
  <c r="CN57" i="60"/>
  <c r="CN26" i="60"/>
  <c r="CE41" i="60"/>
  <c r="CD41" i="60" s="1"/>
  <c r="CE31" i="60"/>
  <c r="CD31" i="60" s="1"/>
  <c r="CA17" i="89"/>
  <c r="CL17" i="89" s="1"/>
  <c r="BY17" i="89"/>
  <c r="CA19" i="89"/>
  <c r="CL19" i="89" s="1"/>
  <c r="BY19" i="89"/>
  <c r="BX19" i="89" s="1"/>
  <c r="CE33" i="60"/>
  <c r="CD33" i="60" s="1"/>
  <c r="CN33" i="60"/>
  <c r="BZ34" i="60"/>
  <c r="CN34" i="60"/>
  <c r="EM45" i="61"/>
  <c r="CD15" i="60"/>
  <c r="CE34" i="60"/>
  <c r="CD34" i="60" s="1"/>
  <c r="BZ33" i="60"/>
  <c r="BZ19" i="89"/>
  <c r="BZ17" i="89"/>
  <c r="CE19" i="60"/>
  <c r="CD19" i="60" s="1"/>
  <c r="BZ19" i="60"/>
  <c r="CE44" i="60"/>
  <c r="CD44" i="60" s="1"/>
  <c r="BZ44" i="60"/>
  <c r="CE51" i="60"/>
  <c r="CD51" i="60" s="1"/>
  <c r="BZ51" i="60"/>
  <c r="CE50" i="60"/>
  <c r="CD50" i="60" s="1"/>
  <c r="BZ50" i="60"/>
  <c r="BV19" i="89"/>
  <c r="BV17" i="89"/>
  <c r="DJ54" i="62" l="1"/>
  <c r="FE19" i="86"/>
  <c r="FD19" i="86"/>
  <c r="CN65" i="60"/>
  <c r="DH15" i="86"/>
  <c r="DI15" i="86" s="1"/>
  <c r="CC17" i="89"/>
  <c r="CB17" i="89" s="1"/>
  <c r="BX17" i="89"/>
  <c r="CC19" i="89"/>
  <c r="CB19" i="89" s="1"/>
  <c r="BP70" i="57"/>
  <c r="BP19" i="90"/>
  <c r="CP65" i="60" l="1"/>
  <c r="BW15" i="93" l="1"/>
  <c r="BC15" i="93"/>
  <c r="BB15" i="93"/>
  <c r="AY15" i="93"/>
  <c r="AX15" i="93"/>
  <c r="AW15" i="93"/>
  <c r="AV15" i="93"/>
  <c r="AU15" i="93"/>
  <c r="W15" i="93"/>
  <c r="U15" i="93"/>
  <c r="BD15" i="93" l="1"/>
  <c r="BE15" i="93" s="1"/>
  <c r="X15" i="93"/>
  <c r="Y15" i="93" s="1"/>
  <c r="BK15" i="93"/>
  <c r="BG15" i="93" l="1"/>
  <c r="BI15" i="93"/>
  <c r="BH15" i="93"/>
  <c r="BN15" i="93"/>
  <c r="BR15" i="93"/>
  <c r="BO15" i="93"/>
  <c r="BF15" i="93"/>
  <c r="BP15" i="93"/>
  <c r="BJ15" i="93"/>
  <c r="AC15" i="93"/>
  <c r="AD15" i="93" s="1"/>
  <c r="AP15" i="93" s="1"/>
  <c r="AQ15" i="93" s="1"/>
  <c r="AR15" i="93" s="1"/>
  <c r="BO21" i="91"/>
  <c r="BN21" i="91"/>
  <c r="BU18" i="91"/>
  <c r="AZ18" i="91"/>
  <c r="AW18" i="91"/>
  <c r="AV18" i="91"/>
  <c r="AU18" i="91"/>
  <c r="AT18" i="91"/>
  <c r="AS18" i="91"/>
  <c r="Z18" i="91"/>
  <c r="T18" i="91"/>
  <c r="BA18" i="91" s="1"/>
  <c r="BS15" i="93" l="1"/>
  <c r="BL15" i="93"/>
  <c r="BM15" i="93" s="1"/>
  <c r="BB18" i="91"/>
  <c r="BD18" i="91" s="1"/>
  <c r="AP18" i="91"/>
  <c r="AA18" i="91"/>
  <c r="AB18" i="91" s="1"/>
  <c r="BO19" i="90"/>
  <c r="BP33" i="73"/>
  <c r="BQ29" i="70"/>
  <c r="BO32" i="67"/>
  <c r="BO30" i="66"/>
  <c r="BO70" i="57"/>
  <c r="BT15" i="93" l="1"/>
  <c r="CH15" i="93" s="1"/>
  <c r="CO15" i="93" s="1"/>
  <c r="BC18" i="91"/>
  <c r="BF18" i="91"/>
  <c r="BE18" i="91"/>
  <c r="BX15" i="93"/>
  <c r="BY15" i="93" s="1"/>
  <c r="BN19" i="90"/>
  <c r="BD22" i="80"/>
  <c r="BC22" i="80"/>
  <c r="AC22" i="80"/>
  <c r="H22" i="80"/>
  <c r="AD22" i="80" s="1"/>
  <c r="AZ21" i="80"/>
  <c r="AY21" i="80"/>
  <c r="AX21" i="80"/>
  <c r="AW21" i="80"/>
  <c r="AV21" i="80"/>
  <c r="AZ20" i="80"/>
  <c r="AY20" i="80"/>
  <c r="AX20" i="80"/>
  <c r="AW20" i="80"/>
  <c r="AV20" i="80"/>
  <c r="AY24" i="78"/>
  <c r="BQ24" i="78"/>
  <c r="AX24" i="78"/>
  <c r="AU24" i="78"/>
  <c r="AT24" i="78"/>
  <c r="AS24" i="78"/>
  <c r="AR24" i="78"/>
  <c r="AQ24" i="78"/>
  <c r="AC24" i="78"/>
  <c r="Y24" i="78"/>
  <c r="Z24" i="78" s="1"/>
  <c r="L24" i="78"/>
  <c r="H24" i="78"/>
  <c r="CC20" i="67"/>
  <c r="BS20" i="67"/>
  <c r="BA20" i="67"/>
  <c r="AZ20" i="67"/>
  <c r="AW20" i="67"/>
  <c r="AV20" i="67"/>
  <c r="AU20" i="67"/>
  <c r="AT20" i="67"/>
  <c r="AS20" i="67"/>
  <c r="AO20" i="67"/>
  <c r="AP20" i="67" s="1"/>
  <c r="Z20" i="67"/>
  <c r="J20" i="67"/>
  <c r="L20" i="67" s="1"/>
  <c r="H20" i="67"/>
  <c r="M20" i="67" s="1"/>
  <c r="H21" i="67"/>
  <c r="L21" i="67"/>
  <c r="Z21" i="67"/>
  <c r="AO21" i="67"/>
  <c r="AP21" i="67" s="1"/>
  <c r="AS21" i="67"/>
  <c r="AT21" i="67"/>
  <c r="AU21" i="67"/>
  <c r="AV21" i="67"/>
  <c r="AW21" i="67"/>
  <c r="AZ21" i="67"/>
  <c r="BA21" i="67"/>
  <c r="BS21" i="67"/>
  <c r="CC21" i="67"/>
  <c r="BN30" i="66"/>
  <c r="CC66" i="57"/>
  <c r="BS66" i="57"/>
  <c r="BA66" i="57"/>
  <c r="AZ66" i="57"/>
  <c r="AW66" i="57"/>
  <c r="AV66" i="57"/>
  <c r="AU66" i="57"/>
  <c r="AT66" i="57"/>
  <c r="AS66" i="57"/>
  <c r="Z66" i="57"/>
  <c r="L66" i="57"/>
  <c r="P66" i="57" s="1"/>
  <c r="H66" i="57"/>
  <c r="M66" i="57" s="1"/>
  <c r="CS15" i="93" l="1"/>
  <c r="CT15" i="93" s="1"/>
  <c r="DN15" i="93"/>
  <c r="BJ18" i="91"/>
  <c r="BK18" i="91" s="1"/>
  <c r="BR18" i="91" s="1"/>
  <c r="CF18" i="91" s="1"/>
  <c r="K20" i="67"/>
  <c r="AA20" i="67" s="1"/>
  <c r="AB20" i="67" s="1"/>
  <c r="AE22" i="80"/>
  <c r="AQ22" i="80" s="1"/>
  <c r="AY22" i="80" s="1"/>
  <c r="BB20" i="67"/>
  <c r="BE20" i="67" s="1"/>
  <c r="K66" i="57"/>
  <c r="AA66" i="57" s="1"/>
  <c r="AB66" i="57" s="1"/>
  <c r="AH66" i="57" s="1"/>
  <c r="AO66" i="57" s="1"/>
  <c r="AP66" i="57" s="1"/>
  <c r="BB66" i="57"/>
  <c r="P20" i="67"/>
  <c r="O20" i="67" s="1"/>
  <c r="BE22" i="80"/>
  <c r="BF22" i="80" s="1"/>
  <c r="K22" i="80"/>
  <c r="P22" i="80"/>
  <c r="O22" i="80" s="1"/>
  <c r="AZ22" i="80"/>
  <c r="AX22" i="80"/>
  <c r="AR22" i="80"/>
  <c r="AS22" i="80" s="1"/>
  <c r="AW22" i="80"/>
  <c r="AV22" i="80"/>
  <c r="AZ24" i="78"/>
  <c r="P24" i="78"/>
  <c r="K24" i="78"/>
  <c r="O24" i="78" s="1"/>
  <c r="I20" i="67"/>
  <c r="BB21" i="67"/>
  <c r="BC21" i="67" s="1"/>
  <c r="K21" i="67"/>
  <c r="P21" i="67"/>
  <c r="O21" i="67" s="1"/>
  <c r="BM19" i="90"/>
  <c r="CM18" i="91" l="1"/>
  <c r="BV18" i="91"/>
  <c r="BW18" i="91" s="1"/>
  <c r="BH22" i="80"/>
  <c r="BF20" i="67"/>
  <c r="BC20" i="67"/>
  <c r="BD20" i="67"/>
  <c r="BE66" i="57"/>
  <c r="DA66" i="57"/>
  <c r="DI66" i="57"/>
  <c r="DJ66" i="57" s="1"/>
  <c r="DQ66" i="57" s="1"/>
  <c r="O66" i="57"/>
  <c r="Q66" i="57" s="1"/>
  <c r="BD66" i="57"/>
  <c r="BF66" i="57"/>
  <c r="BC66" i="57"/>
  <c r="BE24" i="78"/>
  <c r="BN24" i="78"/>
  <c r="BM24" i="78"/>
  <c r="BJ22" i="80"/>
  <c r="BG22" i="80"/>
  <c r="BL22" i="80"/>
  <c r="BI22" i="80"/>
  <c r="BK22" i="80"/>
  <c r="BD24" i="78"/>
  <c r="BC24" i="78"/>
  <c r="BL24" i="78"/>
  <c r="BB24" i="78"/>
  <c r="BG24" i="78"/>
  <c r="BA24" i="78"/>
  <c r="BF24" i="78"/>
  <c r="AD24" i="78"/>
  <c r="AE24" i="78" s="1"/>
  <c r="AF24" i="78" s="1"/>
  <c r="AM24" i="78" s="1"/>
  <c r="BF21" i="67"/>
  <c r="BE21" i="67"/>
  <c r="BD21" i="67"/>
  <c r="AA21" i="67"/>
  <c r="AB21" i="67" s="1"/>
  <c r="DU66" i="57" l="1"/>
  <c r="DV66" i="57" s="1"/>
  <c r="EP66" i="57"/>
  <c r="CQ18" i="91"/>
  <c r="CR18" i="91" s="1"/>
  <c r="DL18" i="91"/>
  <c r="CA24" i="78"/>
  <c r="BJ20" i="67"/>
  <c r="BK20" i="67" s="1"/>
  <c r="CD20" i="67" s="1"/>
  <c r="BJ66" i="57"/>
  <c r="BK66" i="57" s="1"/>
  <c r="CD66" i="57" s="1"/>
  <c r="BM22" i="80"/>
  <c r="BH24" i="78"/>
  <c r="BR24" i="78"/>
  <c r="BS24" i="78" s="1"/>
  <c r="AN24" i="78"/>
  <c r="CD21" i="67"/>
  <c r="BM30" i="66"/>
  <c r="BG30" i="66"/>
  <c r="BH30" i="66"/>
  <c r="BI30" i="66"/>
  <c r="BL29" i="65"/>
  <c r="BG29" i="65"/>
  <c r="BH29" i="65"/>
  <c r="BI29" i="65"/>
  <c r="BG75" i="57"/>
  <c r="BH75" i="57"/>
  <c r="BI75" i="57"/>
  <c r="CB24" i="78" l="1"/>
  <c r="CP24" i="78" s="1"/>
  <c r="CW24" i="78" s="1"/>
  <c r="BM34" i="81"/>
  <c r="BU34" i="81" s="1"/>
  <c r="BD34" i="81"/>
  <c r="BC34" i="81"/>
  <c r="DA24" i="78" l="1"/>
  <c r="DB24" i="78" s="1"/>
  <c r="DV24" i="78"/>
  <c r="CF24" i="78"/>
  <c r="CG24" i="78" s="1"/>
  <c r="BE34" i="81"/>
  <c r="L34" i="81"/>
  <c r="K34" i="81" l="1"/>
  <c r="N34" i="81"/>
  <c r="P34" i="81"/>
  <c r="CU34" i="81" l="1"/>
  <c r="CV34" i="81" s="1"/>
  <c r="M34" i="81"/>
  <c r="O34" i="81" s="1"/>
  <c r="BW50" i="93" l="1"/>
  <c r="BW49" i="93"/>
  <c r="BW48" i="93"/>
  <c r="BW47" i="93"/>
  <c r="BW46" i="93"/>
  <c r="BW45" i="93"/>
  <c r="BW44" i="93"/>
  <c r="BW43" i="93"/>
  <c r="BW42" i="93"/>
  <c r="BW41" i="93"/>
  <c r="BW40" i="93"/>
  <c r="BW39" i="93"/>
  <c r="BW38" i="93"/>
  <c r="BW37" i="93"/>
  <c r="BW36" i="93"/>
  <c r="BW35" i="93"/>
  <c r="BW34" i="93"/>
  <c r="BW33" i="93"/>
  <c r="BW32" i="93"/>
  <c r="BW31" i="93"/>
  <c r="BW30" i="93"/>
  <c r="BW29" i="93"/>
  <c r="BW28" i="93"/>
  <c r="BW27" i="93"/>
  <c r="BW26" i="93"/>
  <c r="BW25" i="93"/>
  <c r="BW24" i="93"/>
  <c r="BW23" i="93"/>
  <c r="BW22" i="93"/>
  <c r="BW21" i="93"/>
  <c r="BW20" i="93"/>
  <c r="BW19" i="93"/>
  <c r="BW18" i="93"/>
  <c r="BW16" i="93"/>
  <c r="CF51" i="93"/>
  <c r="CE51" i="93"/>
  <c r="CB51" i="93"/>
  <c r="BZ51" i="93"/>
  <c r="BW14" i="93"/>
  <c r="BQ51" i="93"/>
  <c r="BU89" i="92"/>
  <c r="BV89" i="92"/>
  <c r="BZ89" i="92"/>
  <c r="CB89" i="92"/>
  <c r="CC89" i="92"/>
  <c r="CE89" i="92"/>
  <c r="CF89" i="92"/>
  <c r="BW88" i="92"/>
  <c r="BW87" i="92"/>
  <c r="BW84" i="92"/>
  <c r="BW81" i="92"/>
  <c r="BW78" i="92"/>
  <c r="CG78" i="92"/>
  <c r="CH78" i="92" s="1"/>
  <c r="CO78" i="92" s="1"/>
  <c r="BW77" i="92"/>
  <c r="CG77" i="92"/>
  <c r="CH77" i="92" s="1"/>
  <c r="CO77" i="92" s="1"/>
  <c r="BW76" i="92"/>
  <c r="CG76" i="92"/>
  <c r="BW75" i="92"/>
  <c r="BW72" i="92"/>
  <c r="BW67" i="92"/>
  <c r="BW66" i="92"/>
  <c r="BW65" i="92"/>
  <c r="BW64" i="92"/>
  <c r="BW63" i="92"/>
  <c r="BW62" i="92"/>
  <c r="BW59" i="92"/>
  <c r="BW56" i="92"/>
  <c r="BW53" i="92"/>
  <c r="BW50" i="92"/>
  <c r="BW47" i="92"/>
  <c r="BW44" i="92"/>
  <c r="BW43" i="92"/>
  <c r="BW40" i="92"/>
  <c r="BW39" i="92"/>
  <c r="BW36" i="92"/>
  <c r="BW33" i="92"/>
  <c r="BW32" i="92"/>
  <c r="BW31" i="92"/>
  <c r="BW30" i="92"/>
  <c r="BW27" i="92"/>
  <c r="BW24" i="92"/>
  <c r="BW21" i="92"/>
  <c r="BW20" i="92"/>
  <c r="BW19" i="92"/>
  <c r="BW18" i="92"/>
  <c r="BW15" i="92"/>
  <c r="BY15" i="92" s="1"/>
  <c r="CG15" i="92"/>
  <c r="CD21" i="91"/>
  <c r="BU20" i="91"/>
  <c r="BP21" i="91"/>
  <c r="BM21" i="91"/>
  <c r="BL21" i="91"/>
  <c r="BU19" i="90"/>
  <c r="BL19" i="90"/>
  <c r="BU16" i="90"/>
  <c r="BX20" i="90"/>
  <c r="BU15" i="90"/>
  <c r="CG19" i="84"/>
  <c r="CD19" i="84"/>
  <c r="CC19" i="84"/>
  <c r="BX18" i="84"/>
  <c r="CF19" i="84"/>
  <c r="CB19" i="84"/>
  <c r="BX15" i="84"/>
  <c r="BD49" i="81"/>
  <c r="BC49" i="81"/>
  <c r="L49" i="81"/>
  <c r="N49" i="81" s="1"/>
  <c r="H49" i="81"/>
  <c r="I49" i="81" s="1"/>
  <c r="BQ48" i="78"/>
  <c r="CA48" i="78"/>
  <c r="BQ45" i="78"/>
  <c r="CA45" i="78"/>
  <c r="BQ42" i="78"/>
  <c r="CA42" i="78"/>
  <c r="CA39" i="78"/>
  <c r="BQ39" i="78"/>
  <c r="CA38" i="78"/>
  <c r="BQ38" i="78"/>
  <c r="BQ35" i="78"/>
  <c r="CA35" i="78"/>
  <c r="CA32" i="78"/>
  <c r="BQ32" i="78"/>
  <c r="BQ31" i="78"/>
  <c r="BQ28" i="78"/>
  <c r="BQ27" i="78"/>
  <c r="BQ21" i="78"/>
  <c r="BQ20" i="78"/>
  <c r="BZ49" i="78"/>
  <c r="BY49" i="78"/>
  <c r="BX49" i="78"/>
  <c r="BW49" i="78"/>
  <c r="BV49" i="78"/>
  <c r="BU49" i="78"/>
  <c r="BT49" i="78"/>
  <c r="BQ19" i="78"/>
  <c r="BX50" i="77"/>
  <c r="BW50" i="77"/>
  <c r="BX47" i="77"/>
  <c r="BW47" i="77"/>
  <c r="BX44" i="77"/>
  <c r="BW44" i="77"/>
  <c r="BX41" i="77"/>
  <c r="BW41" i="77"/>
  <c r="BX38" i="77"/>
  <c r="BW38" i="77"/>
  <c r="BX35" i="77"/>
  <c r="BW35" i="77"/>
  <c r="BX34" i="77"/>
  <c r="BW34" i="77"/>
  <c r="BX33" i="77"/>
  <c r="BW33" i="77"/>
  <c r="BX30" i="77"/>
  <c r="BW30" i="77"/>
  <c r="BX27" i="77"/>
  <c r="BW27" i="77"/>
  <c r="BX24" i="77"/>
  <c r="BW24" i="77"/>
  <c r="BX23" i="77"/>
  <c r="BW23" i="77"/>
  <c r="BX20" i="77"/>
  <c r="BW20" i="77"/>
  <c r="BX17" i="77"/>
  <c r="BW17" i="77"/>
  <c r="BX16" i="77"/>
  <c r="BW16" i="77"/>
  <c r="CF51" i="77"/>
  <c r="CE51" i="77"/>
  <c r="CD51" i="77"/>
  <c r="CC51" i="77"/>
  <c r="CB51" i="77"/>
  <c r="CA51" i="77"/>
  <c r="BZ51" i="77"/>
  <c r="BX15" i="77"/>
  <c r="BW15" i="77"/>
  <c r="M49" i="81" l="1"/>
  <c r="CU49" i="81"/>
  <c r="CV49" i="81" s="1"/>
  <c r="BY27" i="77"/>
  <c r="BY35" i="77"/>
  <c r="BY41" i="77"/>
  <c r="BY34" i="77"/>
  <c r="BY15" i="77"/>
  <c r="CE19" i="90"/>
  <c r="BQ19" i="90"/>
  <c r="BY20" i="77"/>
  <c r="CH76" i="92"/>
  <c r="CO76" i="92" s="1"/>
  <c r="CG89" i="92"/>
  <c r="BY38" i="77"/>
  <c r="BY16" i="77"/>
  <c r="BY24" i="77"/>
  <c r="BY44" i="77"/>
  <c r="BZ49" i="81"/>
  <c r="CA49" i="81" s="1"/>
  <c r="BY17" i="77"/>
  <c r="BY33" i="77"/>
  <c r="BY30" i="77"/>
  <c r="BY50" i="77"/>
  <c r="BY23" i="77"/>
  <c r="BY47" i="77"/>
  <c r="BE49" i="81"/>
  <c r="CE21" i="91"/>
  <c r="P49" i="81"/>
  <c r="K49" i="81"/>
  <c r="O49" i="81" s="1"/>
  <c r="BM33" i="73"/>
  <c r="CC33" i="73"/>
  <c r="CB33" i="73"/>
  <c r="CA33" i="73"/>
  <c r="BT32" i="73"/>
  <c r="CD32" i="73"/>
  <c r="BT29" i="73"/>
  <c r="CD29" i="73"/>
  <c r="CD26" i="73"/>
  <c r="BT26" i="73"/>
  <c r="BT25" i="73"/>
  <c r="CD25" i="73"/>
  <c r="BT22" i="73"/>
  <c r="CD22" i="73"/>
  <c r="BT21" i="73"/>
  <c r="CD21" i="73"/>
  <c r="BZ33" i="73"/>
  <c r="BY33" i="73"/>
  <c r="BT18" i="73"/>
  <c r="CD18" i="73"/>
  <c r="BX33" i="73"/>
  <c r="BW33" i="73"/>
  <c r="BT15" i="73"/>
  <c r="BQ33" i="73"/>
  <c r="BO33" i="73"/>
  <c r="BN33" i="73"/>
  <c r="CD15" i="73"/>
  <c r="CD29" i="70"/>
  <c r="CC29" i="70"/>
  <c r="CB29" i="70"/>
  <c r="BU28" i="70"/>
  <c r="CE28" i="70"/>
  <c r="BU25" i="70"/>
  <c r="CE25" i="70"/>
  <c r="BU22" i="70"/>
  <c r="CE22" i="70"/>
  <c r="CA29" i="70"/>
  <c r="BZ29" i="70"/>
  <c r="BY29" i="70"/>
  <c r="BX29" i="70"/>
  <c r="BU19" i="70"/>
  <c r="BR29" i="70"/>
  <c r="BP29" i="70"/>
  <c r="BO29" i="70"/>
  <c r="BN29" i="70"/>
  <c r="CE16" i="70"/>
  <c r="BU16" i="70"/>
  <c r="CE15" i="70"/>
  <c r="BU15" i="70"/>
  <c r="CC28" i="66"/>
  <c r="BS28" i="66"/>
  <c r="BA28" i="66"/>
  <c r="AZ28" i="66"/>
  <c r="AW28" i="66"/>
  <c r="AV28" i="66"/>
  <c r="AO28" i="66"/>
  <c r="AP28" i="66" s="1"/>
  <c r="Z28" i="66"/>
  <c r="AB28" i="66" s="1"/>
  <c r="G28" i="66"/>
  <c r="H28" i="66" s="1"/>
  <c r="CC29" i="66"/>
  <c r="BS29" i="66"/>
  <c r="BA29" i="66"/>
  <c r="AZ29" i="66"/>
  <c r="AW29" i="66"/>
  <c r="AV29" i="66"/>
  <c r="AO29" i="66"/>
  <c r="AP29" i="66" s="1"/>
  <c r="Z29" i="66"/>
  <c r="AB29" i="66" s="1"/>
  <c r="G29" i="66"/>
  <c r="H29" i="66" s="1"/>
  <c r="BL30" i="66"/>
  <c r="BU45" i="69"/>
  <c r="BU42" i="69"/>
  <c r="BU39" i="69"/>
  <c r="BU38" i="69"/>
  <c r="BU37" i="69"/>
  <c r="BU34" i="69"/>
  <c r="BU33" i="69"/>
  <c r="CE30" i="69"/>
  <c r="CK30" i="69" s="1"/>
  <c r="CL30" i="69" s="1"/>
  <c r="BU30" i="69"/>
  <c r="CE29" i="69"/>
  <c r="CK29" i="69" s="1"/>
  <c r="BU29" i="69"/>
  <c r="BU26" i="69"/>
  <c r="BU25" i="69"/>
  <c r="CE22" i="69"/>
  <c r="BU22" i="69"/>
  <c r="CE19" i="69"/>
  <c r="BU19" i="69"/>
  <c r="CE18" i="69"/>
  <c r="BU18" i="69"/>
  <c r="CE17" i="69"/>
  <c r="BU17" i="69"/>
  <c r="CE16" i="69"/>
  <c r="BU16" i="69"/>
  <c r="CE15" i="69"/>
  <c r="BU15" i="69"/>
  <c r="CK46" i="69" l="1"/>
  <c r="CL29" i="69"/>
  <c r="CL46" i="69" s="1"/>
  <c r="BU46" i="69"/>
  <c r="CE20" i="90"/>
  <c r="BB29" i="66"/>
  <c r="L28" i="66"/>
  <c r="P28" i="66" s="1"/>
  <c r="O28" i="66" s="1"/>
  <c r="BB28" i="66"/>
  <c r="CD33" i="73"/>
  <c r="CE29" i="70"/>
  <c r="CE19" i="70"/>
  <c r="AQ28" i="66"/>
  <c r="AR28" i="66" s="1"/>
  <c r="AQ29" i="66"/>
  <c r="AR29" i="66" s="1"/>
  <c r="BK29" i="66"/>
  <c r="L29" i="66"/>
  <c r="CB32" i="67"/>
  <c r="CA32" i="67"/>
  <c r="BZ32" i="67"/>
  <c r="CC31" i="67"/>
  <c r="BS31" i="67"/>
  <c r="BV32" i="67"/>
  <c r="BS28" i="67"/>
  <c r="CC28" i="67"/>
  <c r="BS27" i="67"/>
  <c r="CC27" i="67"/>
  <c r="CC24" i="67"/>
  <c r="BS24" i="67"/>
  <c r="BS17" i="67"/>
  <c r="CC17" i="67"/>
  <c r="BS16" i="67"/>
  <c r="CC16" i="67"/>
  <c r="BY32" i="67"/>
  <c r="BX32" i="67"/>
  <c r="BW32" i="67"/>
  <c r="BS15" i="67"/>
  <c r="BP32" i="67"/>
  <c r="BN32" i="67"/>
  <c r="BM32" i="67"/>
  <c r="BL32" i="67"/>
  <c r="BP30" i="66"/>
  <c r="BQ30" i="66"/>
  <c r="BR30" i="66"/>
  <c r="BT30" i="66"/>
  <c r="BU30" i="66"/>
  <c r="BV30" i="66"/>
  <c r="BW30" i="66"/>
  <c r="BX30" i="66"/>
  <c r="BY30" i="66"/>
  <c r="BZ30" i="66"/>
  <c r="CA30" i="66"/>
  <c r="CB30" i="66"/>
  <c r="BS25" i="66"/>
  <c r="CC25" i="66"/>
  <c r="BS24" i="66"/>
  <c r="CC24" i="66"/>
  <c r="BS21" i="66"/>
  <c r="CC21" i="66"/>
  <c r="CC18" i="66"/>
  <c r="BS18" i="66"/>
  <c r="BS15" i="66"/>
  <c r="CC15" i="66"/>
  <c r="K28" i="66" l="1"/>
  <c r="BS30" i="66"/>
  <c r="CC30" i="66"/>
  <c r="BK28" i="66"/>
  <c r="CD28" i="66" s="1"/>
  <c r="CD29" i="66"/>
  <c r="P29" i="66"/>
  <c r="O29" i="66" s="1"/>
  <c r="K29" i="66"/>
  <c r="CC15" i="67"/>
  <c r="CB29" i="65"/>
  <c r="CA29" i="65"/>
  <c r="BZ29" i="65"/>
  <c r="BX29" i="65"/>
  <c r="BS28" i="65"/>
  <c r="CC28" i="65"/>
  <c r="BS25" i="65"/>
  <c r="CC25" i="65"/>
  <c r="CC22" i="65"/>
  <c r="BS22" i="65"/>
  <c r="CC19" i="65"/>
  <c r="BS19" i="65"/>
  <c r="BS18" i="65"/>
  <c r="CC18" i="65"/>
  <c r="CC17" i="65"/>
  <c r="BS17" i="65"/>
  <c r="BS16" i="65"/>
  <c r="CC16" i="65"/>
  <c r="BY29" i="65"/>
  <c r="BW29" i="65"/>
  <c r="BV29" i="65"/>
  <c r="BS15" i="65"/>
  <c r="BP29" i="65"/>
  <c r="BN29" i="65"/>
  <c r="BM29" i="65"/>
  <c r="CC32" i="67" l="1"/>
  <c r="CC15" i="65"/>
  <c r="CC29" i="65" s="1"/>
  <c r="BO29" i="65"/>
  <c r="BS41" i="61"/>
  <c r="CC41" i="61"/>
  <c r="BS38" i="61"/>
  <c r="CC38" i="61"/>
  <c r="BS35" i="61"/>
  <c r="CC35" i="61"/>
  <c r="CC32" i="61"/>
  <c r="BS32" i="61"/>
  <c r="CC29" i="61"/>
  <c r="BS29" i="61"/>
  <c r="CC26" i="61"/>
  <c r="BS26" i="61"/>
  <c r="BS25" i="61"/>
  <c r="BS24" i="61"/>
  <c r="BS21" i="61"/>
  <c r="BS18" i="61"/>
  <c r="CC18" i="61"/>
  <c r="BS17" i="61"/>
  <c r="BS16" i="61"/>
  <c r="CB45" i="61"/>
  <c r="CA45" i="61"/>
  <c r="BZ45" i="61"/>
  <c r="BY45" i="61"/>
  <c r="BX45" i="61"/>
  <c r="BW45" i="61"/>
  <c r="BV45" i="61"/>
  <c r="BS15" i="61"/>
  <c r="BL54" i="62"/>
  <c r="CB54" i="62"/>
  <c r="CA54" i="62"/>
  <c r="BZ54" i="62"/>
  <c r="CC53" i="62"/>
  <c r="BS53" i="62"/>
  <c r="BS50" i="62"/>
  <c r="CC50" i="62"/>
  <c r="BS47" i="62"/>
  <c r="CC47" i="62"/>
  <c r="CD47" i="62" s="1"/>
  <c r="BS43" i="62"/>
  <c r="CC43" i="62"/>
  <c r="BS41" i="62"/>
  <c r="CC41" i="62"/>
  <c r="BS38" i="62"/>
  <c r="CC38" i="62"/>
  <c r="BS35" i="62"/>
  <c r="CC35" i="62"/>
  <c r="BS34" i="62"/>
  <c r="CC34" i="62"/>
  <c r="BS33" i="62"/>
  <c r="BS32" i="62"/>
  <c r="BS29" i="62"/>
  <c r="CC29" i="62"/>
  <c r="BS28" i="62"/>
  <c r="CC28" i="62"/>
  <c r="BS25" i="62"/>
  <c r="CC25" i="62"/>
  <c r="BS22" i="62"/>
  <c r="CC22" i="62"/>
  <c r="BS21" i="62"/>
  <c r="CC21" i="62"/>
  <c r="BS20" i="62"/>
  <c r="BS19" i="62"/>
  <c r="CC19" i="62"/>
  <c r="BY54" i="62"/>
  <c r="BX54" i="62"/>
  <c r="BW54" i="62"/>
  <c r="BV54" i="62"/>
  <c r="BS18" i="62"/>
  <c r="BP54" i="62"/>
  <c r="BO54" i="62"/>
  <c r="BN54" i="62"/>
  <c r="BM54" i="62"/>
  <c r="BS15" i="62"/>
  <c r="CE19" i="86"/>
  <c r="CD19" i="86"/>
  <c r="CC19" i="86"/>
  <c r="BV18" i="86"/>
  <c r="BV15" i="86"/>
  <c r="CC67" i="57"/>
  <c r="BA67" i="57"/>
  <c r="CC65" i="57"/>
  <c r="BS65" i="57"/>
  <c r="BA65" i="57"/>
  <c r="AZ65" i="57"/>
  <c r="AW65" i="57"/>
  <c r="AV65" i="57"/>
  <c r="AU65" i="57"/>
  <c r="AT65" i="57"/>
  <c r="AS65" i="57"/>
  <c r="Z65" i="57"/>
  <c r="J65" i="57"/>
  <c r="H65" i="57"/>
  <c r="M65" i="57" s="1"/>
  <c r="CC52" i="57"/>
  <c r="BM75" i="57"/>
  <c r="BN75" i="57"/>
  <c r="BO75" i="57"/>
  <c r="BP75" i="57"/>
  <c r="BQ75" i="57"/>
  <c r="BR75" i="57"/>
  <c r="BT75" i="57"/>
  <c r="BU75" i="57"/>
  <c r="BV75" i="57"/>
  <c r="BW75" i="57"/>
  <c r="BX75" i="57"/>
  <c r="BY75" i="57"/>
  <c r="BZ75" i="57"/>
  <c r="CA75" i="57"/>
  <c r="CB75" i="57"/>
  <c r="CC20" i="57"/>
  <c r="CC74" i="57"/>
  <c r="BS74" i="57"/>
  <c r="CC73" i="57"/>
  <c r="BS73" i="57"/>
  <c r="BS70" i="57"/>
  <c r="CC70" i="57"/>
  <c r="BS67" i="57"/>
  <c r="BS64" i="57"/>
  <c r="CC64" i="57"/>
  <c r="BS61" i="57"/>
  <c r="CC61" i="57"/>
  <c r="BS60" i="57"/>
  <c r="CC60" i="57"/>
  <c r="BS59" i="57"/>
  <c r="CC59" i="57"/>
  <c r="BS56" i="57"/>
  <c r="CC56" i="57"/>
  <c r="BS55" i="57"/>
  <c r="CC55" i="57"/>
  <c r="BS54" i="57"/>
  <c r="CC54" i="57"/>
  <c r="BS53" i="57"/>
  <c r="CC53" i="57"/>
  <c r="BS52" i="57"/>
  <c r="BS51" i="57"/>
  <c r="CC51" i="57"/>
  <c r="CC48" i="57"/>
  <c r="BS48" i="57"/>
  <c r="BS45" i="57"/>
  <c r="CC45" i="57"/>
  <c r="BS44" i="57"/>
  <c r="CC44" i="57"/>
  <c r="BS41" i="57"/>
  <c r="CC41" i="57"/>
  <c r="BS40" i="57"/>
  <c r="CC40" i="57"/>
  <c r="CC39" i="57"/>
  <c r="BS39" i="57"/>
  <c r="BS38" i="57"/>
  <c r="CC38" i="57"/>
  <c r="BS37" i="57"/>
  <c r="CC37" i="57"/>
  <c r="BS36" i="57"/>
  <c r="CC36" i="57"/>
  <c r="BS35" i="57"/>
  <c r="CC35" i="57"/>
  <c r="BS34" i="57"/>
  <c r="CC34" i="57"/>
  <c r="BS31" i="57"/>
  <c r="CC31" i="57"/>
  <c r="BS30" i="57"/>
  <c r="CC30" i="57"/>
  <c r="BS29" i="57"/>
  <c r="CC29" i="57"/>
  <c r="BS26" i="57"/>
  <c r="CC26" i="57"/>
  <c r="CC23" i="57"/>
  <c r="BS23" i="57"/>
  <c r="BS20" i="57"/>
  <c r="BS19" i="57"/>
  <c r="CC19" i="57"/>
  <c r="BS18" i="57"/>
  <c r="CC18" i="57"/>
  <c r="CC17" i="57"/>
  <c r="BS17" i="57"/>
  <c r="CC16" i="57"/>
  <c r="BS16" i="57"/>
  <c r="CC15" i="57"/>
  <c r="BS15" i="57"/>
  <c r="BL75" i="57"/>
  <c r="I65" i="57" l="1"/>
  <c r="BB65" i="57"/>
  <c r="BF65" i="57" s="1"/>
  <c r="BS75" i="57"/>
  <c r="CC18" i="62"/>
  <c r="CC54" i="62" s="1"/>
  <c r="CC75" i="57"/>
  <c r="BC65" i="57"/>
  <c r="L65" i="57"/>
  <c r="CM60" i="60"/>
  <c r="CO60" i="60" s="1"/>
  <c r="CM57" i="60"/>
  <c r="CO57" i="60" s="1"/>
  <c r="CM54" i="60"/>
  <c r="CO54" i="60" s="1"/>
  <c r="CM51" i="60"/>
  <c r="CO51" i="60" s="1"/>
  <c r="CM50" i="60"/>
  <c r="CO50" i="60" s="1"/>
  <c r="CM44" i="60"/>
  <c r="CO44" i="60" s="1"/>
  <c r="CM41" i="60"/>
  <c r="CO41" i="60" s="1"/>
  <c r="CM35" i="60"/>
  <c r="CO35" i="60" s="1"/>
  <c r="CM34" i="60"/>
  <c r="CO34" i="60" s="1"/>
  <c r="CM33" i="60"/>
  <c r="CO33" i="60" s="1"/>
  <c r="CM32" i="60"/>
  <c r="CO32" i="60" s="1"/>
  <c r="CM31" i="60"/>
  <c r="CO31" i="60" s="1"/>
  <c r="CM28" i="60"/>
  <c r="CO28" i="60" s="1"/>
  <c r="CM27" i="60"/>
  <c r="CO27" i="60" s="1"/>
  <c r="CM26" i="60"/>
  <c r="CO26" i="60" s="1"/>
  <c r="CM25" i="60"/>
  <c r="CO25" i="60" s="1"/>
  <c r="CM24" i="60"/>
  <c r="CO24" i="60" s="1"/>
  <c r="CM23" i="60"/>
  <c r="CO23" i="60" s="1"/>
  <c r="CM20" i="60"/>
  <c r="CO20" i="60" s="1"/>
  <c r="CM19" i="60"/>
  <c r="CO19" i="60" s="1"/>
  <c r="CK19" i="89"/>
  <c r="CM19" i="89" s="1"/>
  <c r="CK17" i="89"/>
  <c r="CM17" i="89" s="1"/>
  <c r="CK15" i="89"/>
  <c r="BY24" i="85"/>
  <c r="BZ24" i="85"/>
  <c r="CA24" i="85"/>
  <c r="CB24" i="85"/>
  <c r="CC24" i="85"/>
  <c r="CD24" i="85"/>
  <c r="CE24" i="85"/>
  <c r="CO65" i="60" l="1"/>
  <c r="BE65" i="57"/>
  <c r="DI65" i="57"/>
  <c r="DJ65" i="57" s="1"/>
  <c r="DQ65" i="57" s="1"/>
  <c r="DA65" i="57"/>
  <c r="BD65" i="57"/>
  <c r="P65" i="57"/>
  <c r="K65" i="57"/>
  <c r="DU65" i="57" l="1"/>
  <c r="DV65" i="57" s="1"/>
  <c r="EP65" i="57"/>
  <c r="BJ65" i="57"/>
  <c r="O65" i="57"/>
  <c r="Q65" i="57" s="1"/>
  <c r="AA65" i="57"/>
  <c r="AB65" i="57" s="1"/>
  <c r="AH65" i="57" s="1"/>
  <c r="AO65" i="57" s="1"/>
  <c r="AP65" i="57" s="1"/>
  <c r="BK65" i="57" l="1"/>
  <c r="CD65" i="57" s="1"/>
  <c r="BJ29" i="70" l="1"/>
  <c r="BK29" i="70"/>
  <c r="BH21" i="91" l="1"/>
  <c r="BI21" i="91"/>
  <c r="BG21" i="91"/>
  <c r="BH33" i="73" l="1"/>
  <c r="BI33" i="73"/>
  <c r="BJ33" i="73"/>
  <c r="BI29" i="70"/>
  <c r="BG32" i="67"/>
  <c r="BH32" i="67"/>
  <c r="BI32" i="67"/>
  <c r="BA38" i="61"/>
  <c r="AZ38" i="61"/>
  <c r="AW38" i="61"/>
  <c r="AV38" i="61"/>
  <c r="AU38" i="61"/>
  <c r="AT38" i="61"/>
  <c r="AS38" i="61"/>
  <c r="AO38" i="61"/>
  <c r="L38" i="61"/>
  <c r="H38" i="61"/>
  <c r="M38" i="61" s="1"/>
  <c r="AW36" i="61"/>
  <c r="AV36" i="61"/>
  <c r="AU36" i="61"/>
  <c r="AT36" i="61"/>
  <c r="AS36" i="61"/>
  <c r="BG54" i="62"/>
  <c r="BH54" i="62"/>
  <c r="BI54" i="62"/>
  <c r="BJ19" i="86"/>
  <c r="BK19" i="86"/>
  <c r="BL19" i="86"/>
  <c r="BJ52" i="57"/>
  <c r="AS51" i="60"/>
  <c r="AW54" i="60"/>
  <c r="BB38" i="61" l="1"/>
  <c r="P38" i="61"/>
  <c r="O38" i="61" s="1"/>
  <c r="K38" i="61"/>
  <c r="I38" i="61"/>
  <c r="BA52" i="57"/>
  <c r="AZ52" i="57"/>
  <c r="AW52" i="57"/>
  <c r="AV52" i="57"/>
  <c r="AU52" i="57"/>
  <c r="AT52" i="57"/>
  <c r="AS52" i="57"/>
  <c r="L52" i="57"/>
  <c r="H52" i="57"/>
  <c r="M52" i="57" s="1"/>
  <c r="BA60" i="60"/>
  <c r="AZ60" i="60"/>
  <c r="AW60" i="60"/>
  <c r="AV60" i="60"/>
  <c r="AU60" i="60"/>
  <c r="AT60" i="60"/>
  <c r="AS60" i="60"/>
  <c r="AB60" i="60"/>
  <c r="L60" i="60"/>
  <c r="P60" i="60" s="1"/>
  <c r="H60" i="60"/>
  <c r="BB27" i="92"/>
  <c r="J27" i="92"/>
  <c r="G27" i="92"/>
  <c r="AY26" i="92"/>
  <c r="AX26" i="92"/>
  <c r="AW26" i="92"/>
  <c r="AV26" i="92"/>
  <c r="AU26" i="92"/>
  <c r="AY25" i="92"/>
  <c r="AX25" i="92"/>
  <c r="AW25" i="92"/>
  <c r="AV25" i="92"/>
  <c r="AU25" i="92"/>
  <c r="M81" i="92"/>
  <c r="BC75" i="92"/>
  <c r="BC81" i="92"/>
  <c r="BB81" i="92"/>
  <c r="L27" i="92" l="1"/>
  <c r="P27" i="92" s="1"/>
  <c r="O60" i="60"/>
  <c r="BJ60" i="60"/>
  <c r="BJ38" i="61"/>
  <c r="BK38" i="61" s="1"/>
  <c r="CD38" i="61" s="1"/>
  <c r="BB52" i="57"/>
  <c r="DA52" i="57" s="1"/>
  <c r="P52" i="57"/>
  <c r="K52" i="57"/>
  <c r="O52" i="57" s="1"/>
  <c r="Q52" i="57" s="1"/>
  <c r="I52" i="57"/>
  <c r="BB60" i="60"/>
  <c r="DJ60" i="60" s="1"/>
  <c r="K60" i="60"/>
  <c r="H27" i="92"/>
  <c r="BC27" i="92"/>
  <c r="BD27" i="92" s="1"/>
  <c r="BD81" i="92"/>
  <c r="AY80" i="92"/>
  <c r="AX80" i="92"/>
  <c r="AW80" i="92"/>
  <c r="AV80" i="92"/>
  <c r="AU80" i="92"/>
  <c r="AY79" i="92"/>
  <c r="AX79" i="92"/>
  <c r="AW79" i="92"/>
  <c r="AV79" i="92"/>
  <c r="AU79" i="92"/>
  <c r="BR27" i="92" l="1"/>
  <c r="BQ27" i="92"/>
  <c r="BP27" i="92"/>
  <c r="BO27" i="92"/>
  <c r="BN27" i="92"/>
  <c r="BK27" i="92"/>
  <c r="BJ27" i="92"/>
  <c r="BI27" i="92"/>
  <c r="O27" i="92"/>
  <c r="BK52" i="57"/>
  <c r="CD52" i="57" s="1"/>
  <c r="AA52" i="57"/>
  <c r="AB52" i="57" s="1"/>
  <c r="AH52" i="57" s="1"/>
  <c r="BK60" i="60"/>
  <c r="BR60" i="60" s="1"/>
  <c r="BH27" i="92"/>
  <c r="M27" i="92"/>
  <c r="I27" i="92"/>
  <c r="U27" i="92" s="1"/>
  <c r="V27" i="92" s="1"/>
  <c r="K27" i="92"/>
  <c r="P81" i="92"/>
  <c r="O81" i="92" s="1"/>
  <c r="BH81" i="92"/>
  <c r="BS27" i="92" l="1"/>
  <c r="U81" i="92"/>
  <c r="V81" i="92" s="1"/>
  <c r="X81" i="92"/>
  <c r="AC27" i="92" l="1"/>
  <c r="AD27" i="92" s="1"/>
  <c r="BD64" i="60"/>
  <c r="BA16" i="90"/>
  <c r="AZ16" i="90"/>
  <c r="AP16" i="90"/>
  <c r="Z16" i="90"/>
  <c r="BB16" i="90" l="1"/>
  <c r="BF16" i="90" s="1"/>
  <c r="AP27" i="92"/>
  <c r="AL27" i="92"/>
  <c r="AO27" i="92"/>
  <c r="AK27" i="92"/>
  <c r="AN27" i="92"/>
  <c r="AJ27" i="92"/>
  <c r="AM27" i="92"/>
  <c r="AC81" i="92"/>
  <c r="AD81" i="92" s="1"/>
  <c r="BD16" i="90" l="1"/>
  <c r="BI16" i="90"/>
  <c r="BH16" i="90"/>
  <c r="BG16" i="90"/>
  <c r="BE16" i="90"/>
  <c r="AV27" i="92"/>
  <c r="AY27" i="92"/>
  <c r="AU27" i="92"/>
  <c r="AX27" i="92"/>
  <c r="AW27" i="92"/>
  <c r="AQ27" i="92"/>
  <c r="AR27" i="92" s="1"/>
  <c r="AN81" i="92"/>
  <c r="AP81" i="92"/>
  <c r="AY81" i="92" s="1"/>
  <c r="AL81" i="92"/>
  <c r="AM81" i="92"/>
  <c r="AK81" i="92"/>
  <c r="AJ81" i="92"/>
  <c r="AO81" i="92"/>
  <c r="AS36" i="81"/>
  <c r="AS37" i="81"/>
  <c r="AS38" i="81"/>
  <c r="AS32" i="81"/>
  <c r="AZ32" i="81"/>
  <c r="AY32" i="81"/>
  <c r="AX32" i="81"/>
  <c r="AW32" i="81"/>
  <c r="AV32" i="81"/>
  <c r="AY19" i="89"/>
  <c r="DG19" i="89" s="1"/>
  <c r="DH19" i="89" s="1"/>
  <c r="AX19" i="89"/>
  <c r="AN19" i="89"/>
  <c r="Y19" i="89"/>
  <c r="Z19" i="89" s="1"/>
  <c r="L19" i="89"/>
  <c r="P19" i="89" s="1"/>
  <c r="O19" i="89" s="1"/>
  <c r="I19" i="89"/>
  <c r="M19" i="89"/>
  <c r="U28" i="63"/>
  <c r="AP28" i="63" s="1"/>
  <c r="AW28" i="63"/>
  <c r="AV28" i="63"/>
  <c r="AU28" i="63"/>
  <c r="AT28" i="63"/>
  <c r="AS28" i="63"/>
  <c r="M28" i="63"/>
  <c r="I28" i="63"/>
  <c r="AW27" i="63"/>
  <c r="AV27" i="63"/>
  <c r="AU27" i="63"/>
  <c r="AT27" i="63"/>
  <c r="AS27" i="63"/>
  <c r="AW26" i="63"/>
  <c r="AV26" i="63"/>
  <c r="AU26" i="63"/>
  <c r="AT26" i="63"/>
  <c r="AS26" i="63"/>
  <c r="BB18" i="93"/>
  <c r="BB19" i="93"/>
  <c r="BB20" i="93"/>
  <c r="BB21" i="93"/>
  <c r="BB22" i="93"/>
  <c r="BB23" i="93"/>
  <c r="BB24" i="93"/>
  <c r="BB25" i="93"/>
  <c r="BB26" i="93"/>
  <c r="BB27" i="93"/>
  <c r="BB28" i="93"/>
  <c r="BB29" i="93"/>
  <c r="BB30" i="93"/>
  <c r="BB31" i="93"/>
  <c r="BB32" i="93"/>
  <c r="BB33" i="93"/>
  <c r="BB34" i="93"/>
  <c r="BB35" i="93"/>
  <c r="BB36" i="93"/>
  <c r="BB37" i="93"/>
  <c r="BB38" i="93"/>
  <c r="BB39" i="93"/>
  <c r="BB40" i="93"/>
  <c r="BB41" i="93"/>
  <c r="BB42" i="93"/>
  <c r="BB43" i="93"/>
  <c r="BB44" i="93"/>
  <c r="BB45" i="93"/>
  <c r="BB46" i="93"/>
  <c r="BB47" i="93"/>
  <c r="BB48" i="93"/>
  <c r="BB49" i="93"/>
  <c r="BB50" i="93"/>
  <c r="BB16" i="93"/>
  <c r="BB14" i="93"/>
  <c r="BC16" i="93"/>
  <c r="BC18" i="93"/>
  <c r="BD18" i="93" s="1"/>
  <c r="BC19" i="93"/>
  <c r="BC20" i="93"/>
  <c r="BD20" i="93" s="1"/>
  <c r="BC21" i="93"/>
  <c r="BD21" i="93" s="1"/>
  <c r="BC22" i="93"/>
  <c r="BD22" i="93" s="1"/>
  <c r="BC23" i="93"/>
  <c r="BC24" i="93"/>
  <c r="BD24" i="93" s="1"/>
  <c r="BC25" i="93"/>
  <c r="BD25" i="93" s="1"/>
  <c r="BC26" i="93"/>
  <c r="BC27" i="93"/>
  <c r="BC28" i="93"/>
  <c r="BD28" i="93" s="1"/>
  <c r="BC29" i="93"/>
  <c r="BC30" i="93"/>
  <c r="BC31" i="93"/>
  <c r="BC32" i="93"/>
  <c r="BD32" i="93" s="1"/>
  <c r="BC33" i="93"/>
  <c r="BC34" i="93"/>
  <c r="BC35" i="93"/>
  <c r="BC36" i="93"/>
  <c r="BD36" i="93" s="1"/>
  <c r="BC37" i="93"/>
  <c r="BC38" i="93"/>
  <c r="BC39" i="93"/>
  <c r="BC40" i="93"/>
  <c r="BD40" i="93" s="1"/>
  <c r="BC41" i="93"/>
  <c r="BC42" i="93"/>
  <c r="BC43" i="93"/>
  <c r="BC44" i="93"/>
  <c r="BC45" i="93"/>
  <c r="BC47" i="93"/>
  <c r="BC48" i="93"/>
  <c r="BC49" i="93"/>
  <c r="BC50" i="93"/>
  <c r="BC14" i="93"/>
  <c r="BD14" i="93" s="1"/>
  <c r="BB18" i="92"/>
  <c r="BB19" i="92"/>
  <c r="BC19" i="92"/>
  <c r="BB20" i="92"/>
  <c r="BB21" i="92"/>
  <c r="BC21" i="92"/>
  <c r="BB24" i="92"/>
  <c r="BC24" i="92"/>
  <c r="BB30" i="92"/>
  <c r="BB31" i="92"/>
  <c r="BC31" i="92"/>
  <c r="BB32" i="92"/>
  <c r="BC32" i="92"/>
  <c r="BB33" i="92"/>
  <c r="BC33" i="92"/>
  <c r="BB36" i="92"/>
  <c r="BC36" i="92"/>
  <c r="BB39" i="92"/>
  <c r="BC39" i="92"/>
  <c r="BB40" i="92"/>
  <c r="BB43" i="92"/>
  <c r="BC43" i="92"/>
  <c r="BB44" i="92"/>
  <c r="BC44" i="92"/>
  <c r="BB47" i="92"/>
  <c r="BC47" i="92"/>
  <c r="BB50" i="92"/>
  <c r="BC50" i="92"/>
  <c r="BB53" i="92"/>
  <c r="BC53" i="92"/>
  <c r="BB56" i="92"/>
  <c r="BC56" i="92"/>
  <c r="BB59" i="92"/>
  <c r="BC59" i="92"/>
  <c r="BB62" i="92"/>
  <c r="BB63" i="92"/>
  <c r="BC63" i="92"/>
  <c r="BB64" i="92"/>
  <c r="BC64" i="92"/>
  <c r="BB65" i="92"/>
  <c r="BC65" i="92"/>
  <c r="BB66" i="92"/>
  <c r="BC66" i="92"/>
  <c r="BB67" i="92"/>
  <c r="BC67" i="92"/>
  <c r="BB72" i="92"/>
  <c r="BB75" i="92"/>
  <c r="BB76" i="92"/>
  <c r="BC76" i="92"/>
  <c r="BB77" i="92"/>
  <c r="BC77" i="92"/>
  <c r="BB78" i="92"/>
  <c r="BC78" i="92"/>
  <c r="BB84" i="92"/>
  <c r="BB87" i="92"/>
  <c r="BC87" i="92"/>
  <c r="BB88" i="92"/>
  <c r="BC88" i="92"/>
  <c r="BC15" i="92"/>
  <c r="BB15" i="92"/>
  <c r="AZ20" i="91"/>
  <c r="AZ19" i="90"/>
  <c r="BA19" i="90"/>
  <c r="BA15" i="90"/>
  <c r="AZ15" i="90"/>
  <c r="BC18" i="85"/>
  <c r="BE18" i="85" s="1"/>
  <c r="BC22" i="85"/>
  <c r="BE22" i="85" s="1"/>
  <c r="BC23" i="85"/>
  <c r="BE23" i="85" s="1"/>
  <c r="BO23" i="85" s="1"/>
  <c r="BC15" i="85"/>
  <c r="BE15" i="85" s="1"/>
  <c r="BC18" i="84"/>
  <c r="BD18" i="84"/>
  <c r="BD15" i="84"/>
  <c r="BC15" i="84"/>
  <c r="BC16" i="81"/>
  <c r="BD16" i="81"/>
  <c r="BC19" i="81"/>
  <c r="BD19" i="81"/>
  <c r="BC22" i="81"/>
  <c r="BD22" i="81"/>
  <c r="BC25" i="81"/>
  <c r="BD25" i="81"/>
  <c r="BC28" i="81"/>
  <c r="BD28" i="81"/>
  <c r="BC31" i="81"/>
  <c r="BE31" i="81" s="1"/>
  <c r="BC39" i="81"/>
  <c r="BD39" i="81"/>
  <c r="BC40" i="81"/>
  <c r="BD40" i="81"/>
  <c r="BC41" i="81"/>
  <c r="BD41" i="81"/>
  <c r="BC42" i="81"/>
  <c r="BD42" i="81"/>
  <c r="BC43" i="81"/>
  <c r="BD43" i="81"/>
  <c r="BC44" i="81"/>
  <c r="BD44" i="81"/>
  <c r="BC45" i="81"/>
  <c r="BD45" i="81"/>
  <c r="BC46" i="81"/>
  <c r="BD46" i="81"/>
  <c r="BC52" i="81"/>
  <c r="BD52" i="81"/>
  <c r="BC55" i="81"/>
  <c r="BD55" i="81"/>
  <c r="BC56" i="81"/>
  <c r="BD56" i="81"/>
  <c r="BC57" i="81"/>
  <c r="BD57" i="81"/>
  <c r="BC60" i="81"/>
  <c r="BD60" i="81"/>
  <c r="BC61" i="81"/>
  <c r="BD61" i="81"/>
  <c r="BC62" i="81"/>
  <c r="BD62" i="81"/>
  <c r="BC65" i="81"/>
  <c r="BD65" i="81"/>
  <c r="BC68" i="81"/>
  <c r="BD68" i="81"/>
  <c r="BC69" i="81"/>
  <c r="BD69" i="81"/>
  <c r="BC72" i="81"/>
  <c r="BD72" i="81"/>
  <c r="BD15" i="81"/>
  <c r="BC15" i="81"/>
  <c r="BC18" i="80"/>
  <c r="BD18" i="80"/>
  <c r="BC19" i="80"/>
  <c r="BD19" i="80"/>
  <c r="BC25" i="80"/>
  <c r="BD25" i="80"/>
  <c r="BC26" i="80"/>
  <c r="BD26" i="80"/>
  <c r="BC29" i="80"/>
  <c r="BD29" i="80"/>
  <c r="BD15" i="80"/>
  <c r="BC15" i="80"/>
  <c r="BH32" i="78"/>
  <c r="BH38" i="78"/>
  <c r="BH39" i="78"/>
  <c r="AX20" i="78"/>
  <c r="AY20" i="78"/>
  <c r="AX21" i="78"/>
  <c r="AY21" i="78"/>
  <c r="AX27" i="78"/>
  <c r="AY27" i="78"/>
  <c r="AX28" i="78"/>
  <c r="AY28" i="78"/>
  <c r="AX31" i="78"/>
  <c r="AY31" i="78"/>
  <c r="AX32" i="78"/>
  <c r="AY32" i="78"/>
  <c r="AX35" i="78"/>
  <c r="AY35" i="78"/>
  <c r="AX38" i="78"/>
  <c r="AY38" i="78"/>
  <c r="AX39" i="78"/>
  <c r="AY39" i="78"/>
  <c r="AX42" i="78"/>
  <c r="AY42" i="78"/>
  <c r="AX45" i="78"/>
  <c r="AY45" i="78"/>
  <c r="AX48" i="78"/>
  <c r="AY48" i="78"/>
  <c r="AY19" i="78"/>
  <c r="AX19" i="78"/>
  <c r="BC16" i="77"/>
  <c r="BD16" i="77"/>
  <c r="BC17" i="77"/>
  <c r="BD17" i="77"/>
  <c r="BC20" i="77"/>
  <c r="BD20" i="77"/>
  <c r="BC23" i="77"/>
  <c r="BD23" i="77"/>
  <c r="BC24" i="77"/>
  <c r="BD24" i="77"/>
  <c r="BC27" i="77"/>
  <c r="BD27" i="77"/>
  <c r="BC30" i="77"/>
  <c r="BD30" i="77"/>
  <c r="BC33" i="77"/>
  <c r="BD33" i="77"/>
  <c r="BC34" i="77"/>
  <c r="BD34" i="77"/>
  <c r="BC35" i="77"/>
  <c r="BD35" i="77"/>
  <c r="BC38" i="77"/>
  <c r="BD38" i="77"/>
  <c r="BC41" i="77"/>
  <c r="BD41" i="77"/>
  <c r="BC44" i="77"/>
  <c r="BD44" i="77"/>
  <c r="BC47" i="77"/>
  <c r="BD47" i="77"/>
  <c r="BC50" i="77"/>
  <c r="BD50" i="77"/>
  <c r="BD15" i="77"/>
  <c r="BC15" i="77"/>
  <c r="BK26" i="73"/>
  <c r="BB18" i="73"/>
  <c r="BB21" i="73"/>
  <c r="BB22" i="73"/>
  <c r="BB26" i="73"/>
  <c r="BB29" i="73"/>
  <c r="BB32" i="73"/>
  <c r="BB15" i="73"/>
  <c r="BA32" i="73"/>
  <c r="BA29" i="73"/>
  <c r="BA26" i="73"/>
  <c r="BA25" i="73"/>
  <c r="BA22" i="73"/>
  <c r="BA21" i="73"/>
  <c r="BA18" i="73"/>
  <c r="BA15" i="73"/>
  <c r="CI15" i="73" s="1"/>
  <c r="CJ15" i="73" s="1"/>
  <c r="BL16" i="70"/>
  <c r="BL15" i="70"/>
  <c r="BC22" i="70"/>
  <c r="BC25" i="70"/>
  <c r="BC28" i="70"/>
  <c r="BC19" i="70"/>
  <c r="BB28" i="70"/>
  <c r="BB25" i="70"/>
  <c r="BB22" i="70"/>
  <c r="BB19" i="70"/>
  <c r="BC16" i="70"/>
  <c r="BB16" i="70"/>
  <c r="BC15" i="70"/>
  <c r="BB15" i="70"/>
  <c r="BL16" i="69"/>
  <c r="BL17" i="69"/>
  <c r="BL18" i="69"/>
  <c r="BL19" i="69"/>
  <c r="BL22" i="69"/>
  <c r="BL29" i="69"/>
  <c r="BL30" i="69"/>
  <c r="BL15" i="69"/>
  <c r="BC26" i="69"/>
  <c r="BC29" i="69"/>
  <c r="BC30" i="69"/>
  <c r="BC33" i="69"/>
  <c r="BC34" i="69"/>
  <c r="BC37" i="69"/>
  <c r="BC38" i="69"/>
  <c r="BC39" i="69"/>
  <c r="BC42" i="69"/>
  <c r="BC45" i="69"/>
  <c r="BC25" i="69"/>
  <c r="BB45" i="69"/>
  <c r="BB42" i="69"/>
  <c r="BB39" i="69"/>
  <c r="BB38" i="69"/>
  <c r="BB37" i="69"/>
  <c r="BB34" i="69"/>
  <c r="BB33" i="69"/>
  <c r="BB30" i="69"/>
  <c r="BB29" i="69"/>
  <c r="BB26" i="69"/>
  <c r="BB25" i="69"/>
  <c r="BB22" i="69"/>
  <c r="BD22" i="69" s="1"/>
  <c r="BC19" i="69"/>
  <c r="BB19" i="69"/>
  <c r="BC18" i="69"/>
  <c r="BB18" i="69"/>
  <c r="BC17" i="69"/>
  <c r="BB17" i="69"/>
  <c r="BC16" i="69"/>
  <c r="BB16" i="69"/>
  <c r="BC15" i="69"/>
  <c r="BC46" i="69" s="1"/>
  <c r="BB15" i="69"/>
  <c r="BB46" i="69" s="1"/>
  <c r="BB15" i="63"/>
  <c r="BC15" i="63" s="1"/>
  <c r="BA15" i="68"/>
  <c r="AZ15" i="68"/>
  <c r="BJ24" i="67"/>
  <c r="BJ31" i="67"/>
  <c r="BA16" i="67"/>
  <c r="BA17" i="67"/>
  <c r="BA24" i="67"/>
  <c r="BA27" i="67"/>
  <c r="BA28" i="67"/>
  <c r="BA31" i="67"/>
  <c r="BA15" i="67"/>
  <c r="AZ31" i="67"/>
  <c r="AZ28" i="67"/>
  <c r="AZ27" i="67"/>
  <c r="AZ24" i="67"/>
  <c r="AZ17" i="67"/>
  <c r="AZ16" i="67"/>
  <c r="AZ15" i="67"/>
  <c r="BJ18" i="66"/>
  <c r="BA18" i="66"/>
  <c r="BA21" i="66"/>
  <c r="BA24" i="66"/>
  <c r="BA25" i="66"/>
  <c r="BA15" i="66"/>
  <c r="AZ25" i="66"/>
  <c r="AZ24" i="66"/>
  <c r="AZ21" i="66"/>
  <c r="AZ18" i="66"/>
  <c r="AZ15" i="66"/>
  <c r="BJ19" i="65"/>
  <c r="BJ22" i="65"/>
  <c r="BA16" i="65"/>
  <c r="BA17" i="65"/>
  <c r="BA18" i="65"/>
  <c r="BA19" i="65"/>
  <c r="BA22" i="65"/>
  <c r="BA25" i="65"/>
  <c r="BA28" i="65"/>
  <c r="BA15" i="65"/>
  <c r="AZ28" i="65"/>
  <c r="AZ25" i="65"/>
  <c r="AZ22" i="65"/>
  <c r="AZ19" i="65"/>
  <c r="BB19" i="65" s="1"/>
  <c r="AZ18" i="65"/>
  <c r="AZ17" i="65"/>
  <c r="AZ16" i="65"/>
  <c r="AZ15" i="65"/>
  <c r="BD78" i="92" l="1"/>
  <c r="BE78" i="92" s="1"/>
  <c r="BD76" i="92"/>
  <c r="BF76" i="92" s="1"/>
  <c r="BD48" i="93"/>
  <c r="BN48" i="93" s="1"/>
  <c r="BJ16" i="90"/>
  <c r="BK16" i="90" s="1"/>
  <c r="BR16" i="90" s="1"/>
  <c r="CF16" i="90" s="1"/>
  <c r="CM16" i="90" s="1"/>
  <c r="BO24" i="85"/>
  <c r="CF23" i="85"/>
  <c r="CF24" i="85" s="1"/>
  <c r="BI15" i="85"/>
  <c r="BF23" i="85"/>
  <c r="BJ23" i="85"/>
  <c r="BG23" i="85"/>
  <c r="BK23" i="85"/>
  <c r="BH23" i="85"/>
  <c r="BL23" i="85"/>
  <c r="BI23" i="85"/>
  <c r="BG15" i="85"/>
  <c r="BF18" i="85"/>
  <c r="BJ18" i="85"/>
  <c r="BG18" i="85"/>
  <c r="BK18" i="85"/>
  <c r="BH18" i="85"/>
  <c r="BL18" i="85"/>
  <c r="BI18" i="85"/>
  <c r="BC32" i="73"/>
  <c r="BE32" i="73" s="1"/>
  <c r="BE50" i="77"/>
  <c r="BP50" i="77" s="1"/>
  <c r="BE44" i="77"/>
  <c r="BP44" i="77" s="1"/>
  <c r="BE38" i="77"/>
  <c r="BR38" i="77" s="1"/>
  <c r="BE34" i="77"/>
  <c r="BE30" i="77"/>
  <c r="BR30" i="77" s="1"/>
  <c r="BE24" i="77"/>
  <c r="BP24" i="77" s="1"/>
  <c r="BE20" i="77"/>
  <c r="BO20" i="77" s="1"/>
  <c r="BE16" i="77"/>
  <c r="BE69" i="81"/>
  <c r="BS69" i="81" s="1"/>
  <c r="BE65" i="81"/>
  <c r="BO65" i="81" s="1"/>
  <c r="BD59" i="92"/>
  <c r="BQ59" i="92" s="1"/>
  <c r="BB25" i="66"/>
  <c r="BF25" i="66" s="1"/>
  <c r="BC22" i="73"/>
  <c r="BC21" i="73"/>
  <c r="BE21" i="73" s="1"/>
  <c r="BD41" i="93"/>
  <c r="BP41" i="93" s="1"/>
  <c r="BB18" i="65"/>
  <c r="BC18" i="65" s="1"/>
  <c r="BD39" i="69"/>
  <c r="BP39" i="69" s="1"/>
  <c r="BD33" i="69"/>
  <c r="BQ33" i="69" s="1"/>
  <c r="BB16" i="67"/>
  <c r="BC16" i="67" s="1"/>
  <c r="BR25" i="93"/>
  <c r="BP25" i="93"/>
  <c r="BO25" i="93"/>
  <c r="BN25" i="93"/>
  <c r="BK25" i="93"/>
  <c r="BJ25" i="93"/>
  <c r="BI25" i="93"/>
  <c r="BD16" i="69"/>
  <c r="BD22" i="70"/>
  <c r="BH22" i="70" s="1"/>
  <c r="BD28" i="70"/>
  <c r="BF28" i="70" s="1"/>
  <c r="BO48" i="93"/>
  <c r="BK48" i="93"/>
  <c r="BR24" i="93"/>
  <c r="BP24" i="93"/>
  <c r="BO24" i="93"/>
  <c r="BN24" i="93"/>
  <c r="BK24" i="93"/>
  <c r="BJ24" i="93"/>
  <c r="BI24" i="93"/>
  <c r="BR20" i="93"/>
  <c r="BP20" i="93"/>
  <c r="BO20" i="93"/>
  <c r="BN20" i="93"/>
  <c r="BK20" i="93"/>
  <c r="BJ20" i="93"/>
  <c r="BI20" i="93"/>
  <c r="BB31" i="67"/>
  <c r="BE47" i="77"/>
  <c r="BI47" i="77" s="1"/>
  <c r="BE41" i="77"/>
  <c r="BF41" i="77" s="1"/>
  <c r="BE35" i="77"/>
  <c r="BH35" i="77" s="1"/>
  <c r="BE33" i="77"/>
  <c r="BG33" i="77" s="1"/>
  <c r="BE27" i="77"/>
  <c r="BF27" i="77" s="1"/>
  <c r="BE23" i="77"/>
  <c r="BG23" i="77" s="1"/>
  <c r="BE17" i="77"/>
  <c r="BH17" i="77" s="1"/>
  <c r="BE72" i="81"/>
  <c r="BJ72" i="81" s="1"/>
  <c r="BE68" i="81"/>
  <c r="BJ68" i="81" s="1"/>
  <c r="BR14" i="93"/>
  <c r="BP14" i="93"/>
  <c r="BO14" i="93"/>
  <c r="BN14" i="93"/>
  <c r="BK14" i="93"/>
  <c r="BJ14" i="93"/>
  <c r="BI14" i="93"/>
  <c r="BA29" i="65"/>
  <c r="BB19" i="90"/>
  <c r="BD19" i="90" s="1"/>
  <c r="BD66" i="92"/>
  <c r="BG66" i="92" s="1"/>
  <c r="BD33" i="93"/>
  <c r="BE33" i="93" s="1"/>
  <c r="BD29" i="93"/>
  <c r="BG29" i="93" s="1"/>
  <c r="BR22" i="93"/>
  <c r="BP22" i="93"/>
  <c r="BO22" i="93"/>
  <c r="BN22" i="93"/>
  <c r="BK22" i="93"/>
  <c r="BJ22" i="93"/>
  <c r="BI22" i="93"/>
  <c r="BR18" i="93"/>
  <c r="BP18" i="93"/>
  <c r="BO18" i="93"/>
  <c r="BN18" i="93"/>
  <c r="BK18" i="93"/>
  <c r="BJ18" i="93"/>
  <c r="BI18" i="93"/>
  <c r="BR33" i="69"/>
  <c r="BP33" i="69"/>
  <c r="BN33" i="69"/>
  <c r="BI33" i="69"/>
  <c r="BC29" i="73"/>
  <c r="BD29" i="73" s="1"/>
  <c r="BO50" i="77"/>
  <c r="BQ38" i="77"/>
  <c r="BS34" i="77"/>
  <c r="BR34" i="77"/>
  <c r="BQ34" i="77"/>
  <c r="BP34" i="77"/>
  <c r="BO34" i="77"/>
  <c r="BL34" i="77"/>
  <c r="BK34" i="77"/>
  <c r="BJ34" i="77"/>
  <c r="BS30" i="77"/>
  <c r="BO30" i="77"/>
  <c r="BK24" i="77"/>
  <c r="BJ20" i="77"/>
  <c r="BR16" i="77"/>
  <c r="BQ16" i="77"/>
  <c r="BP16" i="77"/>
  <c r="BO16" i="77"/>
  <c r="BL16" i="77"/>
  <c r="BK16" i="77"/>
  <c r="BJ16" i="77"/>
  <c r="BR69" i="81"/>
  <c r="BJ59" i="92"/>
  <c r="BR40" i="93"/>
  <c r="BP40" i="93"/>
  <c r="BO40" i="93"/>
  <c r="BN40" i="93"/>
  <c r="BK40" i="93"/>
  <c r="BJ40" i="93"/>
  <c r="BI40" i="93"/>
  <c r="BR36" i="93"/>
  <c r="BP36" i="93"/>
  <c r="BO36" i="93"/>
  <c r="BN36" i="93"/>
  <c r="BK36" i="93"/>
  <c r="BJ36" i="93"/>
  <c r="BI36" i="93"/>
  <c r="BR32" i="93"/>
  <c r="BP32" i="93"/>
  <c r="BO32" i="93"/>
  <c r="BN32" i="93"/>
  <c r="BK32" i="93"/>
  <c r="BJ32" i="93"/>
  <c r="BI32" i="93"/>
  <c r="BR28" i="93"/>
  <c r="BP28" i="93"/>
  <c r="BO28" i="93"/>
  <c r="BN28" i="93"/>
  <c r="BK28" i="93"/>
  <c r="BJ28" i="93"/>
  <c r="BI28" i="93"/>
  <c r="BR21" i="93"/>
  <c r="BP21" i="93"/>
  <c r="BO21" i="93"/>
  <c r="BN21" i="93"/>
  <c r="BK21" i="93"/>
  <c r="BJ21" i="93"/>
  <c r="BI21" i="93"/>
  <c r="BD49" i="93"/>
  <c r="BF49" i="93" s="1"/>
  <c r="BR41" i="93"/>
  <c r="BO41" i="93"/>
  <c r="BK41" i="93"/>
  <c r="BI41" i="93"/>
  <c r="BB27" i="67"/>
  <c r="BE27" i="67" s="1"/>
  <c r="BB28" i="67"/>
  <c r="BC28" i="67" s="1"/>
  <c r="BD88" i="92"/>
  <c r="BL72" i="81"/>
  <c r="BL68" i="81"/>
  <c r="BJ69" i="81"/>
  <c r="AQ81" i="92"/>
  <c r="AR81" i="92" s="1"/>
  <c r="BL27" i="92"/>
  <c r="BM27" i="92" s="1"/>
  <c r="BD64" i="92"/>
  <c r="BF64" i="92" s="1"/>
  <c r="AU81" i="92"/>
  <c r="AX81" i="92"/>
  <c r="AV81" i="92"/>
  <c r="AW81" i="92"/>
  <c r="BD77" i="92"/>
  <c r="BG77" i="92" s="1"/>
  <c r="BD75" i="92"/>
  <c r="BE29" i="73"/>
  <c r="BF16" i="67"/>
  <c r="BD16" i="67"/>
  <c r="BE41" i="93"/>
  <c r="BG41" i="93"/>
  <c r="BE33" i="69"/>
  <c r="BH33" i="69"/>
  <c r="BG33" i="69"/>
  <c r="BF33" i="69"/>
  <c r="BB24" i="66"/>
  <c r="BB21" i="66"/>
  <c r="BD42" i="69"/>
  <c r="BD34" i="69"/>
  <c r="BD16" i="70"/>
  <c r="BC26" i="73"/>
  <c r="BE15" i="77"/>
  <c r="AZ45" i="78"/>
  <c r="AZ39" i="78"/>
  <c r="AZ35" i="78"/>
  <c r="AZ31" i="78"/>
  <c r="AZ27" i="78"/>
  <c r="AZ20" i="78"/>
  <c r="BB15" i="90"/>
  <c r="BD87" i="92"/>
  <c r="BD67" i="92"/>
  <c r="BD65" i="92"/>
  <c r="BD63" i="92"/>
  <c r="BD37" i="93"/>
  <c r="BD30" i="93"/>
  <c r="BD26" i="93"/>
  <c r="BD47" i="93"/>
  <c r="BD39" i="93"/>
  <c r="BD31" i="93"/>
  <c r="BD23" i="93"/>
  <c r="BF21" i="73"/>
  <c r="BI50" i="77"/>
  <c r="BG50" i="77"/>
  <c r="BH38" i="77"/>
  <c r="BF34" i="77"/>
  <c r="BI34" i="77"/>
  <c r="BH34" i="77"/>
  <c r="BG34" i="77"/>
  <c r="BF30" i="77"/>
  <c r="BH30" i="77"/>
  <c r="BI20" i="77"/>
  <c r="BG20" i="77"/>
  <c r="BF16" i="77"/>
  <c r="BI16" i="77"/>
  <c r="BH16" i="77"/>
  <c r="BG16" i="77"/>
  <c r="BH68" i="81"/>
  <c r="BC19" i="90"/>
  <c r="BE19" i="90"/>
  <c r="BH75" i="92"/>
  <c r="BE14" i="93"/>
  <c r="BH14" i="93"/>
  <c r="BG14" i="93"/>
  <c r="BF14" i="93"/>
  <c r="BH48" i="93"/>
  <c r="BE40" i="93"/>
  <c r="BH40" i="93"/>
  <c r="BG40" i="93"/>
  <c r="BF40" i="93"/>
  <c r="BE36" i="93"/>
  <c r="BH36" i="93"/>
  <c r="BG36" i="93"/>
  <c r="BF36" i="93"/>
  <c r="BH29" i="93"/>
  <c r="BE25" i="93"/>
  <c r="BH25" i="93"/>
  <c r="BG25" i="93"/>
  <c r="BF25" i="93"/>
  <c r="BE22" i="93"/>
  <c r="BH22" i="93"/>
  <c r="BG22" i="93"/>
  <c r="BF22" i="93"/>
  <c r="BE18" i="93"/>
  <c r="BH18" i="93"/>
  <c r="BG18" i="93"/>
  <c r="BF18" i="93"/>
  <c r="BD38" i="69"/>
  <c r="BD32" i="73"/>
  <c r="BF32" i="73"/>
  <c r="AZ48" i="78"/>
  <c r="AZ42" i="78"/>
  <c r="AZ38" i="78"/>
  <c r="AZ32" i="78"/>
  <c r="AZ28" i="78"/>
  <c r="AZ21" i="78"/>
  <c r="BE88" i="92"/>
  <c r="BH88" i="92"/>
  <c r="BG88" i="92"/>
  <c r="BF88" i="92"/>
  <c r="BE66" i="92"/>
  <c r="BE64" i="92"/>
  <c r="BD50" i="93"/>
  <c r="BD42" i="93"/>
  <c r="BE32" i="93"/>
  <c r="BH32" i="93"/>
  <c r="BG32" i="93"/>
  <c r="BF32" i="93"/>
  <c r="BE28" i="93"/>
  <c r="BH28" i="93"/>
  <c r="BG28" i="93"/>
  <c r="BF28" i="93"/>
  <c r="BE21" i="93"/>
  <c r="BH21" i="93"/>
  <c r="BG21" i="93"/>
  <c r="BF21" i="93"/>
  <c r="BB18" i="66"/>
  <c r="BC25" i="66"/>
  <c r="BD45" i="69"/>
  <c r="BD37" i="69"/>
  <c r="BD29" i="69"/>
  <c r="BC18" i="73"/>
  <c r="BF47" i="77"/>
  <c r="BG47" i="77"/>
  <c r="BI41" i="77"/>
  <c r="BI35" i="77"/>
  <c r="BF33" i="77"/>
  <c r="BH33" i="77"/>
  <c r="BH27" i="77"/>
  <c r="BG27" i="77"/>
  <c r="BI17" i="77"/>
  <c r="BI69" i="81"/>
  <c r="BG69" i="81"/>
  <c r="BH78" i="92"/>
  <c r="BF78" i="92"/>
  <c r="BH76" i="92"/>
  <c r="BG76" i="92"/>
  <c r="BF59" i="92"/>
  <c r="BD45" i="93"/>
  <c r="BD38" i="93"/>
  <c r="BD34" i="93"/>
  <c r="BE24" i="93"/>
  <c r="BH24" i="93"/>
  <c r="BG24" i="93"/>
  <c r="BF24" i="93"/>
  <c r="BE20" i="93"/>
  <c r="BH20" i="93"/>
  <c r="BG20" i="93"/>
  <c r="BF20" i="93"/>
  <c r="BB17" i="67"/>
  <c r="BD30" i="69"/>
  <c r="BB15" i="67"/>
  <c r="BB24" i="67"/>
  <c r="BD26" i="69"/>
  <c r="BD15" i="69"/>
  <c r="BD46" i="69" s="1"/>
  <c r="BD15" i="70"/>
  <c r="BD19" i="70"/>
  <c r="AZ19" i="78"/>
  <c r="BE29" i="80"/>
  <c r="BE25" i="80"/>
  <c r="BE18" i="80"/>
  <c r="BE62" i="81"/>
  <c r="BE60" i="81"/>
  <c r="BE56" i="81"/>
  <c r="BE52" i="81"/>
  <c r="BE45" i="81"/>
  <c r="BE43" i="81"/>
  <c r="BE41" i="81"/>
  <c r="BE39" i="81"/>
  <c r="BE28" i="81"/>
  <c r="BE22" i="81"/>
  <c r="BE16" i="81"/>
  <c r="BE15" i="84"/>
  <c r="BD15" i="92"/>
  <c r="BD53" i="92"/>
  <c r="BD47" i="92"/>
  <c r="BD43" i="92"/>
  <c r="BD39" i="92"/>
  <c r="BD33" i="92"/>
  <c r="BD31" i="92"/>
  <c r="BD24" i="92"/>
  <c r="K19" i="89"/>
  <c r="BE26" i="80"/>
  <c r="BE19" i="80"/>
  <c r="BJ19" i="80" s="1"/>
  <c r="BE61" i="81"/>
  <c r="BE57" i="81"/>
  <c r="BE55" i="81"/>
  <c r="BE46" i="81"/>
  <c r="BE44" i="81"/>
  <c r="BE42" i="81"/>
  <c r="BE40" i="81"/>
  <c r="BE25" i="81"/>
  <c r="BE19" i="81"/>
  <c r="BE18" i="84"/>
  <c r="BD56" i="92"/>
  <c r="BD50" i="92"/>
  <c r="BD44" i="92"/>
  <c r="BD36" i="92"/>
  <c r="BD32" i="92"/>
  <c r="BD21" i="92"/>
  <c r="BD19" i="92"/>
  <c r="BD43" i="93"/>
  <c r="BD35" i="93"/>
  <c r="BD27" i="93"/>
  <c r="BD19" i="93"/>
  <c r="AZ19" i="89"/>
  <c r="BD44" i="93"/>
  <c r="BD16" i="93"/>
  <c r="BE15" i="81"/>
  <c r="BE15" i="80"/>
  <c r="BC15" i="73"/>
  <c r="BD25" i="70"/>
  <c r="BD25" i="69"/>
  <c r="BD18" i="69"/>
  <c r="BD17" i="69"/>
  <c r="BD19" i="69"/>
  <c r="BB15" i="68"/>
  <c r="BF15" i="68" s="1"/>
  <c r="BB15" i="66"/>
  <c r="BB15" i="65"/>
  <c r="BB28" i="65"/>
  <c r="BB25" i="65"/>
  <c r="BB22" i="65"/>
  <c r="BB17" i="65"/>
  <c r="BC17" i="65" s="1"/>
  <c r="BB16" i="65"/>
  <c r="BA19" i="62"/>
  <c r="BA20" i="62"/>
  <c r="BA21" i="62"/>
  <c r="BA22" i="62"/>
  <c r="BA25" i="62"/>
  <c r="BA28" i="62"/>
  <c r="BA29" i="62"/>
  <c r="BA32" i="62"/>
  <c r="BA33" i="62"/>
  <c r="BA35" i="62"/>
  <c r="BA38" i="62"/>
  <c r="BA41" i="62"/>
  <c r="BA43" i="62"/>
  <c r="BA47" i="62"/>
  <c r="BA50" i="62"/>
  <c r="BA53" i="62"/>
  <c r="BA18" i="62"/>
  <c r="BD18" i="86"/>
  <c r="BD15" i="86"/>
  <c r="BA21" i="61"/>
  <c r="BA26" i="61"/>
  <c r="BA29" i="61"/>
  <c r="BA32" i="61"/>
  <c r="BA35" i="61"/>
  <c r="BA41" i="61"/>
  <c r="BA16" i="61"/>
  <c r="BA17" i="61"/>
  <c r="BA18" i="61"/>
  <c r="BA15" i="61"/>
  <c r="AZ41" i="61"/>
  <c r="AZ35" i="61"/>
  <c r="AZ32" i="61"/>
  <c r="AZ29" i="61"/>
  <c r="AZ26" i="61"/>
  <c r="AZ25" i="61"/>
  <c r="AZ24" i="61"/>
  <c r="AZ21" i="61"/>
  <c r="AZ18" i="61"/>
  <c r="AZ17" i="61"/>
  <c r="BB17" i="61" s="1"/>
  <c r="AZ16" i="61"/>
  <c r="AZ15" i="61"/>
  <c r="AZ53" i="62"/>
  <c r="AZ50" i="62"/>
  <c r="BB50" i="62" s="1"/>
  <c r="AZ47" i="62"/>
  <c r="AZ43" i="62"/>
  <c r="AZ41" i="62"/>
  <c r="AZ38" i="62"/>
  <c r="BB38" i="62" s="1"/>
  <c r="AZ35" i="62"/>
  <c r="AZ34" i="62"/>
  <c r="AZ33" i="62"/>
  <c r="AZ32" i="62"/>
  <c r="AZ29" i="62"/>
  <c r="AZ28" i="62"/>
  <c r="AZ25" i="62"/>
  <c r="AZ22" i="62"/>
  <c r="AZ21" i="62"/>
  <c r="AZ20" i="62"/>
  <c r="AZ19" i="62"/>
  <c r="AZ18" i="62"/>
  <c r="AZ15" i="62"/>
  <c r="BC18" i="86"/>
  <c r="BC15" i="86"/>
  <c r="AR15" i="86"/>
  <c r="AS15" i="86" s="1"/>
  <c r="AV15" i="86"/>
  <c r="AW15" i="86"/>
  <c r="AX15" i="86"/>
  <c r="AY15" i="86"/>
  <c r="AZ15" i="86"/>
  <c r="AV16" i="86"/>
  <c r="AW16" i="86"/>
  <c r="AX16" i="86"/>
  <c r="AV17" i="86"/>
  <c r="AW17" i="86"/>
  <c r="AX17" i="86"/>
  <c r="AQ18" i="86"/>
  <c r="AF19" i="86"/>
  <c r="AG19" i="86"/>
  <c r="AH19" i="86"/>
  <c r="AI19" i="86"/>
  <c r="AJ19" i="86"/>
  <c r="AK19" i="86"/>
  <c r="AP19" i="86"/>
  <c r="AQ19" i="86"/>
  <c r="BJ23" i="57"/>
  <c r="BJ74" i="57"/>
  <c r="BA16" i="57"/>
  <c r="BA17" i="57"/>
  <c r="BA18" i="57"/>
  <c r="BA19" i="57"/>
  <c r="BA20" i="57"/>
  <c r="BA23" i="57"/>
  <c r="BA26" i="57"/>
  <c r="BA29" i="57"/>
  <c r="BA30" i="57"/>
  <c r="BA31" i="57"/>
  <c r="BA34" i="57"/>
  <c r="BA35" i="57"/>
  <c r="BA36" i="57"/>
  <c r="BA37" i="57"/>
  <c r="BA38" i="57"/>
  <c r="BA39" i="57"/>
  <c r="BA40" i="57"/>
  <c r="BA41" i="57"/>
  <c r="BA44" i="57"/>
  <c r="BA45" i="57"/>
  <c r="BA48" i="57"/>
  <c r="BA51" i="57"/>
  <c r="BA53" i="57"/>
  <c r="BA54" i="57"/>
  <c r="BA55" i="57"/>
  <c r="BA56" i="57"/>
  <c r="BA59" i="57"/>
  <c r="BA60" i="57"/>
  <c r="BA61" i="57"/>
  <c r="BA64" i="57"/>
  <c r="BA70" i="57"/>
  <c r="BA73" i="57"/>
  <c r="BA74" i="57"/>
  <c r="BJ48" i="57"/>
  <c r="BJ73" i="57"/>
  <c r="BA15" i="57"/>
  <c r="AZ74" i="57"/>
  <c r="AZ73" i="57"/>
  <c r="AZ70" i="57"/>
  <c r="AZ67" i="57"/>
  <c r="AZ64" i="57"/>
  <c r="AZ61" i="57"/>
  <c r="AZ60" i="57"/>
  <c r="AZ59" i="57"/>
  <c r="AZ56" i="57"/>
  <c r="AZ55" i="57"/>
  <c r="AZ54" i="57"/>
  <c r="AZ53" i="57"/>
  <c r="AZ51" i="57"/>
  <c r="AZ48" i="57"/>
  <c r="AZ45" i="57"/>
  <c r="AZ44" i="57"/>
  <c r="AZ41" i="57"/>
  <c r="AZ40" i="57"/>
  <c r="AZ39" i="57"/>
  <c r="AZ38" i="57"/>
  <c r="AZ37" i="57"/>
  <c r="AZ36" i="57"/>
  <c r="AZ35" i="57"/>
  <c r="AZ34" i="57"/>
  <c r="AZ31" i="57"/>
  <c r="AZ30" i="57"/>
  <c r="AZ29" i="57"/>
  <c r="AZ26" i="57"/>
  <c r="AZ23" i="57"/>
  <c r="AZ20" i="57"/>
  <c r="AZ19" i="57"/>
  <c r="AZ18" i="57"/>
  <c r="AZ17" i="57"/>
  <c r="AZ16" i="57"/>
  <c r="AZ15" i="57"/>
  <c r="AY17" i="89"/>
  <c r="DG17" i="89" s="1"/>
  <c r="AX17" i="89"/>
  <c r="AX15" i="89"/>
  <c r="AU20" i="60"/>
  <c r="AV20" i="60"/>
  <c r="AW20" i="60"/>
  <c r="AT20" i="60"/>
  <c r="AS17" i="60"/>
  <c r="AS18" i="60"/>
  <c r="AS19" i="60"/>
  <c r="AS20" i="60"/>
  <c r="BC64" i="60"/>
  <c r="BA23" i="60"/>
  <c r="BA24" i="60"/>
  <c r="BA25" i="60"/>
  <c r="BA26" i="60"/>
  <c r="BA27" i="60"/>
  <c r="BA28" i="60"/>
  <c r="BA32" i="60"/>
  <c r="BA33" i="60"/>
  <c r="BA34" i="60"/>
  <c r="BA35" i="60"/>
  <c r="BA41" i="60"/>
  <c r="BA44" i="60"/>
  <c r="BA50" i="60"/>
  <c r="BA51" i="60"/>
  <c r="BA54" i="60"/>
  <c r="BA57" i="60"/>
  <c r="BA20" i="60"/>
  <c r="BA19" i="60"/>
  <c r="AZ57" i="60"/>
  <c r="AZ19" i="60"/>
  <c r="AZ54" i="60"/>
  <c r="AZ51" i="60"/>
  <c r="AZ50" i="60"/>
  <c r="AZ44" i="60"/>
  <c r="AZ41" i="60"/>
  <c r="AZ35" i="60"/>
  <c r="AZ34" i="60"/>
  <c r="AZ33" i="60"/>
  <c r="AZ32" i="60"/>
  <c r="AZ31" i="60"/>
  <c r="AZ28" i="60"/>
  <c r="AZ27" i="60"/>
  <c r="AZ26" i="60"/>
  <c r="AZ25" i="60"/>
  <c r="AZ24" i="60"/>
  <c r="AZ23" i="60"/>
  <c r="AZ20" i="60"/>
  <c r="AZ15" i="60"/>
  <c r="BB20" i="60" l="1"/>
  <c r="CQ16" i="90"/>
  <c r="CR16" i="90" s="1"/>
  <c r="DL16" i="90"/>
  <c r="DG20" i="89"/>
  <c r="DH17" i="89"/>
  <c r="DH20" i="89" s="1"/>
  <c r="BF33" i="93"/>
  <c r="BN59" i="92"/>
  <c r="BR20" i="77"/>
  <c r="BK30" i="77"/>
  <c r="BQ30" i="77"/>
  <c r="BO38" i="77"/>
  <c r="BK50" i="77"/>
  <c r="BQ50" i="77"/>
  <c r="BJ33" i="69"/>
  <c r="BK33" i="69"/>
  <c r="BO33" i="69"/>
  <c r="BV16" i="90"/>
  <c r="BW16" i="90" s="1"/>
  <c r="BB28" i="63"/>
  <c r="BC28" i="63" s="1"/>
  <c r="BW28" i="63"/>
  <c r="BX28" i="63" s="1"/>
  <c r="BP69" i="81"/>
  <c r="BK69" i="81"/>
  <c r="BO69" i="81"/>
  <c r="BQ39" i="69"/>
  <c r="BG64" i="92"/>
  <c r="BH66" i="92"/>
  <c r="BE22" i="70"/>
  <c r="BG68" i="81"/>
  <c r="BK68" i="81"/>
  <c r="BQ44" i="77"/>
  <c r="BH59" i="92"/>
  <c r="BE76" i="92"/>
  <c r="BI65" i="81"/>
  <c r="BH23" i="77"/>
  <c r="BI27" i="77"/>
  <c r="BH47" i="77"/>
  <c r="BF66" i="92"/>
  <c r="BG28" i="70"/>
  <c r="BI68" i="81"/>
  <c r="BF24" i="77"/>
  <c r="BF38" i="77"/>
  <c r="BD21" i="73"/>
  <c r="BH33" i="93"/>
  <c r="BG29" i="73"/>
  <c r="BP59" i="92"/>
  <c r="BQ65" i="81"/>
  <c r="BL20" i="77"/>
  <c r="BQ24" i="77"/>
  <c r="BS38" i="77"/>
  <c r="BR48" i="93"/>
  <c r="BF23" i="77"/>
  <c r="BG41" i="77"/>
  <c r="BE28" i="70"/>
  <c r="BF48" i="93"/>
  <c r="BF68" i="81"/>
  <c r="BF44" i="77"/>
  <c r="BR59" i="92"/>
  <c r="BP20" i="77"/>
  <c r="BK38" i="77"/>
  <c r="BK44" i="77"/>
  <c r="BI48" i="93"/>
  <c r="BF39" i="69"/>
  <c r="BH39" i="69"/>
  <c r="BK39" i="69"/>
  <c r="BG59" i="92"/>
  <c r="BG78" i="92"/>
  <c r="BF69" i="81"/>
  <c r="BI23" i="77"/>
  <c r="BI33" i="77"/>
  <c r="BH41" i="77"/>
  <c r="BG39" i="69"/>
  <c r="BH64" i="92"/>
  <c r="BG32" i="73"/>
  <c r="BH28" i="70"/>
  <c r="BE48" i="93"/>
  <c r="BF19" i="90"/>
  <c r="BH20" i="77"/>
  <c r="BG30" i="77"/>
  <c r="BG38" i="77"/>
  <c r="BF50" i="77"/>
  <c r="BG21" i="73"/>
  <c r="BH41" i="93"/>
  <c r="BG33" i="93"/>
  <c r="BE16" i="67"/>
  <c r="BF29" i="73"/>
  <c r="BN41" i="93"/>
  <c r="BS41" i="93" s="1"/>
  <c r="BI59" i="92"/>
  <c r="BO59" i="92"/>
  <c r="BQ69" i="81"/>
  <c r="BT69" i="81" s="1"/>
  <c r="BK20" i="77"/>
  <c r="BQ20" i="77"/>
  <c r="BJ30" i="77"/>
  <c r="BP30" i="77"/>
  <c r="BT30" i="77" s="1"/>
  <c r="BJ38" i="77"/>
  <c r="BP38" i="77"/>
  <c r="BL50" i="77"/>
  <c r="BR50" i="77"/>
  <c r="CG50" i="77" s="1"/>
  <c r="BN39" i="69"/>
  <c r="BR39" i="69"/>
  <c r="BJ48" i="93"/>
  <c r="BP48" i="93"/>
  <c r="BG16" i="68"/>
  <c r="BJ39" i="69"/>
  <c r="BO39" i="69"/>
  <c r="BB39" i="57"/>
  <c r="BD39" i="57" s="1"/>
  <c r="BB45" i="57"/>
  <c r="BB21" i="62"/>
  <c r="BE21" i="62" s="1"/>
  <c r="BB29" i="62"/>
  <c r="BB16" i="61"/>
  <c r="BB32" i="61"/>
  <c r="BJ32" i="61" s="1"/>
  <c r="BE59" i="92"/>
  <c r="BH69" i="81"/>
  <c r="BE39" i="69"/>
  <c r="BG48" i="93"/>
  <c r="BF72" i="81"/>
  <c r="BF20" i="77"/>
  <c r="BI30" i="77"/>
  <c r="BI38" i="77"/>
  <c r="BH50" i="77"/>
  <c r="BF41" i="93"/>
  <c r="BG49" i="93"/>
  <c r="BL69" i="81"/>
  <c r="BJ41" i="93"/>
  <c r="BK59" i="92"/>
  <c r="BL30" i="77"/>
  <c r="BL38" i="77"/>
  <c r="BJ50" i="77"/>
  <c r="BI39" i="69"/>
  <c r="BF15" i="85"/>
  <c r="BH15" i="85"/>
  <c r="BI22" i="85"/>
  <c r="BI24" i="85" s="1"/>
  <c r="BF22" i="85"/>
  <c r="BJ22" i="85"/>
  <c r="BJ24" i="85" s="1"/>
  <c r="BG22" i="85"/>
  <c r="BG24" i="85" s="1"/>
  <c r="BK22" i="85"/>
  <c r="BK24" i="85" s="1"/>
  <c r="BH22" i="85"/>
  <c r="BL22" i="85"/>
  <c r="BL24" i="85" s="1"/>
  <c r="BF65" i="81"/>
  <c r="BF17" i="77"/>
  <c r="BF35" i="77"/>
  <c r="BD25" i="66"/>
  <c r="BF22" i="70"/>
  <c r="BE29" i="93"/>
  <c r="BG24" i="77"/>
  <c r="BG44" i="77"/>
  <c r="BJ65" i="81"/>
  <c r="BR65" i="81"/>
  <c r="BL24" i="77"/>
  <c r="BR24" i="77"/>
  <c r="BL44" i="77"/>
  <c r="BR44" i="77"/>
  <c r="BS18" i="93"/>
  <c r="BS14" i="93"/>
  <c r="BS25" i="93"/>
  <c r="BG65" i="81"/>
  <c r="BG17" i="77"/>
  <c r="BG35" i="77"/>
  <c r="BE25" i="66"/>
  <c r="BG22" i="70"/>
  <c r="BF29" i="93"/>
  <c r="BH24" i="77"/>
  <c r="BH44" i="77"/>
  <c r="BK65" i="81"/>
  <c r="BS28" i="93"/>
  <c r="BS65" i="81"/>
  <c r="BO24" i="77"/>
  <c r="BS24" i="77"/>
  <c r="BT34" i="77"/>
  <c r="BT38" i="77"/>
  <c r="BO44" i="77"/>
  <c r="BH65" i="81"/>
  <c r="BH77" i="92"/>
  <c r="BI24" i="77"/>
  <c r="BI44" i="77"/>
  <c r="BL65" i="81"/>
  <c r="BP65" i="81"/>
  <c r="CG20" i="77"/>
  <c r="BJ24" i="77"/>
  <c r="BJ44" i="77"/>
  <c r="BS36" i="93"/>
  <c r="BS22" i="93"/>
  <c r="BS20" i="93"/>
  <c r="BS32" i="93"/>
  <c r="BS48" i="93"/>
  <c r="BS21" i="93"/>
  <c r="BS40" i="93"/>
  <c r="BS24" i="93"/>
  <c r="BL81" i="92"/>
  <c r="BM81" i="92" s="1"/>
  <c r="BT27" i="92"/>
  <c r="BG72" i="81"/>
  <c r="BK72" i="81"/>
  <c r="BH72" i="81"/>
  <c r="BI72" i="81"/>
  <c r="CG16" i="77"/>
  <c r="BD28" i="67"/>
  <c r="BE28" i="67"/>
  <c r="BF28" i="67"/>
  <c r="BF27" i="67"/>
  <c r="DD30" i="66"/>
  <c r="BB29" i="61"/>
  <c r="BJ29" i="61" s="1"/>
  <c r="BB22" i="62"/>
  <c r="BD22" i="62" s="1"/>
  <c r="BB28" i="62"/>
  <c r="ED18" i="86"/>
  <c r="ED19" i="86" s="1"/>
  <c r="DZ18" i="86"/>
  <c r="DZ19" i="86" s="1"/>
  <c r="EB18" i="86"/>
  <c r="EB19" i="86" s="1"/>
  <c r="EA18" i="86"/>
  <c r="EA19" i="86" s="1"/>
  <c r="EC18" i="86"/>
  <c r="EC19" i="86" s="1"/>
  <c r="DA39" i="57"/>
  <c r="DI39" i="57"/>
  <c r="DJ39" i="57" s="1"/>
  <c r="DQ39" i="57" s="1"/>
  <c r="DA45" i="57"/>
  <c r="DI45" i="57"/>
  <c r="DJ45" i="57" s="1"/>
  <c r="DQ45" i="57" s="1"/>
  <c r="AZ15" i="89"/>
  <c r="BJ15" i="89" s="1"/>
  <c r="BB31" i="57"/>
  <c r="BD31" i="57" s="1"/>
  <c r="BB37" i="57"/>
  <c r="BE37" i="57" s="1"/>
  <c r="BB56" i="57"/>
  <c r="BB41" i="62"/>
  <c r="BD41" i="62" s="1"/>
  <c r="BB53" i="62"/>
  <c r="BC53" i="62" s="1"/>
  <c r="BB29" i="65"/>
  <c r="BN19" i="89"/>
  <c r="BM19" i="89"/>
  <c r="BL19" i="89"/>
  <c r="BK19" i="89"/>
  <c r="BJ19" i="89"/>
  <c r="BR19" i="93"/>
  <c r="BP19" i="93"/>
  <c r="BO19" i="93"/>
  <c r="BN19" i="93"/>
  <c r="BK19" i="93"/>
  <c r="BJ19" i="93"/>
  <c r="BI19" i="93"/>
  <c r="BR19" i="92"/>
  <c r="BQ19" i="92"/>
  <c r="BP19" i="92"/>
  <c r="BO19" i="92"/>
  <c r="BN19" i="92"/>
  <c r="BK19" i="92"/>
  <c r="BJ19" i="92"/>
  <c r="BI19" i="92"/>
  <c r="BR44" i="92"/>
  <c r="BQ44" i="92"/>
  <c r="BP44" i="92"/>
  <c r="BO44" i="92"/>
  <c r="BN44" i="92"/>
  <c r="BK44" i="92"/>
  <c r="BJ44" i="92"/>
  <c r="BI44" i="92"/>
  <c r="BO31" i="81"/>
  <c r="BS31" i="81"/>
  <c r="BR31" i="81"/>
  <c r="BQ31" i="81"/>
  <c r="BP31" i="81"/>
  <c r="BO46" i="81"/>
  <c r="BS46" i="81"/>
  <c r="BR46" i="81"/>
  <c r="BQ46" i="81"/>
  <c r="BP46" i="81"/>
  <c r="BR31" i="92"/>
  <c r="BQ31" i="92"/>
  <c r="BP31" i="92"/>
  <c r="BO31" i="92"/>
  <c r="BN31" i="92"/>
  <c r="BK31" i="92"/>
  <c r="BJ31" i="92"/>
  <c r="BI31" i="92"/>
  <c r="BR47" i="92"/>
  <c r="BQ47" i="92"/>
  <c r="BP47" i="92"/>
  <c r="BO47" i="92"/>
  <c r="BN47" i="92"/>
  <c r="BK47" i="92"/>
  <c r="BJ47" i="92"/>
  <c r="BI47" i="92"/>
  <c r="BO22" i="81"/>
  <c r="BS22" i="81"/>
  <c r="BR22" i="81"/>
  <c r="BQ22" i="81"/>
  <c r="BP22" i="81"/>
  <c r="BO43" i="81"/>
  <c r="BS43" i="81"/>
  <c r="BR43" i="81"/>
  <c r="BQ43" i="81"/>
  <c r="BP43" i="81"/>
  <c r="BO60" i="81"/>
  <c r="BS60" i="81"/>
  <c r="BR60" i="81"/>
  <c r="BQ60" i="81"/>
  <c r="BP60" i="81"/>
  <c r="BS29" i="80"/>
  <c r="BR29" i="80"/>
  <c r="BQ29" i="80"/>
  <c r="BR45" i="93"/>
  <c r="BP45" i="93"/>
  <c r="BO45" i="93"/>
  <c r="BN45" i="93"/>
  <c r="BK45" i="93"/>
  <c r="BJ45" i="93"/>
  <c r="BI45" i="93"/>
  <c r="BR45" i="69"/>
  <c r="BQ45" i="69"/>
  <c r="BP45" i="69"/>
  <c r="BO45" i="69"/>
  <c r="BN45" i="69"/>
  <c r="BK45" i="69"/>
  <c r="BI45" i="69"/>
  <c r="BJ45" i="69"/>
  <c r="BR50" i="93"/>
  <c r="BP50" i="93"/>
  <c r="BO50" i="93"/>
  <c r="BN50" i="93"/>
  <c r="BK50" i="93"/>
  <c r="BJ50" i="93"/>
  <c r="BI50" i="93"/>
  <c r="BR47" i="93"/>
  <c r="BP47" i="93"/>
  <c r="BO47" i="93"/>
  <c r="BN47" i="93"/>
  <c r="BK47" i="93"/>
  <c r="BJ47" i="93"/>
  <c r="BI47" i="93"/>
  <c r="BR63" i="92"/>
  <c r="BQ63" i="92"/>
  <c r="BP63" i="92"/>
  <c r="BO63" i="92"/>
  <c r="BN63" i="92"/>
  <c r="BK63" i="92"/>
  <c r="BJ63" i="92"/>
  <c r="BI63" i="92"/>
  <c r="BI15" i="90"/>
  <c r="BH15" i="90"/>
  <c r="BG15" i="90"/>
  <c r="BE49" i="93"/>
  <c r="BR64" i="92"/>
  <c r="BQ64" i="92"/>
  <c r="BP64" i="92"/>
  <c r="BO64" i="92"/>
  <c r="BN64" i="92"/>
  <c r="BK64" i="92"/>
  <c r="BJ64" i="92"/>
  <c r="BI64" i="92"/>
  <c r="BR88" i="92"/>
  <c r="BQ88" i="92"/>
  <c r="BP88" i="92"/>
  <c r="BO88" i="92"/>
  <c r="CE33" i="69"/>
  <c r="BR33" i="93"/>
  <c r="BP33" i="93"/>
  <c r="BO33" i="93"/>
  <c r="BN33" i="93"/>
  <c r="BK33" i="93"/>
  <c r="BJ33" i="93"/>
  <c r="BI33" i="93"/>
  <c r="BS23" i="77"/>
  <c r="BR23" i="77"/>
  <c r="BQ23" i="77"/>
  <c r="BP23" i="77"/>
  <c r="BO23" i="77"/>
  <c r="BL23" i="77"/>
  <c r="BK23" i="77"/>
  <c r="BJ23" i="77"/>
  <c r="BQ41" i="77"/>
  <c r="BR41" i="77"/>
  <c r="BP41" i="77"/>
  <c r="BO41" i="77"/>
  <c r="BL41" i="77"/>
  <c r="BK41" i="77"/>
  <c r="BJ41" i="77"/>
  <c r="BB26" i="57"/>
  <c r="BE26" i="57" s="1"/>
  <c r="BB38" i="57"/>
  <c r="BF38" i="57" s="1"/>
  <c r="BB53" i="57"/>
  <c r="BB21" i="61"/>
  <c r="BB30" i="66"/>
  <c r="BR27" i="93"/>
  <c r="BP27" i="93"/>
  <c r="BO27" i="93"/>
  <c r="BN27" i="93"/>
  <c r="BK27" i="93"/>
  <c r="BJ27" i="93"/>
  <c r="BI27" i="93"/>
  <c r="BR21" i="92"/>
  <c r="BQ21" i="92"/>
  <c r="BP21" i="92"/>
  <c r="BO21" i="92"/>
  <c r="BN21" i="92"/>
  <c r="BK21" i="92"/>
  <c r="BJ21" i="92"/>
  <c r="BI21" i="92"/>
  <c r="BR50" i="92"/>
  <c r="BQ50" i="92"/>
  <c r="BP50" i="92"/>
  <c r="BO50" i="92"/>
  <c r="BN50" i="92"/>
  <c r="BK50" i="92"/>
  <c r="BJ50" i="92"/>
  <c r="BI50" i="92"/>
  <c r="BS18" i="84"/>
  <c r="BR18" i="84"/>
  <c r="BQ18" i="84"/>
  <c r="BP18" i="84"/>
  <c r="BO18" i="84"/>
  <c r="BL18" i="84"/>
  <c r="BK18" i="84"/>
  <c r="BJ18" i="84"/>
  <c r="BO40" i="81"/>
  <c r="BS40" i="81"/>
  <c r="BR40" i="81"/>
  <c r="BQ40" i="81"/>
  <c r="BP40" i="81"/>
  <c r="BO55" i="81"/>
  <c r="BS55" i="81"/>
  <c r="BR55" i="81"/>
  <c r="BQ55" i="81"/>
  <c r="BP55" i="81"/>
  <c r="BS26" i="80"/>
  <c r="BR26" i="80"/>
  <c r="BQ26" i="80"/>
  <c r="BR33" i="92"/>
  <c r="BQ33" i="92"/>
  <c r="BP33" i="92"/>
  <c r="BO33" i="92"/>
  <c r="BN33" i="92"/>
  <c r="BK33" i="92"/>
  <c r="BJ33" i="92"/>
  <c r="BI33" i="92"/>
  <c r="BR53" i="92"/>
  <c r="BQ53" i="92"/>
  <c r="BP53" i="92"/>
  <c r="BO53" i="92"/>
  <c r="BN53" i="92"/>
  <c r="BK53" i="92"/>
  <c r="BJ53" i="92"/>
  <c r="BI53" i="92"/>
  <c r="BO28" i="81"/>
  <c r="BS28" i="81"/>
  <c r="BR28" i="81"/>
  <c r="BQ28" i="81"/>
  <c r="BP28" i="81"/>
  <c r="BO45" i="81"/>
  <c r="BS45" i="81"/>
  <c r="BR45" i="81"/>
  <c r="BQ45" i="81"/>
  <c r="BP45" i="81"/>
  <c r="BO62" i="81"/>
  <c r="BS62" i="81"/>
  <c r="BR62" i="81"/>
  <c r="BQ62" i="81"/>
  <c r="BP62" i="81"/>
  <c r="BN19" i="78"/>
  <c r="BM19" i="78"/>
  <c r="BR26" i="69"/>
  <c r="BQ26" i="69"/>
  <c r="BP26" i="69"/>
  <c r="BO26" i="69"/>
  <c r="BN26" i="69"/>
  <c r="BK26" i="69"/>
  <c r="BJ26" i="69"/>
  <c r="BI26" i="69"/>
  <c r="BN21" i="78"/>
  <c r="BM21" i="78"/>
  <c r="BR38" i="69"/>
  <c r="BQ38" i="69"/>
  <c r="BP38" i="69"/>
  <c r="BO38" i="69"/>
  <c r="BN38" i="69"/>
  <c r="BK38" i="69"/>
  <c r="BJ38" i="69"/>
  <c r="BI38" i="69"/>
  <c r="BR23" i="93"/>
  <c r="BP23" i="93"/>
  <c r="BO23" i="93"/>
  <c r="BN23" i="93"/>
  <c r="BK23" i="93"/>
  <c r="BJ23" i="93"/>
  <c r="BI23" i="93"/>
  <c r="BR26" i="93"/>
  <c r="BP26" i="93"/>
  <c r="BO26" i="93"/>
  <c r="BN26" i="93"/>
  <c r="BK26" i="93"/>
  <c r="BJ26" i="93"/>
  <c r="BI26" i="93"/>
  <c r="BR65" i="92"/>
  <c r="BQ65" i="92"/>
  <c r="BP65" i="92"/>
  <c r="BO65" i="92"/>
  <c r="BN65" i="92"/>
  <c r="BK65" i="92"/>
  <c r="BJ65" i="92"/>
  <c r="BI65" i="92"/>
  <c r="BN20" i="78"/>
  <c r="BM20" i="78"/>
  <c r="BR34" i="69"/>
  <c r="BQ34" i="69"/>
  <c r="BP34" i="69"/>
  <c r="BO34" i="69"/>
  <c r="BN34" i="69"/>
  <c r="BK34" i="69"/>
  <c r="BI34" i="69"/>
  <c r="BJ34" i="69"/>
  <c r="CG24" i="77"/>
  <c r="CG34" i="77"/>
  <c r="CG38" i="77"/>
  <c r="CG44" i="77"/>
  <c r="BR66" i="92"/>
  <c r="BQ66" i="92"/>
  <c r="BP66" i="92"/>
  <c r="BO66" i="92"/>
  <c r="BN66" i="92"/>
  <c r="BK66" i="92"/>
  <c r="BJ66" i="92"/>
  <c r="BI66" i="92"/>
  <c r="BO68" i="81"/>
  <c r="BS68" i="81"/>
  <c r="BR68" i="81"/>
  <c r="BQ68" i="81"/>
  <c r="BP68" i="81"/>
  <c r="BR27" i="77"/>
  <c r="BQ27" i="77"/>
  <c r="BP27" i="77"/>
  <c r="BO27" i="77"/>
  <c r="BL27" i="77"/>
  <c r="BK27" i="77"/>
  <c r="BJ27" i="77"/>
  <c r="BS47" i="77"/>
  <c r="BR47" i="77"/>
  <c r="BQ47" i="77"/>
  <c r="BP47" i="77"/>
  <c r="BO47" i="77"/>
  <c r="BL47" i="77"/>
  <c r="BK47" i="77"/>
  <c r="BJ47" i="77"/>
  <c r="BR25" i="69"/>
  <c r="BQ25" i="69"/>
  <c r="BP25" i="69"/>
  <c r="BO25" i="69"/>
  <c r="BN25" i="69"/>
  <c r="BK25" i="69"/>
  <c r="BI25" i="69"/>
  <c r="BJ25" i="69"/>
  <c r="BR44" i="93"/>
  <c r="BP44" i="93"/>
  <c r="BO44" i="93"/>
  <c r="BN44" i="93"/>
  <c r="BK44" i="93"/>
  <c r="BJ44" i="93"/>
  <c r="BI44" i="93"/>
  <c r="BR35" i="93"/>
  <c r="BP35" i="93"/>
  <c r="BO35" i="93"/>
  <c r="BN35" i="93"/>
  <c r="BK35" i="93"/>
  <c r="BJ35" i="93"/>
  <c r="BI35" i="93"/>
  <c r="BR32" i="92"/>
  <c r="BQ32" i="92"/>
  <c r="BP32" i="92"/>
  <c r="BO32" i="92"/>
  <c r="BN32" i="92"/>
  <c r="BK32" i="92"/>
  <c r="BJ32" i="92"/>
  <c r="BI32" i="92"/>
  <c r="BR56" i="92"/>
  <c r="BQ56" i="92"/>
  <c r="BP56" i="92"/>
  <c r="BO56" i="92"/>
  <c r="BN56" i="92"/>
  <c r="BK56" i="92"/>
  <c r="BJ56" i="92"/>
  <c r="BI56" i="92"/>
  <c r="BO19" i="81"/>
  <c r="BS19" i="81"/>
  <c r="BR19" i="81"/>
  <c r="BQ19" i="81"/>
  <c r="BP19" i="81"/>
  <c r="BO42" i="81"/>
  <c r="BS42" i="81"/>
  <c r="BR42" i="81"/>
  <c r="BQ42" i="81"/>
  <c r="BP42" i="81"/>
  <c r="BO57" i="81"/>
  <c r="BS57" i="81"/>
  <c r="BR57" i="81"/>
  <c r="BQ57" i="81"/>
  <c r="BP57" i="81"/>
  <c r="BR39" i="92"/>
  <c r="BQ39" i="92"/>
  <c r="BP39" i="92"/>
  <c r="BO39" i="92"/>
  <c r="BN39" i="92"/>
  <c r="BK39" i="92"/>
  <c r="BJ39" i="92"/>
  <c r="BI39" i="92"/>
  <c r="BS15" i="84"/>
  <c r="BR15" i="84"/>
  <c r="BQ15" i="84"/>
  <c r="BP15" i="84"/>
  <c r="BO15" i="84"/>
  <c r="BL15" i="84"/>
  <c r="BK15" i="84"/>
  <c r="BJ15" i="84"/>
  <c r="BO39" i="81"/>
  <c r="BS39" i="81"/>
  <c r="BR39" i="81"/>
  <c r="BQ39" i="81"/>
  <c r="BP39" i="81"/>
  <c r="BO52" i="81"/>
  <c r="BS52" i="81"/>
  <c r="BR52" i="81"/>
  <c r="BQ52" i="81"/>
  <c r="BP52" i="81"/>
  <c r="BR18" i="80"/>
  <c r="BQ18" i="80"/>
  <c r="BR34" i="93"/>
  <c r="BP34" i="93"/>
  <c r="BO34" i="93"/>
  <c r="BN34" i="93"/>
  <c r="BK34" i="93"/>
  <c r="BJ34" i="93"/>
  <c r="BI34" i="93"/>
  <c r="BN28" i="78"/>
  <c r="BM28" i="78"/>
  <c r="BR31" i="93"/>
  <c r="BP31" i="93"/>
  <c r="BO31" i="93"/>
  <c r="BN31" i="93"/>
  <c r="BK31" i="93"/>
  <c r="BJ31" i="93"/>
  <c r="BI31" i="93"/>
  <c r="BR30" i="93"/>
  <c r="BP30" i="93"/>
  <c r="BO30" i="93"/>
  <c r="BN30" i="93"/>
  <c r="BK30" i="93"/>
  <c r="BJ30" i="93"/>
  <c r="BI30" i="93"/>
  <c r="BR67" i="92"/>
  <c r="BQ67" i="92"/>
  <c r="BP67" i="92"/>
  <c r="BO67" i="92"/>
  <c r="BN67" i="92"/>
  <c r="BK67" i="92"/>
  <c r="BJ67" i="92"/>
  <c r="BI67" i="92"/>
  <c r="BN27" i="78"/>
  <c r="BM27" i="78"/>
  <c r="BR42" i="69"/>
  <c r="BQ42" i="69"/>
  <c r="BP42" i="69"/>
  <c r="BO42" i="69"/>
  <c r="BN42" i="69"/>
  <c r="BK42" i="69"/>
  <c r="BJ42" i="69"/>
  <c r="BI42" i="69"/>
  <c r="BF75" i="92"/>
  <c r="BR75" i="92"/>
  <c r="BQ75" i="92"/>
  <c r="BP75" i="92"/>
  <c r="BO75" i="92"/>
  <c r="BN75" i="92"/>
  <c r="BK75" i="92"/>
  <c r="BJ75" i="92"/>
  <c r="BI75" i="92"/>
  <c r="BR49" i="93"/>
  <c r="BP49" i="93"/>
  <c r="BO49" i="93"/>
  <c r="BN49" i="93"/>
  <c r="BK49" i="93"/>
  <c r="BJ49" i="93"/>
  <c r="BI49" i="93"/>
  <c r="BI19" i="90"/>
  <c r="BH19" i="90"/>
  <c r="BG19" i="90"/>
  <c r="BO72" i="81"/>
  <c r="BS72" i="81"/>
  <c r="BR72" i="81"/>
  <c r="BQ72" i="81"/>
  <c r="BP72" i="81"/>
  <c r="BS33" i="77"/>
  <c r="BR33" i="77"/>
  <c r="BQ33" i="77"/>
  <c r="BP33" i="77"/>
  <c r="BO33" i="77"/>
  <c r="BL33" i="77"/>
  <c r="BK33" i="77"/>
  <c r="BJ33" i="77"/>
  <c r="BN15" i="89"/>
  <c r="BM15" i="89"/>
  <c r="BL15" i="89"/>
  <c r="BK15" i="89"/>
  <c r="BP17" i="61"/>
  <c r="BO17" i="61"/>
  <c r="BN17" i="61"/>
  <c r="BM17" i="61"/>
  <c r="BL17" i="61"/>
  <c r="BI17" i="61"/>
  <c r="BG17" i="61"/>
  <c r="BH17" i="61"/>
  <c r="BS15" i="81"/>
  <c r="BR15" i="81"/>
  <c r="BQ15" i="81"/>
  <c r="BP15" i="81"/>
  <c r="BR43" i="93"/>
  <c r="BP43" i="93"/>
  <c r="BO43" i="93"/>
  <c r="BN43" i="93"/>
  <c r="BK43" i="93"/>
  <c r="BJ43" i="93"/>
  <c r="BI43" i="93"/>
  <c r="BR36" i="92"/>
  <c r="BQ36" i="92"/>
  <c r="BP36" i="92"/>
  <c r="BO36" i="92"/>
  <c r="BN36" i="92"/>
  <c r="BK36" i="92"/>
  <c r="BJ36" i="92"/>
  <c r="BI36" i="92"/>
  <c r="BO25" i="81"/>
  <c r="BS25" i="81"/>
  <c r="BR25" i="81"/>
  <c r="BQ25" i="81"/>
  <c r="BP25" i="81"/>
  <c r="BO44" i="81"/>
  <c r="BS44" i="81"/>
  <c r="BR44" i="81"/>
  <c r="BQ44" i="81"/>
  <c r="BP44" i="81"/>
  <c r="BO61" i="81"/>
  <c r="BS61" i="81"/>
  <c r="BR61" i="81"/>
  <c r="BQ61" i="81"/>
  <c r="BP61" i="81"/>
  <c r="BR24" i="92"/>
  <c r="BQ24" i="92"/>
  <c r="BP24" i="92"/>
  <c r="BO24" i="92"/>
  <c r="BN24" i="92"/>
  <c r="BK24" i="92"/>
  <c r="BJ24" i="92"/>
  <c r="BI24" i="92"/>
  <c r="BR43" i="92"/>
  <c r="BQ43" i="92"/>
  <c r="BP43" i="92"/>
  <c r="BO43" i="92"/>
  <c r="BN43" i="92"/>
  <c r="BK43" i="92"/>
  <c r="BJ43" i="92"/>
  <c r="BI43" i="92"/>
  <c r="BO16" i="81"/>
  <c r="BS16" i="81"/>
  <c r="BR16" i="81"/>
  <c r="BQ16" i="81"/>
  <c r="BP16" i="81"/>
  <c r="BO41" i="81"/>
  <c r="BS41" i="81"/>
  <c r="BR41" i="81"/>
  <c r="BQ41" i="81"/>
  <c r="BP41" i="81"/>
  <c r="BO56" i="81"/>
  <c r="BS56" i="81"/>
  <c r="BR56" i="81"/>
  <c r="BQ56" i="81"/>
  <c r="BP56" i="81"/>
  <c r="BS25" i="80"/>
  <c r="BR25" i="80"/>
  <c r="BQ25" i="80"/>
  <c r="BR38" i="93"/>
  <c r="BP38" i="93"/>
  <c r="BO38" i="93"/>
  <c r="BN38" i="93"/>
  <c r="BK38" i="93"/>
  <c r="BJ38" i="93"/>
  <c r="BI38" i="93"/>
  <c r="BR37" i="69"/>
  <c r="BQ37" i="69"/>
  <c r="BP37" i="69"/>
  <c r="BO37" i="69"/>
  <c r="BN37" i="69"/>
  <c r="BK37" i="69"/>
  <c r="BI37" i="69"/>
  <c r="BJ37" i="69"/>
  <c r="BR42" i="93"/>
  <c r="BP42" i="93"/>
  <c r="BO42" i="93"/>
  <c r="BN42" i="93"/>
  <c r="BK42" i="93"/>
  <c r="BJ42" i="93"/>
  <c r="BI42" i="93"/>
  <c r="BR39" i="93"/>
  <c r="BP39" i="93"/>
  <c r="BO39" i="93"/>
  <c r="BN39" i="93"/>
  <c r="BK39" i="93"/>
  <c r="BJ39" i="93"/>
  <c r="BI39" i="93"/>
  <c r="BR37" i="93"/>
  <c r="BP37" i="93"/>
  <c r="BO37" i="93"/>
  <c r="BN37" i="93"/>
  <c r="BK37" i="93"/>
  <c r="BJ37" i="93"/>
  <c r="BI37" i="93"/>
  <c r="BR87" i="92"/>
  <c r="BQ87" i="92"/>
  <c r="BP87" i="92"/>
  <c r="BO87" i="92"/>
  <c r="BN31" i="78"/>
  <c r="BM31" i="78"/>
  <c r="BP15" i="77"/>
  <c r="BO15" i="77"/>
  <c r="CG15" i="77" s="1"/>
  <c r="BL15" i="77"/>
  <c r="BK15" i="77"/>
  <c r="BJ15" i="77"/>
  <c r="BH49" i="93"/>
  <c r="BR29" i="93"/>
  <c r="BP29" i="93"/>
  <c r="BO29" i="93"/>
  <c r="BN29" i="93"/>
  <c r="BK29" i="93"/>
  <c r="BJ29" i="93"/>
  <c r="BI29" i="93"/>
  <c r="BR17" i="77"/>
  <c r="BQ17" i="77"/>
  <c r="BP17" i="77"/>
  <c r="BO17" i="77"/>
  <c r="BL17" i="77"/>
  <c r="BK17" i="77"/>
  <c r="BJ17" i="77"/>
  <c r="BS35" i="77"/>
  <c r="BR35" i="77"/>
  <c r="BQ35" i="77"/>
  <c r="BP35" i="77"/>
  <c r="BO35" i="77"/>
  <c r="BL35" i="77"/>
  <c r="BK35" i="77"/>
  <c r="BJ35" i="77"/>
  <c r="BK16" i="93"/>
  <c r="BJ16" i="93"/>
  <c r="BI16" i="93"/>
  <c r="BP26" i="80"/>
  <c r="BO26" i="80"/>
  <c r="BL26" i="80"/>
  <c r="BK26" i="80"/>
  <c r="BJ26" i="80"/>
  <c r="BP18" i="80"/>
  <c r="BO18" i="80"/>
  <c r="BL18" i="80"/>
  <c r="BK18" i="80"/>
  <c r="BJ18" i="80"/>
  <c r="BP25" i="80"/>
  <c r="BO25" i="80"/>
  <c r="BL25" i="80"/>
  <c r="BK25" i="80"/>
  <c r="BJ25" i="80"/>
  <c r="BP29" i="80"/>
  <c r="BO29" i="80"/>
  <c r="BL29" i="80"/>
  <c r="BK29" i="80"/>
  <c r="BJ29" i="80"/>
  <c r="BL19" i="78"/>
  <c r="BK19" i="78"/>
  <c r="BJ19" i="78"/>
  <c r="BG19" i="78"/>
  <c r="BF19" i="78"/>
  <c r="BE19" i="78"/>
  <c r="BL28" i="78"/>
  <c r="BK28" i="78"/>
  <c r="BJ28" i="78"/>
  <c r="BG28" i="78"/>
  <c r="BF28" i="78"/>
  <c r="BE28" i="78"/>
  <c r="BL20" i="78"/>
  <c r="BK20" i="78"/>
  <c r="BJ20" i="78"/>
  <c r="BG20" i="78"/>
  <c r="BF20" i="78"/>
  <c r="BE20" i="78"/>
  <c r="BL27" i="78"/>
  <c r="BK27" i="78"/>
  <c r="BJ27" i="78"/>
  <c r="BG27" i="78"/>
  <c r="BF27" i="78"/>
  <c r="BE27" i="78"/>
  <c r="BL21" i="78"/>
  <c r="BK21" i="78"/>
  <c r="BJ21" i="78"/>
  <c r="BG21" i="78"/>
  <c r="BF21" i="78"/>
  <c r="BE21" i="78"/>
  <c r="BL31" i="78"/>
  <c r="BK31" i="78"/>
  <c r="BJ31" i="78"/>
  <c r="BG31" i="78"/>
  <c r="BF31" i="78"/>
  <c r="BE31" i="78"/>
  <c r="BC27" i="67"/>
  <c r="BD27" i="67"/>
  <c r="BO15" i="81"/>
  <c r="BL15" i="81"/>
  <c r="BK15" i="81"/>
  <c r="BJ15" i="81"/>
  <c r="BN87" i="92"/>
  <c r="BK87" i="92"/>
  <c r="BJ87" i="92"/>
  <c r="BI87" i="92"/>
  <c r="BN88" i="92"/>
  <c r="BK88" i="92"/>
  <c r="BJ88" i="92"/>
  <c r="BI88" i="92"/>
  <c r="BK40" i="81"/>
  <c r="BL40" i="81"/>
  <c r="BJ40" i="81"/>
  <c r="BK55" i="81"/>
  <c r="BL55" i="81"/>
  <c r="BJ55" i="81"/>
  <c r="BL22" i="81"/>
  <c r="BK22" i="81"/>
  <c r="BJ22" i="81"/>
  <c r="BL43" i="81"/>
  <c r="BK43" i="81"/>
  <c r="BJ43" i="81"/>
  <c r="BL60" i="81"/>
  <c r="BK60" i="81"/>
  <c r="BJ60" i="81"/>
  <c r="BL19" i="81"/>
  <c r="BK19" i="81"/>
  <c r="BJ19" i="81"/>
  <c r="BL42" i="81"/>
  <c r="BK42" i="81"/>
  <c r="BJ42" i="81"/>
  <c r="BL57" i="81"/>
  <c r="BK57" i="81"/>
  <c r="BJ57" i="81"/>
  <c r="BK28" i="81"/>
  <c r="BL28" i="81"/>
  <c r="BJ28" i="81"/>
  <c r="BK45" i="81"/>
  <c r="BL45" i="81"/>
  <c r="BJ45" i="81"/>
  <c r="BK62" i="81"/>
  <c r="BL62" i="81"/>
  <c r="BJ62" i="81"/>
  <c r="BK25" i="81"/>
  <c r="BL25" i="81"/>
  <c r="BJ25" i="81"/>
  <c r="BK44" i="81"/>
  <c r="BL44" i="81"/>
  <c r="BJ44" i="81"/>
  <c r="BK61" i="81"/>
  <c r="BL61" i="81"/>
  <c r="BJ61" i="81"/>
  <c r="BL39" i="81"/>
  <c r="BK39" i="81"/>
  <c r="BJ39" i="81"/>
  <c r="BL52" i="81"/>
  <c r="BK52" i="81"/>
  <c r="BJ52" i="81"/>
  <c r="BL31" i="81"/>
  <c r="BK31" i="81"/>
  <c r="BJ31" i="81"/>
  <c r="BL46" i="81"/>
  <c r="BK46" i="81"/>
  <c r="BJ46" i="81"/>
  <c r="BK16" i="81"/>
  <c r="BL16" i="81"/>
  <c r="BJ16" i="81"/>
  <c r="BK41" i="81"/>
  <c r="BL41" i="81"/>
  <c r="BJ41" i="81"/>
  <c r="BK56" i="81"/>
  <c r="BL56" i="81"/>
  <c r="BJ56" i="81"/>
  <c r="BB43" i="62"/>
  <c r="BD43" i="62" s="1"/>
  <c r="AY18" i="86"/>
  <c r="AY19" i="86" s="1"/>
  <c r="BR19" i="86"/>
  <c r="BS19" i="86"/>
  <c r="BQ19" i="86"/>
  <c r="BP19" i="86"/>
  <c r="BB20" i="57"/>
  <c r="BC20" i="57" s="1"/>
  <c r="BG15" i="89"/>
  <c r="BF15" i="89"/>
  <c r="BE15" i="89"/>
  <c r="BG19" i="89"/>
  <c r="BF19" i="89"/>
  <c r="BE19" i="89"/>
  <c r="AX18" i="86"/>
  <c r="AX19" i="86" s="1"/>
  <c r="BE15" i="86"/>
  <c r="BG15" i="86" s="1"/>
  <c r="BG75" i="92"/>
  <c r="BE75" i="92"/>
  <c r="BE77" i="92"/>
  <c r="BF77" i="92"/>
  <c r="BC45" i="57"/>
  <c r="BF45" i="57"/>
  <c r="BE45" i="57"/>
  <c r="BD45" i="57"/>
  <c r="BF38" i="62"/>
  <c r="BE38" i="62"/>
  <c r="BD38" i="62"/>
  <c r="AZ17" i="89"/>
  <c r="BB30" i="57"/>
  <c r="BB48" i="57"/>
  <c r="DA48" i="57" s="1"/>
  <c r="BB55" i="57"/>
  <c r="BB19" i="62"/>
  <c r="BB25" i="62"/>
  <c r="BE41" i="62"/>
  <c r="BB18" i="61"/>
  <c r="BB26" i="61"/>
  <c r="BJ26" i="61" s="1"/>
  <c r="BC16" i="65"/>
  <c r="BF16" i="65"/>
  <c r="BE16" i="65"/>
  <c r="BD16" i="65"/>
  <c r="BE25" i="70"/>
  <c r="BH25" i="70"/>
  <c r="BG25" i="70"/>
  <c r="BF25" i="70"/>
  <c r="BF15" i="81"/>
  <c r="BI15" i="81"/>
  <c r="BH15" i="81"/>
  <c r="BG15" i="81"/>
  <c r="BE43" i="93"/>
  <c r="BH43" i="93"/>
  <c r="BG43" i="93"/>
  <c r="BF43" i="93"/>
  <c r="BE36" i="92"/>
  <c r="BH36" i="92"/>
  <c r="BG36" i="92"/>
  <c r="BF36" i="92"/>
  <c r="BF25" i="81"/>
  <c r="BI25" i="81"/>
  <c r="BH25" i="81"/>
  <c r="BG25" i="81"/>
  <c r="BF44" i="81"/>
  <c r="BI44" i="81"/>
  <c r="BH44" i="81"/>
  <c r="BG44" i="81"/>
  <c r="BF61" i="81"/>
  <c r="BI61" i="81"/>
  <c r="BH61" i="81"/>
  <c r="BG61" i="81"/>
  <c r="BE31" i="92"/>
  <c r="BH31" i="92"/>
  <c r="BG31" i="92"/>
  <c r="BF31" i="92"/>
  <c r="BE47" i="92"/>
  <c r="BH47" i="92"/>
  <c r="BG47" i="92"/>
  <c r="BF47" i="92"/>
  <c r="BF22" i="81"/>
  <c r="BI22" i="81"/>
  <c r="BH22" i="81"/>
  <c r="BG22" i="81"/>
  <c r="BF43" i="81"/>
  <c r="BI43" i="81"/>
  <c r="BH43" i="81"/>
  <c r="BG43" i="81"/>
  <c r="BF60" i="81"/>
  <c r="BI60" i="81"/>
  <c r="BH60" i="81"/>
  <c r="BG60" i="81"/>
  <c r="BF29" i="80"/>
  <c r="BI29" i="80"/>
  <c r="BH29" i="80"/>
  <c r="BG29" i="80"/>
  <c r="BC17" i="67"/>
  <c r="BF17" i="67"/>
  <c r="BE17" i="67"/>
  <c r="BD17" i="67"/>
  <c r="BE45" i="93"/>
  <c r="BH45" i="93"/>
  <c r="BG45" i="93"/>
  <c r="BF45" i="93"/>
  <c r="BD18" i="73"/>
  <c r="BG18" i="73"/>
  <c r="BF18" i="73"/>
  <c r="BE18" i="73"/>
  <c r="BA28" i="78"/>
  <c r="BD28" i="78"/>
  <c r="BC28" i="78"/>
  <c r="BB28" i="78"/>
  <c r="BE31" i="93"/>
  <c r="BH31" i="93"/>
  <c r="BG31" i="93"/>
  <c r="BF31" i="93"/>
  <c r="BE30" i="93"/>
  <c r="BH30" i="93"/>
  <c r="BG30" i="93"/>
  <c r="BF30" i="93"/>
  <c r="BE67" i="92"/>
  <c r="BH67" i="92"/>
  <c r="BG67" i="92"/>
  <c r="BF67" i="92"/>
  <c r="BA27" i="78"/>
  <c r="BD27" i="78"/>
  <c r="BC27" i="78"/>
  <c r="BB27" i="78"/>
  <c r="BA45" i="78"/>
  <c r="BD45" i="78"/>
  <c r="BC45" i="78"/>
  <c r="BB45" i="78"/>
  <c r="BE42" i="69"/>
  <c r="BH42" i="69"/>
  <c r="BG42" i="69"/>
  <c r="BF42" i="69"/>
  <c r="BC37" i="57"/>
  <c r="BF28" i="62"/>
  <c r="BD28" i="62"/>
  <c r="BC21" i="61"/>
  <c r="BD21" i="61"/>
  <c r="BC15" i="65"/>
  <c r="BF15" i="65"/>
  <c r="BE15" i="65"/>
  <c r="BD15" i="65"/>
  <c r="BD15" i="73"/>
  <c r="BE15" i="73"/>
  <c r="BE19" i="93"/>
  <c r="BH19" i="93"/>
  <c r="BG19" i="93"/>
  <c r="BF19" i="93"/>
  <c r="BE19" i="92"/>
  <c r="BH19" i="92"/>
  <c r="BG19" i="92"/>
  <c r="BF19" i="92"/>
  <c r="BE44" i="92"/>
  <c r="BH44" i="92"/>
  <c r="BG44" i="92"/>
  <c r="BF44" i="92"/>
  <c r="BF31" i="81"/>
  <c r="BI31" i="81"/>
  <c r="BH31" i="81"/>
  <c r="BG31" i="81"/>
  <c r="BF46" i="81"/>
  <c r="BI46" i="81"/>
  <c r="BH46" i="81"/>
  <c r="BG46" i="81"/>
  <c r="BF19" i="80"/>
  <c r="BI19" i="80"/>
  <c r="BH19" i="80"/>
  <c r="BG19" i="80"/>
  <c r="BE33" i="92"/>
  <c r="BH33" i="92"/>
  <c r="BG33" i="92"/>
  <c r="BF33" i="92"/>
  <c r="BE53" i="92"/>
  <c r="BH53" i="92"/>
  <c r="BG53" i="92"/>
  <c r="BF53" i="92"/>
  <c r="BF28" i="81"/>
  <c r="BI28" i="81"/>
  <c r="BH28" i="81"/>
  <c r="BG28" i="81"/>
  <c r="BF45" i="81"/>
  <c r="BI45" i="81"/>
  <c r="BH45" i="81"/>
  <c r="BG45" i="81"/>
  <c r="BF62" i="81"/>
  <c r="BI62" i="81"/>
  <c r="BH62" i="81"/>
  <c r="BG62" i="81"/>
  <c r="BA19" i="78"/>
  <c r="BD19" i="78"/>
  <c r="BC19" i="78"/>
  <c r="BB19" i="78"/>
  <c r="BC15" i="67"/>
  <c r="BF15" i="67"/>
  <c r="BE15" i="67"/>
  <c r="BD15" i="67"/>
  <c r="BE42" i="93"/>
  <c r="BH42" i="93"/>
  <c r="BG42" i="93"/>
  <c r="BF42" i="93"/>
  <c r="BE38" i="69"/>
  <c r="BH38" i="69"/>
  <c r="BG38" i="69"/>
  <c r="BF38" i="69"/>
  <c r="BE39" i="93"/>
  <c r="BH39" i="93"/>
  <c r="BG39" i="93"/>
  <c r="BF39" i="93"/>
  <c r="BE37" i="93"/>
  <c r="BH37" i="93"/>
  <c r="BG37" i="93"/>
  <c r="BF37" i="93"/>
  <c r="BE87" i="92"/>
  <c r="BH87" i="92"/>
  <c r="BG87" i="92"/>
  <c r="BF87" i="92"/>
  <c r="BA31" i="78"/>
  <c r="BD31" i="78"/>
  <c r="BC31" i="78"/>
  <c r="BB31" i="78"/>
  <c r="BF15" i="77"/>
  <c r="BI15" i="77"/>
  <c r="BH15" i="77"/>
  <c r="BG15" i="77"/>
  <c r="BC21" i="66"/>
  <c r="DA30" i="66" s="1"/>
  <c r="BF21" i="66"/>
  <c r="BE21" i="66"/>
  <c r="BD21" i="66"/>
  <c r="BC24" i="66"/>
  <c r="BF24" i="66"/>
  <c r="BE24" i="66"/>
  <c r="BD24" i="66"/>
  <c r="BA15" i="89"/>
  <c r="BD15" i="89"/>
  <c r="BC15" i="89"/>
  <c r="BB15" i="89"/>
  <c r="BF21" i="62"/>
  <c r="BD21" i="62"/>
  <c r="BC29" i="62"/>
  <c r="BF29" i="62"/>
  <c r="BE29" i="62"/>
  <c r="BD29" i="62"/>
  <c r="BB47" i="62"/>
  <c r="BC15" i="66"/>
  <c r="BF15" i="66"/>
  <c r="BE15" i="66"/>
  <c r="BD15" i="66"/>
  <c r="BE16" i="93"/>
  <c r="BH16" i="93"/>
  <c r="BG16" i="93"/>
  <c r="BF16" i="93"/>
  <c r="BE27" i="93"/>
  <c r="BH27" i="93"/>
  <c r="BG27" i="93"/>
  <c r="BF27" i="93"/>
  <c r="BE21" i="92"/>
  <c r="BH21" i="92"/>
  <c r="BG21" i="92"/>
  <c r="BF21" i="92"/>
  <c r="BE50" i="92"/>
  <c r="BH50" i="92"/>
  <c r="BG50" i="92"/>
  <c r="BF50" i="92"/>
  <c r="BF18" i="84"/>
  <c r="BI18" i="84"/>
  <c r="BH18" i="84"/>
  <c r="BG18" i="84"/>
  <c r="BF40" i="81"/>
  <c r="BI40" i="81"/>
  <c r="BH40" i="81"/>
  <c r="BG40" i="81"/>
  <c r="BF55" i="81"/>
  <c r="BI55" i="81"/>
  <c r="BH55" i="81"/>
  <c r="BG55" i="81"/>
  <c r="BF26" i="80"/>
  <c r="BI26" i="80"/>
  <c r="BH26" i="80"/>
  <c r="BG26" i="80"/>
  <c r="BE39" i="92"/>
  <c r="BH39" i="92"/>
  <c r="BG39" i="92"/>
  <c r="BF39" i="92"/>
  <c r="BE15" i="92"/>
  <c r="BH15" i="92"/>
  <c r="BG15" i="92"/>
  <c r="BF15" i="92"/>
  <c r="BF15" i="84"/>
  <c r="BF19" i="84" s="1"/>
  <c r="BI15" i="84"/>
  <c r="BI19" i="84" s="1"/>
  <c r="BH15" i="84"/>
  <c r="BH19" i="84" s="1"/>
  <c r="BG15" i="84"/>
  <c r="BG19" i="84" s="1"/>
  <c r="BF39" i="81"/>
  <c r="BI39" i="81"/>
  <c r="BH39" i="81"/>
  <c r="BG39" i="81"/>
  <c r="BF52" i="81"/>
  <c r="BI52" i="81"/>
  <c r="BH52" i="81"/>
  <c r="BG52" i="81"/>
  <c r="BF18" i="80"/>
  <c r="BI18" i="80"/>
  <c r="BH18" i="80"/>
  <c r="BG18" i="80"/>
  <c r="BE19" i="70"/>
  <c r="BH19" i="70"/>
  <c r="BH29" i="70" s="1"/>
  <c r="BG19" i="70"/>
  <c r="BF19" i="70"/>
  <c r="BE34" i="93"/>
  <c r="BH34" i="93"/>
  <c r="BG34" i="93"/>
  <c r="BF34" i="93"/>
  <c r="BE37" i="69"/>
  <c r="BH37" i="69"/>
  <c r="BG37" i="69"/>
  <c r="BF37" i="69"/>
  <c r="BE50" i="93"/>
  <c r="BH50" i="93"/>
  <c r="BG50" i="93"/>
  <c r="BF50" i="93"/>
  <c r="BE47" i="93"/>
  <c r="BH47" i="93"/>
  <c r="BG47" i="93"/>
  <c r="BF47" i="93"/>
  <c r="BE63" i="92"/>
  <c r="BH63" i="92"/>
  <c r="BG63" i="92"/>
  <c r="BF63" i="92"/>
  <c r="BC15" i="90"/>
  <c r="BC20" i="90" s="1"/>
  <c r="BF15" i="90"/>
  <c r="BF20" i="90" s="1"/>
  <c r="BE15" i="90"/>
  <c r="BE20" i="90" s="1"/>
  <c r="BD15" i="90"/>
  <c r="BD20" i="90" s="1"/>
  <c r="BA35" i="78"/>
  <c r="BD35" i="78"/>
  <c r="BC35" i="78"/>
  <c r="BB35" i="78"/>
  <c r="BD38" i="57"/>
  <c r="BC50" i="62"/>
  <c r="BF50" i="62"/>
  <c r="BE50" i="62"/>
  <c r="BD50" i="62"/>
  <c r="BC17" i="61"/>
  <c r="BF17" i="61"/>
  <c r="BE17" i="61"/>
  <c r="BD17" i="61"/>
  <c r="BB35" i="61"/>
  <c r="BC25" i="65"/>
  <c r="BF25" i="65"/>
  <c r="BE25" i="65"/>
  <c r="BD25" i="65"/>
  <c r="BC15" i="68"/>
  <c r="BC16" i="68" s="1"/>
  <c r="BF16" i="68"/>
  <c r="BE15" i="68"/>
  <c r="BE16" i="68" s="1"/>
  <c r="BD15" i="68"/>
  <c r="BD16" i="68" s="1"/>
  <c r="BE25" i="69"/>
  <c r="BH25" i="69"/>
  <c r="BG25" i="69"/>
  <c r="BF25" i="69"/>
  <c r="BE44" i="93"/>
  <c r="BH44" i="93"/>
  <c r="BG44" i="93"/>
  <c r="BF44" i="93"/>
  <c r="BD19" i="89"/>
  <c r="BC19" i="89"/>
  <c r="BB19" i="89"/>
  <c r="BE35" i="93"/>
  <c r="BH35" i="93"/>
  <c r="BG35" i="93"/>
  <c r="BF35" i="93"/>
  <c r="BE32" i="92"/>
  <c r="BH32" i="92"/>
  <c r="BG32" i="92"/>
  <c r="BF32" i="92"/>
  <c r="BE56" i="92"/>
  <c r="BH56" i="92"/>
  <c r="BG56" i="92"/>
  <c r="BF56" i="92"/>
  <c r="BF19" i="81"/>
  <c r="BI19" i="81"/>
  <c r="BH19" i="81"/>
  <c r="BG19" i="81"/>
  <c r="BF42" i="81"/>
  <c r="BI42" i="81"/>
  <c r="BH42" i="81"/>
  <c r="BG42" i="81"/>
  <c r="BF57" i="81"/>
  <c r="BI57" i="81"/>
  <c r="BH57" i="81"/>
  <c r="BG57" i="81"/>
  <c r="BE24" i="92"/>
  <c r="BH24" i="92"/>
  <c r="BG24" i="92"/>
  <c r="BF24" i="92"/>
  <c r="BE43" i="92"/>
  <c r="BH43" i="92"/>
  <c r="BG43" i="92"/>
  <c r="BF43" i="92"/>
  <c r="BF16" i="81"/>
  <c r="BI16" i="81"/>
  <c r="BH16" i="81"/>
  <c r="BG16" i="81"/>
  <c r="BF41" i="81"/>
  <c r="BI41" i="81"/>
  <c r="BH41" i="81"/>
  <c r="BG41" i="81"/>
  <c r="BF56" i="81"/>
  <c r="BI56" i="81"/>
  <c r="BH56" i="81"/>
  <c r="BG56" i="81"/>
  <c r="BF25" i="80"/>
  <c r="BI25" i="80"/>
  <c r="BH25" i="80"/>
  <c r="BG25" i="80"/>
  <c r="BE26" i="69"/>
  <c r="BH26" i="69"/>
  <c r="BG26" i="69"/>
  <c r="BF26" i="69"/>
  <c r="BE38" i="93"/>
  <c r="BH38" i="93"/>
  <c r="BG38" i="93"/>
  <c r="BF38" i="93"/>
  <c r="BE45" i="69"/>
  <c r="BH45" i="69"/>
  <c r="BG45" i="69"/>
  <c r="BF45" i="69"/>
  <c r="BA21" i="78"/>
  <c r="BD21" i="78"/>
  <c r="BC21" i="78"/>
  <c r="BB21" i="78"/>
  <c r="BA42" i="78"/>
  <c r="BD42" i="78"/>
  <c r="BC42" i="78"/>
  <c r="BB42" i="78"/>
  <c r="BE23" i="93"/>
  <c r="BH23" i="93"/>
  <c r="BG23" i="93"/>
  <c r="BF23" i="93"/>
  <c r="BE26" i="93"/>
  <c r="BH26" i="93"/>
  <c r="BG26" i="93"/>
  <c r="BF26" i="93"/>
  <c r="BE65" i="92"/>
  <c r="BH65" i="92"/>
  <c r="BG65" i="92"/>
  <c r="BF65" i="92"/>
  <c r="BA20" i="78"/>
  <c r="BD20" i="78"/>
  <c r="BC20" i="78"/>
  <c r="BB20" i="78"/>
  <c r="BE34" i="69"/>
  <c r="BH34" i="69"/>
  <c r="BG34" i="69"/>
  <c r="BF34" i="69"/>
  <c r="AW18" i="86"/>
  <c r="AW19" i="86" s="1"/>
  <c r="BB51" i="60"/>
  <c r="DJ51" i="60" s="1"/>
  <c r="BB35" i="60"/>
  <c r="DJ35" i="60" s="1"/>
  <c r="AV18" i="86"/>
  <c r="AV19" i="86" s="1"/>
  <c r="BB27" i="60"/>
  <c r="DJ27" i="60" s="1"/>
  <c r="AZ18" i="86"/>
  <c r="AZ19" i="86" s="1"/>
  <c r="AR18" i="86"/>
  <c r="AR19" i="86" s="1"/>
  <c r="BB57" i="60"/>
  <c r="DJ57" i="60" s="1"/>
  <c r="BB44" i="60"/>
  <c r="DJ44" i="60" s="1"/>
  <c r="BB33" i="60"/>
  <c r="DJ33" i="60" s="1"/>
  <c r="BB35" i="62"/>
  <c r="BB41" i="61"/>
  <c r="P28" i="63"/>
  <c r="K28" i="63"/>
  <c r="BB15" i="61"/>
  <c r="BC47" i="62"/>
  <c r="BC38" i="62"/>
  <c r="BC28" i="62"/>
  <c r="BB18" i="62"/>
  <c r="BE18" i="86"/>
  <c r="BB36" i="57"/>
  <c r="BB44" i="57"/>
  <c r="BB61" i="57"/>
  <c r="BB73" i="57"/>
  <c r="DA73" i="57" s="1"/>
  <c r="BB34" i="57"/>
  <c r="BB40" i="57"/>
  <c r="BB59" i="57"/>
  <c r="BB67" i="57"/>
  <c r="BB74" i="57"/>
  <c r="DA74" i="57" s="1"/>
  <c r="BB70" i="57"/>
  <c r="BB64" i="57"/>
  <c r="BB60" i="57"/>
  <c r="DA60" i="57" s="1"/>
  <c r="BB54" i="57"/>
  <c r="BB51" i="57"/>
  <c r="BB41" i="57"/>
  <c r="BB35" i="57"/>
  <c r="BB29" i="57"/>
  <c r="BB23" i="57"/>
  <c r="DA23" i="57" s="1"/>
  <c r="BB19" i="57"/>
  <c r="BB25" i="60"/>
  <c r="DJ25" i="60" s="1"/>
  <c r="BB50" i="60"/>
  <c r="DJ50" i="60" s="1"/>
  <c r="BB34" i="60"/>
  <c r="DJ34" i="60" s="1"/>
  <c r="BB28" i="60"/>
  <c r="DJ28" i="60" s="1"/>
  <c r="BB24" i="60"/>
  <c r="DJ24" i="60" s="1"/>
  <c r="BB23" i="60"/>
  <c r="DJ23" i="60" s="1"/>
  <c r="BB54" i="60"/>
  <c r="DJ54" i="60" s="1"/>
  <c r="BB41" i="60"/>
  <c r="DJ41" i="60" s="1"/>
  <c r="BB32" i="60"/>
  <c r="DJ32" i="60" s="1"/>
  <c r="BB26" i="60"/>
  <c r="DJ26" i="60" s="1"/>
  <c r="BB19" i="60"/>
  <c r="DJ19" i="60" s="1"/>
  <c r="AX14" i="93"/>
  <c r="AY14" i="93"/>
  <c r="AX16" i="93"/>
  <c r="AY16" i="93"/>
  <c r="AX18" i="93"/>
  <c r="AY18" i="93"/>
  <c r="AX19" i="93"/>
  <c r="AY19" i="93"/>
  <c r="AX20" i="93"/>
  <c r="AY20" i="93"/>
  <c r="AX21" i="93"/>
  <c r="AY21" i="93"/>
  <c r="AX22" i="93"/>
  <c r="AY22" i="93"/>
  <c r="AX23" i="93"/>
  <c r="AY23" i="93"/>
  <c r="AX24" i="93"/>
  <c r="AY24" i="93"/>
  <c r="AX25" i="93"/>
  <c r="AY25" i="93"/>
  <c r="AX26" i="93"/>
  <c r="AY26" i="93"/>
  <c r="AX27" i="93"/>
  <c r="AY27" i="93"/>
  <c r="AX31" i="93"/>
  <c r="AY31" i="93"/>
  <c r="AX32" i="93"/>
  <c r="AY32" i="93"/>
  <c r="AX34" i="93"/>
  <c r="AY34" i="93"/>
  <c r="AX35" i="93"/>
  <c r="AY35" i="93"/>
  <c r="AX36" i="93"/>
  <c r="AY36" i="93"/>
  <c r="AX38" i="93"/>
  <c r="AY38" i="93"/>
  <c r="AX39" i="93"/>
  <c r="AY39" i="93"/>
  <c r="AX40" i="93"/>
  <c r="AY40" i="93"/>
  <c r="AX41" i="93"/>
  <c r="AY41" i="93"/>
  <c r="AX42" i="93"/>
  <c r="AY42" i="93"/>
  <c r="AX43" i="93"/>
  <c r="AY43" i="93"/>
  <c r="AX44" i="93"/>
  <c r="AY44" i="93"/>
  <c r="AX45" i="93"/>
  <c r="AY45" i="93"/>
  <c r="AX46" i="93"/>
  <c r="AY46" i="93"/>
  <c r="AX47" i="93"/>
  <c r="AY47" i="93"/>
  <c r="AX48" i="93"/>
  <c r="AY48" i="93"/>
  <c r="AX16" i="92"/>
  <c r="AY16" i="92"/>
  <c r="AX17" i="92"/>
  <c r="AY17" i="92"/>
  <c r="AX22" i="92"/>
  <c r="AY22" i="92"/>
  <c r="AX23" i="92"/>
  <c r="AY23" i="92"/>
  <c r="AX28" i="92"/>
  <c r="AY28" i="92"/>
  <c r="AX29" i="92"/>
  <c r="AY29" i="92"/>
  <c r="AX34" i="92"/>
  <c r="AY34" i="92"/>
  <c r="AX35" i="92"/>
  <c r="AY35" i="92"/>
  <c r="AX37" i="92"/>
  <c r="AY37" i="92"/>
  <c r="AX38" i="92"/>
  <c r="AY38" i="92"/>
  <c r="AX41" i="92"/>
  <c r="AY41" i="92"/>
  <c r="AX42" i="92"/>
  <c r="AY42" i="92"/>
  <c r="AX45" i="92"/>
  <c r="AY45" i="92"/>
  <c r="AX46" i="92"/>
  <c r="AY46" i="92"/>
  <c r="AX48" i="92"/>
  <c r="AY48" i="92"/>
  <c r="AX49" i="92"/>
  <c r="AY49" i="92"/>
  <c r="AX51" i="92"/>
  <c r="AY51" i="92"/>
  <c r="AX52" i="92"/>
  <c r="AY52" i="92"/>
  <c r="AX54" i="92"/>
  <c r="AY54" i="92"/>
  <c r="AX55" i="92"/>
  <c r="AY55" i="92"/>
  <c r="AX57" i="92"/>
  <c r="AY57" i="92"/>
  <c r="AX58" i="92"/>
  <c r="AY58" i="92"/>
  <c r="AX60" i="92"/>
  <c r="AY60" i="92"/>
  <c r="AX61" i="92"/>
  <c r="AY61" i="92"/>
  <c r="AX70" i="92"/>
  <c r="AY70" i="92"/>
  <c r="AX71" i="92"/>
  <c r="AY71" i="92"/>
  <c r="AX73" i="92"/>
  <c r="AY73" i="92"/>
  <c r="AX74" i="92"/>
  <c r="AY74" i="92"/>
  <c r="AX82" i="92"/>
  <c r="AY82" i="92"/>
  <c r="AX83" i="92"/>
  <c r="AY83" i="92"/>
  <c r="AX85" i="92"/>
  <c r="AY85" i="92"/>
  <c r="AX86" i="92"/>
  <c r="AY86" i="92"/>
  <c r="AW20" i="91"/>
  <c r="AW21" i="91" s="1"/>
  <c r="AV20" i="91"/>
  <c r="AV21" i="91" s="1"/>
  <c r="AV19" i="90"/>
  <c r="AW19" i="90"/>
  <c r="AY15" i="85"/>
  <c r="AZ15" i="85"/>
  <c r="AY16" i="85"/>
  <c r="AZ16" i="85"/>
  <c r="AY17" i="85"/>
  <c r="AZ17" i="85"/>
  <c r="AY18" i="85"/>
  <c r="AZ18" i="85"/>
  <c r="AY22" i="85"/>
  <c r="AZ22" i="85"/>
  <c r="AY23" i="85"/>
  <c r="AZ23" i="85"/>
  <c r="AY15" i="84"/>
  <c r="AZ15" i="84"/>
  <c r="AY16" i="84"/>
  <c r="AZ16" i="84"/>
  <c r="AY17" i="84"/>
  <c r="AZ17" i="84"/>
  <c r="AY18" i="84"/>
  <c r="AZ18" i="84"/>
  <c r="AY26" i="81"/>
  <c r="AZ26" i="81"/>
  <c r="AY27" i="81"/>
  <c r="AZ27" i="81"/>
  <c r="AY28" i="81"/>
  <c r="AZ28" i="81"/>
  <c r="AY29" i="81"/>
  <c r="AZ29" i="81"/>
  <c r="AY30" i="81"/>
  <c r="AZ30" i="81"/>
  <c r="AY31" i="81"/>
  <c r="AZ31" i="81"/>
  <c r="AY36" i="81"/>
  <c r="AZ36" i="81"/>
  <c r="AY37" i="81"/>
  <c r="AZ37" i="81"/>
  <c r="AY38" i="81"/>
  <c r="AZ38" i="81"/>
  <c r="AY39" i="81"/>
  <c r="AZ39" i="81"/>
  <c r="AY40" i="81"/>
  <c r="AZ40" i="81"/>
  <c r="AY41" i="81"/>
  <c r="AZ41" i="81"/>
  <c r="AY42" i="81"/>
  <c r="AZ42" i="81"/>
  <c r="AY43" i="81"/>
  <c r="AZ43" i="81"/>
  <c r="AY44" i="81"/>
  <c r="AZ44" i="81"/>
  <c r="AY45" i="81"/>
  <c r="AZ45" i="81"/>
  <c r="AY46" i="81"/>
  <c r="AZ46" i="81"/>
  <c r="AY50" i="81"/>
  <c r="AZ50" i="81"/>
  <c r="AY51" i="81"/>
  <c r="AZ51" i="81"/>
  <c r="AY52" i="81"/>
  <c r="AZ52" i="81"/>
  <c r="AY53" i="81"/>
  <c r="AZ53" i="81"/>
  <c r="AY54" i="81"/>
  <c r="AZ54" i="81"/>
  <c r="AY55" i="81"/>
  <c r="AZ55" i="81"/>
  <c r="AY56" i="81"/>
  <c r="AZ56" i="81"/>
  <c r="AY57" i="81"/>
  <c r="AZ57" i="81"/>
  <c r="AY58" i="81"/>
  <c r="AZ58" i="81"/>
  <c r="AY59" i="81"/>
  <c r="AZ59" i="81"/>
  <c r="AY60" i="81"/>
  <c r="AZ60" i="81"/>
  <c r="AY61" i="81"/>
  <c r="AZ61" i="81"/>
  <c r="AY62" i="81"/>
  <c r="AZ62" i="81"/>
  <c r="AY63" i="81"/>
  <c r="AZ63" i="81"/>
  <c r="AY64" i="81"/>
  <c r="AZ64" i="81"/>
  <c r="AY65" i="81"/>
  <c r="AZ65" i="81"/>
  <c r="AY66" i="81"/>
  <c r="AZ66" i="81"/>
  <c r="AY67" i="81"/>
  <c r="AZ67" i="81"/>
  <c r="AY68" i="81"/>
  <c r="AZ68" i="81"/>
  <c r="AY69" i="81"/>
  <c r="AZ69" i="81"/>
  <c r="AY70" i="81"/>
  <c r="AZ70" i="81"/>
  <c r="AY16" i="81"/>
  <c r="AZ16" i="81"/>
  <c r="AY17" i="81"/>
  <c r="AZ17" i="81"/>
  <c r="AY18" i="81"/>
  <c r="AZ18" i="81"/>
  <c r="AY19" i="81"/>
  <c r="AZ19" i="81"/>
  <c r="AY15" i="80"/>
  <c r="AZ15" i="80"/>
  <c r="AY16" i="80"/>
  <c r="AZ16" i="80"/>
  <c r="AY17" i="80"/>
  <c r="AZ17" i="80"/>
  <c r="AY18" i="80"/>
  <c r="AZ18" i="80"/>
  <c r="AY19" i="80"/>
  <c r="AZ19" i="80"/>
  <c r="AY23" i="80"/>
  <c r="AZ23" i="80"/>
  <c r="AY24" i="80"/>
  <c r="AZ24" i="80"/>
  <c r="AY27" i="80"/>
  <c r="AZ27" i="80"/>
  <c r="AY28" i="80"/>
  <c r="AZ28" i="80"/>
  <c r="AY29" i="80"/>
  <c r="AZ29" i="80"/>
  <c r="AX15" i="80"/>
  <c r="AT19" i="78"/>
  <c r="AU19" i="78"/>
  <c r="AT20" i="78"/>
  <c r="AU20" i="78"/>
  <c r="AT21" i="78"/>
  <c r="AU21" i="78"/>
  <c r="AT27" i="78"/>
  <c r="AU27" i="78"/>
  <c r="AT28" i="78"/>
  <c r="AU28" i="78"/>
  <c r="AT31" i="78"/>
  <c r="AU31" i="78"/>
  <c r="AT35" i="78"/>
  <c r="AU35" i="78"/>
  <c r="AT42" i="78"/>
  <c r="AU42" i="78"/>
  <c r="AT45" i="78"/>
  <c r="AU45" i="78"/>
  <c r="AT48" i="78"/>
  <c r="AU48" i="78"/>
  <c r="AY15" i="77"/>
  <c r="DG15" i="77" s="1"/>
  <c r="DH15" i="77" s="1"/>
  <c r="AZ15" i="77"/>
  <c r="AY16" i="77"/>
  <c r="AZ16" i="77"/>
  <c r="AY17" i="77"/>
  <c r="DG17" i="77" s="1"/>
  <c r="AZ17" i="77"/>
  <c r="AY18" i="77"/>
  <c r="AZ18" i="77"/>
  <c r="AY19" i="77"/>
  <c r="DG19" i="77" s="1"/>
  <c r="AZ19" i="77"/>
  <c r="AY20" i="77"/>
  <c r="AZ20" i="77"/>
  <c r="AY21" i="77"/>
  <c r="AZ21" i="77"/>
  <c r="AY22" i="77"/>
  <c r="AZ22" i="77"/>
  <c r="AY23" i="77"/>
  <c r="AZ23" i="77"/>
  <c r="AY24" i="77"/>
  <c r="AZ24" i="77"/>
  <c r="AY25" i="77"/>
  <c r="AZ25" i="77"/>
  <c r="AY26" i="77"/>
  <c r="AZ26" i="77"/>
  <c r="AY27" i="77"/>
  <c r="AZ27" i="77"/>
  <c r="AY28" i="77"/>
  <c r="AZ28" i="77"/>
  <c r="AY29" i="77"/>
  <c r="DG29" i="77" s="1"/>
  <c r="DH29" i="77" s="1"/>
  <c r="AZ29" i="77"/>
  <c r="AY30" i="77"/>
  <c r="AZ30" i="77"/>
  <c r="AY31" i="77"/>
  <c r="DG31" i="77" s="1"/>
  <c r="AZ31" i="77"/>
  <c r="AY32" i="77"/>
  <c r="AZ32" i="77"/>
  <c r="AY33" i="77"/>
  <c r="AZ33" i="77"/>
  <c r="AY34" i="77"/>
  <c r="AZ34" i="77"/>
  <c r="AY35" i="77"/>
  <c r="AZ35" i="77"/>
  <c r="AY36" i="77"/>
  <c r="DG36" i="77" s="1"/>
  <c r="DH36" i="77" s="1"/>
  <c r="AZ36" i="77"/>
  <c r="AY37" i="77"/>
  <c r="AZ37" i="77"/>
  <c r="AY38" i="77"/>
  <c r="AZ38" i="77"/>
  <c r="AY39" i="77"/>
  <c r="AZ39" i="77"/>
  <c r="AY40" i="77"/>
  <c r="DG40" i="77" s="1"/>
  <c r="AZ40" i="77"/>
  <c r="AY41" i="77"/>
  <c r="AZ41" i="77"/>
  <c r="AY42" i="77"/>
  <c r="AZ42" i="77"/>
  <c r="AY43" i="77"/>
  <c r="DG43" i="77" s="1"/>
  <c r="DH43" i="77" s="1"/>
  <c r="AZ43" i="77"/>
  <c r="AY44" i="77"/>
  <c r="AZ44" i="77"/>
  <c r="AY45" i="77"/>
  <c r="DG45" i="77" s="1"/>
  <c r="AZ45" i="77"/>
  <c r="AY46" i="77"/>
  <c r="AZ46" i="77"/>
  <c r="AY47" i="77"/>
  <c r="AZ47" i="77"/>
  <c r="AY48" i="77"/>
  <c r="AZ48" i="77"/>
  <c r="AY49" i="77"/>
  <c r="AZ49" i="77"/>
  <c r="AY50" i="77"/>
  <c r="AZ50" i="77"/>
  <c r="AW15" i="73"/>
  <c r="DE15" i="73" s="1"/>
  <c r="AX15" i="73"/>
  <c r="AW16" i="73"/>
  <c r="AX16" i="73"/>
  <c r="AW17" i="73"/>
  <c r="AX17" i="73"/>
  <c r="AW18" i="73"/>
  <c r="AX18" i="73"/>
  <c r="AW19" i="73"/>
  <c r="AX19" i="73"/>
  <c r="AW20" i="73"/>
  <c r="AX20" i="73"/>
  <c r="AW23" i="73"/>
  <c r="AX23" i="73"/>
  <c r="AW24" i="73"/>
  <c r="AX24" i="73"/>
  <c r="AW27" i="73"/>
  <c r="AX27" i="73"/>
  <c r="AW28" i="73"/>
  <c r="AX28" i="73"/>
  <c r="AW29" i="73"/>
  <c r="AX29" i="73"/>
  <c r="AW30" i="73"/>
  <c r="AX30" i="73"/>
  <c r="AW31" i="73"/>
  <c r="AX31" i="73"/>
  <c r="AW32" i="73"/>
  <c r="AX32" i="73"/>
  <c r="AX19" i="70"/>
  <c r="AY19" i="70"/>
  <c r="AX20" i="70"/>
  <c r="AY20" i="70"/>
  <c r="AX21" i="70"/>
  <c r="AY21" i="70"/>
  <c r="AX22" i="70"/>
  <c r="AY22" i="70"/>
  <c r="AX23" i="70"/>
  <c r="AY23" i="70"/>
  <c r="AX24" i="70"/>
  <c r="AY24" i="70"/>
  <c r="AX25" i="70"/>
  <c r="AY25" i="70"/>
  <c r="AX26" i="70"/>
  <c r="AY26" i="70"/>
  <c r="AX27" i="70"/>
  <c r="AY27" i="70"/>
  <c r="AX28" i="70"/>
  <c r="AY28" i="70"/>
  <c r="AX25" i="69"/>
  <c r="AY25" i="69"/>
  <c r="AX26" i="69"/>
  <c r="AY26" i="69"/>
  <c r="AX33" i="69"/>
  <c r="AY33" i="69"/>
  <c r="AX34" i="69"/>
  <c r="AY34" i="69"/>
  <c r="AX37" i="69"/>
  <c r="AY37" i="69"/>
  <c r="AX38" i="69"/>
  <c r="AY38" i="69"/>
  <c r="AX39" i="69"/>
  <c r="AY39" i="69"/>
  <c r="AX42" i="69"/>
  <c r="AY42" i="69"/>
  <c r="AX45" i="69"/>
  <c r="AY45" i="69"/>
  <c r="AV18" i="63"/>
  <c r="AW18" i="63"/>
  <c r="AV19" i="63"/>
  <c r="AW19" i="63"/>
  <c r="AV20" i="63"/>
  <c r="AW20" i="63"/>
  <c r="AV22" i="63"/>
  <c r="AW22" i="63"/>
  <c r="AV23" i="63"/>
  <c r="AW23" i="63"/>
  <c r="AV24" i="63"/>
  <c r="AW24" i="63"/>
  <c r="AV25" i="63"/>
  <c r="AW25" i="63"/>
  <c r="AV15" i="67"/>
  <c r="AW15" i="67"/>
  <c r="AV16" i="67"/>
  <c r="AW16" i="67"/>
  <c r="AV17" i="67"/>
  <c r="AW17" i="67"/>
  <c r="AV18" i="67"/>
  <c r="AW18" i="67"/>
  <c r="AV19" i="67"/>
  <c r="AW19" i="67"/>
  <c r="AV27" i="67"/>
  <c r="AW27" i="67"/>
  <c r="AV28" i="67"/>
  <c r="AW28" i="67"/>
  <c r="AW25" i="66"/>
  <c r="AV25" i="66"/>
  <c r="AV15" i="66"/>
  <c r="AW15" i="66"/>
  <c r="AV15" i="65"/>
  <c r="AW15" i="65"/>
  <c r="AV16" i="65"/>
  <c r="AW16" i="65"/>
  <c r="AV17" i="65"/>
  <c r="AW17" i="65"/>
  <c r="AV18" i="65"/>
  <c r="AW18" i="65"/>
  <c r="AV25" i="65"/>
  <c r="AW25" i="65"/>
  <c r="AV26" i="65"/>
  <c r="AW26" i="65"/>
  <c r="AV27" i="65"/>
  <c r="AW27" i="65"/>
  <c r="AV15" i="61"/>
  <c r="AW15" i="61"/>
  <c r="AV16" i="61"/>
  <c r="AW16" i="61"/>
  <c r="AV17" i="61"/>
  <c r="AW17" i="61"/>
  <c r="AV18" i="61"/>
  <c r="AW18" i="61"/>
  <c r="AV19" i="61"/>
  <c r="AW19" i="61"/>
  <c r="AV20" i="61"/>
  <c r="AW20" i="61"/>
  <c r="AV21" i="61"/>
  <c r="AW21" i="61"/>
  <c r="AV22" i="61"/>
  <c r="AW22" i="61"/>
  <c r="AV23" i="61"/>
  <c r="AW23" i="61"/>
  <c r="AV24" i="61"/>
  <c r="AW24" i="61"/>
  <c r="AV33" i="61"/>
  <c r="AW33" i="61"/>
  <c r="AV34" i="61"/>
  <c r="AW34" i="61"/>
  <c r="AV35" i="61"/>
  <c r="AW35" i="61"/>
  <c r="AV39" i="61"/>
  <c r="AW39" i="61"/>
  <c r="AV40" i="61"/>
  <c r="AW40" i="61"/>
  <c r="AV41" i="61"/>
  <c r="AW41" i="61"/>
  <c r="AV18" i="62"/>
  <c r="AW18" i="62"/>
  <c r="AV19" i="62"/>
  <c r="AW19" i="62"/>
  <c r="AV21" i="62"/>
  <c r="AW21" i="62"/>
  <c r="AV22" i="62"/>
  <c r="AW22" i="62"/>
  <c r="AV23" i="62"/>
  <c r="AW23" i="62"/>
  <c r="AV24" i="62"/>
  <c r="AW24" i="62"/>
  <c r="AV25" i="62"/>
  <c r="AW25" i="62"/>
  <c r="AV26" i="62"/>
  <c r="AW26" i="62"/>
  <c r="AV27" i="62"/>
  <c r="AW27" i="62"/>
  <c r="AV28" i="62"/>
  <c r="AW28" i="62"/>
  <c r="AV29" i="62"/>
  <c r="AW29" i="62"/>
  <c r="AV30" i="62"/>
  <c r="AW30" i="62"/>
  <c r="AV31" i="62"/>
  <c r="AW31" i="62"/>
  <c r="AV32" i="62"/>
  <c r="AW32" i="62"/>
  <c r="AV33" i="62"/>
  <c r="AW33" i="62"/>
  <c r="AV35" i="62"/>
  <c r="AW35" i="62"/>
  <c r="AV36" i="62"/>
  <c r="AW36" i="62"/>
  <c r="AV37" i="62"/>
  <c r="AW37" i="62"/>
  <c r="AV38" i="62"/>
  <c r="AW38" i="62"/>
  <c r="AV39" i="62"/>
  <c r="AW39" i="62"/>
  <c r="AV41" i="62"/>
  <c r="AW41" i="62"/>
  <c r="AV43" i="62"/>
  <c r="AW43" i="62"/>
  <c r="AV45" i="62"/>
  <c r="AW45" i="62"/>
  <c r="AV46" i="62"/>
  <c r="AW46" i="62"/>
  <c r="AV47" i="62"/>
  <c r="AW47" i="62"/>
  <c r="AV48" i="62"/>
  <c r="AW48" i="62"/>
  <c r="AV49" i="62"/>
  <c r="AW49" i="62"/>
  <c r="AW54" i="57"/>
  <c r="AV54" i="57"/>
  <c r="AV16" i="57"/>
  <c r="AW16" i="57"/>
  <c r="AV17" i="57"/>
  <c r="AW17" i="57"/>
  <c r="AV18" i="57"/>
  <c r="AW18" i="57"/>
  <c r="AV19" i="57"/>
  <c r="AW19" i="57"/>
  <c r="AV26" i="57"/>
  <c r="AW26" i="57"/>
  <c r="AV27" i="57"/>
  <c r="AW27" i="57"/>
  <c r="AV28" i="57"/>
  <c r="AW28" i="57"/>
  <c r="AV29" i="57"/>
  <c r="AW29" i="57"/>
  <c r="AV30" i="57"/>
  <c r="AW30" i="57"/>
  <c r="AV31" i="57"/>
  <c r="AW31" i="57"/>
  <c r="AV32" i="57"/>
  <c r="AW32" i="57"/>
  <c r="AV33" i="57"/>
  <c r="AW33" i="57"/>
  <c r="AV34" i="57"/>
  <c r="AW34" i="57"/>
  <c r="AV35" i="57"/>
  <c r="AW35" i="57"/>
  <c r="AV36" i="57"/>
  <c r="AW36" i="57"/>
  <c r="AV37" i="57"/>
  <c r="AW37" i="57"/>
  <c r="AV38" i="57"/>
  <c r="AW38" i="57"/>
  <c r="AV39" i="57"/>
  <c r="AW39" i="57"/>
  <c r="AV40" i="57"/>
  <c r="AW40" i="57"/>
  <c r="AV41" i="57"/>
  <c r="AW41" i="57"/>
  <c r="AV42" i="57"/>
  <c r="AW42" i="57"/>
  <c r="AV43" i="57"/>
  <c r="AW43" i="57"/>
  <c r="AV44" i="57"/>
  <c r="AW44" i="57"/>
  <c r="AV45" i="57"/>
  <c r="AW45" i="57"/>
  <c r="AV46" i="57"/>
  <c r="AW46" i="57"/>
  <c r="AV51" i="57"/>
  <c r="AW51" i="57"/>
  <c r="AV53" i="57"/>
  <c r="AW53" i="57"/>
  <c r="AV55" i="57"/>
  <c r="AW55" i="57"/>
  <c r="AV56" i="57"/>
  <c r="AW56" i="57"/>
  <c r="AV57" i="57"/>
  <c r="AW57" i="57"/>
  <c r="AV58" i="57"/>
  <c r="AW58" i="57"/>
  <c r="AV59" i="57"/>
  <c r="AW59" i="57"/>
  <c r="AV60" i="57"/>
  <c r="AW60" i="57"/>
  <c r="AV61" i="57"/>
  <c r="AW61" i="57"/>
  <c r="AV62" i="57"/>
  <c r="AW62" i="57"/>
  <c r="AV63" i="57"/>
  <c r="AW63" i="57"/>
  <c r="AV64" i="57"/>
  <c r="AW64" i="57"/>
  <c r="AV67" i="57"/>
  <c r="AW67" i="57"/>
  <c r="AV70" i="57"/>
  <c r="AW70" i="57"/>
  <c r="AV71" i="57"/>
  <c r="AW71" i="57"/>
  <c r="AV72" i="57"/>
  <c r="AW72" i="57"/>
  <c r="AV23" i="60"/>
  <c r="AW23" i="60"/>
  <c r="AV24" i="60"/>
  <c r="AW24" i="60"/>
  <c r="AV25" i="60"/>
  <c r="AW25" i="60"/>
  <c r="AV26" i="60"/>
  <c r="AW26" i="60"/>
  <c r="AV27" i="60"/>
  <c r="AW27" i="60"/>
  <c r="AV31" i="60"/>
  <c r="AW31" i="60"/>
  <c r="AV41" i="60"/>
  <c r="AW41" i="60"/>
  <c r="AV44" i="60"/>
  <c r="AW44" i="60"/>
  <c r="AV50" i="60"/>
  <c r="AW50" i="60"/>
  <c r="AV51" i="60"/>
  <c r="AW51" i="60"/>
  <c r="AV54" i="60"/>
  <c r="AV57" i="60"/>
  <c r="AW57" i="60"/>
  <c r="AV15" i="60"/>
  <c r="AW15" i="60"/>
  <c r="BA15" i="60" s="1"/>
  <c r="BB15" i="60" s="1"/>
  <c r="AO53" i="62"/>
  <c r="AP53" i="62" s="1"/>
  <c r="L53" i="62"/>
  <c r="H53" i="62"/>
  <c r="AU57" i="60"/>
  <c r="AT57" i="60"/>
  <c r="AS57" i="60"/>
  <c r="AP57" i="60"/>
  <c r="L57" i="60"/>
  <c r="H57" i="60"/>
  <c r="AU54" i="60"/>
  <c r="AT54" i="60"/>
  <c r="AS54" i="60"/>
  <c r="Z54" i="60"/>
  <c r="L54" i="60"/>
  <c r="H54" i="60"/>
  <c r="AZ22" i="81"/>
  <c r="AC22" i="81"/>
  <c r="L22" i="81"/>
  <c r="N22" i="81" s="1"/>
  <c r="H22" i="81"/>
  <c r="AU15" i="89"/>
  <c r="AT15" i="89"/>
  <c r="M22" i="81" l="1"/>
  <c r="CU22" i="81"/>
  <c r="CV22" i="81" s="1"/>
  <c r="BJ19" i="84"/>
  <c r="BP19" i="84"/>
  <c r="DU45" i="57"/>
  <c r="DV45" i="57" s="1"/>
  <c r="EP45" i="57"/>
  <c r="DU39" i="57"/>
  <c r="DV39" i="57" s="1"/>
  <c r="EP39" i="57"/>
  <c r="BL33" i="93"/>
  <c r="BS59" i="92"/>
  <c r="BF46" i="69"/>
  <c r="BK46" i="69"/>
  <c r="BQ46" i="69"/>
  <c r="AY46" i="69"/>
  <c r="BG46" i="69"/>
  <c r="BN46" i="69"/>
  <c r="BR46" i="69"/>
  <c r="AX46" i="69"/>
  <c r="BH46" i="69"/>
  <c r="BJ46" i="69"/>
  <c r="BO46" i="69"/>
  <c r="BE46" i="69"/>
  <c r="BI46" i="69"/>
  <c r="BP46" i="69"/>
  <c r="O28" i="63"/>
  <c r="BF21" i="61"/>
  <c r="BP16" i="61"/>
  <c r="BF16" i="61"/>
  <c r="CG30" i="77"/>
  <c r="BN16" i="61"/>
  <c r="BE39" i="57"/>
  <c r="BG16" i="61"/>
  <c r="BC39" i="57"/>
  <c r="BD16" i="61"/>
  <c r="BL19" i="84"/>
  <c r="BR19" i="84"/>
  <c r="BL16" i="61"/>
  <c r="BT65" i="81"/>
  <c r="CE39" i="69"/>
  <c r="BS38" i="93"/>
  <c r="BS34" i="93"/>
  <c r="BT18" i="84"/>
  <c r="BS27" i="93"/>
  <c r="BT23" i="77"/>
  <c r="BS33" i="93"/>
  <c r="BF39" i="57"/>
  <c r="BE29" i="70"/>
  <c r="BC16" i="61"/>
  <c r="BC21" i="62"/>
  <c r="BF51" i="77"/>
  <c r="BE43" i="62"/>
  <c r="BK19" i="84"/>
  <c r="BQ19" i="84"/>
  <c r="BP20" i="84" s="1"/>
  <c r="BH16" i="61"/>
  <c r="BM16" i="61"/>
  <c r="BE16" i="61"/>
  <c r="BH51" i="77"/>
  <c r="BE22" i="62"/>
  <c r="BI16" i="61"/>
  <c r="BO16" i="61"/>
  <c r="BF24" i="85"/>
  <c r="BH24" i="85"/>
  <c r="BI51" i="77"/>
  <c r="BF43" i="62"/>
  <c r="BF31" i="57"/>
  <c r="BC26" i="57"/>
  <c r="BS42" i="93"/>
  <c r="CE45" i="69"/>
  <c r="BS45" i="93"/>
  <c r="BT24" i="77"/>
  <c r="BD53" i="62"/>
  <c r="BT35" i="77"/>
  <c r="BS29" i="93"/>
  <c r="BS39" i="93"/>
  <c r="BT33" i="77"/>
  <c r="BG51" i="77"/>
  <c r="BF53" i="62"/>
  <c r="BS88" i="92"/>
  <c r="BS87" i="92"/>
  <c r="CA21" i="78"/>
  <c r="CA20" i="78"/>
  <c r="BS37" i="93"/>
  <c r="BS36" i="92"/>
  <c r="BS43" i="93"/>
  <c r="BS75" i="92"/>
  <c r="BS31" i="93"/>
  <c r="BT15" i="84"/>
  <c r="BT19" i="84" s="1"/>
  <c r="BS19" i="84"/>
  <c r="CG27" i="77"/>
  <c r="BS50" i="92"/>
  <c r="BS24" i="92"/>
  <c r="BS47" i="92"/>
  <c r="BS39" i="92"/>
  <c r="BS63" i="92"/>
  <c r="BS21" i="92"/>
  <c r="BS31" i="92"/>
  <c r="BS43" i="92"/>
  <c r="BS67" i="92"/>
  <c r="BS44" i="92"/>
  <c r="BS19" i="92"/>
  <c r="BS30" i="93"/>
  <c r="BS44" i="93"/>
  <c r="CG41" i="77"/>
  <c r="BS64" i="92"/>
  <c r="BS56" i="92"/>
  <c r="BS32" i="92"/>
  <c r="BS35" i="93"/>
  <c r="BS23" i="93"/>
  <c r="BS50" i="93"/>
  <c r="BS19" i="93"/>
  <c r="BS49" i="93"/>
  <c r="CG47" i="77"/>
  <c r="BT47" i="77"/>
  <c r="BS66" i="92"/>
  <c r="BS65" i="92"/>
  <c r="BS26" i="93"/>
  <c r="BS53" i="92"/>
  <c r="BS33" i="92"/>
  <c r="BS47" i="93"/>
  <c r="BX27" i="92"/>
  <c r="BY27" i="92" s="1"/>
  <c r="CH27" i="92"/>
  <c r="CO27" i="92" s="1"/>
  <c r="BO15" i="89"/>
  <c r="BS51" i="77"/>
  <c r="BT81" i="92"/>
  <c r="BT15" i="81"/>
  <c r="BT56" i="81"/>
  <c r="BT44" i="81"/>
  <c r="BT52" i="81"/>
  <c r="BT19" i="81"/>
  <c r="BT45" i="81"/>
  <c r="BT60" i="81"/>
  <c r="BT31" i="81"/>
  <c r="BT41" i="81"/>
  <c r="BT25" i="81"/>
  <c r="BT72" i="81"/>
  <c r="BT39" i="81"/>
  <c r="BT28" i="81"/>
  <c r="BT55" i="81"/>
  <c r="BT43" i="81"/>
  <c r="BT16" i="81"/>
  <c r="BT57" i="81"/>
  <c r="BT68" i="81"/>
  <c r="BT40" i="81"/>
  <c r="BT22" i="81"/>
  <c r="BT61" i="81"/>
  <c r="BT42" i="81"/>
  <c r="BT62" i="81"/>
  <c r="BT46" i="81"/>
  <c r="BC22" i="62"/>
  <c r="BC41" i="62"/>
  <c r="BF41" i="62"/>
  <c r="BF22" i="62"/>
  <c r="BF30" i="80"/>
  <c r="BQ51" i="77"/>
  <c r="BR51" i="77"/>
  <c r="BS30" i="80"/>
  <c r="BF29" i="70"/>
  <c r="BG29" i="70"/>
  <c r="BE32" i="67"/>
  <c r="BF32" i="67"/>
  <c r="BE30" i="66"/>
  <c r="DE30" i="66"/>
  <c r="BF30" i="66"/>
  <c r="DB30" i="66"/>
  <c r="BD29" i="65"/>
  <c r="BE21" i="61"/>
  <c r="BC43" i="62"/>
  <c r="BE53" i="62"/>
  <c r="BE28" i="62"/>
  <c r="BE31" i="57"/>
  <c r="BF26" i="57"/>
  <c r="BC31" i="57"/>
  <c r="BD26" i="57"/>
  <c r="DA70" i="57"/>
  <c r="DI70" i="57"/>
  <c r="DJ70" i="57" s="1"/>
  <c r="DQ70" i="57" s="1"/>
  <c r="BD56" i="57"/>
  <c r="DI56" i="57"/>
  <c r="DJ56" i="57" s="1"/>
  <c r="DQ56" i="57" s="1"/>
  <c r="DA56" i="57"/>
  <c r="DA19" i="57"/>
  <c r="DI41" i="57"/>
  <c r="DJ41" i="57" s="1"/>
  <c r="DQ41" i="57" s="1"/>
  <c r="DA41" i="57"/>
  <c r="DI64" i="57"/>
  <c r="DJ64" i="57" s="1"/>
  <c r="DQ64" i="57" s="1"/>
  <c r="DA64" i="57"/>
  <c r="DA59" i="57"/>
  <c r="DI59" i="57"/>
  <c r="DA61" i="57"/>
  <c r="DI61" i="57"/>
  <c r="DJ61" i="57" s="1"/>
  <c r="DQ61" i="57" s="1"/>
  <c r="DI30" i="57"/>
  <c r="DJ30" i="57" s="1"/>
  <c r="DQ30" i="57" s="1"/>
  <c r="DA30" i="57"/>
  <c r="DI44" i="57"/>
  <c r="DJ44" i="57" s="1"/>
  <c r="DQ44" i="57" s="1"/>
  <c r="DA44" i="57"/>
  <c r="BC53" i="57"/>
  <c r="DA53" i="57"/>
  <c r="DI53" i="57"/>
  <c r="DJ53" i="57" s="1"/>
  <c r="DQ53" i="57" s="1"/>
  <c r="DA29" i="57"/>
  <c r="DI29" i="57"/>
  <c r="DJ29" i="57" s="1"/>
  <c r="DQ29" i="57" s="1"/>
  <c r="DA54" i="57"/>
  <c r="DI54" i="57"/>
  <c r="DJ54" i="57" s="1"/>
  <c r="DQ54" i="57" s="1"/>
  <c r="DA34" i="57"/>
  <c r="DI34" i="57"/>
  <c r="DJ34" i="57" s="1"/>
  <c r="DQ34" i="57" s="1"/>
  <c r="DA36" i="57"/>
  <c r="DI36" i="57"/>
  <c r="DJ36" i="57" s="1"/>
  <c r="DQ36" i="57" s="1"/>
  <c r="BF56" i="57"/>
  <c r="DI55" i="57"/>
  <c r="DJ55" i="57" s="1"/>
  <c r="DQ55" i="57" s="1"/>
  <c r="DA55" i="57"/>
  <c r="BE38" i="57"/>
  <c r="DI38" i="57"/>
  <c r="DJ38" i="57" s="1"/>
  <c r="DQ38" i="57" s="1"/>
  <c r="DA38" i="57"/>
  <c r="BD37" i="57"/>
  <c r="DI37" i="57"/>
  <c r="DJ37" i="57" s="1"/>
  <c r="DQ37" i="57" s="1"/>
  <c r="DA37" i="57"/>
  <c r="DA51" i="57"/>
  <c r="DI51" i="57"/>
  <c r="DJ51" i="57" s="1"/>
  <c r="DQ51" i="57" s="1"/>
  <c r="DA40" i="57"/>
  <c r="DI40" i="57"/>
  <c r="DJ40" i="57" s="1"/>
  <c r="DQ40" i="57" s="1"/>
  <c r="DA35" i="57"/>
  <c r="DI35" i="57"/>
  <c r="DJ35" i="57" s="1"/>
  <c r="DQ35" i="57" s="1"/>
  <c r="DA67" i="57"/>
  <c r="DI67" i="57"/>
  <c r="DJ67" i="57" s="1"/>
  <c r="DQ67" i="57" s="1"/>
  <c r="DA26" i="57"/>
  <c r="DI26" i="57"/>
  <c r="DJ26" i="57" s="1"/>
  <c r="DQ26" i="57" s="1"/>
  <c r="DI31" i="57"/>
  <c r="DJ31" i="57" s="1"/>
  <c r="DQ31" i="57" s="1"/>
  <c r="DA31" i="57"/>
  <c r="BD53" i="57"/>
  <c r="BE56" i="57"/>
  <c r="BE53" i="57"/>
  <c r="BC56" i="57"/>
  <c r="BF53" i="57"/>
  <c r="BE20" i="57"/>
  <c r="BC38" i="57"/>
  <c r="BF37" i="57"/>
  <c r="BO19" i="89"/>
  <c r="BP15" i="60"/>
  <c r="BO15" i="60"/>
  <c r="BN15" i="60"/>
  <c r="BM15" i="60"/>
  <c r="BL15" i="60"/>
  <c r="BI15" i="60"/>
  <c r="BH15" i="60"/>
  <c r="BG15" i="60"/>
  <c r="BN20" i="60"/>
  <c r="BM20" i="60"/>
  <c r="BL20" i="60"/>
  <c r="BI20" i="60"/>
  <c r="BH20" i="60"/>
  <c r="BG20" i="60"/>
  <c r="BP41" i="60"/>
  <c r="BO41" i="60"/>
  <c r="BN41" i="60"/>
  <c r="BM41" i="60"/>
  <c r="BL41" i="60"/>
  <c r="BI41" i="60"/>
  <c r="BH41" i="60"/>
  <c r="BG41" i="60"/>
  <c r="BP28" i="60"/>
  <c r="BO28" i="60"/>
  <c r="BN28" i="60"/>
  <c r="BM28" i="60"/>
  <c r="BL28" i="60"/>
  <c r="BI28" i="60"/>
  <c r="BH28" i="60"/>
  <c r="BG28" i="60"/>
  <c r="BC30" i="66"/>
  <c r="BF29" i="65"/>
  <c r="BI18" i="61"/>
  <c r="BH18" i="61"/>
  <c r="BG18" i="61"/>
  <c r="BF20" i="57"/>
  <c r="BL51" i="77"/>
  <c r="BP73" i="81"/>
  <c r="CE25" i="69"/>
  <c r="BI20" i="90"/>
  <c r="BP19" i="60"/>
  <c r="BO19" i="60"/>
  <c r="BN19" i="60"/>
  <c r="BM19" i="60"/>
  <c r="BL19" i="60"/>
  <c r="BI19" i="60"/>
  <c r="BH19" i="60"/>
  <c r="BG19" i="60"/>
  <c r="BP34" i="60"/>
  <c r="BO34" i="60"/>
  <c r="BN34" i="60"/>
  <c r="BM34" i="60"/>
  <c r="BL34" i="60"/>
  <c r="BI34" i="60"/>
  <c r="BH34" i="60"/>
  <c r="BG34" i="60"/>
  <c r="BP35" i="60"/>
  <c r="BO35" i="60"/>
  <c r="BN35" i="60"/>
  <c r="BM35" i="60"/>
  <c r="BL35" i="60"/>
  <c r="BI35" i="60"/>
  <c r="BH35" i="60"/>
  <c r="BG35" i="60"/>
  <c r="BD30" i="66"/>
  <c r="BC29" i="65"/>
  <c r="BN17" i="89"/>
  <c r="BN20" i="89" s="1"/>
  <c r="BM17" i="89"/>
  <c r="BM20" i="89" s="1"/>
  <c r="BL17" i="89"/>
  <c r="BL20" i="89" s="1"/>
  <c r="BK17" i="89"/>
  <c r="BK20" i="89" s="1"/>
  <c r="BJ17" i="89"/>
  <c r="CG35" i="77"/>
  <c r="CG17" i="77"/>
  <c r="BO51" i="77"/>
  <c r="CE37" i="69"/>
  <c r="BQ73" i="81"/>
  <c r="BJ20" i="89"/>
  <c r="CE42" i="69"/>
  <c r="CE34" i="69"/>
  <c r="CE26" i="69"/>
  <c r="BM49" i="78"/>
  <c r="CG23" i="77"/>
  <c r="BP26" i="60"/>
  <c r="BO26" i="60"/>
  <c r="BN26" i="60"/>
  <c r="BM26" i="60"/>
  <c r="BL26" i="60"/>
  <c r="BI26" i="60"/>
  <c r="BH26" i="60"/>
  <c r="BG26" i="60"/>
  <c r="BN23" i="60"/>
  <c r="BM23" i="60"/>
  <c r="BL23" i="60"/>
  <c r="BI23" i="60"/>
  <c r="BH23" i="60"/>
  <c r="BG23" i="60"/>
  <c r="BP50" i="60"/>
  <c r="BO50" i="60"/>
  <c r="BN50" i="60"/>
  <c r="BM50" i="60"/>
  <c r="BL50" i="60"/>
  <c r="BI50" i="60"/>
  <c r="BH50" i="60"/>
  <c r="BG50" i="60"/>
  <c r="BP15" i="61"/>
  <c r="BO15" i="61"/>
  <c r="BN15" i="61"/>
  <c r="BM15" i="61"/>
  <c r="BL15" i="61"/>
  <c r="BI15" i="61"/>
  <c r="BG15" i="61"/>
  <c r="BH15" i="61"/>
  <c r="BP33" i="60"/>
  <c r="BO33" i="60"/>
  <c r="BN33" i="60"/>
  <c r="BM33" i="60"/>
  <c r="BL33" i="60"/>
  <c r="BI33" i="60"/>
  <c r="BH33" i="60"/>
  <c r="BG33" i="60"/>
  <c r="BJ51" i="77"/>
  <c r="BP51" i="77"/>
  <c r="BR73" i="81"/>
  <c r="BN49" i="78"/>
  <c r="BG20" i="90"/>
  <c r="BP32" i="60"/>
  <c r="BO32" i="60"/>
  <c r="BN32" i="60"/>
  <c r="BM32" i="60"/>
  <c r="BL32" i="60"/>
  <c r="BI32" i="60"/>
  <c r="BH32" i="60"/>
  <c r="BG32" i="60"/>
  <c r="BP24" i="60"/>
  <c r="BO24" i="60"/>
  <c r="BN24" i="60"/>
  <c r="BM24" i="60"/>
  <c r="BL24" i="60"/>
  <c r="BI24" i="60"/>
  <c r="BH24" i="60"/>
  <c r="BG24" i="60"/>
  <c r="BP25" i="60"/>
  <c r="BO25" i="60"/>
  <c r="BN25" i="60"/>
  <c r="BM25" i="60"/>
  <c r="BL25" i="60"/>
  <c r="BI25" i="60"/>
  <c r="BH25" i="60"/>
  <c r="BG25" i="60"/>
  <c r="BC67" i="57"/>
  <c r="BD67" i="57"/>
  <c r="BE67" i="57"/>
  <c r="BF67" i="57"/>
  <c r="BP44" i="60"/>
  <c r="BO44" i="60"/>
  <c r="BN44" i="60"/>
  <c r="BM44" i="60"/>
  <c r="BL44" i="60"/>
  <c r="BI44" i="60"/>
  <c r="BH44" i="60"/>
  <c r="BG44" i="60"/>
  <c r="BP27" i="60"/>
  <c r="BO27" i="60"/>
  <c r="BN27" i="60"/>
  <c r="BM27" i="60"/>
  <c r="BL27" i="60"/>
  <c r="BI27" i="60"/>
  <c r="BH27" i="60"/>
  <c r="BG27" i="60"/>
  <c r="BE29" i="65"/>
  <c r="BO73" i="81"/>
  <c r="BJ30" i="80"/>
  <c r="BP30" i="80"/>
  <c r="BK51" i="77"/>
  <c r="BS73" i="81"/>
  <c r="CC17" i="61"/>
  <c r="CG33" i="77"/>
  <c r="BO19" i="84"/>
  <c r="CE38" i="69"/>
  <c r="BP21" i="61"/>
  <c r="BO21" i="61"/>
  <c r="BN21" i="61"/>
  <c r="BM21" i="61"/>
  <c r="BL21" i="61"/>
  <c r="BI21" i="61"/>
  <c r="BG21" i="61"/>
  <c r="BH21" i="61"/>
  <c r="BH20" i="90"/>
  <c r="BL30" i="80"/>
  <c r="BI30" i="80"/>
  <c r="BO30" i="80"/>
  <c r="BK30" i="80"/>
  <c r="BG49" i="78"/>
  <c r="CA19" i="78"/>
  <c r="BJ49" i="78"/>
  <c r="BE49" i="78"/>
  <c r="BK49" i="78"/>
  <c r="CA31" i="78"/>
  <c r="CA27" i="78"/>
  <c r="CA28" i="78"/>
  <c r="BF49" i="78"/>
  <c r="BL49" i="78"/>
  <c r="BC32" i="67"/>
  <c r="BD32" i="67"/>
  <c r="BB75" i="57"/>
  <c r="BK73" i="81"/>
  <c r="BL73" i="81"/>
  <c r="BJ73" i="81"/>
  <c r="BH15" i="86"/>
  <c r="CF18" i="86"/>
  <c r="BO19" i="86"/>
  <c r="BD20" i="57"/>
  <c r="BG17" i="89"/>
  <c r="BG20" i="89" s="1"/>
  <c r="BF17" i="89"/>
  <c r="BF20" i="89" s="1"/>
  <c r="BE17" i="89"/>
  <c r="BE20" i="89" s="1"/>
  <c r="BH19" i="89"/>
  <c r="BI19" i="89" s="1"/>
  <c r="CO20" i="89"/>
  <c r="CP20" i="89"/>
  <c r="CN20" i="89"/>
  <c r="CS20" i="89"/>
  <c r="CT20" i="89"/>
  <c r="CR20" i="89"/>
  <c r="BI15" i="86"/>
  <c r="BF15" i="86"/>
  <c r="BC26" i="60"/>
  <c r="BF26" i="60"/>
  <c r="BE26" i="60"/>
  <c r="BD26" i="60"/>
  <c r="BC23" i="60"/>
  <c r="BF23" i="60"/>
  <c r="BE23" i="60"/>
  <c r="BD23" i="60"/>
  <c r="BC50" i="60"/>
  <c r="BF50" i="60"/>
  <c r="BE50" i="60"/>
  <c r="BD50" i="60"/>
  <c r="BC51" i="57"/>
  <c r="BF51" i="57"/>
  <c r="BE51" i="57"/>
  <c r="BD51" i="57"/>
  <c r="BC70" i="57"/>
  <c r="BF70" i="57"/>
  <c r="BE70" i="57"/>
  <c r="BD70" i="57"/>
  <c r="BC40" i="57"/>
  <c r="BF40" i="57"/>
  <c r="BE40" i="57"/>
  <c r="BD40" i="57"/>
  <c r="BC44" i="57"/>
  <c r="BF44" i="57"/>
  <c r="BE44" i="57"/>
  <c r="BD44" i="57"/>
  <c r="BC41" i="61"/>
  <c r="BF41" i="61"/>
  <c r="BE41" i="61"/>
  <c r="BD41" i="61"/>
  <c r="BC44" i="60"/>
  <c r="BF44" i="60"/>
  <c r="BE44" i="60"/>
  <c r="BD44" i="60"/>
  <c r="BC35" i="60"/>
  <c r="BF35" i="60"/>
  <c r="BE35" i="60"/>
  <c r="BD35" i="60"/>
  <c r="BH30" i="80"/>
  <c r="BD49" i="78"/>
  <c r="BI73" i="81"/>
  <c r="BC25" i="62"/>
  <c r="BF25" i="62"/>
  <c r="BE25" i="62"/>
  <c r="BD25" i="62"/>
  <c r="BC30" i="57"/>
  <c r="BF30" i="57"/>
  <c r="BE30" i="57"/>
  <c r="BD30" i="57"/>
  <c r="BC32" i="60"/>
  <c r="BF32" i="60"/>
  <c r="BE32" i="60"/>
  <c r="BD32" i="60"/>
  <c r="BC24" i="60"/>
  <c r="BF24" i="60"/>
  <c r="BE24" i="60"/>
  <c r="BD24" i="60"/>
  <c r="BC25" i="60"/>
  <c r="BF25" i="60"/>
  <c r="BE25" i="60"/>
  <c r="BD25" i="60"/>
  <c r="BC29" i="57"/>
  <c r="BF29" i="57"/>
  <c r="BE29" i="57"/>
  <c r="BD29" i="57"/>
  <c r="BC54" i="57"/>
  <c r="BF54" i="57"/>
  <c r="BE54" i="57"/>
  <c r="BD54" i="57"/>
  <c r="BC34" i="57"/>
  <c r="BF34" i="57"/>
  <c r="BE34" i="57"/>
  <c r="BD34" i="57"/>
  <c r="BC36" i="57"/>
  <c r="BF36" i="57"/>
  <c r="BE36" i="57"/>
  <c r="BD36" i="57"/>
  <c r="BC18" i="62"/>
  <c r="BF18" i="62"/>
  <c r="BE18" i="62"/>
  <c r="BD18" i="62"/>
  <c r="BC35" i="62"/>
  <c r="BF35" i="62"/>
  <c r="BE35" i="62"/>
  <c r="BD35" i="62"/>
  <c r="BC57" i="60"/>
  <c r="BF57" i="60"/>
  <c r="BE57" i="60"/>
  <c r="BD57" i="60"/>
  <c r="BC51" i="60"/>
  <c r="BF51" i="60"/>
  <c r="BE51" i="60"/>
  <c r="BD51" i="60"/>
  <c r="BA49" i="78"/>
  <c r="BF73" i="81"/>
  <c r="BC19" i="62"/>
  <c r="BF19" i="62"/>
  <c r="BE19" i="62"/>
  <c r="BD19" i="62"/>
  <c r="BA17" i="89"/>
  <c r="BD17" i="89"/>
  <c r="BD20" i="89" s="1"/>
  <c r="BC17" i="89"/>
  <c r="BC20" i="89" s="1"/>
  <c r="BB17" i="89"/>
  <c r="BB20" i="89" s="1"/>
  <c r="BC15" i="60"/>
  <c r="BF15" i="60"/>
  <c r="BE15" i="60"/>
  <c r="BD15" i="60"/>
  <c r="BC20" i="60"/>
  <c r="BF20" i="60"/>
  <c r="BE20" i="60"/>
  <c r="BD20" i="60"/>
  <c r="BC41" i="60"/>
  <c r="BF41" i="60"/>
  <c r="BE41" i="60"/>
  <c r="BD41" i="60"/>
  <c r="BC28" i="60"/>
  <c r="BF28" i="60"/>
  <c r="BE28" i="60"/>
  <c r="BD28" i="60"/>
  <c r="BC35" i="57"/>
  <c r="BF35" i="57"/>
  <c r="BE35" i="57"/>
  <c r="BD35" i="57"/>
  <c r="BF18" i="86"/>
  <c r="BI18" i="86"/>
  <c r="BH18" i="86"/>
  <c r="BH19" i="86" s="1"/>
  <c r="BG18" i="86"/>
  <c r="BG19" i="86" s="1"/>
  <c r="BC15" i="61"/>
  <c r="BF15" i="61"/>
  <c r="BE15" i="61"/>
  <c r="BD15" i="61"/>
  <c r="BC27" i="60"/>
  <c r="BF27" i="60"/>
  <c r="BE27" i="60"/>
  <c r="BD27" i="60"/>
  <c r="BC35" i="61"/>
  <c r="BF35" i="61"/>
  <c r="BE35" i="61"/>
  <c r="BD35" i="61"/>
  <c r="BF47" i="62"/>
  <c r="BE47" i="62"/>
  <c r="BD47" i="62"/>
  <c r="BB49" i="78"/>
  <c r="BG73" i="81"/>
  <c r="BC55" i="57"/>
  <c r="BF55" i="57"/>
  <c r="BE55" i="57"/>
  <c r="BD55" i="57"/>
  <c r="BC19" i="60"/>
  <c r="BF19" i="60"/>
  <c r="BE19" i="60"/>
  <c r="BD19" i="60"/>
  <c r="BC54" i="60"/>
  <c r="BF54" i="60"/>
  <c r="BG54" i="60" s="1"/>
  <c r="BE54" i="60"/>
  <c r="BD54" i="60"/>
  <c r="BC34" i="60"/>
  <c r="BF34" i="60"/>
  <c r="BE34" i="60"/>
  <c r="BD34" i="60"/>
  <c r="BC19" i="57"/>
  <c r="BF19" i="57"/>
  <c r="BE19" i="57"/>
  <c r="BD19" i="57"/>
  <c r="BC41" i="57"/>
  <c r="BF41" i="57"/>
  <c r="BE41" i="57"/>
  <c r="BD41" i="57"/>
  <c r="BC64" i="57"/>
  <c r="BF64" i="57"/>
  <c r="BE64" i="57"/>
  <c r="BD64" i="57"/>
  <c r="BC59" i="57"/>
  <c r="BF59" i="57"/>
  <c r="BE59" i="57"/>
  <c r="BD59" i="57"/>
  <c r="BC61" i="57"/>
  <c r="BF61" i="57"/>
  <c r="BE61" i="57"/>
  <c r="BD61" i="57"/>
  <c r="BC33" i="60"/>
  <c r="BF33" i="60"/>
  <c r="BE33" i="60"/>
  <c r="BD33" i="60"/>
  <c r="BG30" i="80"/>
  <c r="BL37" i="93"/>
  <c r="BC49" i="78"/>
  <c r="BJ53" i="62"/>
  <c r="BK53" i="62" s="1"/>
  <c r="CD53" i="62" s="1"/>
  <c r="BH73" i="81"/>
  <c r="BC18" i="61"/>
  <c r="BF18" i="61"/>
  <c r="BE18" i="61"/>
  <c r="BD18" i="61"/>
  <c r="BJ25" i="66"/>
  <c r="K57" i="60"/>
  <c r="AD22" i="81"/>
  <c r="AE22" i="81" s="1"/>
  <c r="AT22" i="81" s="1"/>
  <c r="AY22" i="81" s="1"/>
  <c r="AZ51" i="77"/>
  <c r="AU49" i="78"/>
  <c r="AZ19" i="84"/>
  <c r="AZ24" i="85"/>
  <c r="AY51" i="77"/>
  <c r="AT49" i="78"/>
  <c r="AY19" i="84"/>
  <c r="AY24" i="85"/>
  <c r="AW29" i="65"/>
  <c r="AW32" i="67"/>
  <c r="AY29" i="70"/>
  <c r="AV29" i="65"/>
  <c r="AV32" i="67"/>
  <c r="AX29" i="70"/>
  <c r="AB53" i="62"/>
  <c r="P53" i="62"/>
  <c r="O53" i="62" s="1"/>
  <c r="K53" i="62"/>
  <c r="M53" i="62"/>
  <c r="P57" i="60"/>
  <c r="P54" i="60"/>
  <c r="K54" i="60"/>
  <c r="P22" i="81"/>
  <c r="O22" i="81" s="1"/>
  <c r="K22" i="81"/>
  <c r="I22" i="81"/>
  <c r="H17" i="89"/>
  <c r="I17" i="89" s="1"/>
  <c r="AN17" i="89"/>
  <c r="DU31" i="57" l="1"/>
  <c r="DV31" i="57" s="1"/>
  <c r="EP31" i="57"/>
  <c r="DU37" i="57"/>
  <c r="DV37" i="57" s="1"/>
  <c r="EP37" i="57"/>
  <c r="DU55" i="57"/>
  <c r="DV55" i="57" s="1"/>
  <c r="EP55" i="57"/>
  <c r="DU36" i="57"/>
  <c r="DV36" i="57" s="1"/>
  <c r="EP36" i="57"/>
  <c r="DU34" i="57"/>
  <c r="DV34" i="57" s="1"/>
  <c r="EP34" i="57"/>
  <c r="DV54" i="57"/>
  <c r="DU54" i="57"/>
  <c r="EP54" i="57"/>
  <c r="DV29" i="57"/>
  <c r="EP29" i="57"/>
  <c r="DU53" i="57"/>
  <c r="DV53" i="57" s="1"/>
  <c r="EP53" i="57"/>
  <c r="DU44" i="57"/>
  <c r="DV44" i="57" s="1"/>
  <c r="EP44" i="57"/>
  <c r="DU30" i="57"/>
  <c r="DV30" i="57" s="1"/>
  <c r="EP30" i="57"/>
  <c r="DU64" i="57"/>
  <c r="DV64" i="57" s="1"/>
  <c r="EP64" i="57"/>
  <c r="DU41" i="57"/>
  <c r="DV41" i="57" s="1"/>
  <c r="EP41" i="57"/>
  <c r="DU26" i="57"/>
  <c r="EP26" i="57"/>
  <c r="DV67" i="57"/>
  <c r="DU67" i="57"/>
  <c r="EP67" i="57"/>
  <c r="DU35" i="57"/>
  <c r="DV35" i="57" s="1"/>
  <c r="EP35" i="57"/>
  <c r="EP40" i="57"/>
  <c r="DU40" i="57"/>
  <c r="DV40" i="57" s="1"/>
  <c r="DU51" i="57"/>
  <c r="DV51" i="57" s="1"/>
  <c r="EP51" i="57"/>
  <c r="DU38" i="57"/>
  <c r="DV38" i="57" s="1"/>
  <c r="EP38" i="57"/>
  <c r="DU61" i="57"/>
  <c r="DV61" i="57" s="1"/>
  <c r="EP61" i="57"/>
  <c r="DV56" i="57"/>
  <c r="DU56" i="57"/>
  <c r="EP56" i="57"/>
  <c r="DV70" i="57"/>
  <c r="EP70" i="57"/>
  <c r="CS27" i="92"/>
  <c r="CT27" i="92" s="1"/>
  <c r="DN27" i="92"/>
  <c r="CE46" i="69"/>
  <c r="BF19" i="86"/>
  <c r="CC16" i="61"/>
  <c r="BT51" i="77"/>
  <c r="BQ26" i="60"/>
  <c r="BQ28" i="60"/>
  <c r="BQ27" i="60"/>
  <c r="BQ44" i="60"/>
  <c r="BQ25" i="60"/>
  <c r="BQ24" i="60"/>
  <c r="BX81" i="92"/>
  <c r="BY81" i="92" s="1"/>
  <c r="CH81" i="92"/>
  <c r="BT73" i="81"/>
  <c r="DJ59" i="57"/>
  <c r="DI75" i="57"/>
  <c r="DJ76" i="57" s="1"/>
  <c r="BQ33" i="60"/>
  <c r="BQ50" i="60"/>
  <c r="BQ23" i="60"/>
  <c r="BQ41" i="60"/>
  <c r="BQ35" i="60"/>
  <c r="BQ34" i="60"/>
  <c r="BQ32" i="60"/>
  <c r="BQ15" i="60"/>
  <c r="DJ30" i="66"/>
  <c r="DU31" i="66" s="1"/>
  <c r="DI30" i="66"/>
  <c r="DJ34" i="66" s="1"/>
  <c r="CC21" i="61"/>
  <c r="DA75" i="57"/>
  <c r="DD75" i="57"/>
  <c r="BQ20" i="60"/>
  <c r="BJ54" i="60"/>
  <c r="BJ57" i="60"/>
  <c r="BK57" i="60" s="1"/>
  <c r="BR57" i="60" s="1"/>
  <c r="BQ19" i="60"/>
  <c r="BP19" i="89"/>
  <c r="BO17" i="89"/>
  <c r="BO20" i="89" s="1"/>
  <c r="BJ35" i="60"/>
  <c r="BO20" i="84"/>
  <c r="BC75" i="57"/>
  <c r="BJ20" i="60"/>
  <c r="BM15" i="86"/>
  <c r="BN15" i="86" s="1"/>
  <c r="CC15" i="61"/>
  <c r="CU20" i="89"/>
  <c r="CV21" i="89" s="1"/>
  <c r="CA49" i="78"/>
  <c r="BF75" i="57"/>
  <c r="BD75" i="57"/>
  <c r="BE75" i="57"/>
  <c r="BY19" i="86"/>
  <c r="CF15" i="86"/>
  <c r="CA19" i="86"/>
  <c r="CB19" i="86"/>
  <c r="BZ19" i="86"/>
  <c r="BJ54" i="57"/>
  <c r="BH17" i="89"/>
  <c r="BI19" i="86"/>
  <c r="BM19" i="86" s="1"/>
  <c r="BM18" i="86"/>
  <c r="BA20" i="89"/>
  <c r="BM22" i="81"/>
  <c r="O54" i="60"/>
  <c r="AA54" i="60"/>
  <c r="AB54" i="60" s="1"/>
  <c r="O57" i="60"/>
  <c r="AB57" i="60"/>
  <c r="AP54" i="60"/>
  <c r="Y17" i="89"/>
  <c r="Z17" i="89" s="1"/>
  <c r="M17" i="89"/>
  <c r="L17" i="89"/>
  <c r="K17" i="89" s="1"/>
  <c r="DV26" i="57" l="1"/>
  <c r="DU75" i="57"/>
  <c r="DJ75" i="57"/>
  <c r="DQ76" i="57" s="1"/>
  <c r="DQ59" i="57"/>
  <c r="EP59" i="57" s="1"/>
  <c r="EP75" i="57" s="1"/>
  <c r="CO81" i="92"/>
  <c r="BK54" i="60"/>
  <c r="BR54" i="60" s="1"/>
  <c r="BN22" i="81"/>
  <c r="CF19" i="86"/>
  <c r="CG15" i="86"/>
  <c r="BI17" i="89"/>
  <c r="P17" i="89"/>
  <c r="O17" i="89" s="1"/>
  <c r="AW16" i="81"/>
  <c r="AX16" i="81"/>
  <c r="AW17" i="81"/>
  <c r="AX17" i="81"/>
  <c r="AW18" i="81"/>
  <c r="AX18" i="81"/>
  <c r="AW19" i="81"/>
  <c r="AX19" i="81"/>
  <c r="AW23" i="81"/>
  <c r="AX23" i="81"/>
  <c r="AW24" i="81"/>
  <c r="AX24" i="81"/>
  <c r="AW26" i="81"/>
  <c r="AX26" i="81"/>
  <c r="AW27" i="81"/>
  <c r="AX27" i="81"/>
  <c r="AW28" i="81"/>
  <c r="AX28" i="81"/>
  <c r="AW29" i="81"/>
  <c r="AX29" i="81"/>
  <c r="AW30" i="81"/>
  <c r="AX30" i="81"/>
  <c r="AW31" i="81"/>
  <c r="AX31" i="81"/>
  <c r="AW36" i="81"/>
  <c r="AX36" i="81"/>
  <c r="AW37" i="81"/>
  <c r="AX37" i="81"/>
  <c r="AW38" i="81"/>
  <c r="AX38" i="81"/>
  <c r="AW39" i="81"/>
  <c r="AX39" i="81"/>
  <c r="AW40" i="81"/>
  <c r="AX40" i="81"/>
  <c r="AW41" i="81"/>
  <c r="AX41" i="81"/>
  <c r="AW42" i="81"/>
  <c r="AX42" i="81"/>
  <c r="AW43" i="81"/>
  <c r="AX43" i="81"/>
  <c r="AW44" i="81"/>
  <c r="AX44" i="81"/>
  <c r="AW45" i="81"/>
  <c r="AX45" i="81"/>
  <c r="AW46" i="81"/>
  <c r="AX46" i="81"/>
  <c r="AW50" i="81"/>
  <c r="AX50" i="81"/>
  <c r="AW51" i="81"/>
  <c r="AX51" i="81"/>
  <c r="AW52" i="81"/>
  <c r="AX52" i="81"/>
  <c r="AW53" i="81"/>
  <c r="AX53" i="81"/>
  <c r="AW54" i="81"/>
  <c r="AX54" i="81"/>
  <c r="AW55" i="81"/>
  <c r="AX55" i="81"/>
  <c r="AW56" i="81"/>
  <c r="AX56" i="81"/>
  <c r="AW57" i="81"/>
  <c r="AX57" i="81"/>
  <c r="AW58" i="81"/>
  <c r="AX58" i="81"/>
  <c r="AW59" i="81"/>
  <c r="AX59" i="81"/>
  <c r="AW60" i="81"/>
  <c r="AX60" i="81"/>
  <c r="AW61" i="81"/>
  <c r="AX61" i="81"/>
  <c r="AW62" i="81"/>
  <c r="AX62" i="81"/>
  <c r="AW63" i="81"/>
  <c r="AX63" i="81"/>
  <c r="AW64" i="81"/>
  <c r="AX64" i="81"/>
  <c r="AW65" i="81"/>
  <c r="AX65" i="81"/>
  <c r="AW66" i="81"/>
  <c r="AX66" i="81"/>
  <c r="AW67" i="81"/>
  <c r="AX67" i="81"/>
  <c r="AW68" i="81"/>
  <c r="AX68" i="81"/>
  <c r="AW69" i="81"/>
  <c r="AX69" i="81"/>
  <c r="AV16" i="81"/>
  <c r="AV17" i="81"/>
  <c r="AV18" i="81"/>
  <c r="AV19" i="81"/>
  <c r="AV23" i="81"/>
  <c r="AV24" i="81"/>
  <c r="AV26" i="81"/>
  <c r="AV27" i="81"/>
  <c r="AV28" i="81"/>
  <c r="AV29" i="81"/>
  <c r="AV30" i="81"/>
  <c r="AV31" i="81"/>
  <c r="AV36" i="81"/>
  <c r="AV37" i="81"/>
  <c r="AV38" i="81"/>
  <c r="AV39" i="81"/>
  <c r="AV40" i="81"/>
  <c r="AV41" i="81"/>
  <c r="AV42" i="81"/>
  <c r="AV43" i="81"/>
  <c r="AV44" i="81"/>
  <c r="AV45" i="81"/>
  <c r="AV46" i="81"/>
  <c r="AV50" i="81"/>
  <c r="AV51" i="81"/>
  <c r="AV52" i="81"/>
  <c r="AV53" i="81"/>
  <c r="AV54" i="81"/>
  <c r="AV55" i="81"/>
  <c r="AV56" i="81"/>
  <c r="AV57" i="81"/>
  <c r="AV58" i="81"/>
  <c r="AV59" i="81"/>
  <c r="AV60" i="81"/>
  <c r="AV61" i="81"/>
  <c r="AV62" i="81"/>
  <c r="AV63" i="81"/>
  <c r="AV64" i="81"/>
  <c r="AV65" i="81"/>
  <c r="AV66" i="81"/>
  <c r="AV67" i="81"/>
  <c r="AV68" i="81"/>
  <c r="AV69" i="81"/>
  <c r="AT24" i="61"/>
  <c r="AU24" i="61"/>
  <c r="AS24" i="61"/>
  <c r="AT18" i="62"/>
  <c r="AU18" i="62"/>
  <c r="AT19" i="62"/>
  <c r="AU19" i="62"/>
  <c r="AT21" i="62"/>
  <c r="AU21" i="62"/>
  <c r="AT22" i="62"/>
  <c r="AU22" i="62"/>
  <c r="AT23" i="62"/>
  <c r="AU23" i="62"/>
  <c r="AT24" i="62"/>
  <c r="AU24" i="62"/>
  <c r="AT25" i="62"/>
  <c r="AU25" i="62"/>
  <c r="AT26" i="62"/>
  <c r="AU26" i="62"/>
  <c r="AT27" i="62"/>
  <c r="AU27" i="62"/>
  <c r="AT28" i="62"/>
  <c r="AU28" i="62"/>
  <c r="AT29" i="62"/>
  <c r="AU29" i="62"/>
  <c r="AT30" i="62"/>
  <c r="AU30" i="62"/>
  <c r="AT31" i="62"/>
  <c r="AU31" i="62"/>
  <c r="AT32" i="62"/>
  <c r="AU32" i="62"/>
  <c r="AT33" i="62"/>
  <c r="AU33" i="62"/>
  <c r="AT35" i="62"/>
  <c r="AU35" i="62"/>
  <c r="AT36" i="62"/>
  <c r="AU36" i="62"/>
  <c r="AT37" i="62"/>
  <c r="AU37" i="62"/>
  <c r="AT38" i="62"/>
  <c r="AU38" i="62"/>
  <c r="AT39" i="62"/>
  <c r="AU39" i="62"/>
  <c r="AT41" i="62"/>
  <c r="AU41" i="62"/>
  <c r="AT43" i="62"/>
  <c r="AU43" i="62"/>
  <c r="AT45" i="62"/>
  <c r="AU45" i="62"/>
  <c r="AT46" i="62"/>
  <c r="AU46" i="62"/>
  <c r="AT47" i="62"/>
  <c r="AU47" i="62"/>
  <c r="AT48" i="62"/>
  <c r="AU48" i="62"/>
  <c r="AT49" i="62"/>
  <c r="AU49" i="62"/>
  <c r="AS45" i="62"/>
  <c r="AS46" i="62"/>
  <c r="AS47" i="62"/>
  <c r="AS48" i="62"/>
  <c r="AS49" i="62"/>
  <c r="AS43" i="62"/>
  <c r="AS41" i="62"/>
  <c r="AS35" i="62"/>
  <c r="AS36" i="62"/>
  <c r="AS37" i="62"/>
  <c r="AS38" i="62"/>
  <c r="AS39" i="62"/>
  <c r="AS22" i="62"/>
  <c r="AS23" i="62"/>
  <c r="AS24" i="62"/>
  <c r="AS25" i="62"/>
  <c r="AS26" i="62"/>
  <c r="AS27" i="62"/>
  <c r="AS28" i="62"/>
  <c r="AS29" i="62"/>
  <c r="AS30" i="62"/>
  <c r="AS31" i="62"/>
  <c r="AS32" i="62"/>
  <c r="AS33" i="62"/>
  <c r="AS21" i="62"/>
  <c r="AS19" i="62"/>
  <c r="AS18" i="62"/>
  <c r="AT35" i="57"/>
  <c r="AU35" i="57"/>
  <c r="AT36" i="57"/>
  <c r="AU36" i="57"/>
  <c r="AS36" i="57"/>
  <c r="AS35" i="57"/>
  <c r="AT67" i="57"/>
  <c r="AU67" i="57"/>
  <c r="AS67" i="57"/>
  <c r="AT23" i="60"/>
  <c r="AU23" i="60"/>
  <c r="AT24" i="60"/>
  <c r="AU24" i="60"/>
  <c r="AT25" i="60"/>
  <c r="AU25" i="60"/>
  <c r="AT26" i="60"/>
  <c r="AU26" i="60"/>
  <c r="AT27" i="60"/>
  <c r="AU27" i="60"/>
  <c r="AT31" i="60"/>
  <c r="AU31" i="60"/>
  <c r="AT41" i="60"/>
  <c r="AU41" i="60"/>
  <c r="AT44" i="60"/>
  <c r="AU44" i="60"/>
  <c r="AT50" i="60"/>
  <c r="AU50" i="60"/>
  <c r="AT51" i="60"/>
  <c r="AU51" i="60"/>
  <c r="AS44" i="60"/>
  <c r="AS50" i="60"/>
  <c r="AS41" i="60"/>
  <c r="AS31" i="60"/>
  <c r="AS24" i="60"/>
  <c r="AS25" i="60"/>
  <c r="AS26" i="60"/>
  <c r="AS27" i="60"/>
  <c r="AS23" i="60"/>
  <c r="AT15" i="60"/>
  <c r="AU15" i="60"/>
  <c r="AS15" i="60"/>
  <c r="AU64" i="57"/>
  <c r="AT64" i="57"/>
  <c r="AT16" i="57"/>
  <c r="AU16" i="57"/>
  <c r="AT17" i="57"/>
  <c r="AU17" i="57"/>
  <c r="AT18" i="57"/>
  <c r="AU18" i="57"/>
  <c r="AT19" i="57"/>
  <c r="AU19" i="57"/>
  <c r="AT26" i="57"/>
  <c r="AU26" i="57"/>
  <c r="AT27" i="57"/>
  <c r="AU27" i="57"/>
  <c r="AT28" i="57"/>
  <c r="AU28" i="57"/>
  <c r="AT29" i="57"/>
  <c r="AU29" i="57"/>
  <c r="AT30" i="57"/>
  <c r="AU30" i="57"/>
  <c r="AT31" i="57"/>
  <c r="AU31" i="57"/>
  <c r="AT32" i="57"/>
  <c r="AU32" i="57"/>
  <c r="AT33" i="57"/>
  <c r="AU33" i="57"/>
  <c r="AT34" i="57"/>
  <c r="AU34" i="57"/>
  <c r="AT37" i="57"/>
  <c r="AU37" i="57"/>
  <c r="AT38" i="57"/>
  <c r="AU38" i="57"/>
  <c r="AT39" i="57"/>
  <c r="AU39" i="57"/>
  <c r="AT40" i="57"/>
  <c r="AU40" i="57"/>
  <c r="AT41" i="57"/>
  <c r="AU41" i="57"/>
  <c r="AT42" i="57"/>
  <c r="AU42" i="57"/>
  <c r="AT43" i="57"/>
  <c r="AU43" i="57"/>
  <c r="AT44" i="57"/>
  <c r="AU44" i="57"/>
  <c r="AT45" i="57"/>
  <c r="AU45" i="57"/>
  <c r="AT46" i="57"/>
  <c r="AU46" i="57"/>
  <c r="AT51" i="57"/>
  <c r="AU51" i="57"/>
  <c r="AT53" i="57"/>
  <c r="AU53" i="57"/>
  <c r="AT55" i="57"/>
  <c r="AU55" i="57"/>
  <c r="AT56" i="57"/>
  <c r="AU56" i="57"/>
  <c r="AT57" i="57"/>
  <c r="AU57" i="57"/>
  <c r="AT58" i="57"/>
  <c r="AU58" i="57"/>
  <c r="AT59" i="57"/>
  <c r="AU59" i="57"/>
  <c r="AT60" i="57"/>
  <c r="AU60" i="57"/>
  <c r="AT61" i="57"/>
  <c r="AU61" i="57"/>
  <c r="AT62" i="57"/>
  <c r="AU62" i="57"/>
  <c r="AT63" i="57"/>
  <c r="AU63" i="57"/>
  <c r="AT70" i="57"/>
  <c r="AU70" i="57"/>
  <c r="AT71" i="57"/>
  <c r="AU71" i="57"/>
  <c r="AT72" i="57"/>
  <c r="AU72" i="57"/>
  <c r="AS71" i="57"/>
  <c r="AS72" i="57"/>
  <c r="AS70" i="57"/>
  <c r="AS60" i="57"/>
  <c r="AS61" i="57"/>
  <c r="AS62" i="57"/>
  <c r="AS63" i="57"/>
  <c r="AS53" i="57"/>
  <c r="AS55" i="57"/>
  <c r="AS56" i="57"/>
  <c r="AS57" i="57"/>
  <c r="AS58" i="57"/>
  <c r="AS59" i="57"/>
  <c r="AS51" i="57"/>
  <c r="AS27" i="57"/>
  <c r="AS28" i="57"/>
  <c r="AS29" i="57"/>
  <c r="AS30" i="57"/>
  <c r="AS31" i="57"/>
  <c r="AS32" i="57"/>
  <c r="AS33" i="57"/>
  <c r="AS34" i="57"/>
  <c r="AS37" i="57"/>
  <c r="AS38" i="57"/>
  <c r="AS39" i="57"/>
  <c r="AS40" i="57"/>
  <c r="AS41" i="57"/>
  <c r="AS42" i="57"/>
  <c r="AS43" i="57"/>
  <c r="AS44" i="57"/>
  <c r="AS45" i="57"/>
  <c r="AS46" i="57"/>
  <c r="AS26" i="57"/>
  <c r="AS16" i="57"/>
  <c r="AS17" i="57"/>
  <c r="AS18" i="57"/>
  <c r="AS19" i="57"/>
  <c r="AS15" i="57"/>
  <c r="BJ15" i="57" s="1"/>
  <c r="AT15" i="61"/>
  <c r="AU15" i="61"/>
  <c r="AT16" i="61"/>
  <c r="AU16" i="61"/>
  <c r="AT17" i="61"/>
  <c r="AU17" i="61"/>
  <c r="AT18" i="61"/>
  <c r="AU18" i="61"/>
  <c r="AT19" i="61"/>
  <c r="AU19" i="61"/>
  <c r="AT20" i="61"/>
  <c r="AU20" i="61"/>
  <c r="AT21" i="61"/>
  <c r="AU21" i="61"/>
  <c r="AT22" i="61"/>
  <c r="AU22" i="61"/>
  <c r="AT23" i="61"/>
  <c r="AU23" i="61"/>
  <c r="AT33" i="61"/>
  <c r="AU33" i="61"/>
  <c r="AT34" i="61"/>
  <c r="AU34" i="61"/>
  <c r="AT35" i="61"/>
  <c r="AU35" i="61"/>
  <c r="AT39" i="61"/>
  <c r="AU39" i="61"/>
  <c r="AT40" i="61"/>
  <c r="AU40" i="61"/>
  <c r="AT41" i="61"/>
  <c r="AU41" i="61"/>
  <c r="AS33" i="61"/>
  <c r="AS34" i="61"/>
  <c r="AS35" i="61"/>
  <c r="AS39" i="61"/>
  <c r="AS40" i="61"/>
  <c r="AS41" i="61"/>
  <c r="AS16" i="61"/>
  <c r="AS17" i="61"/>
  <c r="AS18" i="61"/>
  <c r="AS19" i="61"/>
  <c r="AS20" i="61"/>
  <c r="AS21" i="61"/>
  <c r="AS22" i="61"/>
  <c r="AS23" i="61"/>
  <c r="AS15" i="61"/>
  <c r="AT15" i="65"/>
  <c r="AU15" i="65"/>
  <c r="AT16" i="65"/>
  <c r="AU16" i="65"/>
  <c r="AT17" i="65"/>
  <c r="AU17" i="65"/>
  <c r="AT18" i="65"/>
  <c r="AU18" i="65"/>
  <c r="AT25" i="65"/>
  <c r="AU25" i="65"/>
  <c r="AT26" i="65"/>
  <c r="AU26" i="65"/>
  <c r="AT27" i="65"/>
  <c r="AU27" i="65"/>
  <c r="AS26" i="65"/>
  <c r="AS27" i="65"/>
  <c r="AS28" i="65"/>
  <c r="BJ28" i="65" s="1"/>
  <c r="AS25" i="65"/>
  <c r="AS16" i="65"/>
  <c r="AS17" i="65"/>
  <c r="AS18" i="65"/>
  <c r="AS15" i="65"/>
  <c r="AT15" i="66"/>
  <c r="AU15" i="66"/>
  <c r="AS15" i="66"/>
  <c r="AT15" i="67"/>
  <c r="AU15" i="67"/>
  <c r="AT16" i="67"/>
  <c r="AU16" i="67"/>
  <c r="AT17" i="67"/>
  <c r="AU17" i="67"/>
  <c r="AT18" i="67"/>
  <c r="AU18" i="67"/>
  <c r="AT19" i="67"/>
  <c r="AU19" i="67"/>
  <c r="AT27" i="67"/>
  <c r="AU27" i="67"/>
  <c r="AT28" i="67"/>
  <c r="AU28" i="67"/>
  <c r="AS28" i="67"/>
  <c r="AS27" i="67"/>
  <c r="AS16" i="67"/>
  <c r="AS17" i="67"/>
  <c r="AS18" i="67"/>
  <c r="AS19" i="67"/>
  <c r="AS15" i="67"/>
  <c r="G15" i="68"/>
  <c r="AA15" i="68"/>
  <c r="AT18" i="63"/>
  <c r="AU18" i="63"/>
  <c r="AT19" i="63"/>
  <c r="AU19" i="63"/>
  <c r="AT20" i="63"/>
  <c r="AU20" i="63"/>
  <c r="AT22" i="63"/>
  <c r="AU22" i="63"/>
  <c r="AT23" i="63"/>
  <c r="AU23" i="63"/>
  <c r="AT24" i="63"/>
  <c r="AU24" i="63"/>
  <c r="AT25" i="63"/>
  <c r="AU25" i="63"/>
  <c r="AS19" i="63"/>
  <c r="AS20" i="63"/>
  <c r="AS22" i="63"/>
  <c r="AS23" i="63"/>
  <c r="AS24" i="63"/>
  <c r="AS25" i="63"/>
  <c r="AS18" i="63"/>
  <c r="AV25" i="69"/>
  <c r="AW25" i="69"/>
  <c r="AV26" i="69"/>
  <c r="AW26" i="69"/>
  <c r="AV33" i="69"/>
  <c r="AW33" i="69"/>
  <c r="AV34" i="69"/>
  <c r="AW34" i="69"/>
  <c r="AV37" i="69"/>
  <c r="AW37" i="69"/>
  <c r="AV38" i="69"/>
  <c r="AW38" i="69"/>
  <c r="AV39" i="69"/>
  <c r="AW39" i="69"/>
  <c r="AV42" i="69"/>
  <c r="AW42" i="69"/>
  <c r="AV45" i="69"/>
  <c r="AW45" i="69"/>
  <c r="AU34" i="69"/>
  <c r="AU37" i="69"/>
  <c r="AU38" i="69"/>
  <c r="AU39" i="69"/>
  <c r="AU42" i="69"/>
  <c r="AU45" i="69"/>
  <c r="AU33" i="69"/>
  <c r="AU26" i="69"/>
  <c r="AU25" i="69"/>
  <c r="AV19" i="70"/>
  <c r="AW19" i="70"/>
  <c r="AV20" i="70"/>
  <c r="AW20" i="70"/>
  <c r="AV21" i="70"/>
  <c r="AW21" i="70"/>
  <c r="AV22" i="70"/>
  <c r="AW22" i="70"/>
  <c r="AV23" i="70"/>
  <c r="AW23" i="70"/>
  <c r="AV24" i="70"/>
  <c r="AW24" i="70"/>
  <c r="AV25" i="70"/>
  <c r="AW25" i="70"/>
  <c r="AV26" i="70"/>
  <c r="AW26" i="70"/>
  <c r="AV27" i="70"/>
  <c r="AW27" i="70"/>
  <c r="AV28" i="70"/>
  <c r="AW28" i="70"/>
  <c r="AU20" i="70"/>
  <c r="AU21" i="70"/>
  <c r="AU22" i="70"/>
  <c r="AU23" i="70"/>
  <c r="AU24" i="70"/>
  <c r="AU25" i="70"/>
  <c r="AU26" i="70"/>
  <c r="AU27" i="70"/>
  <c r="AU28" i="70"/>
  <c r="AU19" i="70"/>
  <c r="AU15" i="73"/>
  <c r="AV15" i="73"/>
  <c r="AU16" i="73"/>
  <c r="AV16" i="73"/>
  <c r="AU17" i="73"/>
  <c r="AV17" i="73"/>
  <c r="AU18" i="73"/>
  <c r="AV18" i="73"/>
  <c r="AU19" i="73"/>
  <c r="AV19" i="73"/>
  <c r="AU20" i="73"/>
  <c r="AV20" i="73"/>
  <c r="AU22" i="73"/>
  <c r="AV22" i="73"/>
  <c r="AU23" i="73"/>
  <c r="AV23" i="73"/>
  <c r="AU24" i="73"/>
  <c r="AV24" i="73"/>
  <c r="AU27" i="73"/>
  <c r="AV27" i="73"/>
  <c r="AU28" i="73"/>
  <c r="AV28" i="73"/>
  <c r="AU29" i="73"/>
  <c r="AV29" i="73"/>
  <c r="AU30" i="73"/>
  <c r="AV30" i="73"/>
  <c r="AU31" i="73"/>
  <c r="AV31" i="73"/>
  <c r="AU32" i="73"/>
  <c r="AV32" i="73"/>
  <c r="AT16" i="73"/>
  <c r="AT17" i="73"/>
  <c r="AT18" i="73"/>
  <c r="AT19" i="73"/>
  <c r="AT20" i="73"/>
  <c r="AT22" i="73"/>
  <c r="AT23" i="73"/>
  <c r="AT24" i="73"/>
  <c r="AT27" i="73"/>
  <c r="AT28" i="73"/>
  <c r="AT29" i="73"/>
  <c r="AT30" i="73"/>
  <c r="AT31" i="73"/>
  <c r="AT32" i="73"/>
  <c r="AT15" i="73"/>
  <c r="AW15" i="77"/>
  <c r="AX15" i="77"/>
  <c r="AW16" i="77"/>
  <c r="AX16" i="77"/>
  <c r="AW17" i="77"/>
  <c r="AX17" i="77"/>
  <c r="AW18" i="77"/>
  <c r="AX18" i="77"/>
  <c r="AW19" i="77"/>
  <c r="AX19" i="77"/>
  <c r="AW20" i="77"/>
  <c r="AX20" i="77"/>
  <c r="AW21" i="77"/>
  <c r="AX21" i="77"/>
  <c r="AW22" i="77"/>
  <c r="AX22" i="77"/>
  <c r="AW23" i="77"/>
  <c r="AX23" i="77"/>
  <c r="AW24" i="77"/>
  <c r="AX24" i="77"/>
  <c r="AW25" i="77"/>
  <c r="AX25" i="77"/>
  <c r="AW26" i="77"/>
  <c r="AX26" i="77"/>
  <c r="AW27" i="77"/>
  <c r="AX27" i="77"/>
  <c r="AW28" i="77"/>
  <c r="AX28" i="77"/>
  <c r="AW29" i="77"/>
  <c r="AX29" i="77"/>
  <c r="AW30" i="77"/>
  <c r="AX30" i="77"/>
  <c r="AW31" i="77"/>
  <c r="AX31" i="77"/>
  <c r="AW32" i="77"/>
  <c r="AX32" i="77"/>
  <c r="AW33" i="77"/>
  <c r="AX33" i="77"/>
  <c r="AW34" i="77"/>
  <c r="AX34" i="77"/>
  <c r="AW35" i="77"/>
  <c r="AX35" i="77"/>
  <c r="AW36" i="77"/>
  <c r="AX36" i="77"/>
  <c r="AW37" i="77"/>
  <c r="AX37" i="77"/>
  <c r="AW38" i="77"/>
  <c r="AX38" i="77"/>
  <c r="AW39" i="77"/>
  <c r="AX39" i="77"/>
  <c r="AW40" i="77"/>
  <c r="AX40" i="77"/>
  <c r="AW41" i="77"/>
  <c r="AX41" i="77"/>
  <c r="AW42" i="77"/>
  <c r="AX42" i="77"/>
  <c r="AW43" i="77"/>
  <c r="AX43" i="77"/>
  <c r="AW44" i="77"/>
  <c r="AX44" i="77"/>
  <c r="AW45" i="77"/>
  <c r="AX45" i="77"/>
  <c r="AW46" i="77"/>
  <c r="AX46" i="77"/>
  <c r="AW47" i="77"/>
  <c r="AX47" i="77"/>
  <c r="AW48" i="77"/>
  <c r="AX48" i="77"/>
  <c r="AW49" i="77"/>
  <c r="AX49" i="77"/>
  <c r="AW50" i="77"/>
  <c r="AX50" i="77"/>
  <c r="AV16" i="77"/>
  <c r="AV17" i="77"/>
  <c r="AV18" i="77"/>
  <c r="AV19" i="77"/>
  <c r="AV20" i="77"/>
  <c r="AV21" i="77"/>
  <c r="AV22" i="77"/>
  <c r="AV23" i="77"/>
  <c r="AV24" i="77"/>
  <c r="AV25" i="77"/>
  <c r="AV26" i="77"/>
  <c r="AV27" i="77"/>
  <c r="AV28" i="77"/>
  <c r="AV29" i="77"/>
  <c r="AV30" i="77"/>
  <c r="AV31" i="77"/>
  <c r="AV32" i="77"/>
  <c r="AV33" i="77"/>
  <c r="AV34" i="77"/>
  <c r="AV35" i="77"/>
  <c r="AV36" i="77"/>
  <c r="AV37" i="77"/>
  <c r="AV38" i="77"/>
  <c r="AV39" i="77"/>
  <c r="AV40" i="77"/>
  <c r="AV41" i="77"/>
  <c r="AV42" i="77"/>
  <c r="AV43" i="77"/>
  <c r="AV44" i="77"/>
  <c r="AV45" i="77"/>
  <c r="AV46" i="77"/>
  <c r="AV47" i="77"/>
  <c r="AV48" i="77"/>
  <c r="AV49" i="77"/>
  <c r="AV50" i="77"/>
  <c r="AV15" i="77"/>
  <c r="AR19" i="78"/>
  <c r="AS19" i="78"/>
  <c r="AR20" i="78"/>
  <c r="AS20" i="78"/>
  <c r="AR21" i="78"/>
  <c r="AS21" i="78"/>
  <c r="AR27" i="78"/>
  <c r="AS27" i="78"/>
  <c r="AR28" i="78"/>
  <c r="AS28" i="78"/>
  <c r="AR31" i="78"/>
  <c r="AS31" i="78"/>
  <c r="AR35" i="78"/>
  <c r="AS35" i="78"/>
  <c r="AR42" i="78"/>
  <c r="AS42" i="78"/>
  <c r="AR45" i="78"/>
  <c r="AS45" i="78"/>
  <c r="AR48" i="78"/>
  <c r="AS48" i="78"/>
  <c r="AQ42" i="78"/>
  <c r="AQ45" i="78"/>
  <c r="AQ48" i="78"/>
  <c r="AQ35" i="78"/>
  <c r="AQ31" i="78"/>
  <c r="AQ20" i="78"/>
  <c r="AQ21" i="78"/>
  <c r="AQ27" i="78"/>
  <c r="AQ28" i="78"/>
  <c r="AQ19" i="78"/>
  <c r="AW15" i="80"/>
  <c r="AW16" i="80"/>
  <c r="AX16" i="80"/>
  <c r="AW17" i="80"/>
  <c r="AX17" i="80"/>
  <c r="AW18" i="80"/>
  <c r="AX18" i="80"/>
  <c r="AW19" i="80"/>
  <c r="AX19" i="80"/>
  <c r="AW23" i="80"/>
  <c r="AX23" i="80"/>
  <c r="AW24" i="80"/>
  <c r="AX24" i="80"/>
  <c r="AW27" i="80"/>
  <c r="AX27" i="80"/>
  <c r="AW28" i="80"/>
  <c r="AX28" i="80"/>
  <c r="AW29" i="80"/>
  <c r="AX29" i="80"/>
  <c r="AV16" i="80"/>
  <c r="AV17" i="80"/>
  <c r="AV18" i="80"/>
  <c r="AV19" i="80"/>
  <c r="AV23" i="80"/>
  <c r="AV24" i="80"/>
  <c r="AV27" i="80"/>
  <c r="AV28" i="80"/>
  <c r="AV29" i="80"/>
  <c r="AV15" i="80"/>
  <c r="BM15" i="80" s="1"/>
  <c r="AX70" i="81"/>
  <c r="AW70" i="81"/>
  <c r="AV70" i="81"/>
  <c r="AW15" i="84"/>
  <c r="AX15" i="84"/>
  <c r="AW16" i="84"/>
  <c r="AX16" i="84"/>
  <c r="AW17" i="84"/>
  <c r="AX17" i="84"/>
  <c r="AW18" i="84"/>
  <c r="AX18" i="84"/>
  <c r="AV16" i="84"/>
  <c r="AV17" i="84"/>
  <c r="AV18" i="84"/>
  <c r="AV15" i="84"/>
  <c r="AW15" i="85"/>
  <c r="AX15" i="85"/>
  <c r="AW16" i="85"/>
  <c r="AX16" i="85"/>
  <c r="AW17" i="85"/>
  <c r="AX17" i="85"/>
  <c r="AW18" i="85"/>
  <c r="AX18" i="85"/>
  <c r="AW22" i="85"/>
  <c r="AX22" i="85"/>
  <c r="AW23" i="85"/>
  <c r="AX23" i="85"/>
  <c r="AV16" i="85"/>
  <c r="AV17" i="85"/>
  <c r="AV18" i="85"/>
  <c r="AV22" i="85"/>
  <c r="AV23" i="85"/>
  <c r="AV15" i="85"/>
  <c r="AT19" i="90"/>
  <c r="AU19" i="90"/>
  <c r="AS19" i="90"/>
  <c r="AT20" i="91"/>
  <c r="AT21" i="91" s="1"/>
  <c r="AU20" i="91"/>
  <c r="AU21" i="91" s="1"/>
  <c r="AS20" i="91"/>
  <c r="AV16" i="92"/>
  <c r="AW16" i="92"/>
  <c r="AV17" i="92"/>
  <c r="AW17" i="92"/>
  <c r="AV22" i="92"/>
  <c r="AW22" i="92"/>
  <c r="AV23" i="92"/>
  <c r="AW23" i="92"/>
  <c r="AV28" i="92"/>
  <c r="AW28" i="92"/>
  <c r="AV29" i="92"/>
  <c r="AW29" i="92"/>
  <c r="AV34" i="92"/>
  <c r="AW34" i="92"/>
  <c r="AV35" i="92"/>
  <c r="AW35" i="92"/>
  <c r="AV37" i="92"/>
  <c r="AW37" i="92"/>
  <c r="AV38" i="92"/>
  <c r="AW38" i="92"/>
  <c r="AV41" i="92"/>
  <c r="AW41" i="92"/>
  <c r="AV42" i="92"/>
  <c r="AW42" i="92"/>
  <c r="AV45" i="92"/>
  <c r="AW45" i="92"/>
  <c r="AV46" i="92"/>
  <c r="AW46" i="92"/>
  <c r="AV48" i="92"/>
  <c r="AW48" i="92"/>
  <c r="AV49" i="92"/>
  <c r="AW49" i="92"/>
  <c r="AV51" i="92"/>
  <c r="AW51" i="92"/>
  <c r="AV52" i="92"/>
  <c r="AW52" i="92"/>
  <c r="AV54" i="92"/>
  <c r="AW54" i="92"/>
  <c r="AV55" i="92"/>
  <c r="AW55" i="92"/>
  <c r="AV57" i="92"/>
  <c r="AW57" i="92"/>
  <c r="AV58" i="92"/>
  <c r="AW58" i="92"/>
  <c r="AV60" i="92"/>
  <c r="AW60" i="92"/>
  <c r="AV61" i="92"/>
  <c r="AW61" i="92"/>
  <c r="AV70" i="92"/>
  <c r="AW70" i="92"/>
  <c r="AV71" i="92"/>
  <c r="AW71" i="92"/>
  <c r="AV73" i="92"/>
  <c r="AW73" i="92"/>
  <c r="AV74" i="92"/>
  <c r="AW74" i="92"/>
  <c r="AV82" i="92"/>
  <c r="AW82" i="92"/>
  <c r="AV83" i="92"/>
  <c r="AW83" i="92"/>
  <c r="AV85" i="92"/>
  <c r="AW85" i="92"/>
  <c r="AV86" i="92"/>
  <c r="AW86" i="92"/>
  <c r="AU22" i="92"/>
  <c r="AU23" i="92"/>
  <c r="AU28" i="92"/>
  <c r="AU29" i="92"/>
  <c r="AU34" i="92"/>
  <c r="AU35" i="92"/>
  <c r="AU37" i="92"/>
  <c r="AU38" i="92"/>
  <c r="AU41" i="92"/>
  <c r="AU42" i="92"/>
  <c r="AU45" i="92"/>
  <c r="AU46" i="92"/>
  <c r="AU48" i="92"/>
  <c r="AU49" i="92"/>
  <c r="AU51" i="92"/>
  <c r="AU52" i="92"/>
  <c r="AU54" i="92"/>
  <c r="AU55" i="92"/>
  <c r="AU57" i="92"/>
  <c r="AU58" i="92"/>
  <c r="AU60" i="92"/>
  <c r="AU61" i="92"/>
  <c r="AU70" i="92"/>
  <c r="AU71" i="92"/>
  <c r="AU73" i="92"/>
  <c r="AU74" i="92"/>
  <c r="AU82" i="92"/>
  <c r="AU83" i="92"/>
  <c r="AU85" i="92"/>
  <c r="AU86" i="92"/>
  <c r="AU16" i="92"/>
  <c r="AU17" i="92"/>
  <c r="AV14" i="93"/>
  <c r="AW14" i="93"/>
  <c r="AV16" i="93"/>
  <c r="AW16" i="93"/>
  <c r="AV18" i="93"/>
  <c r="AW18" i="93"/>
  <c r="AV19" i="93"/>
  <c r="AW19" i="93"/>
  <c r="AV20" i="93"/>
  <c r="AW20" i="93"/>
  <c r="AV21" i="93"/>
  <c r="AW21" i="93"/>
  <c r="AV22" i="93"/>
  <c r="AW22" i="93"/>
  <c r="AV23" i="93"/>
  <c r="AW23" i="93"/>
  <c r="AV24" i="93"/>
  <c r="AW24" i="93"/>
  <c r="AV25" i="93"/>
  <c r="AW25" i="93"/>
  <c r="AV26" i="93"/>
  <c r="AW26" i="93"/>
  <c r="AV27" i="93"/>
  <c r="AW27" i="93"/>
  <c r="AV31" i="93"/>
  <c r="AW31" i="93"/>
  <c r="AV32" i="93"/>
  <c r="AW32" i="93"/>
  <c r="AV34" i="93"/>
  <c r="AW34" i="93"/>
  <c r="AV35" i="93"/>
  <c r="AW35" i="93"/>
  <c r="AV36" i="93"/>
  <c r="AW36" i="93"/>
  <c r="AV38" i="93"/>
  <c r="AW38" i="93"/>
  <c r="AV39" i="93"/>
  <c r="AW39" i="93"/>
  <c r="AV40" i="93"/>
  <c r="AW40" i="93"/>
  <c r="AV41" i="93"/>
  <c r="AW41" i="93"/>
  <c r="AV42" i="93"/>
  <c r="AW42" i="93"/>
  <c r="AV43" i="93"/>
  <c r="AW43" i="93"/>
  <c r="AV44" i="93"/>
  <c r="AW44" i="93"/>
  <c r="AV45" i="93"/>
  <c r="AW45" i="93"/>
  <c r="AV46" i="93"/>
  <c r="AW46" i="93"/>
  <c r="AV47" i="93"/>
  <c r="AW47" i="93"/>
  <c r="AV48" i="93"/>
  <c r="AW48" i="93"/>
  <c r="AU48" i="93"/>
  <c r="AU47" i="93"/>
  <c r="AU46" i="93"/>
  <c r="AU45" i="93"/>
  <c r="AU44" i="93"/>
  <c r="AU43" i="93"/>
  <c r="AU42" i="93"/>
  <c r="AU41" i="93"/>
  <c r="AU40" i="93"/>
  <c r="AU39" i="93"/>
  <c r="AU38" i="93"/>
  <c r="AU36" i="93"/>
  <c r="AU35" i="93"/>
  <c r="AU34" i="93"/>
  <c r="AU32" i="93"/>
  <c r="AU31" i="93"/>
  <c r="AU27" i="93"/>
  <c r="AU26" i="93"/>
  <c r="AU25" i="93"/>
  <c r="AU24" i="93"/>
  <c r="AU23" i="93"/>
  <c r="AU22" i="93"/>
  <c r="AU21" i="93"/>
  <c r="AU20" i="93"/>
  <c r="AU19" i="93"/>
  <c r="AU18" i="93"/>
  <c r="AU16" i="93"/>
  <c r="AU14" i="93"/>
  <c r="AR15" i="89"/>
  <c r="AS15" i="89"/>
  <c r="AQ15" i="89"/>
  <c r="AS72" i="81"/>
  <c r="AC72" i="81"/>
  <c r="G72" i="81"/>
  <c r="AO25" i="66"/>
  <c r="AP25" i="66" s="1"/>
  <c r="AQ25" i="66" s="1"/>
  <c r="Z25" i="66"/>
  <c r="AB25" i="66" s="1"/>
  <c r="G25" i="66"/>
  <c r="H25" i="66" s="1"/>
  <c r="CS81" i="92" l="1"/>
  <c r="CT81" i="92" s="1"/>
  <c r="DN81" i="92"/>
  <c r="DV59" i="57"/>
  <c r="DQ75" i="57"/>
  <c r="EP76" i="57" s="1"/>
  <c r="AU46" i="69"/>
  <c r="AW46" i="69"/>
  <c r="AV46" i="69"/>
  <c r="BK15" i="73"/>
  <c r="BL22" i="70"/>
  <c r="BL45" i="69"/>
  <c r="BL39" i="69"/>
  <c r="BM18" i="84"/>
  <c r="BM18" i="80"/>
  <c r="BJ23" i="60"/>
  <c r="BM23" i="85"/>
  <c r="BM18" i="85"/>
  <c r="BM22" i="85"/>
  <c r="BM15" i="85"/>
  <c r="BL18" i="93"/>
  <c r="BL22" i="93"/>
  <c r="BL26" i="93"/>
  <c r="BL34" i="93"/>
  <c r="BL39" i="93"/>
  <c r="BL43" i="93"/>
  <c r="BM43" i="93" s="1"/>
  <c r="BT43" i="93" s="1"/>
  <c r="BL47" i="93"/>
  <c r="BM29" i="80"/>
  <c r="BH27" i="78"/>
  <c r="BH35" i="78"/>
  <c r="BM15" i="77"/>
  <c r="BM47" i="77"/>
  <c r="BM35" i="77"/>
  <c r="BM27" i="77"/>
  <c r="BM23" i="77"/>
  <c r="BK29" i="73"/>
  <c r="BK18" i="73"/>
  <c r="BL37" i="69"/>
  <c r="BH19" i="78"/>
  <c r="BH45" i="78"/>
  <c r="BM41" i="77"/>
  <c r="BM33" i="77"/>
  <c r="BM17" i="77"/>
  <c r="L72" i="81"/>
  <c r="N72" i="81" s="1"/>
  <c r="Q72" i="81"/>
  <c r="BZ22" i="81"/>
  <c r="CA22" i="81" s="1"/>
  <c r="BU22" i="81"/>
  <c r="AT72" i="81"/>
  <c r="AU72" i="81" s="1"/>
  <c r="AV72" i="81" s="1"/>
  <c r="BM31" i="81"/>
  <c r="BL26" i="69"/>
  <c r="BL25" i="69"/>
  <c r="BJ16" i="67"/>
  <c r="BJ15" i="65"/>
  <c r="BJ25" i="65"/>
  <c r="BJ15" i="61"/>
  <c r="BJ35" i="61"/>
  <c r="BJ18" i="61"/>
  <c r="BJ18" i="62"/>
  <c r="BJ19" i="62"/>
  <c r="BJ43" i="62"/>
  <c r="BJ64" i="57"/>
  <c r="BK64" i="57" s="1"/>
  <c r="CD64" i="57" s="1"/>
  <c r="BJ19" i="57"/>
  <c r="BJ39" i="57"/>
  <c r="BJ55" i="57"/>
  <c r="BJ29" i="57"/>
  <c r="BJ59" i="57"/>
  <c r="BJ61" i="57"/>
  <c r="BJ17" i="57"/>
  <c r="BK17" i="57" s="1"/>
  <c r="CD17" i="57" s="1"/>
  <c r="BJ45" i="57"/>
  <c r="BJ41" i="57"/>
  <c r="BJ37" i="57"/>
  <c r="BJ31" i="57"/>
  <c r="BJ70" i="57"/>
  <c r="BJ26" i="57"/>
  <c r="BJ25" i="60"/>
  <c r="BJ50" i="60"/>
  <c r="BJ27" i="60"/>
  <c r="BJ41" i="60"/>
  <c r="BJ26" i="60"/>
  <c r="BH15" i="89"/>
  <c r="BH20" i="89" s="1"/>
  <c r="BP17" i="89"/>
  <c r="BJ24" i="60"/>
  <c r="BJ15" i="60"/>
  <c r="BM68" i="81"/>
  <c r="BM60" i="81"/>
  <c r="BM56" i="81"/>
  <c r="BM52" i="81"/>
  <c r="BM45" i="81"/>
  <c r="BM41" i="81"/>
  <c r="BM62" i="81"/>
  <c r="BM43" i="81"/>
  <c r="BM39" i="81"/>
  <c r="BM19" i="81"/>
  <c r="BJ35" i="62"/>
  <c r="BJ22" i="62"/>
  <c r="BL20" i="93"/>
  <c r="BL24" i="93"/>
  <c r="BL14" i="93"/>
  <c r="BL31" i="93"/>
  <c r="BH20" i="78"/>
  <c r="BL28" i="70"/>
  <c r="BJ28" i="67"/>
  <c r="BJ17" i="65"/>
  <c r="BJ16" i="61"/>
  <c r="BJ36" i="57"/>
  <c r="BJ29" i="62"/>
  <c r="BJ25" i="62"/>
  <c r="BL36" i="93"/>
  <c r="BL45" i="93"/>
  <c r="BL21" i="93"/>
  <c r="BL25" i="93"/>
  <c r="BL32" i="93"/>
  <c r="BL38" i="93"/>
  <c r="BL42" i="93"/>
  <c r="BM42" i="93" s="1"/>
  <c r="BT42" i="93" s="1"/>
  <c r="BH28" i="78"/>
  <c r="BH31" i="78"/>
  <c r="BH42" i="78"/>
  <c r="BM44" i="77"/>
  <c r="BM24" i="77"/>
  <c r="BM20" i="77"/>
  <c r="BM16" i="77"/>
  <c r="BJ15" i="67"/>
  <c r="BJ17" i="67"/>
  <c r="BJ15" i="66"/>
  <c r="BJ16" i="65"/>
  <c r="BJ41" i="61"/>
  <c r="BJ16" i="57"/>
  <c r="BK16" i="57" s="1"/>
  <c r="CD16" i="57" s="1"/>
  <c r="BJ44" i="57"/>
  <c r="BJ40" i="57"/>
  <c r="BJ34" i="57"/>
  <c r="BJ30" i="57"/>
  <c r="BJ51" i="57"/>
  <c r="BJ56" i="57"/>
  <c r="BJ28" i="62"/>
  <c r="BJ38" i="62"/>
  <c r="BJ41" i="62"/>
  <c r="BJ47" i="62"/>
  <c r="BL19" i="93"/>
  <c r="BL23" i="93"/>
  <c r="BL27" i="93"/>
  <c r="BL35" i="93"/>
  <c r="BL40" i="93"/>
  <c r="BL44" i="93"/>
  <c r="BL48" i="93"/>
  <c r="BJ19" i="90"/>
  <c r="BM15" i="84"/>
  <c r="BM19" i="80"/>
  <c r="BH21" i="78"/>
  <c r="BH48" i="78"/>
  <c r="BM50" i="77"/>
  <c r="BM38" i="77"/>
  <c r="BM34" i="77"/>
  <c r="BM30" i="77"/>
  <c r="BK32" i="73"/>
  <c r="BK22" i="73"/>
  <c r="BL19" i="70"/>
  <c r="BL25" i="70"/>
  <c r="BL33" i="69"/>
  <c r="BL42" i="69"/>
  <c r="BL38" i="69"/>
  <c r="BL34" i="69"/>
  <c r="BJ27" i="67"/>
  <c r="BJ18" i="65"/>
  <c r="BJ21" i="61"/>
  <c r="BJ17" i="61"/>
  <c r="BJ18" i="57"/>
  <c r="BK18" i="57" s="1"/>
  <c r="CD18" i="57" s="1"/>
  <c r="BJ38" i="57"/>
  <c r="BJ53" i="57"/>
  <c r="BJ60" i="57"/>
  <c r="BJ51" i="60"/>
  <c r="BJ44" i="60"/>
  <c r="BJ35" i="57"/>
  <c r="BJ21" i="62"/>
  <c r="BL41" i="93"/>
  <c r="BM41" i="93" s="1"/>
  <c r="BT41" i="93" s="1"/>
  <c r="BM69" i="81"/>
  <c r="BM65" i="81"/>
  <c r="BM61" i="81"/>
  <c r="BM57" i="81"/>
  <c r="BM46" i="81"/>
  <c r="BM42" i="81"/>
  <c r="BM55" i="81"/>
  <c r="BM44" i="81"/>
  <c r="BM40" i="81"/>
  <c r="BM28" i="81"/>
  <c r="BM16" i="81"/>
  <c r="AR25" i="66"/>
  <c r="AV24" i="85"/>
  <c r="AX24" i="85"/>
  <c r="AX19" i="84"/>
  <c r="AQ49" i="78"/>
  <c r="AS49" i="78"/>
  <c r="AX51" i="77"/>
  <c r="AT29" i="65"/>
  <c r="AS21" i="91"/>
  <c r="AW24" i="85"/>
  <c r="AW19" i="84"/>
  <c r="AR49" i="78"/>
  <c r="AW51" i="77"/>
  <c r="AU29" i="70"/>
  <c r="AW29" i="70"/>
  <c r="AV19" i="84"/>
  <c r="AV51" i="77"/>
  <c r="AV29" i="70"/>
  <c r="AT32" i="67"/>
  <c r="AS32" i="67"/>
  <c r="AS29" i="65"/>
  <c r="AU29" i="65"/>
  <c r="AU32" i="67"/>
  <c r="BK25" i="66"/>
  <c r="CD25" i="66" s="1"/>
  <c r="H72" i="81"/>
  <c r="L25" i="66"/>
  <c r="AO34" i="60"/>
  <c r="AP34" i="60" s="1"/>
  <c r="Z34" i="60"/>
  <c r="AB34" i="60" s="1"/>
  <c r="G34" i="60"/>
  <c r="H34" i="60" s="1"/>
  <c r="H35" i="60"/>
  <c r="M35" i="60" s="1"/>
  <c r="J35" i="60"/>
  <c r="L35" i="60" s="1"/>
  <c r="Z35" i="60"/>
  <c r="AO33" i="60"/>
  <c r="AP33" i="60" s="1"/>
  <c r="Z33" i="60"/>
  <c r="AB33" i="60" s="1"/>
  <c r="G33" i="60"/>
  <c r="H33" i="60" s="1"/>
  <c r="AO19" i="60"/>
  <c r="AP19" i="60" s="1"/>
  <c r="Z19" i="60"/>
  <c r="AB19" i="60" s="1"/>
  <c r="G19" i="60"/>
  <c r="H19" i="60" s="1"/>
  <c r="AQ64" i="57"/>
  <c r="M72" i="81" l="1"/>
  <c r="CU72" i="81"/>
  <c r="CV72" i="81" s="1"/>
  <c r="P72" i="81"/>
  <c r="K72" i="81"/>
  <c r="I72" i="81"/>
  <c r="BL46" i="69"/>
  <c r="BM24" i="85"/>
  <c r="BX41" i="93"/>
  <c r="BY41" i="93" s="1"/>
  <c r="CH41" i="93"/>
  <c r="BX43" i="93"/>
  <c r="BY43" i="93" s="1"/>
  <c r="CH43" i="93"/>
  <c r="BX42" i="93"/>
  <c r="BY42" i="93" s="1"/>
  <c r="CH42" i="93"/>
  <c r="CO42" i="93" s="1"/>
  <c r="BJ29" i="65"/>
  <c r="BH49" i="78"/>
  <c r="BJ32" i="67"/>
  <c r="AW72" i="81"/>
  <c r="AX72" i="81" s="1"/>
  <c r="AY72" i="81" s="1"/>
  <c r="AZ72" i="81" s="1"/>
  <c r="BM19" i="84"/>
  <c r="BL29" i="70"/>
  <c r="AQ34" i="60"/>
  <c r="AR34" i="60" s="1"/>
  <c r="AT34" i="60" s="1"/>
  <c r="AQ33" i="60"/>
  <c r="AR33" i="60" s="1"/>
  <c r="AT33" i="60" s="1"/>
  <c r="BM51" i="77"/>
  <c r="AQ19" i="60"/>
  <c r="AR19" i="60" s="1"/>
  <c r="AT19" i="60" s="1"/>
  <c r="O72" i="81"/>
  <c r="P25" i="66"/>
  <c r="O25" i="66" s="1"/>
  <c r="K25" i="66"/>
  <c r="K35" i="60"/>
  <c r="AA35" i="60" s="1"/>
  <c r="AB35" i="60" s="1"/>
  <c r="AH35" i="60" s="1"/>
  <c r="AO35" i="60" s="1"/>
  <c r="AP35" i="60" s="1"/>
  <c r="BK35" i="60" s="1"/>
  <c r="BR35" i="60" s="1"/>
  <c r="P35" i="60"/>
  <c r="O35" i="60" s="1"/>
  <c r="Q35" i="60" s="1"/>
  <c r="I35" i="60"/>
  <c r="L34" i="60"/>
  <c r="L33" i="60"/>
  <c r="L19" i="60"/>
  <c r="H64" i="57"/>
  <c r="J64" i="57"/>
  <c r="L64" i="57" s="1"/>
  <c r="Z64" i="57"/>
  <c r="AR64" i="57" s="1"/>
  <c r="CS42" i="93" l="1"/>
  <c r="CT42" i="93" s="1"/>
  <c r="DN42" i="93"/>
  <c r="CO41" i="93"/>
  <c r="CO43" i="93"/>
  <c r="BM72" i="81"/>
  <c r="AU19" i="60"/>
  <c r="AU33" i="60"/>
  <c r="AV33" i="60" s="1"/>
  <c r="AW33" i="60" s="1"/>
  <c r="AU34" i="60"/>
  <c r="P34" i="60"/>
  <c r="O34" i="60" s="1"/>
  <c r="K34" i="60"/>
  <c r="P33" i="60"/>
  <c r="O33" i="60" s="1"/>
  <c r="K33" i="60"/>
  <c r="P19" i="60"/>
  <c r="O19" i="60" s="1"/>
  <c r="K19" i="60"/>
  <c r="I64" i="57"/>
  <c r="K64" i="57"/>
  <c r="P64" i="57"/>
  <c r="M64" i="57"/>
  <c r="AO25" i="96"/>
  <c r="AP25" i="96" s="1"/>
  <c r="Z25" i="96"/>
  <c r="J25" i="96"/>
  <c r="L25" i="96" s="1"/>
  <c r="H25" i="96"/>
  <c r="M25" i="96" s="1"/>
  <c r="AO24" i="96"/>
  <c r="AP24" i="96" s="1"/>
  <c r="Z24" i="96"/>
  <c r="J24" i="96"/>
  <c r="L24" i="96" s="1"/>
  <c r="H24" i="96"/>
  <c r="Z22" i="96"/>
  <c r="J22" i="96"/>
  <c r="L22" i="96" s="1"/>
  <c r="H22" i="96"/>
  <c r="M22" i="96" s="1"/>
  <c r="Z20" i="96"/>
  <c r="J20" i="96"/>
  <c r="L20" i="96" s="1"/>
  <c r="H20" i="96"/>
  <c r="M20" i="96" s="1"/>
  <c r="Z16" i="96"/>
  <c r="J16" i="96"/>
  <c r="L16" i="96" s="1"/>
  <c r="H16" i="96"/>
  <c r="AN15" i="96"/>
  <c r="AO15" i="96" s="1"/>
  <c r="AP15" i="96" s="1"/>
  <c r="Z15" i="96"/>
  <c r="J15" i="96"/>
  <c r="L15" i="96" s="1"/>
  <c r="H15" i="96"/>
  <c r="AA15" i="96" s="1"/>
  <c r="Z17" i="96"/>
  <c r="T17" i="96"/>
  <c r="AP17" i="96" s="1"/>
  <c r="J17" i="96"/>
  <c r="L17" i="96" s="1"/>
  <c r="H17" i="96"/>
  <c r="M17" i="96" s="1"/>
  <c r="AN13" i="96"/>
  <c r="AO13" i="96" s="1"/>
  <c r="AP13" i="96" s="1"/>
  <c r="Z13" i="96"/>
  <c r="L13" i="96"/>
  <c r="P13" i="96" s="1"/>
  <c r="H13" i="96"/>
  <c r="M13" i="96" s="1"/>
  <c r="Z12" i="96"/>
  <c r="J12" i="96"/>
  <c r="L12" i="96" s="1"/>
  <c r="H12" i="96"/>
  <c r="M12" i="96" s="1"/>
  <c r="Z11" i="96"/>
  <c r="J11" i="96"/>
  <c r="L11" i="96" s="1"/>
  <c r="H11" i="96"/>
  <c r="M11" i="96" s="1"/>
  <c r="Z10" i="96"/>
  <c r="J10" i="96"/>
  <c r="L10" i="96" s="1"/>
  <c r="H10" i="96"/>
  <c r="M10" i="96" s="1"/>
  <c r="Z9" i="96"/>
  <c r="J9" i="96"/>
  <c r="L9" i="96" s="1"/>
  <c r="H9" i="96"/>
  <c r="Z8" i="96"/>
  <c r="J8" i="96"/>
  <c r="L8" i="96" s="1"/>
  <c r="H8" i="96"/>
  <c r="M8" i="96" s="1"/>
  <c r="Z6" i="96"/>
  <c r="J6" i="96"/>
  <c r="L6" i="96" s="1"/>
  <c r="H6" i="96"/>
  <c r="M6" i="96" s="1"/>
  <c r="AO5" i="96"/>
  <c r="AP5" i="96" s="1"/>
  <c r="Z5" i="96"/>
  <c r="L5" i="96"/>
  <c r="H5" i="96"/>
  <c r="I5" i="96" s="1"/>
  <c r="AM18" i="96"/>
  <c r="AN18" i="96" s="1"/>
  <c r="AL18" i="96"/>
  <c r="X18" i="96"/>
  <c r="J18" i="96"/>
  <c r="L18" i="96" s="1"/>
  <c r="H18" i="96"/>
  <c r="M18" i="96" s="1"/>
  <c r="CS43" i="93" l="1"/>
  <c r="CT43" i="93" s="1"/>
  <c r="DN43" i="93"/>
  <c r="CS41" i="93"/>
  <c r="CT41" i="93" s="1"/>
  <c r="DN41" i="93"/>
  <c r="BN72" i="81"/>
  <c r="I11" i="96"/>
  <c r="K12" i="96"/>
  <c r="AA12" i="96" s="1"/>
  <c r="AB12" i="96" s="1"/>
  <c r="AH12" i="96" s="1"/>
  <c r="AO12" i="96" s="1"/>
  <c r="AP12" i="96" s="1"/>
  <c r="BJ33" i="60"/>
  <c r="BK33" i="60" s="1"/>
  <c r="BR33" i="60" s="1"/>
  <c r="K5" i="96"/>
  <c r="I6" i="96"/>
  <c r="AV34" i="60"/>
  <c r="AW34" i="60" s="1"/>
  <c r="AV19" i="60"/>
  <c r="I16" i="96"/>
  <c r="I9" i="96"/>
  <c r="I10" i="96"/>
  <c r="I24" i="96"/>
  <c r="O64" i="57"/>
  <c r="Q64" i="57" s="1"/>
  <c r="AA64" i="57"/>
  <c r="AB64" i="57" s="1"/>
  <c r="AH64" i="57" s="1"/>
  <c r="K10" i="96"/>
  <c r="AA10" i="96" s="1"/>
  <c r="AB10" i="96" s="1"/>
  <c r="AH10" i="96" s="1"/>
  <c r="AO10" i="96" s="1"/>
  <c r="AP10" i="96" s="1"/>
  <c r="P10" i="96"/>
  <c r="O10" i="96" s="1"/>
  <c r="P8" i="96"/>
  <c r="O8" i="96" s="1"/>
  <c r="K8" i="96"/>
  <c r="AA8" i="96" s="1"/>
  <c r="AB8" i="96" s="1"/>
  <c r="AH8" i="96" s="1"/>
  <c r="AO8" i="96" s="1"/>
  <c r="AP8" i="96" s="1"/>
  <c r="P22" i="96"/>
  <c r="O22" i="96" s="1"/>
  <c r="K22" i="96"/>
  <c r="AA22" i="96" s="1"/>
  <c r="AB22" i="96" s="1"/>
  <c r="AH22" i="96" s="1"/>
  <c r="AO22" i="96" s="1"/>
  <c r="AP22" i="96" s="1"/>
  <c r="P5" i="96"/>
  <c r="M9" i="96"/>
  <c r="I12" i="96"/>
  <c r="M16" i="96"/>
  <c r="M24" i="96"/>
  <c r="P12" i="96"/>
  <c r="O12" i="96" s="1"/>
  <c r="Q12" i="96" s="1"/>
  <c r="O13" i="96"/>
  <c r="Q13" i="96" s="1"/>
  <c r="AB15" i="96"/>
  <c r="I8" i="96"/>
  <c r="I22" i="96"/>
  <c r="K9" i="96"/>
  <c r="P9" i="96"/>
  <c r="O9" i="96" s="1"/>
  <c r="P16" i="96"/>
  <c r="O16" i="96" s="1"/>
  <c r="K16" i="96"/>
  <c r="P20" i="96"/>
  <c r="O20" i="96" s="1"/>
  <c r="Q20" i="96" s="1"/>
  <c r="K20" i="96"/>
  <c r="AA20" i="96" s="1"/>
  <c r="AB20" i="96" s="1"/>
  <c r="AH20" i="96" s="1"/>
  <c r="AO20" i="96" s="1"/>
  <c r="AP20" i="96" s="1"/>
  <c r="P24" i="96"/>
  <c r="O24" i="96" s="1"/>
  <c r="K24" i="96"/>
  <c r="P11" i="96"/>
  <c r="O11" i="96" s="1"/>
  <c r="K11" i="96"/>
  <c r="AA11" i="96" s="1"/>
  <c r="AB11" i="96" s="1"/>
  <c r="AH11" i="96" s="1"/>
  <c r="AO11" i="96" s="1"/>
  <c r="AP11" i="96" s="1"/>
  <c r="P25" i="96"/>
  <c r="O25" i="96" s="1"/>
  <c r="K25" i="96"/>
  <c r="AA25" i="96" s="1"/>
  <c r="AB25" i="96" s="1"/>
  <c r="K6" i="96"/>
  <c r="AA6" i="96" s="1"/>
  <c r="AB6" i="96" s="1"/>
  <c r="AH6" i="96" s="1"/>
  <c r="AO6" i="96" s="1"/>
  <c r="AP6" i="96" s="1"/>
  <c r="P6" i="96"/>
  <c r="O6" i="96" s="1"/>
  <c r="P17" i="96"/>
  <c r="O17" i="96" s="1"/>
  <c r="Q17" i="96" s="1"/>
  <c r="K17" i="96"/>
  <c r="P15" i="96"/>
  <c r="O15" i="96" s="1"/>
  <c r="K15" i="96"/>
  <c r="I13" i="96"/>
  <c r="AA13" i="96"/>
  <c r="AB13" i="96" s="1"/>
  <c r="AA17" i="96"/>
  <c r="AB17" i="96" s="1"/>
  <c r="I15" i="96"/>
  <c r="M15" i="96"/>
  <c r="I25" i="96"/>
  <c r="M5" i="96"/>
  <c r="K13" i="96"/>
  <c r="I17" i="96"/>
  <c r="I20" i="96"/>
  <c r="P18" i="96"/>
  <c r="O18" i="96" s="1"/>
  <c r="K18" i="96"/>
  <c r="U18" i="96"/>
  <c r="Y18" i="96" s="1"/>
  <c r="Z18" i="96" s="1"/>
  <c r="I18" i="96"/>
  <c r="AQ14" i="93"/>
  <c r="W14" i="93"/>
  <c r="W16" i="93"/>
  <c r="U14" i="93"/>
  <c r="U16" i="93"/>
  <c r="AB24" i="92"/>
  <c r="X24" i="92"/>
  <c r="G24" i="92"/>
  <c r="AB20" i="92"/>
  <c r="T20" i="92"/>
  <c r="BC20" i="92" s="1"/>
  <c r="BD20" i="92" s="1"/>
  <c r="J20" i="92"/>
  <c r="G20" i="92"/>
  <c r="AB59" i="92"/>
  <c r="G59" i="92"/>
  <c r="AN21" i="91"/>
  <c r="AO21" i="91"/>
  <c r="AO15" i="60"/>
  <c r="AL49" i="78"/>
  <c r="AP29" i="70"/>
  <c r="AN29" i="65"/>
  <c r="AN19" i="64"/>
  <c r="O5" i="96" l="1"/>
  <c r="L20" i="92"/>
  <c r="L59" i="92"/>
  <c r="H59" i="92"/>
  <c r="H24" i="92"/>
  <c r="M24" i="92" s="1"/>
  <c r="L24" i="92"/>
  <c r="BZ72" i="81"/>
  <c r="CA72" i="81" s="1"/>
  <c r="BU72" i="81"/>
  <c r="BR20" i="92"/>
  <c r="BQ20" i="92"/>
  <c r="BP20" i="92"/>
  <c r="BO20" i="92"/>
  <c r="BN20" i="92"/>
  <c r="BK20" i="92"/>
  <c r="BJ20" i="92"/>
  <c r="BI20" i="92"/>
  <c r="X14" i="93"/>
  <c r="Y14" i="93" s="1"/>
  <c r="AC14" i="93" s="1"/>
  <c r="AD14" i="93" s="1"/>
  <c r="X16" i="93"/>
  <c r="Y16" i="93" s="1"/>
  <c r="AC16" i="93" s="1"/>
  <c r="AD16" i="93" s="1"/>
  <c r="AP16" i="93" s="1"/>
  <c r="AQ16" i="93" s="1"/>
  <c r="BY16" i="93"/>
  <c r="BE20" i="92"/>
  <c r="BH20" i="92"/>
  <c r="BG20" i="92"/>
  <c r="BF20" i="92"/>
  <c r="BJ34" i="60"/>
  <c r="BK34" i="60" s="1"/>
  <c r="BR34" i="60" s="1"/>
  <c r="AW19" i="60"/>
  <c r="BJ19" i="60" s="1"/>
  <c r="BK19" i="60" s="1"/>
  <c r="BR19" i="60" s="1"/>
  <c r="AA16" i="96"/>
  <c r="AB16" i="96" s="1"/>
  <c r="AH16" i="96" s="1"/>
  <c r="AO16" i="96" s="1"/>
  <c r="AP16" i="96" s="1"/>
  <c r="AA9" i="96"/>
  <c r="AB9" i="96" s="1"/>
  <c r="AH9" i="96" s="1"/>
  <c r="AO9" i="96" s="1"/>
  <c r="AP9" i="96" s="1"/>
  <c r="AA24" i="96"/>
  <c r="AB24" i="96" s="1"/>
  <c r="Q16" i="96"/>
  <c r="AA5" i="96"/>
  <c r="AB5" i="96" s="1"/>
  <c r="Q5" i="96"/>
  <c r="Q15" i="96"/>
  <c r="P20" i="92"/>
  <c r="H20" i="92"/>
  <c r="G19" i="93"/>
  <c r="L19" i="93" s="1"/>
  <c r="V19" i="93"/>
  <c r="AB19" i="93"/>
  <c r="G20" i="93"/>
  <c r="L20" i="93" s="1"/>
  <c r="V20" i="93"/>
  <c r="AB20" i="93"/>
  <c r="G21" i="93"/>
  <c r="L21" i="93" s="1"/>
  <c r="V21" i="93"/>
  <c r="AB21" i="93"/>
  <c r="G22" i="93"/>
  <c r="L22" i="93" s="1"/>
  <c r="V22" i="93"/>
  <c r="AB22" i="93"/>
  <c r="G23" i="93"/>
  <c r="L23" i="93" s="1"/>
  <c r="AB23" i="93"/>
  <c r="G24" i="93"/>
  <c r="L24" i="93" s="1"/>
  <c r="V24" i="93"/>
  <c r="AB24" i="93"/>
  <c r="G25" i="93"/>
  <c r="L25" i="93" s="1"/>
  <c r="V25" i="93"/>
  <c r="AB25" i="93"/>
  <c r="G26" i="93"/>
  <c r="L26" i="93" s="1"/>
  <c r="V26" i="93"/>
  <c r="AB26" i="93"/>
  <c r="G27" i="93"/>
  <c r="L27" i="93" s="1"/>
  <c r="V27" i="93"/>
  <c r="AB27" i="93"/>
  <c r="G28" i="93"/>
  <c r="L28" i="93" s="1"/>
  <c r="U28" i="93"/>
  <c r="V28" i="93"/>
  <c r="Y28" i="93" s="1"/>
  <c r="G29" i="93"/>
  <c r="L29" i="93" s="1"/>
  <c r="U29" i="93"/>
  <c r="V29" i="93"/>
  <c r="Y29" i="93" s="1"/>
  <c r="G30" i="93"/>
  <c r="L30" i="93" s="1"/>
  <c r="V30" i="93"/>
  <c r="AB30" i="93"/>
  <c r="G31" i="93"/>
  <c r="L31" i="93" s="1"/>
  <c r="V31" i="93"/>
  <c r="AB31" i="93"/>
  <c r="G32" i="93"/>
  <c r="L32" i="93" s="1"/>
  <c r="V32" i="93"/>
  <c r="AB32" i="93"/>
  <c r="G34" i="93"/>
  <c r="V34" i="93"/>
  <c r="AB34" i="93"/>
  <c r="G35" i="93"/>
  <c r="L35" i="93" s="1"/>
  <c r="V35" i="93"/>
  <c r="AB35" i="93"/>
  <c r="G36" i="93"/>
  <c r="L36" i="93" s="1"/>
  <c r="V36" i="93"/>
  <c r="AB36" i="93"/>
  <c r="G33" i="93"/>
  <c r="V33" i="93"/>
  <c r="AB33" i="93"/>
  <c r="G38" i="93"/>
  <c r="L38" i="93" s="1"/>
  <c r="V38" i="93"/>
  <c r="AB38" i="93"/>
  <c r="G39" i="93"/>
  <c r="V39" i="93"/>
  <c r="AB39" i="93"/>
  <c r="G40" i="93"/>
  <c r="L40" i="93" s="1"/>
  <c r="V40" i="93"/>
  <c r="AB40" i="93"/>
  <c r="G37" i="93"/>
  <c r="H37" i="93"/>
  <c r="W37" i="93" s="1"/>
  <c r="X37" i="93" s="1"/>
  <c r="V37" i="93"/>
  <c r="AB37" i="93"/>
  <c r="G44" i="93"/>
  <c r="L44" i="93" s="1"/>
  <c r="V44" i="93"/>
  <c r="AB44" i="93"/>
  <c r="G45" i="93"/>
  <c r="AB45" i="93"/>
  <c r="G46" i="93"/>
  <c r="L46" i="93" s="1"/>
  <c r="T46" i="93"/>
  <c r="AB46" i="93"/>
  <c r="G47" i="93"/>
  <c r="V47" i="93"/>
  <c r="AB47" i="93"/>
  <c r="G48" i="93"/>
  <c r="V48" i="93"/>
  <c r="AB48" i="93"/>
  <c r="G18" i="93"/>
  <c r="V18" i="93"/>
  <c r="AB18" i="93"/>
  <c r="G49" i="93"/>
  <c r="V49" i="93"/>
  <c r="AB49" i="93"/>
  <c r="G50" i="93"/>
  <c r="V50" i="93"/>
  <c r="AB50" i="93"/>
  <c r="G15" i="92"/>
  <c r="AB15" i="92"/>
  <c r="P16" i="92"/>
  <c r="O16" i="92" s="1"/>
  <c r="P17" i="92"/>
  <c r="O17" i="92" s="1"/>
  <c r="G18" i="92"/>
  <c r="J18" i="92"/>
  <c r="T18" i="92"/>
  <c r="BC18" i="92" s="1"/>
  <c r="BD18" i="92" s="1"/>
  <c r="AB18" i="92"/>
  <c r="G19" i="92"/>
  <c r="J19" i="92"/>
  <c r="AB19" i="92"/>
  <c r="G21" i="92"/>
  <c r="J21" i="92"/>
  <c r="AB21" i="92"/>
  <c r="G30" i="92"/>
  <c r="H30" i="92" s="1"/>
  <c r="J30" i="92"/>
  <c r="L30" i="92" s="1"/>
  <c r="T30" i="92"/>
  <c r="BC30" i="92" s="1"/>
  <c r="BD30" i="92" s="1"/>
  <c r="AB30" i="92"/>
  <c r="G31" i="92"/>
  <c r="H31" i="92" s="1"/>
  <c r="J31" i="92"/>
  <c r="L31" i="92" s="1"/>
  <c r="AB31" i="92"/>
  <c r="G32" i="92"/>
  <c r="H32" i="92" s="1"/>
  <c r="J32" i="92"/>
  <c r="AB32" i="92"/>
  <c r="G33" i="92"/>
  <c r="H33" i="92" s="1"/>
  <c r="W33" i="92" s="1"/>
  <c r="X33" i="92" s="1"/>
  <c r="J33" i="92"/>
  <c r="AB33" i="92"/>
  <c r="G36" i="92"/>
  <c r="H36" i="92" s="1"/>
  <c r="J36" i="92"/>
  <c r="AB36" i="92"/>
  <c r="G39" i="92"/>
  <c r="H39" i="92" s="1"/>
  <c r="J39" i="92"/>
  <c r="L39" i="92" s="1"/>
  <c r="AB39" i="92"/>
  <c r="G40" i="92"/>
  <c r="H40" i="92" s="1"/>
  <c r="J40" i="92"/>
  <c r="T40" i="92"/>
  <c r="BC40" i="92" s="1"/>
  <c r="BD40" i="92" s="1"/>
  <c r="AB40" i="92"/>
  <c r="G43" i="92"/>
  <c r="J43" i="92"/>
  <c r="AB43" i="92"/>
  <c r="G44" i="92"/>
  <c r="H44" i="92" s="1"/>
  <c r="W44" i="92" s="1"/>
  <c r="X44" i="92" s="1"/>
  <c r="J44" i="92"/>
  <c r="AB44" i="92"/>
  <c r="G47" i="92"/>
  <c r="AB47" i="92"/>
  <c r="AB50" i="92"/>
  <c r="AP50" i="92"/>
  <c r="AQ50" i="92"/>
  <c r="AR50" i="92" s="1"/>
  <c r="G53" i="92"/>
  <c r="AB53" i="92"/>
  <c r="G56" i="92"/>
  <c r="X56" i="92"/>
  <c r="Y56" i="92" s="1"/>
  <c r="AB56" i="92"/>
  <c r="G62" i="92"/>
  <c r="T62" i="92"/>
  <c r="BC62" i="92" s="1"/>
  <c r="BD62" i="92" s="1"/>
  <c r="AB62" i="92"/>
  <c r="G63" i="92"/>
  <c r="AB63" i="92"/>
  <c r="G64" i="92"/>
  <c r="AB64" i="92"/>
  <c r="G65" i="92"/>
  <c r="AB65" i="92"/>
  <c r="G66" i="92"/>
  <c r="AB66" i="92"/>
  <c r="G67" i="92"/>
  <c r="AB67" i="92"/>
  <c r="G72" i="92"/>
  <c r="T72" i="92"/>
  <c r="BC72" i="92" s="1"/>
  <c r="BD72" i="92" s="1"/>
  <c r="AB72" i="92"/>
  <c r="G75" i="92"/>
  <c r="AB75" i="92"/>
  <c r="AJ76" i="92"/>
  <c r="AK76" i="92"/>
  <c r="AL76" i="92"/>
  <c r="AM76" i="92"/>
  <c r="AN76" i="92"/>
  <c r="AO76" i="92"/>
  <c r="AP76" i="92"/>
  <c r="AJ77" i="92"/>
  <c r="AK77" i="92"/>
  <c r="AL77" i="92"/>
  <c r="CS77" i="92" s="1"/>
  <c r="AM77" i="92"/>
  <c r="AN77" i="92"/>
  <c r="AO77" i="92"/>
  <c r="AP77" i="92"/>
  <c r="G78" i="92"/>
  <c r="H78" i="92" s="1"/>
  <c r="J78" i="92"/>
  <c r="AB78" i="92"/>
  <c r="G84" i="92"/>
  <c r="N84" i="92"/>
  <c r="T84" i="92"/>
  <c r="BC84" i="92" s="1"/>
  <c r="BD84" i="92" s="1"/>
  <c r="AB84" i="92"/>
  <c r="G87" i="92"/>
  <c r="N87" i="92"/>
  <c r="AB87" i="92"/>
  <c r="G88" i="92"/>
  <c r="N88" i="92"/>
  <c r="AB88" i="92"/>
  <c r="AH89" i="92"/>
  <c r="AI89" i="92"/>
  <c r="Q49" i="93" l="1"/>
  <c r="L49" i="93"/>
  <c r="Q48" i="93"/>
  <c r="L48" i="93"/>
  <c r="Q45" i="93"/>
  <c r="L45" i="93"/>
  <c r="Q34" i="93"/>
  <c r="L34" i="93"/>
  <c r="Q50" i="93"/>
  <c r="L50" i="93"/>
  <c r="Q18" i="93"/>
  <c r="L18" i="93"/>
  <c r="Q47" i="93"/>
  <c r="L47" i="93"/>
  <c r="Q37" i="93"/>
  <c r="L37" i="93"/>
  <c r="Q39" i="93"/>
  <c r="L39" i="93"/>
  <c r="Q33" i="93"/>
  <c r="L33" i="93"/>
  <c r="AR14" i="93"/>
  <c r="BM14" i="93" s="1"/>
  <c r="BT14" i="93" s="1"/>
  <c r="L36" i="92"/>
  <c r="K36" i="92" s="1"/>
  <c r="I24" i="92"/>
  <c r="U24" i="92" s="1"/>
  <c r="L44" i="92"/>
  <c r="P44" i="92" s="1"/>
  <c r="O44" i="92" s="1"/>
  <c r="L33" i="92"/>
  <c r="K33" i="92" s="1"/>
  <c r="K59" i="92"/>
  <c r="H67" i="92"/>
  <c r="I67" i="92" s="1"/>
  <c r="L67" i="92"/>
  <c r="H53" i="92"/>
  <c r="W53" i="92" s="1"/>
  <c r="X53" i="92" s="1"/>
  <c r="L53" i="92"/>
  <c r="H44" i="93"/>
  <c r="W44" i="93" s="1"/>
  <c r="X44" i="93" s="1"/>
  <c r="Y44" i="93" s="1"/>
  <c r="Q44" i="93"/>
  <c r="H29" i="93"/>
  <c r="M29" i="93" s="1"/>
  <c r="Q29" i="93"/>
  <c r="H65" i="92"/>
  <c r="L65" i="92"/>
  <c r="H19" i="92"/>
  <c r="I19" i="92" s="1"/>
  <c r="U19" i="92" s="1"/>
  <c r="V19" i="92" s="1"/>
  <c r="L19" i="92"/>
  <c r="H18" i="92"/>
  <c r="I18" i="92" s="1"/>
  <c r="U18" i="92" s="1"/>
  <c r="V18" i="92" s="1"/>
  <c r="L18" i="92"/>
  <c r="H15" i="92"/>
  <c r="M15" i="92" s="1"/>
  <c r="L15" i="92"/>
  <c r="H46" i="93"/>
  <c r="M46" i="93" s="1"/>
  <c r="Q46" i="93"/>
  <c r="H40" i="93"/>
  <c r="I40" i="93" s="1"/>
  <c r="U40" i="93" s="1"/>
  <c r="Q40" i="93"/>
  <c r="H38" i="93"/>
  <c r="M38" i="93" s="1"/>
  <c r="Q38" i="93"/>
  <c r="H36" i="93"/>
  <c r="W36" i="93" s="1"/>
  <c r="X36" i="93" s="1"/>
  <c r="Y36" i="93" s="1"/>
  <c r="Q36" i="93"/>
  <c r="H35" i="93"/>
  <c r="W35" i="93" s="1"/>
  <c r="X35" i="93" s="1"/>
  <c r="Y35" i="93" s="1"/>
  <c r="Q35" i="93"/>
  <c r="H32" i="93"/>
  <c r="W32" i="93" s="1"/>
  <c r="X32" i="93" s="1"/>
  <c r="Y32" i="93" s="1"/>
  <c r="Q32" i="93"/>
  <c r="H31" i="93"/>
  <c r="I31" i="93" s="1"/>
  <c r="U31" i="93" s="1"/>
  <c r="Q31" i="93"/>
  <c r="H30" i="93"/>
  <c r="I30" i="93" s="1"/>
  <c r="U30" i="93" s="1"/>
  <c r="Q30" i="93"/>
  <c r="H87" i="92"/>
  <c r="I87" i="92" s="1"/>
  <c r="U87" i="92" s="1"/>
  <c r="V87" i="92" s="1"/>
  <c r="L87" i="92"/>
  <c r="H63" i="92"/>
  <c r="W63" i="92" s="1"/>
  <c r="X63" i="92" s="1"/>
  <c r="L63" i="92"/>
  <c r="H72" i="92"/>
  <c r="I72" i="92" s="1"/>
  <c r="U72" i="92" s="1"/>
  <c r="V72" i="92" s="1"/>
  <c r="L72" i="92"/>
  <c r="P72" i="92" s="1"/>
  <c r="H66" i="92"/>
  <c r="I66" i="92" s="1"/>
  <c r="L66" i="92"/>
  <c r="H64" i="92"/>
  <c r="W64" i="92" s="1"/>
  <c r="X64" i="92" s="1"/>
  <c r="L64" i="92"/>
  <c r="H56" i="92"/>
  <c r="AC56" i="92" s="1"/>
  <c r="AD56" i="92" s="1"/>
  <c r="L56" i="92"/>
  <c r="H47" i="92"/>
  <c r="L47" i="92"/>
  <c r="H21" i="92"/>
  <c r="W21" i="92" s="1"/>
  <c r="X21" i="92" s="1"/>
  <c r="L21" i="92"/>
  <c r="P21" i="92" s="1"/>
  <c r="H23" i="93"/>
  <c r="M23" i="93" s="1"/>
  <c r="Q23" i="93"/>
  <c r="H22" i="93"/>
  <c r="W22" i="93" s="1"/>
  <c r="X22" i="93" s="1"/>
  <c r="Y22" i="93" s="1"/>
  <c r="Q22" i="93"/>
  <c r="H21" i="93"/>
  <c r="W21" i="93" s="1"/>
  <c r="X21" i="93" s="1"/>
  <c r="Y21" i="93" s="1"/>
  <c r="Q21" i="93"/>
  <c r="H20" i="93"/>
  <c r="I20" i="93" s="1"/>
  <c r="U20" i="93" s="1"/>
  <c r="Q20" i="93"/>
  <c r="H19" i="93"/>
  <c r="M19" i="93" s="1"/>
  <c r="Q19" i="93"/>
  <c r="BS20" i="92"/>
  <c r="M59" i="92"/>
  <c r="I59" i="92"/>
  <c r="U59" i="92" s="1"/>
  <c r="H84" i="92"/>
  <c r="I84" i="92" s="1"/>
  <c r="U84" i="92" s="1"/>
  <c r="V84" i="92" s="1"/>
  <c r="L84" i="92"/>
  <c r="H88" i="92"/>
  <c r="I88" i="92" s="1"/>
  <c r="U88" i="92" s="1"/>
  <c r="V88" i="92" s="1"/>
  <c r="L88" i="92"/>
  <c r="H75" i="92"/>
  <c r="I75" i="92" s="1"/>
  <c r="U75" i="92" s="1"/>
  <c r="V75" i="92" s="1"/>
  <c r="L75" i="92"/>
  <c r="H62" i="92"/>
  <c r="W62" i="92" s="1"/>
  <c r="X62" i="92" s="1"/>
  <c r="L62" i="92"/>
  <c r="L43" i="92"/>
  <c r="L40" i="92"/>
  <c r="K40" i="92" s="1"/>
  <c r="L32" i="92"/>
  <c r="P32" i="92" s="1"/>
  <c r="O32" i="92" s="1"/>
  <c r="P28" i="93"/>
  <c r="Q28" i="93"/>
  <c r="H27" i="93"/>
  <c r="M27" i="93" s="1"/>
  <c r="Q27" i="93"/>
  <c r="H26" i="93"/>
  <c r="W26" i="93" s="1"/>
  <c r="X26" i="93" s="1"/>
  <c r="Y26" i="93" s="1"/>
  <c r="Q26" i="93"/>
  <c r="H25" i="93"/>
  <c r="I25" i="93" s="1"/>
  <c r="U25" i="93" s="1"/>
  <c r="Q25" i="93"/>
  <c r="H24" i="93"/>
  <c r="I24" i="93" s="1"/>
  <c r="U24" i="93" s="1"/>
  <c r="Q24" i="93"/>
  <c r="BR18" i="92"/>
  <c r="BQ18" i="92"/>
  <c r="BP18" i="92"/>
  <c r="BO18" i="92"/>
  <c r="BN18" i="92"/>
  <c r="BK18" i="92"/>
  <c r="BJ18" i="92"/>
  <c r="BI18" i="92"/>
  <c r="L78" i="92"/>
  <c r="P78" i="92" s="1"/>
  <c r="O78" i="92" s="1"/>
  <c r="BR72" i="92"/>
  <c r="BQ72" i="92"/>
  <c r="BP72" i="92"/>
  <c r="BO72" i="92"/>
  <c r="BN72" i="92"/>
  <c r="BK72" i="92"/>
  <c r="BJ72" i="92"/>
  <c r="BI72" i="92"/>
  <c r="BR40" i="92"/>
  <c r="BQ40" i="92"/>
  <c r="BP40" i="92"/>
  <c r="BO40" i="92"/>
  <c r="BN40" i="92"/>
  <c r="BK40" i="92"/>
  <c r="BJ40" i="92"/>
  <c r="BI40" i="92"/>
  <c r="BR84" i="92"/>
  <c r="BQ84" i="92"/>
  <c r="BP84" i="92"/>
  <c r="BO84" i="92"/>
  <c r="BN84" i="92"/>
  <c r="BK84" i="92"/>
  <c r="BJ84" i="92"/>
  <c r="BI84" i="92"/>
  <c r="BR62" i="92"/>
  <c r="BQ62" i="92"/>
  <c r="BP62" i="92"/>
  <c r="BO62" i="92"/>
  <c r="BN62" i="92"/>
  <c r="BK62" i="92"/>
  <c r="BJ62" i="92"/>
  <c r="BI62" i="92"/>
  <c r="BR30" i="92"/>
  <c r="BQ30" i="92"/>
  <c r="BP30" i="92"/>
  <c r="BO30" i="92"/>
  <c r="BN30" i="92"/>
  <c r="BK30" i="92"/>
  <c r="BJ30" i="92"/>
  <c r="BI30" i="92"/>
  <c r="Y37" i="93"/>
  <c r="AR16" i="93"/>
  <c r="BE84" i="92"/>
  <c r="BH84" i="92"/>
  <c r="BG84" i="92"/>
  <c r="BF84" i="92"/>
  <c r="BE72" i="92"/>
  <c r="BH72" i="92"/>
  <c r="BG72" i="92"/>
  <c r="BF72" i="92"/>
  <c r="BE30" i="92"/>
  <c r="BH30" i="92"/>
  <c r="BG30" i="92"/>
  <c r="BF30" i="92"/>
  <c r="BE40" i="92"/>
  <c r="BH40" i="92"/>
  <c r="BG40" i="92"/>
  <c r="BF40" i="92"/>
  <c r="I32" i="93"/>
  <c r="U32" i="93" s="1"/>
  <c r="BE62" i="92"/>
  <c r="BH62" i="92"/>
  <c r="BG62" i="92"/>
  <c r="BF62" i="92"/>
  <c r="BE18" i="92"/>
  <c r="BH18" i="92"/>
  <c r="BG18" i="92"/>
  <c r="BF18" i="92"/>
  <c r="V46" i="93"/>
  <c r="BC46" i="93"/>
  <c r="BD46" i="93" s="1"/>
  <c r="AX76" i="92"/>
  <c r="AY76" i="92"/>
  <c r="AX77" i="92"/>
  <c r="AY77" i="92"/>
  <c r="AX50" i="92"/>
  <c r="AY50" i="92"/>
  <c r="AW76" i="92"/>
  <c r="AV76" i="92"/>
  <c r="AU76" i="92"/>
  <c r="AV77" i="92"/>
  <c r="AW77" i="92"/>
  <c r="AU77" i="92"/>
  <c r="AW50" i="92"/>
  <c r="AV50" i="92"/>
  <c r="AU50" i="92"/>
  <c r="K37" i="93"/>
  <c r="P33" i="93"/>
  <c r="P45" i="93"/>
  <c r="P38" i="93"/>
  <c r="H33" i="93"/>
  <c r="I33" i="93" s="1"/>
  <c r="U33" i="93" s="1"/>
  <c r="P35" i="93"/>
  <c r="P39" i="93"/>
  <c r="H45" i="93"/>
  <c r="W45" i="93" s="1"/>
  <c r="X45" i="93" s="1"/>
  <c r="H39" i="93"/>
  <c r="W39" i="93" s="1"/>
  <c r="X39" i="93" s="1"/>
  <c r="Y39" i="93" s="1"/>
  <c r="H34" i="93"/>
  <c r="P36" i="93"/>
  <c r="O36" i="93" s="1"/>
  <c r="P44" i="93"/>
  <c r="P46" i="93"/>
  <c r="P24" i="92"/>
  <c r="O24" i="92" s="1"/>
  <c r="K24" i="92"/>
  <c r="AC24" i="92" s="1"/>
  <c r="AD24" i="92" s="1"/>
  <c r="AQ77" i="92"/>
  <c r="AR77" i="92" s="1"/>
  <c r="M20" i="92"/>
  <c r="I20" i="92"/>
  <c r="U20" i="92" s="1"/>
  <c r="V20" i="92" s="1"/>
  <c r="W20" i="92"/>
  <c r="X20" i="92" s="1"/>
  <c r="K20" i="92"/>
  <c r="O20" i="92"/>
  <c r="I36" i="92"/>
  <c r="U36" i="92" s="1"/>
  <c r="V36" i="92" s="1"/>
  <c r="M78" i="92"/>
  <c r="I78" i="92"/>
  <c r="U78" i="92" s="1"/>
  <c r="V78" i="92" s="1"/>
  <c r="W78" i="92"/>
  <c r="X78" i="92" s="1"/>
  <c r="M88" i="92"/>
  <c r="AQ76" i="92"/>
  <c r="AR76" i="92" s="1"/>
  <c r="P59" i="92"/>
  <c r="O59" i="92" s="1"/>
  <c r="X59" i="92"/>
  <c r="I32" i="92"/>
  <c r="U32" i="92" s="1"/>
  <c r="V32" i="92" s="1"/>
  <c r="W32" i="92"/>
  <c r="X32" i="92" s="1"/>
  <c r="I39" i="92"/>
  <c r="U39" i="92" s="1"/>
  <c r="V39" i="92" s="1"/>
  <c r="W39" i="92"/>
  <c r="X39" i="92" s="1"/>
  <c r="I31" i="92"/>
  <c r="U31" i="92" s="1"/>
  <c r="V31" i="92" s="1"/>
  <c r="W31" i="92"/>
  <c r="X31" i="92" s="1"/>
  <c r="I33" i="92"/>
  <c r="U33" i="92" s="1"/>
  <c r="V33" i="92" s="1"/>
  <c r="Y33" i="92" s="1"/>
  <c r="P39" i="92"/>
  <c r="O39" i="92" s="1"/>
  <c r="W36" i="92"/>
  <c r="X36" i="92" s="1"/>
  <c r="H50" i="93"/>
  <c r="H18" i="93"/>
  <c r="K40" i="93"/>
  <c r="P40" i="93"/>
  <c r="H49" i="93"/>
  <c r="H48" i="93"/>
  <c r="H47" i="93"/>
  <c r="I46" i="93"/>
  <c r="U46" i="93" s="1"/>
  <c r="M37" i="93"/>
  <c r="I37" i="93"/>
  <c r="U37" i="93" s="1"/>
  <c r="M39" i="93"/>
  <c r="I27" i="93"/>
  <c r="U27" i="93" s="1"/>
  <c r="I26" i="93"/>
  <c r="U26" i="93" s="1"/>
  <c r="W25" i="93"/>
  <c r="X25" i="93" s="1"/>
  <c r="Y25" i="93" s="1"/>
  <c r="M24" i="93"/>
  <c r="W24" i="93"/>
  <c r="X24" i="93" s="1"/>
  <c r="Y24" i="93" s="1"/>
  <c r="W30" i="93"/>
  <c r="X30" i="93" s="1"/>
  <c r="Y30" i="93" s="1"/>
  <c r="P37" i="93"/>
  <c r="O37" i="93" s="1"/>
  <c r="M40" i="93"/>
  <c r="M36" i="93"/>
  <c r="M35" i="93"/>
  <c r="I23" i="93"/>
  <c r="U23" i="93" s="1"/>
  <c r="V23" i="93" s="1"/>
  <c r="M22" i="93"/>
  <c r="I21" i="93"/>
  <c r="U21" i="93" s="1"/>
  <c r="M21" i="93"/>
  <c r="W19" i="93"/>
  <c r="X19" i="93" s="1"/>
  <c r="Y19" i="93" s="1"/>
  <c r="H28" i="93"/>
  <c r="M34" i="93"/>
  <c r="M31" i="93"/>
  <c r="W87" i="92"/>
  <c r="X87" i="92" s="1"/>
  <c r="W88" i="92"/>
  <c r="X88" i="92" s="1"/>
  <c r="K78" i="92"/>
  <c r="P40" i="92"/>
  <c r="O40" i="92" s="1"/>
  <c r="P62" i="92"/>
  <c r="P64" i="92"/>
  <c r="P50" i="92"/>
  <c r="O50" i="92" s="1"/>
  <c r="W40" i="92"/>
  <c r="X40" i="92" s="1"/>
  <c r="I40" i="92"/>
  <c r="U40" i="92" s="1"/>
  <c r="V40" i="92" s="1"/>
  <c r="M40" i="92"/>
  <c r="P33" i="92"/>
  <c r="O33" i="92" s="1"/>
  <c r="I30" i="92"/>
  <c r="U30" i="92" s="1"/>
  <c r="V30" i="92" s="1"/>
  <c r="M30" i="92"/>
  <c r="W30" i="92"/>
  <c r="X30" i="92" s="1"/>
  <c r="P15" i="92"/>
  <c r="AC50" i="92"/>
  <c r="AD50" i="92" s="1"/>
  <c r="M44" i="92"/>
  <c r="I44" i="92"/>
  <c r="U44" i="92" s="1"/>
  <c r="V44" i="92" s="1"/>
  <c r="Y44" i="92" s="1"/>
  <c r="K32" i="92"/>
  <c r="W18" i="92"/>
  <c r="X18" i="92" s="1"/>
  <c r="H43" i="92"/>
  <c r="K39" i="92"/>
  <c r="K31" i="92"/>
  <c r="P31" i="92"/>
  <c r="O31" i="92" s="1"/>
  <c r="M39" i="92"/>
  <c r="M33" i="92"/>
  <c r="M31" i="92"/>
  <c r="M36" i="92"/>
  <c r="M32" i="92"/>
  <c r="K21" i="92" l="1"/>
  <c r="M33" i="93"/>
  <c r="O64" i="92"/>
  <c r="K46" i="93"/>
  <c r="M87" i="92"/>
  <c r="K31" i="93"/>
  <c r="K34" i="93"/>
  <c r="O38" i="93"/>
  <c r="I38" i="93"/>
  <c r="U38" i="93" s="1"/>
  <c r="O44" i="93"/>
  <c r="W31" i="93"/>
  <c r="X31" i="93" s="1"/>
  <c r="Y31" i="93" s="1"/>
  <c r="I19" i="93"/>
  <c r="U19" i="93" s="1"/>
  <c r="M44" i="93"/>
  <c r="W38" i="93"/>
  <c r="X38" i="93" s="1"/>
  <c r="Y38" i="93" s="1"/>
  <c r="O35" i="93"/>
  <c r="M18" i="92"/>
  <c r="W23" i="93"/>
  <c r="X23" i="93" s="1"/>
  <c r="M26" i="93"/>
  <c r="W46" i="93"/>
  <c r="X46" i="93" s="1"/>
  <c r="Y46" i="93" s="1"/>
  <c r="K38" i="93"/>
  <c r="K44" i="93"/>
  <c r="I44" i="93"/>
  <c r="U44" i="93" s="1"/>
  <c r="K88" i="92"/>
  <c r="P31" i="93"/>
  <c r="O31" i="93" s="1"/>
  <c r="K35" i="93"/>
  <c r="M75" i="92"/>
  <c r="K75" i="92"/>
  <c r="K84" i="92"/>
  <c r="W19" i="92"/>
  <c r="X19" i="92" s="1"/>
  <c r="Y19" i="92" s="1"/>
  <c r="O15" i="92"/>
  <c r="W20" i="93"/>
  <c r="X20" i="93" s="1"/>
  <c r="Y20" i="93" s="1"/>
  <c r="I22" i="93"/>
  <c r="U22" i="93" s="1"/>
  <c r="I36" i="93"/>
  <c r="U36" i="93" s="1"/>
  <c r="M30" i="93"/>
  <c r="M25" i="93"/>
  <c r="K45" i="93"/>
  <c r="M45" i="93"/>
  <c r="K32" i="93"/>
  <c r="M21" i="92"/>
  <c r="M19" i="92"/>
  <c r="K15" i="92"/>
  <c r="K44" i="92"/>
  <c r="M32" i="93"/>
  <c r="M20" i="93"/>
  <c r="O33" i="93"/>
  <c r="W27" i="93"/>
  <c r="X27" i="93" s="1"/>
  <c r="Y27" i="93" s="1"/>
  <c r="W29" i="93"/>
  <c r="I45" i="93"/>
  <c r="U45" i="93" s="1"/>
  <c r="V45" i="93" s="1"/>
  <c r="Y45" i="93" s="1"/>
  <c r="I15" i="92"/>
  <c r="U15" i="92" s="1"/>
  <c r="V15" i="92" s="1"/>
  <c r="W40" i="93"/>
  <c r="X40" i="93" s="1"/>
  <c r="Y40" i="93" s="1"/>
  <c r="AC40" i="93" s="1"/>
  <c r="AD40" i="93" s="1"/>
  <c r="O21" i="92"/>
  <c r="P75" i="92"/>
  <c r="O75" i="92" s="1"/>
  <c r="P34" i="93"/>
  <c r="O34" i="93" s="1"/>
  <c r="K28" i="93"/>
  <c r="I35" i="93"/>
  <c r="U35" i="93" s="1"/>
  <c r="P32" i="93"/>
  <c r="O32" i="93" s="1"/>
  <c r="O40" i="93"/>
  <c r="O46" i="93"/>
  <c r="I21" i="92"/>
  <c r="U21" i="92" s="1"/>
  <c r="V21" i="92" s="1"/>
  <c r="Y21" i="92" s="1"/>
  <c r="AC21" i="92" s="1"/>
  <c r="AD21" i="92" s="1"/>
  <c r="W15" i="92"/>
  <c r="X15" i="92" s="1"/>
  <c r="M84" i="92"/>
  <c r="M66" i="92"/>
  <c r="W84" i="92"/>
  <c r="X84" i="92" s="1"/>
  <c r="Y84" i="92" s="1"/>
  <c r="W75" i="92"/>
  <c r="X75" i="92" s="1"/>
  <c r="Y75" i="92" s="1"/>
  <c r="AC75" i="92" s="1"/>
  <c r="AD75" i="92" s="1"/>
  <c r="BS30" i="92"/>
  <c r="BS62" i="92"/>
  <c r="BS84" i="92"/>
  <c r="K47" i="92"/>
  <c r="K64" i="92"/>
  <c r="K72" i="92"/>
  <c r="K87" i="92"/>
  <c r="K56" i="92"/>
  <c r="K66" i="92"/>
  <c r="K53" i="92"/>
  <c r="K63" i="92"/>
  <c r="O62" i="92"/>
  <c r="P66" i="92"/>
  <c r="O66" i="92" s="1"/>
  <c r="K62" i="92"/>
  <c r="P88" i="92"/>
  <c r="O88" i="92" s="1"/>
  <c r="BS40" i="92"/>
  <c r="BS72" i="92"/>
  <c r="M62" i="92"/>
  <c r="I62" i="92"/>
  <c r="U62" i="92" s="1"/>
  <c r="V62" i="92" s="1"/>
  <c r="Y62" i="92" s="1"/>
  <c r="M47" i="92"/>
  <c r="I47" i="92"/>
  <c r="U47" i="92" s="1"/>
  <c r="V47" i="92" s="1"/>
  <c r="M64" i="92"/>
  <c r="I64" i="92"/>
  <c r="U64" i="92" s="1"/>
  <c r="V64" i="92" s="1"/>
  <c r="Y64" i="92" s="1"/>
  <c r="M65" i="92"/>
  <c r="I65" i="92"/>
  <c r="U65" i="92" s="1"/>
  <c r="V65" i="92" s="1"/>
  <c r="BS18" i="92"/>
  <c r="W65" i="92"/>
  <c r="X65" i="92" s="1"/>
  <c r="M53" i="92"/>
  <c r="I53" i="92"/>
  <c r="U53" i="92" s="1"/>
  <c r="V53" i="92" s="1"/>
  <c r="O39" i="93"/>
  <c r="BX14" i="93"/>
  <c r="BY14" i="93" s="1"/>
  <c r="CH14" i="93"/>
  <c r="CO14" i="93" s="1"/>
  <c r="M56" i="92"/>
  <c r="I56" i="92"/>
  <c r="U56" i="92" s="1"/>
  <c r="M63" i="92"/>
  <c r="I63" i="92"/>
  <c r="U63" i="92" s="1"/>
  <c r="V63" i="92" s="1"/>
  <c r="Y63" i="92" s="1"/>
  <c r="K67" i="92"/>
  <c r="K65" i="92"/>
  <c r="BG89" i="92"/>
  <c r="U66" i="92"/>
  <c r="V66" i="92" s="1"/>
  <c r="P36" i="92"/>
  <c r="O36" i="92" s="1"/>
  <c r="W72" i="92"/>
  <c r="X72" i="92" s="1"/>
  <c r="Y72" i="92" s="1"/>
  <c r="AC33" i="92"/>
  <c r="AD33" i="92" s="1"/>
  <c r="AP33" i="92" s="1"/>
  <c r="AC35" i="93"/>
  <c r="AD35" i="93" s="1"/>
  <c r="AK35" i="93" s="1"/>
  <c r="BR46" i="93"/>
  <c r="BR51" i="93" s="1"/>
  <c r="BP46" i="93"/>
  <c r="BP51" i="93" s="1"/>
  <c r="BO46" i="93"/>
  <c r="BO51" i="93" s="1"/>
  <c r="BN46" i="93"/>
  <c r="BK46" i="93"/>
  <c r="BK51" i="93" s="1"/>
  <c r="BJ46" i="93"/>
  <c r="BJ51" i="93" s="1"/>
  <c r="BI46" i="93"/>
  <c r="BI51" i="93" s="1"/>
  <c r="BI89" i="92"/>
  <c r="BO89" i="92"/>
  <c r="BJ89" i="92"/>
  <c r="BP89" i="92"/>
  <c r="BK89" i="92"/>
  <c r="BQ89" i="92"/>
  <c r="BH89" i="92"/>
  <c r="BN89" i="92"/>
  <c r="BR89" i="92"/>
  <c r="BE89" i="92"/>
  <c r="BL77" i="92"/>
  <c r="BM77" i="92" s="1"/>
  <c r="BF89" i="92"/>
  <c r="BE46" i="93"/>
  <c r="BE51" i="93" s="1"/>
  <c r="BH46" i="93"/>
  <c r="BH51" i="93" s="1"/>
  <c r="BG46" i="93"/>
  <c r="BG51" i="93" s="1"/>
  <c r="BF46" i="93"/>
  <c r="BF51" i="93" s="1"/>
  <c r="BL76" i="92"/>
  <c r="BM76" i="92" s="1"/>
  <c r="BL50" i="92"/>
  <c r="BM50" i="92" s="1"/>
  <c r="BT50" i="92" s="1"/>
  <c r="K33" i="93"/>
  <c r="W33" i="93"/>
  <c r="X33" i="93" s="1"/>
  <c r="Y33" i="93" s="1"/>
  <c r="AC37" i="93"/>
  <c r="AD37" i="93" s="1"/>
  <c r="AJ37" i="93" s="1"/>
  <c r="K36" i="93"/>
  <c r="AC36" i="93" s="1"/>
  <c r="AD36" i="93" s="1"/>
  <c r="O45" i="93"/>
  <c r="I34" i="93"/>
  <c r="U34" i="93" s="1"/>
  <c r="W34" i="93"/>
  <c r="X34" i="93" s="1"/>
  <c r="Y34" i="93" s="1"/>
  <c r="AC34" i="93" s="1"/>
  <c r="AD34" i="93" s="1"/>
  <c r="I39" i="93"/>
  <c r="U39" i="93" s="1"/>
  <c r="K39" i="93"/>
  <c r="AC39" i="93" s="1"/>
  <c r="AD39" i="93" s="1"/>
  <c r="AC38" i="93"/>
  <c r="AD38" i="93" s="1"/>
  <c r="AN38" i="93" s="1"/>
  <c r="O72" i="92"/>
  <c r="AC59" i="92"/>
  <c r="AD59" i="92" s="1"/>
  <c r="AN24" i="92"/>
  <c r="AP24" i="92"/>
  <c r="AO24" i="92"/>
  <c r="Y36" i="92"/>
  <c r="AC36" i="92" s="1"/>
  <c r="AD36" i="92" s="1"/>
  <c r="Y20" i="92"/>
  <c r="Y88" i="92"/>
  <c r="W66" i="92"/>
  <c r="X66" i="92" s="1"/>
  <c r="Y39" i="92"/>
  <c r="AC39" i="92" s="1"/>
  <c r="AD39" i="92" s="1"/>
  <c r="M72" i="92"/>
  <c r="Y31" i="92"/>
  <c r="AC31" i="92" s="1"/>
  <c r="AD31" i="92" s="1"/>
  <c r="Y78" i="92"/>
  <c r="AC78" i="92" s="1"/>
  <c r="AD78" i="92" s="1"/>
  <c r="Y40" i="92"/>
  <c r="AC40" i="92" s="1"/>
  <c r="AD40" i="92" s="1"/>
  <c r="Y32" i="92"/>
  <c r="AC32" i="92" s="1"/>
  <c r="AD32" i="92" s="1"/>
  <c r="AJ32" i="92" s="1"/>
  <c r="K24" i="93"/>
  <c r="AC24" i="93" s="1"/>
  <c r="AD24" i="93" s="1"/>
  <c r="P24" i="93"/>
  <c r="O24" i="93" s="1"/>
  <c r="K29" i="93"/>
  <c r="AC29" i="93" s="1"/>
  <c r="P29" i="93"/>
  <c r="O29" i="93" s="1"/>
  <c r="K23" i="93"/>
  <c r="P23" i="93"/>
  <c r="O23" i="93" s="1"/>
  <c r="K26" i="93"/>
  <c r="AC26" i="93" s="1"/>
  <c r="AD26" i="93" s="1"/>
  <c r="P26" i="93"/>
  <c r="O26" i="93" s="1"/>
  <c r="K30" i="93"/>
  <c r="P30" i="93"/>
  <c r="O30" i="93" s="1"/>
  <c r="I47" i="93"/>
  <c r="U47" i="93" s="1"/>
  <c r="M47" i="93"/>
  <c r="W47" i="93"/>
  <c r="X47" i="93" s="1"/>
  <c r="Y47" i="93" s="1"/>
  <c r="K25" i="93"/>
  <c r="AC25" i="93" s="1"/>
  <c r="AD25" i="93" s="1"/>
  <c r="P25" i="93"/>
  <c r="O25" i="93" s="1"/>
  <c r="K20" i="93"/>
  <c r="P20" i="93"/>
  <c r="O20" i="93" s="1"/>
  <c r="M28" i="93"/>
  <c r="AC28" i="93" s="1"/>
  <c r="W28" i="93"/>
  <c r="K49" i="93"/>
  <c r="P49" i="93"/>
  <c r="O49" i="93" s="1"/>
  <c r="P50" i="93"/>
  <c r="O50" i="93" s="1"/>
  <c r="K50" i="93"/>
  <c r="K19" i="93"/>
  <c r="AC19" i="93" s="1"/>
  <c r="AD19" i="93" s="1"/>
  <c r="P19" i="93"/>
  <c r="O19" i="93" s="1"/>
  <c r="K27" i="93"/>
  <c r="AC27" i="93" s="1"/>
  <c r="AD27" i="93" s="1"/>
  <c r="P27" i="93"/>
  <c r="O27" i="93" s="1"/>
  <c r="K22" i="93"/>
  <c r="AC22" i="93" s="1"/>
  <c r="AD22" i="93" s="1"/>
  <c r="P22" i="93"/>
  <c r="O22" i="93" s="1"/>
  <c r="K48" i="93"/>
  <c r="P48" i="93"/>
  <c r="O48" i="93" s="1"/>
  <c r="W49" i="93"/>
  <c r="X49" i="93" s="1"/>
  <c r="Y49" i="93" s="1"/>
  <c r="M49" i="93"/>
  <c r="I49" i="93"/>
  <c r="U49" i="93" s="1"/>
  <c r="K18" i="93"/>
  <c r="P18" i="93"/>
  <c r="O18" i="93" s="1"/>
  <c r="W50" i="93"/>
  <c r="X50" i="93" s="1"/>
  <c r="Y50" i="93" s="1"/>
  <c r="M50" i="93"/>
  <c r="I50" i="93"/>
  <c r="U50" i="93" s="1"/>
  <c r="K21" i="93"/>
  <c r="AC21" i="93" s="1"/>
  <c r="AD21" i="93" s="1"/>
  <c r="P21" i="93"/>
  <c r="O21" i="93" s="1"/>
  <c r="Y23" i="93"/>
  <c r="O28" i="93"/>
  <c r="P47" i="93"/>
  <c r="O47" i="93" s="1"/>
  <c r="K47" i="93"/>
  <c r="W48" i="93"/>
  <c r="X48" i="93" s="1"/>
  <c r="Y48" i="93" s="1"/>
  <c r="M48" i="93"/>
  <c r="I48" i="93"/>
  <c r="U48" i="93" s="1"/>
  <c r="W18" i="93"/>
  <c r="X18" i="93" s="1"/>
  <c r="Y18" i="93" s="1"/>
  <c r="I18" i="93"/>
  <c r="U18" i="93" s="1"/>
  <c r="M18" i="93"/>
  <c r="AL33" i="92"/>
  <c r="AO33" i="92"/>
  <c r="K19" i="92"/>
  <c r="P19" i="92"/>
  <c r="O19" i="92" s="1"/>
  <c r="W47" i="92"/>
  <c r="X47" i="92" s="1"/>
  <c r="Y53" i="92"/>
  <c r="K18" i="92"/>
  <c r="P18" i="92"/>
  <c r="O18" i="92" s="1"/>
  <c r="P43" i="92"/>
  <c r="O43" i="92" s="1"/>
  <c r="K43" i="92"/>
  <c r="P65" i="92"/>
  <c r="O65" i="92" s="1"/>
  <c r="P84" i="92"/>
  <c r="O84" i="92" s="1"/>
  <c r="M43" i="92"/>
  <c r="W43" i="92"/>
  <c r="X43" i="92" s="1"/>
  <c r="I43" i="92"/>
  <c r="U43" i="92" s="1"/>
  <c r="V43" i="92" s="1"/>
  <c r="P56" i="92"/>
  <c r="O56" i="92" s="1"/>
  <c r="Y18" i="92"/>
  <c r="P53" i="92"/>
  <c r="O53" i="92" s="1"/>
  <c r="AO56" i="92"/>
  <c r="AP56" i="92"/>
  <c r="AN56" i="92"/>
  <c r="P87" i="92"/>
  <c r="O87" i="92" s="1"/>
  <c r="P67" i="92"/>
  <c r="O67" i="92" s="1"/>
  <c r="Y87" i="92"/>
  <c r="K30" i="92"/>
  <c r="P30" i="92"/>
  <c r="O30" i="92" s="1"/>
  <c r="P47" i="92"/>
  <c r="O47" i="92" s="1"/>
  <c r="AC44" i="92"/>
  <c r="AD44" i="92" s="1"/>
  <c r="Y30" i="92"/>
  <c r="P63" i="92"/>
  <c r="O63" i="92" s="1"/>
  <c r="U67" i="92"/>
  <c r="V67" i="92" s="1"/>
  <c r="M67" i="92"/>
  <c r="W67" i="92"/>
  <c r="X67" i="92" s="1"/>
  <c r="AC31" i="93" l="1"/>
  <c r="AD31" i="93" s="1"/>
  <c r="AC46" i="93"/>
  <c r="AD46" i="93" s="1"/>
  <c r="CS14" i="93"/>
  <c r="CT14" i="93" s="1"/>
  <c r="DN14" i="93"/>
  <c r="AK31" i="93"/>
  <c r="AP31" i="93"/>
  <c r="AO31" i="93"/>
  <c r="AL31" i="93"/>
  <c r="AM31" i="93"/>
  <c r="AM37" i="93"/>
  <c r="AL38" i="93"/>
  <c r="AK38" i="93"/>
  <c r="AJ31" i="93"/>
  <c r="AC44" i="93"/>
  <c r="AD44" i="93" s="1"/>
  <c r="AL44" i="93" s="1"/>
  <c r="AC45" i="93"/>
  <c r="AD45" i="93" s="1"/>
  <c r="AM33" i="92"/>
  <c r="AN33" i="92"/>
  <c r="AJ33" i="92"/>
  <c r="AM35" i="93"/>
  <c r="AC64" i="92"/>
  <c r="AD64" i="92" s="1"/>
  <c r="AO64" i="92" s="1"/>
  <c r="AC62" i="92"/>
  <c r="AD62" i="92" s="1"/>
  <c r="Y15" i="92"/>
  <c r="AC15" i="92" s="1"/>
  <c r="AD15" i="92" s="1"/>
  <c r="AC84" i="92"/>
  <c r="AD84" i="92" s="1"/>
  <c r="AC30" i="93"/>
  <c r="AD30" i="93" s="1"/>
  <c r="AO30" i="93" s="1"/>
  <c r="AL35" i="93"/>
  <c r="AM38" i="93"/>
  <c r="AJ38" i="93"/>
  <c r="AO38" i="93"/>
  <c r="AN35" i="93"/>
  <c r="AP37" i="93"/>
  <c r="AC88" i="92"/>
  <c r="AD88" i="92" s="1"/>
  <c r="AN88" i="92" s="1"/>
  <c r="AC32" i="93"/>
  <c r="AD32" i="93" s="1"/>
  <c r="AL32" i="93" s="1"/>
  <c r="AN40" i="93"/>
  <c r="AO40" i="93"/>
  <c r="AL40" i="93"/>
  <c r="AJ40" i="93"/>
  <c r="AM40" i="93"/>
  <c r="AK40" i="93"/>
  <c r="AM21" i="92"/>
  <c r="AO21" i="92"/>
  <c r="AJ21" i="92"/>
  <c r="AL21" i="92"/>
  <c r="AN21" i="92"/>
  <c r="AP21" i="92"/>
  <c r="AX21" i="92" s="1"/>
  <c r="AK21" i="92"/>
  <c r="BS46" i="93"/>
  <c r="BS51" i="93" s="1"/>
  <c r="AC20" i="93"/>
  <c r="AD20" i="93" s="1"/>
  <c r="AO20" i="93" s="1"/>
  <c r="AJ35" i="93"/>
  <c r="AO35" i="93"/>
  <c r="AO37" i="93"/>
  <c r="AK33" i="92"/>
  <c r="AP35" i="93"/>
  <c r="AN31" i="93"/>
  <c r="AK37" i="93"/>
  <c r="Y66" i="92"/>
  <c r="AC66" i="92" s="1"/>
  <c r="AD66" i="92" s="1"/>
  <c r="AL66" i="92" s="1"/>
  <c r="AP32" i="92"/>
  <c r="AW32" i="92" s="1"/>
  <c r="AN32" i="92"/>
  <c r="BS89" i="92"/>
  <c r="Y65" i="92"/>
  <c r="AC65" i="92" s="1"/>
  <c r="AD65" i="92" s="1"/>
  <c r="AK65" i="92" s="1"/>
  <c r="AP15" i="92"/>
  <c r="AU15" i="92" s="1"/>
  <c r="AM15" i="92"/>
  <c r="AK15" i="92"/>
  <c r="AJ15" i="92"/>
  <c r="AO15" i="92"/>
  <c r="AN15" i="92"/>
  <c r="AL15" i="92"/>
  <c r="CH50" i="92"/>
  <c r="BX50" i="92"/>
  <c r="BY50" i="92" s="1"/>
  <c r="AN37" i="93"/>
  <c r="AL37" i="93"/>
  <c r="AC33" i="93"/>
  <c r="AD33" i="93" s="1"/>
  <c r="AL33" i="93" s="1"/>
  <c r="AJ75" i="92"/>
  <c r="AN75" i="92"/>
  <c r="AM75" i="92"/>
  <c r="AK75" i="92"/>
  <c r="AP38" i="93"/>
  <c r="AP40" i="93"/>
  <c r="BN51" i="93"/>
  <c r="BL46" i="93"/>
  <c r="AX56" i="92"/>
  <c r="AY56" i="92"/>
  <c r="AX33" i="92"/>
  <c r="AY33" i="92"/>
  <c r="AX15" i="92"/>
  <c r="AX24" i="92"/>
  <c r="AY24" i="92"/>
  <c r="AU33" i="92"/>
  <c r="AV33" i="92"/>
  <c r="AW33" i="92"/>
  <c r="AV15" i="92"/>
  <c r="AV24" i="92"/>
  <c r="AW24" i="92"/>
  <c r="AU24" i="92"/>
  <c r="AW56" i="92"/>
  <c r="AV56" i="92"/>
  <c r="AU56" i="92"/>
  <c r="AL39" i="93"/>
  <c r="AK39" i="93"/>
  <c r="AP39" i="93"/>
  <c r="AO39" i="93"/>
  <c r="AM39" i="93"/>
  <c r="AJ39" i="93"/>
  <c r="AK34" i="93"/>
  <c r="AN34" i="93"/>
  <c r="AN36" i="93"/>
  <c r="AM36" i="93"/>
  <c r="AP36" i="93"/>
  <c r="AK36" i="93"/>
  <c r="AO36" i="93"/>
  <c r="AL36" i="93"/>
  <c r="AJ36" i="93"/>
  <c r="AP34" i="93"/>
  <c r="AO34" i="93"/>
  <c r="AN44" i="93"/>
  <c r="AL34" i="93"/>
  <c r="AM34" i="93"/>
  <c r="AJ34" i="93"/>
  <c r="AN39" i="93"/>
  <c r="AQ24" i="92"/>
  <c r="AR24" i="92" s="1"/>
  <c r="AK39" i="92"/>
  <c r="AO39" i="92"/>
  <c r="AJ39" i="92"/>
  <c r="AP39" i="92"/>
  <c r="AM39" i="92"/>
  <c r="AN39" i="92"/>
  <c r="AC20" i="92"/>
  <c r="AD20" i="92" s="1"/>
  <c r="V89" i="92"/>
  <c r="AL39" i="92"/>
  <c r="AL75" i="92"/>
  <c r="AO75" i="92"/>
  <c r="AP75" i="92"/>
  <c r="AK78" i="92"/>
  <c r="AO78" i="92"/>
  <c r="AM78" i="92"/>
  <c r="AP78" i="92"/>
  <c r="AL78" i="92"/>
  <c r="AJ78" i="92"/>
  <c r="AN78" i="92"/>
  <c r="AC63" i="92"/>
  <c r="AD63" i="92" s="1"/>
  <c r="AP63" i="92" s="1"/>
  <c r="AN59" i="92"/>
  <c r="AP59" i="92"/>
  <c r="AO59" i="92"/>
  <c r="AO32" i="92"/>
  <c r="Y43" i="92"/>
  <c r="AC43" i="92" s="1"/>
  <c r="AD43" i="92" s="1"/>
  <c r="AM32" i="92"/>
  <c r="AK32" i="92"/>
  <c r="AL32" i="92"/>
  <c r="AM21" i="93"/>
  <c r="AJ21" i="93"/>
  <c r="AN21" i="93"/>
  <c r="AK21" i="93"/>
  <c r="AO21" i="93"/>
  <c r="AL21" i="93"/>
  <c r="AP21" i="93"/>
  <c r="AM27" i="93"/>
  <c r="AJ27" i="93"/>
  <c r="AN27" i="93"/>
  <c r="AK27" i="93"/>
  <c r="AO27" i="93"/>
  <c r="AL27" i="93"/>
  <c r="AP27" i="93"/>
  <c r="AK20" i="93"/>
  <c r="AK22" i="93"/>
  <c r="AO22" i="93"/>
  <c r="AL22" i="93"/>
  <c r="AP22" i="93"/>
  <c r="AM22" i="93"/>
  <c r="AJ22" i="93"/>
  <c r="AN22" i="93"/>
  <c r="AM19" i="93"/>
  <c r="AJ19" i="93"/>
  <c r="AN19" i="93"/>
  <c r="AK19" i="93"/>
  <c r="AO19" i="93"/>
  <c r="AL19" i="93"/>
  <c r="AP19" i="93"/>
  <c r="AK26" i="93"/>
  <c r="AO26" i="93"/>
  <c r="AL26" i="93"/>
  <c r="AP26" i="93"/>
  <c r="AM26" i="93"/>
  <c r="AJ26" i="93"/>
  <c r="AN26" i="93"/>
  <c r="AC48" i="93"/>
  <c r="AD48" i="93" s="1"/>
  <c r="AC18" i="93"/>
  <c r="AD18" i="93" s="1"/>
  <c r="AC50" i="93"/>
  <c r="AD50" i="93" s="1"/>
  <c r="AM46" i="93"/>
  <c r="AJ46" i="93"/>
  <c r="AN46" i="93"/>
  <c r="AL46" i="93"/>
  <c r="AP46" i="93"/>
  <c r="AO46" i="93"/>
  <c r="AK46" i="93"/>
  <c r="AO28" i="93"/>
  <c r="AP28" i="93"/>
  <c r="AD28" i="93"/>
  <c r="AM28" i="93"/>
  <c r="AN28" i="93"/>
  <c r="AC49" i="93"/>
  <c r="AD49" i="93" s="1"/>
  <c r="AC47" i="93"/>
  <c r="AD47" i="93" s="1"/>
  <c r="AP30" i="93"/>
  <c r="AD29" i="93"/>
  <c r="AM29" i="93"/>
  <c r="AN29" i="93"/>
  <c r="AO29" i="93"/>
  <c r="AL29" i="93"/>
  <c r="AP29" i="93"/>
  <c r="AM25" i="93"/>
  <c r="AJ25" i="93"/>
  <c r="AN25" i="93"/>
  <c r="AK25" i="93"/>
  <c r="AO25" i="93"/>
  <c r="AL25" i="93"/>
  <c r="AP25" i="93"/>
  <c r="AL45" i="93"/>
  <c r="AP45" i="93"/>
  <c r="AM45" i="93"/>
  <c r="AK45" i="93"/>
  <c r="AO45" i="93"/>
  <c r="AJ45" i="93"/>
  <c r="AN45" i="93"/>
  <c r="AC23" i="93"/>
  <c r="AD23" i="93" s="1"/>
  <c r="AK24" i="93"/>
  <c r="AO24" i="93"/>
  <c r="AL24" i="93"/>
  <c r="AP24" i="93"/>
  <c r="AM24" i="93"/>
  <c r="AJ24" i="93"/>
  <c r="AN24" i="93"/>
  <c r="AL84" i="92"/>
  <c r="AP84" i="92"/>
  <c r="AM84" i="92"/>
  <c r="AK84" i="92"/>
  <c r="AJ84" i="92"/>
  <c r="AN84" i="92"/>
  <c r="AO84" i="92"/>
  <c r="Y67" i="92"/>
  <c r="AJ36" i="92"/>
  <c r="AN36" i="92"/>
  <c r="AK36" i="92"/>
  <c r="AO36" i="92"/>
  <c r="AL36" i="92"/>
  <c r="AP36" i="92"/>
  <c r="AM36" i="92"/>
  <c r="AC19" i="92"/>
  <c r="AD19" i="92" s="1"/>
  <c r="AK64" i="92"/>
  <c r="AP64" i="92"/>
  <c r="AM64" i="92"/>
  <c r="AJ88" i="92"/>
  <c r="AL88" i="92"/>
  <c r="AC87" i="92"/>
  <c r="AD87" i="92" s="1"/>
  <c r="AC30" i="92"/>
  <c r="AD30" i="92" s="1"/>
  <c r="AL44" i="92"/>
  <c r="AP44" i="92"/>
  <c r="AN44" i="92"/>
  <c r="AJ44" i="92"/>
  <c r="AO44" i="92"/>
  <c r="AK44" i="92"/>
  <c r="AM44" i="92"/>
  <c r="AJ62" i="92"/>
  <c r="AN62" i="92"/>
  <c r="AK62" i="92"/>
  <c r="AO62" i="92"/>
  <c r="AL62" i="92"/>
  <c r="AP62" i="92"/>
  <c r="AM62" i="92"/>
  <c r="AQ56" i="92"/>
  <c r="AR56" i="92" s="1"/>
  <c r="AO66" i="92"/>
  <c r="AL31" i="92"/>
  <c r="AP31" i="92"/>
  <c r="AM31" i="92"/>
  <c r="AJ31" i="92"/>
  <c r="AN31" i="92"/>
  <c r="AK31" i="92"/>
  <c r="AO31" i="92"/>
  <c r="AC53" i="92"/>
  <c r="AD53" i="92" s="1"/>
  <c r="Y47" i="92"/>
  <c r="AC18" i="92"/>
  <c r="AD18" i="92" s="1"/>
  <c r="AP65" i="92"/>
  <c r="AC72" i="92"/>
  <c r="AD72" i="92" s="1"/>
  <c r="AJ40" i="92"/>
  <c r="AN40" i="92"/>
  <c r="AL40" i="92"/>
  <c r="AP40" i="92"/>
  <c r="AK40" i="92"/>
  <c r="AM40" i="92"/>
  <c r="AO40" i="92"/>
  <c r="AQ31" i="93" l="1"/>
  <c r="AR31" i="93" s="1"/>
  <c r="BM31" i="93" s="1"/>
  <c r="AO44" i="93"/>
  <c r="AJ44" i="93"/>
  <c r="AK44" i="93"/>
  <c r="AP44" i="93"/>
  <c r="AM44" i="93"/>
  <c r="AK30" i="93"/>
  <c r="AM30" i="93"/>
  <c r="AK88" i="92"/>
  <c r="AM88" i="92"/>
  <c r="AV32" i="92"/>
  <c r="AX32" i="92"/>
  <c r="AQ35" i="93"/>
  <c r="AR35" i="93" s="1"/>
  <c r="BM35" i="93" s="1"/>
  <c r="BT35" i="93" s="1"/>
  <c r="CO50" i="92"/>
  <c r="AQ40" i="93"/>
  <c r="AR40" i="93" s="1"/>
  <c r="BM40" i="93" s="1"/>
  <c r="AQ33" i="92"/>
  <c r="AR33" i="92" s="1"/>
  <c r="AW21" i="92"/>
  <c r="AV21" i="92"/>
  <c r="AO33" i="93"/>
  <c r="AJ64" i="92"/>
  <c r="AL64" i="92"/>
  <c r="AN30" i="93"/>
  <c r="AL30" i="93"/>
  <c r="AM32" i="93"/>
  <c r="AN64" i="92"/>
  <c r="AJ30" i="93"/>
  <c r="AN32" i="93"/>
  <c r="AP32" i="93"/>
  <c r="AJ32" i="93"/>
  <c r="AP33" i="93"/>
  <c r="AQ38" i="93"/>
  <c r="AR38" i="93" s="1"/>
  <c r="BM38" i="93" s="1"/>
  <c r="AQ15" i="92"/>
  <c r="AR15" i="92" s="1"/>
  <c r="AN65" i="92"/>
  <c r="AO88" i="92"/>
  <c r="AM20" i="93"/>
  <c r="AM33" i="93"/>
  <c r="AO32" i="93"/>
  <c r="AK32" i="93"/>
  <c r="AQ21" i="92"/>
  <c r="AR21" i="92" s="1"/>
  <c r="AP88" i="92"/>
  <c r="AX88" i="92" s="1"/>
  <c r="AQ37" i="93"/>
  <c r="AR37" i="93" s="1"/>
  <c r="BM37" i="93" s="1"/>
  <c r="BT37" i="93" s="1"/>
  <c r="AL65" i="92"/>
  <c r="CT65" i="92" s="1"/>
  <c r="AJ65" i="92"/>
  <c r="AM66" i="92"/>
  <c r="AK66" i="92"/>
  <c r="AN66" i="92"/>
  <c r="AP20" i="93"/>
  <c r="AO65" i="92"/>
  <c r="AM65" i="92"/>
  <c r="AP66" i="92"/>
  <c r="AX66" i="92" s="1"/>
  <c r="AN20" i="93"/>
  <c r="AL20" i="93"/>
  <c r="AY21" i="92"/>
  <c r="AJ66" i="92"/>
  <c r="AJ20" i="93"/>
  <c r="AU21" i="92"/>
  <c r="AW15" i="92"/>
  <c r="AU32" i="92"/>
  <c r="AY32" i="92"/>
  <c r="AY15" i="92"/>
  <c r="BT40" i="93"/>
  <c r="BT31" i="93"/>
  <c r="BT38" i="93"/>
  <c r="AK33" i="93"/>
  <c r="AN33" i="93"/>
  <c r="AJ33" i="93"/>
  <c r="AN63" i="92"/>
  <c r="AL63" i="92"/>
  <c r="BL24" i="92"/>
  <c r="BM24" i="92" s="1"/>
  <c r="BL56" i="92"/>
  <c r="BM56" i="92" s="1"/>
  <c r="BL33" i="92"/>
  <c r="BM33" i="92" s="1"/>
  <c r="AX31" i="92"/>
  <c r="AY31" i="92"/>
  <c r="AX44" i="92"/>
  <c r="AY44" i="92"/>
  <c r="AY30" i="93"/>
  <c r="AX30" i="93"/>
  <c r="AX59" i="92"/>
  <c r="AY59" i="92"/>
  <c r="AX62" i="92"/>
  <c r="AY62" i="92"/>
  <c r="AY88" i="92"/>
  <c r="AX36" i="92"/>
  <c r="AY36" i="92"/>
  <c r="AX84" i="92"/>
  <c r="AY84" i="92"/>
  <c r="AX40" i="92"/>
  <c r="AY40" i="92"/>
  <c r="AY28" i="93"/>
  <c r="AX28" i="93"/>
  <c r="AX63" i="92"/>
  <c r="AY63" i="92"/>
  <c r="AX78" i="92"/>
  <c r="AY78" i="92"/>
  <c r="AX75" i="92"/>
  <c r="AY75" i="92"/>
  <c r="AX39" i="92"/>
  <c r="AY39" i="92"/>
  <c r="AX65" i="92"/>
  <c r="AY65" i="92"/>
  <c r="AX64" i="92"/>
  <c r="AY64" i="92"/>
  <c r="AX29" i="93"/>
  <c r="AY29" i="93"/>
  <c r="AW64" i="92"/>
  <c r="AV64" i="92"/>
  <c r="AU64" i="92"/>
  <c r="AW40" i="92"/>
  <c r="AV40" i="92"/>
  <c r="AU40" i="92"/>
  <c r="AV31" i="92"/>
  <c r="AW31" i="92"/>
  <c r="AU31" i="92"/>
  <c r="AV63" i="92"/>
  <c r="AW63" i="92"/>
  <c r="AU63" i="92"/>
  <c r="AW78" i="92"/>
  <c r="AV78" i="92"/>
  <c r="AU78" i="92"/>
  <c r="AU75" i="92"/>
  <c r="AV75" i="92"/>
  <c r="AW75" i="92"/>
  <c r="AV39" i="92"/>
  <c r="AW39" i="92"/>
  <c r="AU39" i="92"/>
  <c r="AW44" i="92"/>
  <c r="AV44" i="92"/>
  <c r="AU44" i="92"/>
  <c r="AU65" i="92"/>
  <c r="AV65" i="92"/>
  <c r="AW65" i="92"/>
  <c r="AW62" i="92"/>
  <c r="AV62" i="92"/>
  <c r="AU62" i="92"/>
  <c r="AV88" i="92"/>
  <c r="AU88" i="92"/>
  <c r="AW36" i="92"/>
  <c r="AV36" i="92"/>
  <c r="AU36" i="92"/>
  <c r="AV84" i="92"/>
  <c r="AW84" i="92"/>
  <c r="AU84" i="92"/>
  <c r="AV59" i="92"/>
  <c r="AW59" i="92"/>
  <c r="AU59" i="92"/>
  <c r="AQ36" i="93"/>
  <c r="AR36" i="93" s="1"/>
  <c r="BM36" i="93" s="1"/>
  <c r="AQ39" i="93"/>
  <c r="AR39" i="93" s="1"/>
  <c r="BM39" i="93" s="1"/>
  <c r="AQ44" i="93"/>
  <c r="AR44" i="93" s="1"/>
  <c r="BM44" i="93" s="1"/>
  <c r="AQ34" i="93"/>
  <c r="AR34" i="93" s="1"/>
  <c r="BM34" i="93" s="1"/>
  <c r="AQ75" i="92"/>
  <c r="AR75" i="92" s="1"/>
  <c r="AQ39" i="92"/>
  <c r="AR39" i="92" s="1"/>
  <c r="AQ78" i="92"/>
  <c r="AR78" i="92" s="1"/>
  <c r="AN20" i="92"/>
  <c r="AJ20" i="92"/>
  <c r="AM20" i="92"/>
  <c r="AP20" i="92"/>
  <c r="AL20" i="92"/>
  <c r="AO20" i="92"/>
  <c r="AK20" i="92"/>
  <c r="AJ63" i="92"/>
  <c r="AQ62" i="92"/>
  <c r="AR62" i="92" s="1"/>
  <c r="AQ44" i="92"/>
  <c r="AR44" i="92" s="1"/>
  <c r="AO63" i="92"/>
  <c r="AM63" i="92"/>
  <c r="AK63" i="92"/>
  <c r="AQ32" i="92"/>
  <c r="AR32" i="92" s="1"/>
  <c r="AQ59" i="92"/>
  <c r="AR59" i="92" s="1"/>
  <c r="AQ24" i="93"/>
  <c r="AR24" i="93" s="1"/>
  <c r="BM24" i="93" s="1"/>
  <c r="AQ45" i="93"/>
  <c r="AR45" i="93" s="1"/>
  <c r="BM45" i="93" s="1"/>
  <c r="AL47" i="93"/>
  <c r="AP47" i="93"/>
  <c r="AJ47" i="93"/>
  <c r="AN47" i="93"/>
  <c r="AK47" i="93"/>
  <c r="AM47" i="93"/>
  <c r="AO47" i="93"/>
  <c r="AJ50" i="93"/>
  <c r="AN50" i="93"/>
  <c r="AM50" i="93"/>
  <c r="AO50" i="93"/>
  <c r="AK50" i="93"/>
  <c r="AL50" i="93"/>
  <c r="AP50" i="93"/>
  <c r="AJ48" i="93"/>
  <c r="AN48" i="93"/>
  <c r="AL48" i="93"/>
  <c r="AP48" i="93"/>
  <c r="AM48" i="93"/>
  <c r="AO48" i="93"/>
  <c r="AK48" i="93"/>
  <c r="AJ49" i="93"/>
  <c r="AN49" i="93"/>
  <c r="AL49" i="93"/>
  <c r="AP49" i="93"/>
  <c r="AM49" i="93"/>
  <c r="AO49" i="93"/>
  <c r="AK49" i="93"/>
  <c r="AQ22" i="93"/>
  <c r="AR22" i="93" s="1"/>
  <c r="BM22" i="93" s="1"/>
  <c r="AM23" i="93"/>
  <c r="AJ23" i="93"/>
  <c r="AN23" i="93"/>
  <c r="AK23" i="93"/>
  <c r="AO23" i="93"/>
  <c r="AL23" i="93"/>
  <c r="AP23" i="93"/>
  <c r="AK28" i="93"/>
  <c r="AL28" i="93"/>
  <c r="AJ28" i="93"/>
  <c r="AQ46" i="93"/>
  <c r="AR46" i="93" s="1"/>
  <c r="BM46" i="93" s="1"/>
  <c r="AQ19" i="93"/>
  <c r="AQ21" i="93"/>
  <c r="AR21" i="93" s="1"/>
  <c r="BM21" i="93" s="1"/>
  <c r="AQ25" i="93"/>
  <c r="AR25" i="93" s="1"/>
  <c r="BM25" i="93" s="1"/>
  <c r="AJ29" i="93"/>
  <c r="AK29" i="93"/>
  <c r="AL18" i="93"/>
  <c r="AP18" i="93"/>
  <c r="AJ18" i="93"/>
  <c r="AN18" i="93"/>
  <c r="AK18" i="93"/>
  <c r="AO18" i="93"/>
  <c r="AM18" i="93"/>
  <c r="AQ26" i="93"/>
  <c r="AR26" i="93" s="1"/>
  <c r="BM26" i="93" s="1"/>
  <c r="AQ27" i="93"/>
  <c r="AR27" i="93" s="1"/>
  <c r="BM27" i="93" s="1"/>
  <c r="AQ36" i="92"/>
  <c r="AR36" i="92" s="1"/>
  <c r="AQ84" i="92"/>
  <c r="AR84" i="92" s="1"/>
  <c r="AK53" i="92"/>
  <c r="AO53" i="92"/>
  <c r="AL53" i="92"/>
  <c r="AP53" i="92"/>
  <c r="AM53" i="92"/>
  <c r="AJ53" i="92"/>
  <c r="AN53" i="92"/>
  <c r="AQ31" i="92"/>
  <c r="AR31" i="92" s="1"/>
  <c r="AM87" i="92"/>
  <c r="AP87" i="92"/>
  <c r="AJ87" i="92"/>
  <c r="AN87" i="92"/>
  <c r="AL87" i="92"/>
  <c r="AK87" i="92"/>
  <c r="AO87" i="92"/>
  <c r="AC67" i="92"/>
  <c r="AD67" i="92" s="1"/>
  <c r="AK72" i="92"/>
  <c r="AO72" i="92"/>
  <c r="AJ72" i="92"/>
  <c r="AP72" i="92"/>
  <c r="AL72" i="92"/>
  <c r="AN72" i="92"/>
  <c r="AM72" i="92"/>
  <c r="AL18" i="92"/>
  <c r="AP18" i="92"/>
  <c r="AM18" i="92"/>
  <c r="AJ18" i="92"/>
  <c r="AN18" i="92"/>
  <c r="AK18" i="92"/>
  <c r="AO18" i="92"/>
  <c r="AQ40" i="92"/>
  <c r="AR40" i="92" s="1"/>
  <c r="AC47" i="92"/>
  <c r="AD47" i="92" s="1"/>
  <c r="AJ30" i="92"/>
  <c r="AN30" i="92"/>
  <c r="AK30" i="92"/>
  <c r="AO30" i="92"/>
  <c r="AL30" i="92"/>
  <c r="AP30" i="92"/>
  <c r="AM30" i="92"/>
  <c r="AJ19" i="92"/>
  <c r="AN19" i="92"/>
  <c r="AK19" i="92"/>
  <c r="AO19" i="92"/>
  <c r="AL19" i="92"/>
  <c r="AP19" i="92"/>
  <c r="AM19" i="92"/>
  <c r="AJ43" i="92"/>
  <c r="AN43" i="92"/>
  <c r="AO43" i="92"/>
  <c r="AK43" i="92"/>
  <c r="AP43" i="92"/>
  <c r="AL43" i="92"/>
  <c r="AM43" i="92"/>
  <c r="AQ32" i="93" l="1"/>
  <c r="AR32" i="93" s="1"/>
  <c r="BM32" i="93" s="1"/>
  <c r="BT32" i="93" s="1"/>
  <c r="AQ30" i="93"/>
  <c r="AR30" i="93" s="1"/>
  <c r="CS50" i="92"/>
  <c r="CT50" i="92" s="1"/>
  <c r="DN50" i="92"/>
  <c r="AQ65" i="92"/>
  <c r="AR65" i="92" s="1"/>
  <c r="AU66" i="92"/>
  <c r="AY66" i="92"/>
  <c r="AQ88" i="92"/>
  <c r="AR88" i="92" s="1"/>
  <c r="AV66" i="92"/>
  <c r="AW66" i="92"/>
  <c r="AQ64" i="92"/>
  <c r="AR64" i="92" s="1"/>
  <c r="BL32" i="92"/>
  <c r="BM32" i="92" s="1"/>
  <c r="AQ20" i="93"/>
  <c r="AR20" i="93" s="1"/>
  <c r="BM20" i="93" s="1"/>
  <c r="AQ66" i="92"/>
  <c r="AR66" i="92" s="1"/>
  <c r="AW88" i="92"/>
  <c r="AQ33" i="93"/>
  <c r="AR33" i="93" s="1"/>
  <c r="BM33" i="93" s="1"/>
  <c r="BT33" i="93" s="1"/>
  <c r="BL15" i="92"/>
  <c r="BM15" i="92" s="1"/>
  <c r="BT15" i="92" s="1"/>
  <c r="BL21" i="92"/>
  <c r="BM21" i="92" s="1"/>
  <c r="BT21" i="92" s="1"/>
  <c r="BL30" i="93"/>
  <c r="BX37" i="93"/>
  <c r="BY37" i="93" s="1"/>
  <c r="CH37" i="93"/>
  <c r="BX38" i="93"/>
  <c r="BY38" i="93" s="1"/>
  <c r="CH38" i="93"/>
  <c r="CO38" i="93" s="1"/>
  <c r="BX31" i="93"/>
  <c r="BY31" i="93" s="1"/>
  <c r="CH31" i="93"/>
  <c r="BX40" i="93"/>
  <c r="BY40" i="93" s="1"/>
  <c r="CH40" i="93"/>
  <c r="CO40" i="93" s="1"/>
  <c r="BX35" i="93"/>
  <c r="BY35" i="93" s="1"/>
  <c r="CH35" i="93"/>
  <c r="BT21" i="93"/>
  <c r="BT45" i="93"/>
  <c r="BT25" i="93"/>
  <c r="BT44" i="93"/>
  <c r="BT27" i="93"/>
  <c r="BT26" i="93"/>
  <c r="BT22" i="93"/>
  <c r="BT24" i="93"/>
  <c r="BT39" i="93"/>
  <c r="BT46" i="93"/>
  <c r="BT20" i="93"/>
  <c r="BT34" i="93"/>
  <c r="BT36" i="93"/>
  <c r="BL28" i="93"/>
  <c r="BT56" i="92"/>
  <c r="BY33" i="92"/>
  <c r="BT24" i="92"/>
  <c r="BL40" i="92"/>
  <c r="BM40" i="92" s="1"/>
  <c r="BL78" i="92"/>
  <c r="BM78" i="92" s="1"/>
  <c r="BL88" i="92"/>
  <c r="BL44" i="92"/>
  <c r="BM44" i="92" s="1"/>
  <c r="BL59" i="92"/>
  <c r="BM59" i="92" s="1"/>
  <c r="BL62" i="92"/>
  <c r="BM62" i="92" s="1"/>
  <c r="BL65" i="92"/>
  <c r="BM65" i="92" s="1"/>
  <c r="BL75" i="92"/>
  <c r="BM75" i="92" s="1"/>
  <c r="BL63" i="92"/>
  <c r="BL64" i="92"/>
  <c r="BL29" i="93"/>
  <c r="BL36" i="92"/>
  <c r="BM36" i="92" s="1"/>
  <c r="BL31" i="92"/>
  <c r="BM31" i="92" s="1"/>
  <c r="BL84" i="92"/>
  <c r="BM84" i="92" s="1"/>
  <c r="BL66" i="92"/>
  <c r="BL39" i="92"/>
  <c r="BM39" i="92" s="1"/>
  <c r="AX49" i="93"/>
  <c r="AY49" i="93"/>
  <c r="AX72" i="92"/>
  <c r="AY72" i="92"/>
  <c r="AX19" i="92"/>
  <c r="AY19" i="92"/>
  <c r="AX87" i="92"/>
  <c r="AY87" i="92"/>
  <c r="AX50" i="93"/>
  <c r="AY50" i="93"/>
  <c r="AY51" i="93" s="1"/>
  <c r="AX20" i="92"/>
  <c r="AY20" i="92"/>
  <c r="AX43" i="92"/>
  <c r="AY43" i="92"/>
  <c r="AX30" i="92"/>
  <c r="AY30" i="92"/>
  <c r="AX18" i="92"/>
  <c r="AY18" i="92"/>
  <c r="AP51" i="93"/>
  <c r="AX53" i="92"/>
  <c r="AY53" i="92"/>
  <c r="AV43" i="92"/>
  <c r="AW43" i="92"/>
  <c r="AU43" i="92"/>
  <c r="AW72" i="92"/>
  <c r="AV72" i="92"/>
  <c r="AU72" i="92"/>
  <c r="AW30" i="92"/>
  <c r="AU30" i="92"/>
  <c r="AV30" i="92"/>
  <c r="AW19" i="92"/>
  <c r="AV19" i="92"/>
  <c r="AU19" i="92"/>
  <c r="AW87" i="92"/>
  <c r="AV87" i="92"/>
  <c r="AU87" i="92"/>
  <c r="AW50" i="93"/>
  <c r="AV50" i="93"/>
  <c r="AU50" i="93"/>
  <c r="AU20" i="92"/>
  <c r="AV20" i="92"/>
  <c r="AW20" i="92"/>
  <c r="AV18" i="92"/>
  <c r="AW18" i="92"/>
  <c r="AU18" i="92"/>
  <c r="AU53" i="92"/>
  <c r="AV53" i="92"/>
  <c r="AW53" i="92"/>
  <c r="AW49" i="93"/>
  <c r="AU49" i="93"/>
  <c r="AV49" i="93"/>
  <c r="AR19" i="93"/>
  <c r="BM19" i="93" s="1"/>
  <c r="AQ63" i="92"/>
  <c r="AR63" i="92" s="1"/>
  <c r="AQ20" i="92"/>
  <c r="AR20" i="92" s="1"/>
  <c r="AQ43" i="92"/>
  <c r="AR43" i="92" s="1"/>
  <c r="AQ18" i="92"/>
  <c r="AR18" i="92" s="1"/>
  <c r="AQ18" i="93"/>
  <c r="AQ29" i="93"/>
  <c r="AR29" i="93" s="1"/>
  <c r="AQ28" i="93"/>
  <c r="AR28" i="93" s="1"/>
  <c r="AQ23" i="93"/>
  <c r="AR23" i="93" s="1"/>
  <c r="BM23" i="93" s="1"/>
  <c r="AQ49" i="93"/>
  <c r="AR49" i="93" s="1"/>
  <c r="AQ50" i="93"/>
  <c r="AR50" i="93" s="1"/>
  <c r="AQ48" i="93"/>
  <c r="AR48" i="93" s="1"/>
  <c r="BM48" i="93" s="1"/>
  <c r="AQ47" i="93"/>
  <c r="AR47" i="93" s="1"/>
  <c r="BM47" i="93" s="1"/>
  <c r="AK47" i="92"/>
  <c r="AO47" i="92"/>
  <c r="AL47" i="92"/>
  <c r="AP47" i="92"/>
  <c r="AM47" i="92"/>
  <c r="AJ47" i="92"/>
  <c r="AN47" i="92"/>
  <c r="AQ72" i="92"/>
  <c r="AR72" i="92" s="1"/>
  <c r="AQ87" i="92"/>
  <c r="AR87" i="92" s="1"/>
  <c r="AQ53" i="92"/>
  <c r="AR53" i="92" s="1"/>
  <c r="AQ30" i="92"/>
  <c r="AR30" i="92" s="1"/>
  <c r="AQ19" i="92"/>
  <c r="AR19" i="92" s="1"/>
  <c r="AJ67" i="92"/>
  <c r="AN67" i="92"/>
  <c r="AK67" i="92"/>
  <c r="AO67" i="92"/>
  <c r="AL67" i="92"/>
  <c r="AM67" i="92"/>
  <c r="AP67" i="92"/>
  <c r="BM30" i="93" l="1"/>
  <c r="CS40" i="93"/>
  <c r="CT40" i="93" s="1"/>
  <c r="DN40" i="93"/>
  <c r="CS38" i="93"/>
  <c r="CT38" i="93" s="1"/>
  <c r="DN38" i="93"/>
  <c r="CO31" i="93"/>
  <c r="CO37" i="93"/>
  <c r="CO35" i="93"/>
  <c r="BM64" i="92"/>
  <c r="BM88" i="92"/>
  <c r="BT88" i="92" s="1"/>
  <c r="BM66" i="92"/>
  <c r="CH15" i="92"/>
  <c r="AX51" i="93"/>
  <c r="BM29" i="93"/>
  <c r="BT29" i="93" s="1"/>
  <c r="BX29" i="93" s="1"/>
  <c r="BY29" i="93" s="1"/>
  <c r="BX34" i="93"/>
  <c r="BY34" i="93" s="1"/>
  <c r="CH34" i="93"/>
  <c r="CO34" i="93" s="1"/>
  <c r="BX24" i="93"/>
  <c r="BY24" i="93" s="1"/>
  <c r="CH24" i="93"/>
  <c r="CO24" i="93" s="1"/>
  <c r="BX44" i="93"/>
  <c r="BY44" i="93" s="1"/>
  <c r="CH44" i="93"/>
  <c r="CO44" i="93" s="1"/>
  <c r="BX21" i="93"/>
  <c r="BY21" i="93" s="1"/>
  <c r="CH21" i="93"/>
  <c r="BX56" i="92"/>
  <c r="BY56" i="92" s="1"/>
  <c r="CH56" i="92"/>
  <c r="CO56" i="92" s="1"/>
  <c r="BX20" i="93"/>
  <c r="BY20" i="93" s="1"/>
  <c r="CH20" i="93"/>
  <c r="CO20" i="93" s="1"/>
  <c r="BX22" i="93"/>
  <c r="BY22" i="93" s="1"/>
  <c r="CH22" i="93"/>
  <c r="CO22" i="93" s="1"/>
  <c r="BX25" i="93"/>
  <c r="BY25" i="93" s="1"/>
  <c r="CH25" i="93"/>
  <c r="BX33" i="93"/>
  <c r="BY33" i="93" s="1"/>
  <c r="CH33" i="93"/>
  <c r="BX21" i="92"/>
  <c r="BY21" i="92" s="1"/>
  <c r="CH21" i="92"/>
  <c r="CO21" i="92" s="1"/>
  <c r="BX46" i="93"/>
  <c r="BY46" i="93" s="1"/>
  <c r="CH46" i="93"/>
  <c r="CO46" i="93" s="1"/>
  <c r="BX26" i="93"/>
  <c r="BY26" i="93" s="1"/>
  <c r="CH26" i="93"/>
  <c r="CO26" i="93" s="1"/>
  <c r="BX32" i="93"/>
  <c r="BY32" i="93" s="1"/>
  <c r="CH32" i="93"/>
  <c r="CO32" i="93" s="1"/>
  <c r="BX88" i="92"/>
  <c r="BY88" i="92" s="1"/>
  <c r="CH88" i="92"/>
  <c r="BX24" i="92"/>
  <c r="BY24" i="92" s="1"/>
  <c r="CH24" i="92"/>
  <c r="BX36" i="93"/>
  <c r="BY36" i="93" s="1"/>
  <c r="CH36" i="93"/>
  <c r="CO36" i="93" s="1"/>
  <c r="BX39" i="93"/>
  <c r="BY39" i="93" s="1"/>
  <c r="CH39" i="93"/>
  <c r="BX27" i="93"/>
  <c r="BY27" i="93" s="1"/>
  <c r="CH27" i="93"/>
  <c r="BX45" i="93"/>
  <c r="BY45" i="93" s="1"/>
  <c r="CH45" i="93"/>
  <c r="BT47" i="93"/>
  <c r="BT48" i="93"/>
  <c r="BT19" i="93"/>
  <c r="BT30" i="93"/>
  <c r="BT23" i="93"/>
  <c r="AV51" i="93"/>
  <c r="BT84" i="92"/>
  <c r="BT75" i="92"/>
  <c r="BX75" i="92" s="1"/>
  <c r="BY75" i="92" s="1"/>
  <c r="BY66" i="92"/>
  <c r="BY65" i="92"/>
  <c r="BY64" i="92"/>
  <c r="BY62" i="92"/>
  <c r="BT59" i="92"/>
  <c r="BT44" i="92"/>
  <c r="BT39" i="92"/>
  <c r="BY40" i="92"/>
  <c r="BY36" i="92"/>
  <c r="BY32" i="92"/>
  <c r="BY31" i="92"/>
  <c r="BL20" i="92"/>
  <c r="BM20" i="92" s="1"/>
  <c r="AM89" i="92"/>
  <c r="BL18" i="92"/>
  <c r="BL87" i="92"/>
  <c r="BM87" i="92" s="1"/>
  <c r="BL43" i="92"/>
  <c r="BM43" i="92" s="1"/>
  <c r="BM63" i="92"/>
  <c r="BL49" i="93"/>
  <c r="BM49" i="93" s="1"/>
  <c r="AW51" i="93"/>
  <c r="BL53" i="92"/>
  <c r="BM53" i="92" s="1"/>
  <c r="BL50" i="93"/>
  <c r="BM50" i="93" s="1"/>
  <c r="BL72" i="92"/>
  <c r="BM72" i="92" s="1"/>
  <c r="BL19" i="92"/>
  <c r="BM19" i="92" s="1"/>
  <c r="BL30" i="92"/>
  <c r="BM30" i="92" s="1"/>
  <c r="BM28" i="93"/>
  <c r="BT28" i="93" s="1"/>
  <c r="AX47" i="92"/>
  <c r="AY47" i="92"/>
  <c r="AX67" i="92"/>
  <c r="AY67" i="92"/>
  <c r="AV67" i="92"/>
  <c r="AW67" i="92"/>
  <c r="AU67" i="92"/>
  <c r="AQ51" i="93"/>
  <c r="AR18" i="93"/>
  <c r="AV47" i="92"/>
  <c r="AW47" i="92"/>
  <c r="AU47" i="92"/>
  <c r="AU51" i="93"/>
  <c r="AO89" i="92"/>
  <c r="AO94" i="92" s="1"/>
  <c r="BM18" i="92"/>
  <c r="AP89" i="92"/>
  <c r="AK89" i="92"/>
  <c r="AN89" i="92"/>
  <c r="AL89" i="92"/>
  <c r="AQ67" i="92"/>
  <c r="AR67" i="92" s="1"/>
  <c r="AJ89" i="92"/>
  <c r="AQ47" i="92"/>
  <c r="AR47" i="92" s="1"/>
  <c r="CS21" i="92" l="1"/>
  <c r="CT21" i="92" s="1"/>
  <c r="DN21" i="92"/>
  <c r="CS56" i="92"/>
  <c r="CT56" i="92" s="1"/>
  <c r="DN56" i="92"/>
  <c r="CS46" i="93"/>
  <c r="CT46" i="93" s="1"/>
  <c r="DN46" i="93"/>
  <c r="CS32" i="93"/>
  <c r="CT32" i="93" s="1"/>
  <c r="DN32" i="93"/>
  <c r="CS22" i="93"/>
  <c r="CT22" i="93" s="1"/>
  <c r="DN22" i="93"/>
  <c r="CS44" i="93"/>
  <c r="CT44" i="93" s="1"/>
  <c r="DN44" i="93"/>
  <c r="CS34" i="93"/>
  <c r="CT34" i="93" s="1"/>
  <c r="DN34" i="93"/>
  <c r="CS35" i="93"/>
  <c r="CT35" i="93" s="1"/>
  <c r="DN35" i="93"/>
  <c r="CS36" i="93"/>
  <c r="CT36" i="93" s="1"/>
  <c r="DN36" i="93"/>
  <c r="CS26" i="93"/>
  <c r="CT26" i="93" s="1"/>
  <c r="DN26" i="93"/>
  <c r="CS20" i="93"/>
  <c r="CT20" i="93" s="1"/>
  <c r="DN20" i="93"/>
  <c r="CH29" i="93"/>
  <c r="CO29" i="93" s="1"/>
  <c r="CS37" i="93"/>
  <c r="CT37" i="93" s="1"/>
  <c r="DN37" i="93"/>
  <c r="CS24" i="93"/>
  <c r="CT24" i="93" s="1"/>
  <c r="DN24" i="93"/>
  <c r="CS31" i="93"/>
  <c r="CT31" i="93" s="1"/>
  <c r="DN31" i="93"/>
  <c r="CO27" i="93"/>
  <c r="CO88" i="92"/>
  <c r="CO25" i="93"/>
  <c r="CO45" i="93"/>
  <c r="CO39" i="93"/>
  <c r="CO24" i="92"/>
  <c r="CO33" i="93"/>
  <c r="CO21" i="93"/>
  <c r="BX59" i="92"/>
  <c r="BY59" i="92" s="1"/>
  <c r="CH59" i="92"/>
  <c r="BX23" i="93"/>
  <c r="BY23" i="93" s="1"/>
  <c r="CH23" i="93"/>
  <c r="BX47" i="93"/>
  <c r="BY47" i="93" s="1"/>
  <c r="CH47" i="93"/>
  <c r="BX28" i="93"/>
  <c r="BY28" i="93" s="1"/>
  <c r="CH28" i="93"/>
  <c r="CO28" i="93" s="1"/>
  <c r="CH75" i="92"/>
  <c r="BX30" i="93"/>
  <c r="BY30" i="93" s="1"/>
  <c r="CH30" i="93"/>
  <c r="CO30" i="93" s="1"/>
  <c r="BL51" i="93"/>
  <c r="BX39" i="92"/>
  <c r="BY39" i="92" s="1"/>
  <c r="CH39" i="92"/>
  <c r="CO39" i="92" s="1"/>
  <c r="BX84" i="92"/>
  <c r="BY84" i="92" s="1"/>
  <c r="CH84" i="92"/>
  <c r="CO84" i="92" s="1"/>
  <c r="BX19" i="93"/>
  <c r="BY19" i="93" s="1"/>
  <c r="CH19" i="93"/>
  <c r="CO19" i="93" s="1"/>
  <c r="BX44" i="92"/>
  <c r="BY44" i="92" s="1"/>
  <c r="CH44" i="92"/>
  <c r="CO44" i="92" s="1"/>
  <c r="BX48" i="93"/>
  <c r="BY48" i="93" s="1"/>
  <c r="CH48" i="93"/>
  <c r="CO48" i="93" s="1"/>
  <c r="BT49" i="93"/>
  <c r="BT50" i="93"/>
  <c r="BT87" i="92"/>
  <c r="BY72" i="92"/>
  <c r="BY63" i="92"/>
  <c r="BT53" i="92"/>
  <c r="BT43" i="92"/>
  <c r="BT30" i="92"/>
  <c r="BT18" i="92"/>
  <c r="BT19" i="92"/>
  <c r="BT20" i="92"/>
  <c r="AV89" i="92"/>
  <c r="AY89" i="92"/>
  <c r="AX89" i="92"/>
  <c r="BL67" i="92"/>
  <c r="BM67" i="92" s="1"/>
  <c r="BL47" i="92"/>
  <c r="BM47" i="92" s="1"/>
  <c r="AW89" i="92"/>
  <c r="BM18" i="93"/>
  <c r="AR51" i="93"/>
  <c r="AU89" i="92"/>
  <c r="AQ89" i="92"/>
  <c r="AR89" i="92"/>
  <c r="CS44" i="92" l="1"/>
  <c r="CT44" i="92" s="1"/>
  <c r="DN44" i="92"/>
  <c r="CS84" i="92"/>
  <c r="CT84" i="92" s="1"/>
  <c r="DN84" i="92"/>
  <c r="CS39" i="92"/>
  <c r="CT39" i="92" s="1"/>
  <c r="DN39" i="92"/>
  <c r="CS24" i="92"/>
  <c r="CT24" i="92" s="1"/>
  <c r="DN24" i="92"/>
  <c r="CS88" i="92"/>
  <c r="CT88" i="92" s="1"/>
  <c r="DN88" i="92"/>
  <c r="CS48" i="93"/>
  <c r="CT48" i="93" s="1"/>
  <c r="DN48" i="93"/>
  <c r="CS29" i="93"/>
  <c r="CT29" i="93" s="1"/>
  <c r="DN29" i="93"/>
  <c r="CS39" i="93"/>
  <c r="CT39" i="93" s="1"/>
  <c r="DN39" i="93"/>
  <c r="CS28" i="93"/>
  <c r="CT28" i="93" s="1"/>
  <c r="DN28" i="93"/>
  <c r="CS21" i="93"/>
  <c r="CT21" i="93" s="1"/>
  <c r="DN21" i="93"/>
  <c r="CS45" i="93"/>
  <c r="CT45" i="93" s="1"/>
  <c r="DN45" i="93"/>
  <c r="CS27" i="93"/>
  <c r="CT27" i="93" s="1"/>
  <c r="DN27" i="93"/>
  <c r="CS33" i="93"/>
  <c r="CT33" i="93" s="1"/>
  <c r="DN33" i="93"/>
  <c r="CS30" i="93"/>
  <c r="CT30" i="93" s="1"/>
  <c r="DN30" i="93"/>
  <c r="CS19" i="93"/>
  <c r="CT19" i="93" s="1"/>
  <c r="DN19" i="93"/>
  <c r="CS25" i="93"/>
  <c r="CT25" i="93" s="1"/>
  <c r="DN25" i="93"/>
  <c r="CO23" i="93"/>
  <c r="CO75" i="92"/>
  <c r="CO47" i="93"/>
  <c r="CO59" i="92"/>
  <c r="BM51" i="93"/>
  <c r="BM52" i="93" s="1"/>
  <c r="BX30" i="92"/>
  <c r="BY30" i="92" s="1"/>
  <c r="CH30" i="92"/>
  <c r="CO30" i="92" s="1"/>
  <c r="BX20" i="92"/>
  <c r="BY20" i="92" s="1"/>
  <c r="CH20" i="92"/>
  <c r="CO20" i="92" s="1"/>
  <c r="BX43" i="92"/>
  <c r="BY43" i="92" s="1"/>
  <c r="CH43" i="92"/>
  <c r="BX87" i="92"/>
  <c r="BY87" i="92" s="1"/>
  <c r="CH87" i="92"/>
  <c r="CO87" i="92" s="1"/>
  <c r="BX19" i="92"/>
  <c r="BY19" i="92" s="1"/>
  <c r="CH19" i="92"/>
  <c r="CO19" i="92" s="1"/>
  <c r="BX53" i="92"/>
  <c r="BY53" i="92" s="1"/>
  <c r="CH53" i="92"/>
  <c r="CO53" i="92" s="1"/>
  <c r="BX50" i="93"/>
  <c r="BY50" i="93" s="1"/>
  <c r="CH50" i="93"/>
  <c r="CO50" i="93" s="1"/>
  <c r="BX18" i="92"/>
  <c r="BY18" i="92" s="1"/>
  <c r="CH18" i="92"/>
  <c r="BX49" i="93"/>
  <c r="BY49" i="93" s="1"/>
  <c r="CH49" i="93"/>
  <c r="BT18" i="93"/>
  <c r="BY67" i="92"/>
  <c r="BT47" i="92"/>
  <c r="BT89" i="92" s="1"/>
  <c r="CH91" i="92" s="1"/>
  <c r="BM89" i="92"/>
  <c r="BM90" i="92" s="1"/>
  <c r="BL89" i="92"/>
  <c r="AA21" i="73"/>
  <c r="H21" i="73"/>
  <c r="AB21" i="73" s="1"/>
  <c r="Z15" i="90"/>
  <c r="J15" i="90"/>
  <c r="L15" i="90" s="1"/>
  <c r="H15" i="90"/>
  <c r="M15" i="90" s="1"/>
  <c r="AQ15" i="81"/>
  <c r="AC15" i="81"/>
  <c r="H15" i="81"/>
  <c r="AD15" i="81" s="1"/>
  <c r="J15" i="81"/>
  <c r="L15" i="81" s="1"/>
  <c r="BZ15" i="81" s="1"/>
  <c r="Z24" i="66"/>
  <c r="J24" i="66"/>
  <c r="L24" i="66" s="1"/>
  <c r="H24" i="66"/>
  <c r="M24" i="66" s="1"/>
  <c r="CS59" i="92" l="1"/>
  <c r="CT59" i="92" s="1"/>
  <c r="DN59" i="92"/>
  <c r="CS75" i="92"/>
  <c r="CT75" i="92" s="1"/>
  <c r="DN75" i="92"/>
  <c r="CS53" i="92"/>
  <c r="CT53" i="92" s="1"/>
  <c r="DN53" i="92"/>
  <c r="CS19" i="92"/>
  <c r="CT19" i="92" s="1"/>
  <c r="DN19" i="92"/>
  <c r="CS87" i="92"/>
  <c r="CT87" i="92" s="1"/>
  <c r="DN87" i="92"/>
  <c r="CS20" i="92"/>
  <c r="CT20" i="92" s="1"/>
  <c r="DN20" i="92"/>
  <c r="CS30" i="92"/>
  <c r="CT30" i="92" s="1"/>
  <c r="DN30" i="92"/>
  <c r="CS50" i="93"/>
  <c r="CT50" i="93" s="1"/>
  <c r="DN50" i="93"/>
  <c r="CS47" i="93"/>
  <c r="CT47" i="93" s="1"/>
  <c r="DN47" i="93"/>
  <c r="CS23" i="93"/>
  <c r="CT23" i="93" s="1"/>
  <c r="DN23" i="93"/>
  <c r="CO49" i="93"/>
  <c r="CO43" i="92"/>
  <c r="CO18" i="92"/>
  <c r="BT51" i="93"/>
  <c r="CH53" i="93" s="1"/>
  <c r="BX18" i="93"/>
  <c r="BY18" i="93" s="1"/>
  <c r="BY51" i="93" s="1"/>
  <c r="CH18" i="93"/>
  <c r="BX47" i="92"/>
  <c r="BY47" i="92" s="1"/>
  <c r="BY89" i="92" s="1"/>
  <c r="CH47" i="92"/>
  <c r="CO47" i="92" s="1"/>
  <c r="AC21" i="73"/>
  <c r="AO21" i="73" s="1"/>
  <c r="AZ15" i="81"/>
  <c r="AY15" i="81"/>
  <c r="AA15" i="90"/>
  <c r="M21" i="73"/>
  <c r="AA24" i="66"/>
  <c r="I21" i="73"/>
  <c r="AX15" i="81"/>
  <c r="AV15" i="81"/>
  <c r="AW15" i="81"/>
  <c r="AE15" i="81"/>
  <c r="P21" i="73"/>
  <c r="O21" i="73" s="1"/>
  <c r="K21" i="73"/>
  <c r="P15" i="90"/>
  <c r="O15" i="90" s="1"/>
  <c r="K15" i="90"/>
  <c r="I15" i="90"/>
  <c r="I15" i="81"/>
  <c r="K15" i="81"/>
  <c r="P15" i="81"/>
  <c r="M15" i="81"/>
  <c r="P24" i="66"/>
  <c r="K24" i="66"/>
  <c r="O24" i="66" s="1"/>
  <c r="Q24" i="66" s="1"/>
  <c r="I24" i="66"/>
  <c r="AP54" i="57"/>
  <c r="BK54" i="57" s="1"/>
  <c r="CD54" i="57" s="1"/>
  <c r="Z54" i="57"/>
  <c r="J54" i="57"/>
  <c r="L54" i="57" s="1"/>
  <c r="H54" i="57"/>
  <c r="AA54" i="57" s="1"/>
  <c r="AP41" i="62"/>
  <c r="BK41" i="62" s="1"/>
  <c r="CD41" i="62" s="1"/>
  <c r="Z41" i="62"/>
  <c r="J41" i="62"/>
  <c r="L41" i="62" s="1"/>
  <c r="H41" i="62"/>
  <c r="AA41" i="62" s="1"/>
  <c r="T24" i="61"/>
  <c r="BA24" i="61" s="1"/>
  <c r="BB24" i="61" s="1"/>
  <c r="Z24" i="61"/>
  <c r="J24" i="61"/>
  <c r="L24" i="61" s="1"/>
  <c r="H24" i="61"/>
  <c r="M24" i="61" s="1"/>
  <c r="Z31" i="60"/>
  <c r="T31" i="60"/>
  <c r="BA31" i="60" s="1"/>
  <c r="BB31" i="60" s="1"/>
  <c r="DJ31" i="60" s="1"/>
  <c r="J31" i="60"/>
  <c r="L31" i="60" s="1"/>
  <c r="H31" i="60"/>
  <c r="AP36" i="57"/>
  <c r="BK36" i="57" s="1"/>
  <c r="CD36" i="57" s="1"/>
  <c r="Z36" i="57"/>
  <c r="J36" i="57"/>
  <c r="L36" i="57" s="1"/>
  <c r="H36" i="57"/>
  <c r="AA36" i="57" s="1"/>
  <c r="AP35" i="57"/>
  <c r="BK35" i="57" s="1"/>
  <c r="CD35" i="57" s="1"/>
  <c r="Z35" i="57"/>
  <c r="J35" i="57"/>
  <c r="L35" i="57" s="1"/>
  <c r="H35" i="57"/>
  <c r="AA35" i="57" s="1"/>
  <c r="AH21" i="91"/>
  <c r="Z20" i="91"/>
  <c r="AP19" i="90"/>
  <c r="BK19" i="90" s="1"/>
  <c r="AH20" i="90"/>
  <c r="Z19" i="90"/>
  <c r="L19" i="90"/>
  <c r="P19" i="90" s="1"/>
  <c r="H19" i="90"/>
  <c r="AA19" i="90" s="1"/>
  <c r="T25" i="73"/>
  <c r="BB25" i="73" s="1"/>
  <c r="BC25" i="73" s="1"/>
  <c r="AA25" i="73"/>
  <c r="P25" i="73"/>
  <c r="H25" i="73"/>
  <c r="I25" i="73" s="1"/>
  <c r="AN31" i="78"/>
  <c r="BI31" i="78" s="1"/>
  <c r="CB31" i="78" s="1"/>
  <c r="CP31" i="78" s="1"/>
  <c r="AC31" i="78"/>
  <c r="H31" i="78"/>
  <c r="AD31" i="78" s="1"/>
  <c r="AC18" i="86"/>
  <c r="J18" i="86"/>
  <c r="L18" i="86" s="1"/>
  <c r="P18" i="86" s="1"/>
  <c r="H18" i="86"/>
  <c r="M18" i="86" s="1"/>
  <c r="AC25" i="81"/>
  <c r="J25" i="81"/>
  <c r="L25" i="81" s="1"/>
  <c r="N25" i="81" s="1"/>
  <c r="CU25" i="81" s="1"/>
  <c r="CV25" i="81" s="1"/>
  <c r="H25" i="81"/>
  <c r="AC25" i="80"/>
  <c r="H25" i="80"/>
  <c r="AD25" i="80" s="1"/>
  <c r="Z21" i="66"/>
  <c r="J21" i="66"/>
  <c r="H21" i="66"/>
  <c r="AA21" i="66" s="1"/>
  <c r="Z21" i="63"/>
  <c r="H21" i="63"/>
  <c r="M21" i="63" s="1"/>
  <c r="T25" i="61"/>
  <c r="BA25" i="61" s="1"/>
  <c r="BB25" i="61" s="1"/>
  <c r="Z25" i="61"/>
  <c r="J25" i="61"/>
  <c r="H25" i="61"/>
  <c r="T34" i="62"/>
  <c r="BA34" i="62" s="1"/>
  <c r="BB34" i="62" s="1"/>
  <c r="CS47" i="92" l="1"/>
  <c r="CT47" i="92" s="1"/>
  <c r="DN47" i="92"/>
  <c r="CS43" i="92"/>
  <c r="CT43" i="92" s="1"/>
  <c r="DN43" i="92"/>
  <c r="M25" i="81"/>
  <c r="CO89" i="92"/>
  <c r="DN90" i="92" s="1"/>
  <c r="CS18" i="92"/>
  <c r="CT18" i="92" s="1"/>
  <c r="CT89" i="92" s="1"/>
  <c r="DN18" i="92"/>
  <c r="DN89" i="92" s="1"/>
  <c r="CS49" i="93"/>
  <c r="CT49" i="93" s="1"/>
  <c r="DN49" i="93"/>
  <c r="BB21" i="63"/>
  <c r="BC21" i="63" s="1"/>
  <c r="BW21" i="63"/>
  <c r="BX21" i="63" s="1"/>
  <c r="CH89" i="92"/>
  <c r="CH51" i="93"/>
  <c r="CO52" i="93" s="1"/>
  <c r="DN52" i="93" s="1"/>
  <c r="CO18" i="93"/>
  <c r="CW31" i="78"/>
  <c r="AB15" i="90"/>
  <c r="AN15" i="90" s="1"/>
  <c r="BX89" i="92"/>
  <c r="BV19" i="90"/>
  <c r="BW19" i="90" s="1"/>
  <c r="BR19" i="90"/>
  <c r="CF19" i="90" s="1"/>
  <c r="CM19" i="90" s="1"/>
  <c r="AE25" i="80"/>
  <c r="AQ25" i="80" s="1"/>
  <c r="AW25" i="80" s="1"/>
  <c r="BP25" i="61"/>
  <c r="BO25" i="61"/>
  <c r="BN25" i="61"/>
  <c r="BM25" i="61"/>
  <c r="BL25" i="61"/>
  <c r="BI25" i="61"/>
  <c r="BG25" i="61"/>
  <c r="BH25" i="61"/>
  <c r="O18" i="86"/>
  <c r="BP31" i="60"/>
  <c r="BP65" i="60" s="1"/>
  <c r="BO31" i="60"/>
  <c r="BO65" i="60" s="1"/>
  <c r="BN31" i="60"/>
  <c r="BN65" i="60" s="1"/>
  <c r="BM31" i="60"/>
  <c r="BM65" i="60" s="1"/>
  <c r="BL31" i="60"/>
  <c r="BI31" i="60"/>
  <c r="BI65" i="60" s="1"/>
  <c r="BH31" i="60"/>
  <c r="BH65" i="60" s="1"/>
  <c r="BG31" i="60"/>
  <c r="BG65" i="60" s="1"/>
  <c r="BP24" i="61"/>
  <c r="BO24" i="61"/>
  <c r="BN24" i="61"/>
  <c r="BM24" i="61"/>
  <c r="BL24" i="61"/>
  <c r="BI24" i="61"/>
  <c r="BH24" i="61"/>
  <c r="BH45" i="61" s="1"/>
  <c r="BG24" i="61"/>
  <c r="BB45" i="61"/>
  <c r="AD18" i="86"/>
  <c r="AE18" i="86" s="1"/>
  <c r="AS18" i="86" s="1"/>
  <c r="BN18" i="86" s="1"/>
  <c r="CG18" i="86" s="1"/>
  <c r="CG19" i="86" s="1"/>
  <c r="BC34" i="62"/>
  <c r="BF34" i="62"/>
  <c r="BF54" i="62" s="1"/>
  <c r="BE34" i="62"/>
  <c r="BE54" i="62" s="1"/>
  <c r="BD34" i="62"/>
  <c r="BD54" i="62" s="1"/>
  <c r="BC25" i="61"/>
  <c r="BF25" i="61"/>
  <c r="BE25" i="61"/>
  <c r="BD25" i="61"/>
  <c r="BC24" i="61"/>
  <c r="BC45" i="61" s="1"/>
  <c r="BF24" i="61"/>
  <c r="BF45" i="61" s="1"/>
  <c r="BE24" i="61"/>
  <c r="BE45" i="61" s="1"/>
  <c r="BD24" i="61"/>
  <c r="BD45" i="61" s="1"/>
  <c r="BD25" i="73"/>
  <c r="BD33" i="73" s="1"/>
  <c r="BG25" i="73"/>
  <c r="BG33" i="73" s="1"/>
  <c r="BF25" i="73"/>
  <c r="BF33" i="73" s="1"/>
  <c r="BE25" i="73"/>
  <c r="BE33" i="73" s="1"/>
  <c r="BC31" i="60"/>
  <c r="BC65" i="60" s="1"/>
  <c r="BF31" i="60"/>
  <c r="BF65" i="60" s="1"/>
  <c r="BE31" i="60"/>
  <c r="BE65" i="60" s="1"/>
  <c r="BD31" i="60"/>
  <c r="BD65" i="60" s="1"/>
  <c r="BC54" i="62"/>
  <c r="AP20" i="91"/>
  <c r="AP21" i="91" s="1"/>
  <c r="BA20" i="91"/>
  <c r="BB20" i="91" s="1"/>
  <c r="BM15" i="81"/>
  <c r="AA21" i="63"/>
  <c r="AB21" i="63" s="1"/>
  <c r="AN21" i="63" s="1"/>
  <c r="AB21" i="66"/>
  <c r="AN21" i="66" s="1"/>
  <c r="AO21" i="66" s="1"/>
  <c r="AP21" i="66" s="1"/>
  <c r="AA25" i="61"/>
  <c r="AB25" i="61" s="1"/>
  <c r="AN25" i="61" s="1"/>
  <c r="AB41" i="62"/>
  <c r="AB54" i="57"/>
  <c r="AW21" i="73"/>
  <c r="AX21" i="73"/>
  <c r="I25" i="61"/>
  <c r="I19" i="90"/>
  <c r="M25" i="61"/>
  <c r="M31" i="78"/>
  <c r="AB36" i="57"/>
  <c r="I31" i="60"/>
  <c r="AV21" i="73"/>
  <c r="AT21" i="73"/>
  <c r="AU21" i="73"/>
  <c r="AP21" i="73"/>
  <c r="AQ21" i="73" s="1"/>
  <c r="AS25" i="61"/>
  <c r="I21" i="66"/>
  <c r="AE31" i="78"/>
  <c r="O25" i="73"/>
  <c r="M21" i="66"/>
  <c r="I31" i="78"/>
  <c r="O19" i="90"/>
  <c r="O15" i="81"/>
  <c r="M31" i="60"/>
  <c r="AA31" i="60"/>
  <c r="AB31" i="60" s="1"/>
  <c r="K25" i="73"/>
  <c r="AD25" i="81"/>
  <c r="AE25" i="81" s="1"/>
  <c r="AQ25" i="81" s="1"/>
  <c r="AB24" i="66"/>
  <c r="P54" i="57"/>
  <c r="O54" i="57" s="1"/>
  <c r="K54" i="57"/>
  <c r="I54" i="57"/>
  <c r="M54" i="57"/>
  <c r="P41" i="62"/>
  <c r="O41" i="62" s="1"/>
  <c r="K41" i="62"/>
  <c r="I41" i="62"/>
  <c r="M41" i="62"/>
  <c r="I24" i="61"/>
  <c r="P24" i="61"/>
  <c r="O24" i="61" s="1"/>
  <c r="Q24" i="61" s="1"/>
  <c r="K24" i="61"/>
  <c r="AA24" i="61"/>
  <c r="AB24" i="61" s="1"/>
  <c r="AO24" i="61" s="1"/>
  <c r="AP24" i="61" s="1"/>
  <c r="K31" i="60"/>
  <c r="P31" i="60"/>
  <c r="O31" i="60" s="1"/>
  <c r="AP31" i="60"/>
  <c r="P36" i="57"/>
  <c r="O36" i="57" s="1"/>
  <c r="K36" i="57"/>
  <c r="I36" i="57"/>
  <c r="M36" i="57"/>
  <c r="AB35" i="57"/>
  <c r="P35" i="57"/>
  <c r="O35" i="57" s="1"/>
  <c r="K35" i="57"/>
  <c r="I35" i="57"/>
  <c r="M35" i="57"/>
  <c r="AA20" i="91"/>
  <c r="AB20" i="91" s="1"/>
  <c r="AB19" i="90"/>
  <c r="M19" i="90"/>
  <c r="K19" i="90"/>
  <c r="AB25" i="73"/>
  <c r="AC25" i="73" s="1"/>
  <c r="AO25" i="73" s="1"/>
  <c r="M25" i="73"/>
  <c r="AM31" i="78"/>
  <c r="BR31" i="78" s="1"/>
  <c r="BS31" i="78" s="1"/>
  <c r="L31" i="78"/>
  <c r="CF31" i="78" s="1"/>
  <c r="CG31" i="78" s="1"/>
  <c r="K18" i="86"/>
  <c r="U18" i="86"/>
  <c r="Z18" i="86" s="1"/>
  <c r="I18" i="86"/>
  <c r="P25" i="81"/>
  <c r="O25" i="81" s="1"/>
  <c r="K25" i="81"/>
  <c r="I25" i="81"/>
  <c r="P25" i="80"/>
  <c r="O25" i="80" s="1"/>
  <c r="K25" i="80"/>
  <c r="I25" i="80"/>
  <c r="M25" i="80"/>
  <c r="L21" i="66"/>
  <c r="K21" i="63"/>
  <c r="P21" i="63"/>
  <c r="I21" i="63"/>
  <c r="L25" i="61"/>
  <c r="AU21" i="66" l="1"/>
  <c r="CQ19" i="90"/>
  <c r="CR19" i="90" s="1"/>
  <c r="DL19" i="90"/>
  <c r="DA31" i="78"/>
  <c r="DB31" i="78" s="1"/>
  <c r="DV31" i="78"/>
  <c r="CO51" i="93"/>
  <c r="CS18" i="93"/>
  <c r="DN18" i="93"/>
  <c r="DN51" i="93" s="1"/>
  <c r="O21" i="63"/>
  <c r="BN45" i="61"/>
  <c r="AY25" i="80"/>
  <c r="AR25" i="80"/>
  <c r="AS25" i="80" s="1"/>
  <c r="AV25" i="80"/>
  <c r="AX25" i="80"/>
  <c r="AZ25" i="80"/>
  <c r="BG45" i="61"/>
  <c r="AT21" i="66"/>
  <c r="BM45" i="61"/>
  <c r="BN15" i="81"/>
  <c r="BU15" i="81" s="1"/>
  <c r="BQ31" i="60"/>
  <c r="BQ65" i="60" s="1"/>
  <c r="AS21" i="66"/>
  <c r="AT25" i="61"/>
  <c r="AT45" i="61" s="1"/>
  <c r="DV25" i="61"/>
  <c r="DV45" i="61" s="1"/>
  <c r="DU25" i="61"/>
  <c r="DU45" i="61" s="1"/>
  <c r="DX25" i="61"/>
  <c r="DX45" i="61" s="1"/>
  <c r="DT25" i="61"/>
  <c r="DT45" i="61" s="1"/>
  <c r="DW25" i="61"/>
  <c r="DW45" i="61" s="1"/>
  <c r="AO25" i="61"/>
  <c r="AP25" i="61" s="1"/>
  <c r="AU25" i="61"/>
  <c r="AU45" i="61" s="1"/>
  <c r="BI45" i="61"/>
  <c r="BO45" i="61"/>
  <c r="CC25" i="61"/>
  <c r="Q31" i="60"/>
  <c r="AO15" i="90"/>
  <c r="AP15" i="90" s="1"/>
  <c r="BP15" i="90"/>
  <c r="BP20" i="90" s="1"/>
  <c r="BO15" i="90"/>
  <c r="BO20" i="90" s="1"/>
  <c r="BN15" i="90"/>
  <c r="BN20" i="90" s="1"/>
  <c r="BM15" i="90"/>
  <c r="BM20" i="90" s="1"/>
  <c r="BL15" i="90"/>
  <c r="BJ24" i="61"/>
  <c r="BK24" i="61" s="1"/>
  <c r="CC24" i="61"/>
  <c r="BL45" i="61"/>
  <c r="BP45" i="61"/>
  <c r="BL65" i="60"/>
  <c r="AS19" i="86"/>
  <c r="BN19" i="86" s="1"/>
  <c r="BN20" i="86" s="1"/>
  <c r="BJ31" i="60"/>
  <c r="BK31" i="60" s="1"/>
  <c r="AN45" i="61"/>
  <c r="AN51" i="61" s="1"/>
  <c r="BC20" i="91"/>
  <c r="BC21" i="91" s="1"/>
  <c r="BF20" i="91"/>
  <c r="BF21" i="91" s="1"/>
  <c r="BE20" i="91"/>
  <c r="BE21" i="91" s="1"/>
  <c r="BD20" i="91"/>
  <c r="BD21" i="91" s="1"/>
  <c r="AT21" i="63"/>
  <c r="AO21" i="63"/>
  <c r="AP21" i="63" s="1"/>
  <c r="AN37" i="63"/>
  <c r="BK21" i="73"/>
  <c r="AU21" i="63"/>
  <c r="AS21" i="63"/>
  <c r="AW25" i="73"/>
  <c r="AW33" i="73" s="1"/>
  <c r="AX25" i="73"/>
  <c r="AX33" i="73" s="1"/>
  <c r="AV15" i="90"/>
  <c r="AV20" i="90" s="1"/>
  <c r="AW15" i="90"/>
  <c r="AW20" i="90" s="1"/>
  <c r="AV25" i="61"/>
  <c r="AV45" i="61" s="1"/>
  <c r="AW25" i="61"/>
  <c r="AW45" i="61" s="1"/>
  <c r="AY25" i="81"/>
  <c r="AY73" i="81" s="1"/>
  <c r="AZ25" i="81"/>
  <c r="AZ73" i="81" s="1"/>
  <c r="AV21" i="66"/>
  <c r="AW21" i="66"/>
  <c r="AV21" i="63"/>
  <c r="AW21" i="63"/>
  <c r="AP25" i="73"/>
  <c r="AQ25" i="73" s="1"/>
  <c r="AV25" i="73"/>
  <c r="AV33" i="73" s="1"/>
  <c r="AT25" i="73"/>
  <c r="AU25" i="73"/>
  <c r="AU33" i="73" s="1"/>
  <c r="AT15" i="90"/>
  <c r="AT20" i="90" s="1"/>
  <c r="AU15" i="90"/>
  <c r="AU20" i="90" s="1"/>
  <c r="AS15" i="90"/>
  <c r="AN20" i="90"/>
  <c r="AN24" i="66"/>
  <c r="AS45" i="61"/>
  <c r="AW25" i="81"/>
  <c r="AW73" i="81" s="1"/>
  <c r="AX25" i="81"/>
  <c r="AX73" i="81" s="1"/>
  <c r="AV25" i="81"/>
  <c r="AT33" i="73"/>
  <c r="AQ73" i="81"/>
  <c r="AR80" i="81" s="1"/>
  <c r="Q36" i="57"/>
  <c r="Q35" i="57"/>
  <c r="P31" i="78"/>
  <c r="O31" i="78" s="1"/>
  <c r="K31" i="78"/>
  <c r="P21" i="66"/>
  <c r="O21" i="66" s="1"/>
  <c r="Q21" i="66" s="1"/>
  <c r="K21" i="66"/>
  <c r="P25" i="61"/>
  <c r="O25" i="61" s="1"/>
  <c r="Q25" i="61" s="1"/>
  <c r="K25" i="61"/>
  <c r="CT18" i="93" l="1"/>
  <c r="CT51" i="93" s="1"/>
  <c r="CS51" i="93"/>
  <c r="BM25" i="80"/>
  <c r="BN25" i="80" s="1"/>
  <c r="BQ15" i="90"/>
  <c r="CJ15" i="81"/>
  <c r="CQ15" i="81" s="1"/>
  <c r="AO20" i="90"/>
  <c r="BR31" i="60"/>
  <c r="BL20" i="90"/>
  <c r="CD24" i="61"/>
  <c r="CC45" i="61"/>
  <c r="BJ21" i="91"/>
  <c r="BJ21" i="66"/>
  <c r="BK20" i="91"/>
  <c r="BR20" i="91" s="1"/>
  <c r="CF20" i="91" s="1"/>
  <c r="BL21" i="73"/>
  <c r="CE21" i="73" s="1"/>
  <c r="CS21" i="73" s="1"/>
  <c r="BM25" i="81"/>
  <c r="BJ25" i="61"/>
  <c r="BJ15" i="90"/>
  <c r="BK25" i="73"/>
  <c r="BL25" i="73" s="1"/>
  <c r="CE25" i="73" s="1"/>
  <c r="AV24" i="66"/>
  <c r="AW24" i="66"/>
  <c r="AV73" i="81"/>
  <c r="AS20" i="90"/>
  <c r="AP20" i="90"/>
  <c r="AT24" i="66"/>
  <c r="AU24" i="66"/>
  <c r="AS24" i="66"/>
  <c r="AN35" i="66"/>
  <c r="AO24" i="66"/>
  <c r="AP24" i="66" s="1"/>
  <c r="AN32" i="60"/>
  <c r="Z32" i="60"/>
  <c r="J32" i="60"/>
  <c r="L32" i="60" s="1"/>
  <c r="H32" i="60"/>
  <c r="M32" i="60" s="1"/>
  <c r="Z34" i="62"/>
  <c r="H35" i="62"/>
  <c r="J35" i="62"/>
  <c r="L35" i="62" s="1"/>
  <c r="Z35" i="62"/>
  <c r="AO35" i="62"/>
  <c r="AP35" i="62" s="1"/>
  <c r="BK35" i="62" s="1"/>
  <c r="CD35" i="62" s="1"/>
  <c r="J34" i="62"/>
  <c r="L34" i="62" s="1"/>
  <c r="H34" i="62"/>
  <c r="AA34" i="62" s="1"/>
  <c r="AM15" i="89"/>
  <c r="AN15" i="89" s="1"/>
  <c r="AL15" i="89"/>
  <c r="X15" i="89"/>
  <c r="J15" i="89"/>
  <c r="L15" i="89" s="1"/>
  <c r="H15" i="89"/>
  <c r="U15" i="89" s="1"/>
  <c r="Y15" i="89" s="1"/>
  <c r="AN50" i="62"/>
  <c r="Z50" i="62"/>
  <c r="J50" i="62"/>
  <c r="L50" i="62" s="1"/>
  <c r="H50" i="62"/>
  <c r="M50" i="62" s="1"/>
  <c r="AN28" i="60"/>
  <c r="CU15" i="81" l="1"/>
  <c r="CV15" i="81" s="1"/>
  <c r="DP15" i="81"/>
  <c r="DP73" i="81" s="1"/>
  <c r="CZ21" i="73"/>
  <c r="CM20" i="91"/>
  <c r="CF21" i="91"/>
  <c r="CM22" i="91" s="1"/>
  <c r="DL22" i="91" s="1"/>
  <c r="CJ73" i="81"/>
  <c r="CQ74" i="81" s="1"/>
  <c r="DP74" i="81" s="1"/>
  <c r="CQ73" i="81"/>
  <c r="BV20" i="91"/>
  <c r="BW20" i="91" s="1"/>
  <c r="BW21" i="91" s="1"/>
  <c r="BR21" i="91"/>
  <c r="CF23" i="91" s="1"/>
  <c r="CA15" i="81"/>
  <c r="BN25" i="81"/>
  <c r="CI25" i="73"/>
  <c r="CJ25" i="73" s="1"/>
  <c r="CS25" i="73"/>
  <c r="CI21" i="73"/>
  <c r="CJ21" i="73" s="1"/>
  <c r="M15" i="89"/>
  <c r="BI15" i="89"/>
  <c r="BP15" i="89" s="1"/>
  <c r="AN20" i="89"/>
  <c r="AN21" i="89" s="1"/>
  <c r="BK21" i="66"/>
  <c r="CD21" i="66" s="1"/>
  <c r="BK21" i="91"/>
  <c r="BK22" i="91" s="1"/>
  <c r="BJ24" i="66"/>
  <c r="BJ30" i="66" s="1"/>
  <c r="BK15" i="90"/>
  <c r="BJ20" i="90"/>
  <c r="BK33" i="73"/>
  <c r="BK25" i="61"/>
  <c r="CD25" i="61" s="1"/>
  <c r="BJ45" i="61"/>
  <c r="AB34" i="62"/>
  <c r="AN34" i="62" s="1"/>
  <c r="AW34" i="62" s="1"/>
  <c r="AV28" i="60"/>
  <c r="AW28" i="60"/>
  <c r="AV50" i="62"/>
  <c r="AW50" i="62"/>
  <c r="AV32" i="60"/>
  <c r="AW32" i="60"/>
  <c r="AN64" i="60"/>
  <c r="AT28" i="60"/>
  <c r="AU28" i="60"/>
  <c r="AS28" i="60"/>
  <c r="AT50" i="62"/>
  <c r="AU50" i="62"/>
  <c r="AS50" i="62"/>
  <c r="AO32" i="60"/>
  <c r="AP32" i="60" s="1"/>
  <c r="AT32" i="60"/>
  <c r="AU32" i="60"/>
  <c r="AS32" i="60"/>
  <c r="AN36" i="66"/>
  <c r="I35" i="62"/>
  <c r="AO50" i="62"/>
  <c r="AP50" i="62" s="1"/>
  <c r="AA32" i="60"/>
  <c r="AB32" i="60" s="1"/>
  <c r="P32" i="60"/>
  <c r="O32" i="60" s="1"/>
  <c r="Q32" i="60" s="1"/>
  <c r="K32" i="60"/>
  <c r="I32" i="60"/>
  <c r="K35" i="62"/>
  <c r="P35" i="62"/>
  <c r="O35" i="62" s="1"/>
  <c r="M35" i="62"/>
  <c r="AA50" i="62"/>
  <c r="P34" i="62"/>
  <c r="O34" i="62" s="1"/>
  <c r="K34" i="62"/>
  <c r="I34" i="62"/>
  <c r="M34" i="62"/>
  <c r="Z15" i="89"/>
  <c r="P15" i="89"/>
  <c r="O15" i="89" s="1"/>
  <c r="K15" i="89"/>
  <c r="I15" i="89"/>
  <c r="K50" i="62"/>
  <c r="P50" i="62"/>
  <c r="O50" i="62" s="1"/>
  <c r="I50" i="62"/>
  <c r="Z27" i="60"/>
  <c r="J27" i="60"/>
  <c r="L27" i="60" s="1"/>
  <c r="H27" i="60"/>
  <c r="M27" i="60" s="1"/>
  <c r="AP15" i="60"/>
  <c r="BK15" i="60" s="1"/>
  <c r="BR15" i="60" s="1"/>
  <c r="Z15" i="60"/>
  <c r="L15" i="60"/>
  <c r="P15" i="60" s="1"/>
  <c r="H15" i="60"/>
  <c r="M15" i="60" s="1"/>
  <c r="Z60" i="57"/>
  <c r="J60" i="57"/>
  <c r="H60" i="57"/>
  <c r="M60" i="57" s="1"/>
  <c r="AC23" i="85"/>
  <c r="CM21" i="91" l="1"/>
  <c r="CQ20" i="91"/>
  <c r="CR20" i="91" s="1"/>
  <c r="DL20" i="91"/>
  <c r="DL21" i="91" s="1"/>
  <c r="DY21" i="73"/>
  <c r="DD21" i="73"/>
  <c r="DE21" i="73" s="1"/>
  <c r="CR21" i="91"/>
  <c r="CZ25" i="73"/>
  <c r="AO34" i="62"/>
  <c r="AP34" i="62" s="1"/>
  <c r="AN61" i="62"/>
  <c r="BK20" i="90"/>
  <c r="BK21" i="90" s="1"/>
  <c r="BR15" i="90"/>
  <c r="BV15" i="90"/>
  <c r="BW15" i="90" s="1"/>
  <c r="BW20" i="90" s="1"/>
  <c r="AS34" i="62"/>
  <c r="AS54" i="62" s="1"/>
  <c r="AV34" i="62"/>
  <c r="AV54" i="62" s="1"/>
  <c r="BZ25" i="81"/>
  <c r="CA25" i="81" s="1"/>
  <c r="BU25" i="81"/>
  <c r="BK24" i="66"/>
  <c r="CD24" i="66" s="1"/>
  <c r="BP20" i="89"/>
  <c r="BI20" i="89"/>
  <c r="BI21" i="89" s="1"/>
  <c r="AU34" i="62"/>
  <c r="AU54" i="62" s="1"/>
  <c r="AT34" i="62"/>
  <c r="AT54" i="62" s="1"/>
  <c r="BJ50" i="62"/>
  <c r="BK50" i="62" s="1"/>
  <c r="CD50" i="62" s="1"/>
  <c r="I60" i="57"/>
  <c r="BJ32" i="60"/>
  <c r="BK32" i="60" s="1"/>
  <c r="BR32" i="60" s="1"/>
  <c r="BJ28" i="60"/>
  <c r="AU64" i="60"/>
  <c r="AA35" i="62"/>
  <c r="AB35" i="62" s="1"/>
  <c r="AW64" i="60"/>
  <c r="AV64" i="60"/>
  <c r="AW54" i="62"/>
  <c r="AB50" i="62"/>
  <c r="AT64" i="60"/>
  <c r="AS64" i="60"/>
  <c r="I15" i="60"/>
  <c r="Q34" i="62"/>
  <c r="P27" i="60"/>
  <c r="O27" i="60" s="1"/>
  <c r="Q27" i="60" s="1"/>
  <c r="K27" i="60"/>
  <c r="AA27" i="60" s="1"/>
  <c r="AB27" i="60" s="1"/>
  <c r="AH27" i="60" s="1"/>
  <c r="AO27" i="60" s="1"/>
  <c r="AP27" i="60" s="1"/>
  <c r="BK27" i="60" s="1"/>
  <c r="BR27" i="60" s="1"/>
  <c r="I27" i="60"/>
  <c r="K15" i="60"/>
  <c r="O15" i="60" s="1"/>
  <c r="Q15" i="60" s="1"/>
  <c r="L60" i="57"/>
  <c r="Z15" i="86"/>
  <c r="H15" i="86"/>
  <c r="AC15" i="86"/>
  <c r="L15" i="86"/>
  <c r="AO50" i="60"/>
  <c r="AP50" i="60" s="1"/>
  <c r="BK50" i="60" s="1"/>
  <c r="BR50" i="60" s="1"/>
  <c r="Z50" i="60"/>
  <c r="J50" i="60"/>
  <c r="L50" i="60" s="1"/>
  <c r="H50" i="60"/>
  <c r="M50" i="60" s="1"/>
  <c r="L41" i="61"/>
  <c r="P41" i="61" s="1"/>
  <c r="AO41" i="61"/>
  <c r="AP41" i="61" s="1"/>
  <c r="BK41" i="61" s="1"/>
  <c r="CD41" i="61" s="1"/>
  <c r="Z41" i="61"/>
  <c r="H41" i="61"/>
  <c r="DY25" i="73" l="1"/>
  <c r="DD25" i="73"/>
  <c r="DE25" i="73" s="1"/>
  <c r="AN62" i="62"/>
  <c r="BR20" i="90"/>
  <c r="CF23" i="90" s="1"/>
  <c r="CF15" i="90"/>
  <c r="BJ34" i="62"/>
  <c r="BK34" i="62" s="1"/>
  <c r="CD34" i="62" s="1"/>
  <c r="BJ65" i="60"/>
  <c r="O41" i="61"/>
  <c r="AA15" i="60"/>
  <c r="AB15" i="60" s="1"/>
  <c r="K60" i="57"/>
  <c r="P60" i="57"/>
  <c r="M15" i="86"/>
  <c r="P15" i="86"/>
  <c r="K15" i="86"/>
  <c r="I15" i="86"/>
  <c r="P50" i="60"/>
  <c r="O50" i="60" s="1"/>
  <c r="K50" i="60"/>
  <c r="AA50" i="60" s="1"/>
  <c r="I50" i="60"/>
  <c r="I41" i="61"/>
  <c r="M41" i="61"/>
  <c r="K41" i="61"/>
  <c r="CF20" i="90" l="1"/>
  <c r="CM21" i="90" s="1"/>
  <c r="DL21" i="90" s="1"/>
  <c r="CM15" i="90"/>
  <c r="BJ54" i="62"/>
  <c r="AA41" i="61"/>
  <c r="AB41" i="61" s="1"/>
  <c r="AD15" i="86"/>
  <c r="AE15" i="86" s="1"/>
  <c r="AB50" i="60"/>
  <c r="O60" i="57"/>
  <c r="Q60" i="57" s="1"/>
  <c r="AA60" i="57"/>
  <c r="AB60" i="57" s="1"/>
  <c r="AH60" i="57" s="1"/>
  <c r="AO60" i="57" s="1"/>
  <c r="AP60" i="57" s="1"/>
  <c r="BK60" i="57" s="1"/>
  <c r="CD60" i="57" s="1"/>
  <c r="O15" i="86"/>
  <c r="Q15" i="86" s="1"/>
  <c r="CQ15" i="90" l="1"/>
  <c r="CR15" i="90" s="1"/>
  <c r="DL15" i="90"/>
  <c r="DL20" i="90" s="1"/>
  <c r="CM20" i="90"/>
  <c r="CQ20" i="90" l="1"/>
  <c r="CR20" i="90"/>
  <c r="AL26" i="80"/>
  <c r="DD26" i="80" s="1"/>
  <c r="AM26" i="80"/>
  <c r="AN26" i="80"/>
  <c r="AO26" i="80"/>
  <c r="AP26" i="80"/>
  <c r="AQ26" i="80"/>
  <c r="AK26" i="80"/>
  <c r="H26" i="80"/>
  <c r="Y26" i="80" s="1"/>
  <c r="Z26" i="80" s="1"/>
  <c r="AC26" i="80"/>
  <c r="Z51" i="60"/>
  <c r="J51" i="60"/>
  <c r="L51" i="60" s="1"/>
  <c r="H51" i="60"/>
  <c r="M51" i="60" s="1"/>
  <c r="AK20" i="57"/>
  <c r="AL20" i="57"/>
  <c r="AM20" i="57"/>
  <c r="AN20" i="57"/>
  <c r="H20" i="57"/>
  <c r="J20" i="57"/>
  <c r="L20" i="57" s="1"/>
  <c r="Z20" i="57"/>
  <c r="Z56" i="57"/>
  <c r="J56" i="57"/>
  <c r="L56" i="57" s="1"/>
  <c r="H56" i="57"/>
  <c r="M56" i="57" s="1"/>
  <c r="Z53" i="57"/>
  <c r="J53" i="57"/>
  <c r="L53" i="57" s="1"/>
  <c r="H53" i="57"/>
  <c r="Z51" i="57"/>
  <c r="J51" i="57"/>
  <c r="L51" i="57" s="1"/>
  <c r="P51" i="57" s="1"/>
  <c r="H51" i="57"/>
  <c r="M51" i="57" s="1"/>
  <c r="K26" i="80" l="1"/>
  <c r="I53" i="57"/>
  <c r="AY26" i="80"/>
  <c r="AY30" i="80" s="1"/>
  <c r="AZ26" i="80"/>
  <c r="AZ30" i="80" s="1"/>
  <c r="AV20" i="57"/>
  <c r="AV75" i="57" s="1"/>
  <c r="AW20" i="57"/>
  <c r="AW75" i="57" s="1"/>
  <c r="AU20" i="57"/>
  <c r="AU75" i="57" s="1"/>
  <c r="AS20" i="57"/>
  <c r="AT20" i="57"/>
  <c r="AT75" i="57" s="1"/>
  <c r="AN75" i="57"/>
  <c r="AN77" i="57" s="1"/>
  <c r="AW26" i="80"/>
  <c r="AW30" i="80" s="1"/>
  <c r="AX26" i="80"/>
  <c r="AX30" i="80" s="1"/>
  <c r="AV26" i="80"/>
  <c r="AQ30" i="80"/>
  <c r="AR36" i="80" s="1"/>
  <c r="AO20" i="57"/>
  <c r="AP20" i="57" s="1"/>
  <c r="M53" i="57"/>
  <c r="I26" i="80"/>
  <c r="M26" i="80"/>
  <c r="P26" i="80"/>
  <c r="P51" i="60"/>
  <c r="O51" i="60" s="1"/>
  <c r="K51" i="60"/>
  <c r="AO51" i="60" s="1"/>
  <c r="AP51" i="60" s="1"/>
  <c r="BK51" i="60" s="1"/>
  <c r="BR51" i="60" s="1"/>
  <c r="I51" i="60"/>
  <c r="I20" i="57"/>
  <c r="P20" i="57"/>
  <c r="K20" i="57"/>
  <c r="M20" i="57"/>
  <c r="P56" i="57"/>
  <c r="K56" i="57"/>
  <c r="I56" i="57"/>
  <c r="P53" i="57"/>
  <c r="K53" i="57"/>
  <c r="I51" i="57"/>
  <c r="K51" i="57"/>
  <c r="O51" i="57" s="1"/>
  <c r="Q51" i="57" s="1"/>
  <c r="AP73" i="81"/>
  <c r="BJ20" i="57" l="1"/>
  <c r="BJ75" i="57" s="1"/>
  <c r="BM26" i="80"/>
  <c r="AV30" i="80"/>
  <c r="BM30" i="80" s="1"/>
  <c r="AS75" i="57"/>
  <c r="AA51" i="60"/>
  <c r="AB51" i="60" s="1"/>
  <c r="AD26" i="80"/>
  <c r="AE26" i="80" s="1"/>
  <c r="AR26" i="80" s="1"/>
  <c r="AS26" i="80" s="1"/>
  <c r="O26" i="80"/>
  <c r="AA20" i="57"/>
  <c r="AB20" i="57" s="1"/>
  <c r="O20" i="57"/>
  <c r="O56" i="57"/>
  <c r="Q56" i="57" s="1"/>
  <c r="AA56" i="57"/>
  <c r="AB56" i="57" s="1"/>
  <c r="O53" i="57"/>
  <c r="Q53" i="57" s="1"/>
  <c r="AA53" i="57"/>
  <c r="AB53" i="57" s="1"/>
  <c r="AH53" i="57" s="1"/>
  <c r="AO53" i="57" s="1"/>
  <c r="AP53" i="57" s="1"/>
  <c r="BK53" i="57" s="1"/>
  <c r="CD53" i="57" s="1"/>
  <c r="AA51" i="57"/>
  <c r="AB51" i="57" s="1"/>
  <c r="AH51" i="57" s="1"/>
  <c r="AO51" i="57" s="1"/>
  <c r="AP51" i="57" s="1"/>
  <c r="BK51" i="57" s="1"/>
  <c r="CD51" i="57" s="1"/>
  <c r="W32" i="67"/>
  <c r="AC32" i="67"/>
  <c r="AD32" i="67"/>
  <c r="AE32" i="67"/>
  <c r="AF32" i="67"/>
  <c r="AG32" i="67"/>
  <c r="AH32" i="67"/>
  <c r="BK20" i="57" l="1"/>
  <c r="CD20" i="57" s="1"/>
  <c r="BN26" i="80"/>
  <c r="AN32" i="67"/>
  <c r="AM19" i="64"/>
  <c r="AC22" i="85" l="1"/>
  <c r="AC18" i="85"/>
  <c r="J22" i="85"/>
  <c r="H22" i="85"/>
  <c r="X22" i="85" s="1"/>
  <c r="Y22" i="85" s="1"/>
  <c r="P18" i="85"/>
  <c r="J18" i="85"/>
  <c r="H18" i="85"/>
  <c r="X18" i="85" s="1"/>
  <c r="Y18" i="85" s="1"/>
  <c r="P23" i="85"/>
  <c r="J23" i="85"/>
  <c r="H23" i="85"/>
  <c r="X23" i="85" s="1"/>
  <c r="Y23" i="85" s="1"/>
  <c r="AC15" i="85"/>
  <c r="J15" i="85"/>
  <c r="H15" i="85"/>
  <c r="X15" i="85" s="1"/>
  <c r="Y15" i="85" s="1"/>
  <c r="AQ24" i="85"/>
  <c r="AP24" i="85"/>
  <c r="AJ24" i="85"/>
  <c r="AI24" i="85"/>
  <c r="AH24" i="85"/>
  <c r="AG24" i="85"/>
  <c r="AF24" i="85"/>
  <c r="V22" i="85" l="1"/>
  <c r="W22" i="85" s="1"/>
  <c r="Z22" i="85" s="1"/>
  <c r="M22" i="85"/>
  <c r="V18" i="85"/>
  <c r="W18" i="85" s="1"/>
  <c r="Z18" i="85" s="1"/>
  <c r="V23" i="85"/>
  <c r="W23" i="85" s="1"/>
  <c r="Z23" i="85" s="1"/>
  <c r="M15" i="85"/>
  <c r="V15" i="85"/>
  <c r="W15" i="85" s="1"/>
  <c r="P22" i="85"/>
  <c r="K22" i="85"/>
  <c r="I22" i="85"/>
  <c r="K18" i="85"/>
  <c r="I18" i="85"/>
  <c r="M18" i="85"/>
  <c r="K23" i="85"/>
  <c r="I23" i="85"/>
  <c r="M23" i="85"/>
  <c r="P15" i="85"/>
  <c r="K15" i="85"/>
  <c r="I15" i="85"/>
  <c r="AD22" i="85" l="1"/>
  <c r="AE22" i="85" s="1"/>
  <c r="AK22" i="85" s="1"/>
  <c r="AR22" i="85" s="1"/>
  <c r="AS22" i="85" s="1"/>
  <c r="BN22" i="85" s="1"/>
  <c r="CG22" i="85" s="1"/>
  <c r="CN22" i="85" s="1"/>
  <c r="DM22" i="85" s="1"/>
  <c r="O22" i="85"/>
  <c r="Q22" i="85" s="1"/>
  <c r="AD23" i="85"/>
  <c r="AE23" i="85" s="1"/>
  <c r="AK23" i="85" s="1"/>
  <c r="AR23" i="85" s="1"/>
  <c r="AS23" i="85" s="1"/>
  <c r="BN23" i="85" s="1"/>
  <c r="CG23" i="85" s="1"/>
  <c r="CN23" i="85" s="1"/>
  <c r="DM23" i="85" s="1"/>
  <c r="Z15" i="85"/>
  <c r="AD18" i="85"/>
  <c r="AE18" i="85" s="1"/>
  <c r="AK18" i="85" s="1"/>
  <c r="AR18" i="85" s="1"/>
  <c r="AS18" i="85" s="1"/>
  <c r="BN18" i="85" s="1"/>
  <c r="CG18" i="85" s="1"/>
  <c r="CN18" i="85" s="1"/>
  <c r="DM18" i="85" s="1"/>
  <c r="O18" i="85"/>
  <c r="Q18" i="85" s="1"/>
  <c r="O23" i="85"/>
  <c r="Q23" i="85" s="1"/>
  <c r="O15" i="85"/>
  <c r="Q15" i="85" s="1"/>
  <c r="V24" i="85"/>
  <c r="Z24" i="85" l="1"/>
  <c r="AD15" i="85"/>
  <c r="AE15" i="85" s="1"/>
  <c r="AK15" i="85" s="1"/>
  <c r="AR15" i="85" s="1"/>
  <c r="W24" i="85"/>
  <c r="AQ19" i="84"/>
  <c r="AP19" i="84"/>
  <c r="AJ19" i="84"/>
  <c r="AI19" i="84"/>
  <c r="AH19" i="84"/>
  <c r="AG19" i="84"/>
  <c r="AF19" i="84"/>
  <c r="AC18" i="84"/>
  <c r="L18" i="84"/>
  <c r="P18" i="84" s="1"/>
  <c r="H18" i="84"/>
  <c r="M18" i="84" s="1"/>
  <c r="AC15" i="84"/>
  <c r="J15" i="84"/>
  <c r="L15" i="84" s="1"/>
  <c r="H15" i="84"/>
  <c r="M15" i="84" s="1"/>
  <c r="Y16" i="81"/>
  <c r="Z16" i="81" s="1"/>
  <c r="AC16" i="81"/>
  <c r="J16" i="81"/>
  <c r="L16" i="81" s="1"/>
  <c r="P16" i="81" s="1"/>
  <c r="H16" i="81"/>
  <c r="M16" i="81" s="1"/>
  <c r="X73" i="81"/>
  <c r="J57" i="81"/>
  <c r="L57" i="81" s="1"/>
  <c r="N57" i="81" s="1"/>
  <c r="CU57" i="81" s="1"/>
  <c r="CV57" i="81" s="1"/>
  <c r="AC69" i="81"/>
  <c r="Y69" i="81"/>
  <c r="Z69" i="81" s="1"/>
  <c r="J69" i="81"/>
  <c r="L69" i="81" s="1"/>
  <c r="H69" i="81"/>
  <c r="AC68" i="81"/>
  <c r="Y68" i="81"/>
  <c r="Z68" i="81" s="1"/>
  <c r="J68" i="81"/>
  <c r="L68" i="81" s="1"/>
  <c r="N68" i="81" s="1"/>
  <c r="CU68" i="81" s="1"/>
  <c r="CV68" i="81" s="1"/>
  <c r="H68" i="81"/>
  <c r="AC65" i="81"/>
  <c r="Y65" i="81"/>
  <c r="Z65" i="81" s="1"/>
  <c r="J65" i="81"/>
  <c r="H65" i="81"/>
  <c r="AC62" i="81"/>
  <c r="Y62" i="81"/>
  <c r="Z62" i="81" s="1"/>
  <c r="J62" i="81"/>
  <c r="L62" i="81" s="1"/>
  <c r="H62" i="81"/>
  <c r="AC61" i="81"/>
  <c r="Y61" i="81"/>
  <c r="Z61" i="81" s="1"/>
  <c r="J61" i="81"/>
  <c r="L61" i="81" s="1"/>
  <c r="H61" i="81"/>
  <c r="AC60" i="81"/>
  <c r="Y60" i="81"/>
  <c r="Z60" i="81" s="1"/>
  <c r="J60" i="81"/>
  <c r="L60" i="81" s="1"/>
  <c r="H60" i="81"/>
  <c r="AC57" i="81"/>
  <c r="Y57" i="81"/>
  <c r="Z57" i="81" s="1"/>
  <c r="H57" i="81"/>
  <c r="M57" i="81" s="1"/>
  <c r="AC56" i="81"/>
  <c r="Y56" i="81"/>
  <c r="Z56" i="81" s="1"/>
  <c r="J56" i="81"/>
  <c r="L56" i="81" s="1"/>
  <c r="H56" i="81"/>
  <c r="AC55" i="81"/>
  <c r="Y55" i="81"/>
  <c r="Z55" i="81" s="1"/>
  <c r="J55" i="81"/>
  <c r="L55" i="81" s="1"/>
  <c r="H55" i="81"/>
  <c r="AC52" i="81"/>
  <c r="Y52" i="81"/>
  <c r="Z52" i="81" s="1"/>
  <c r="J52" i="81"/>
  <c r="L52" i="81" s="1"/>
  <c r="H52" i="81"/>
  <c r="AC46" i="81"/>
  <c r="Y46" i="81"/>
  <c r="Z46" i="81" s="1"/>
  <c r="J46" i="81"/>
  <c r="L46" i="81" s="1"/>
  <c r="N46" i="81" s="1"/>
  <c r="CU46" i="81" s="1"/>
  <c r="CV46" i="81" s="1"/>
  <c r="H46" i="81"/>
  <c r="M46" i="81" s="1"/>
  <c r="AC45" i="81"/>
  <c r="Y45" i="81"/>
  <c r="Z45" i="81" s="1"/>
  <c r="J45" i="81"/>
  <c r="L45" i="81" s="1"/>
  <c r="H45" i="81"/>
  <c r="AC44" i="81"/>
  <c r="Y44" i="81"/>
  <c r="Z44" i="81" s="1"/>
  <c r="J44" i="81"/>
  <c r="H44" i="81"/>
  <c r="AC19" i="81"/>
  <c r="Y19" i="81"/>
  <c r="Z19" i="81" s="1"/>
  <c r="J19" i="81"/>
  <c r="L19" i="81" s="1"/>
  <c r="P19" i="81" s="1"/>
  <c r="H19" i="81"/>
  <c r="M19" i="81" s="1"/>
  <c r="AC39" i="81"/>
  <c r="Y39" i="81"/>
  <c r="Z39" i="81" s="1"/>
  <c r="J39" i="81"/>
  <c r="L39" i="81" s="1"/>
  <c r="H39" i="81"/>
  <c r="AC41" i="81"/>
  <c r="Y41" i="81"/>
  <c r="Z41" i="81" s="1"/>
  <c r="J41" i="81"/>
  <c r="L41" i="81" s="1"/>
  <c r="N41" i="81" s="1"/>
  <c r="CU41" i="81" s="1"/>
  <c r="CV41" i="81" s="1"/>
  <c r="H41" i="81"/>
  <c r="AC40" i="81"/>
  <c r="Y40" i="81"/>
  <c r="Z40" i="81" s="1"/>
  <c r="J40" i="81"/>
  <c r="L40" i="81" s="1"/>
  <c r="N40" i="81" s="1"/>
  <c r="CU40" i="81" s="1"/>
  <c r="CV40" i="81" s="1"/>
  <c r="H40" i="81"/>
  <c r="AC31" i="81"/>
  <c r="Y31" i="81"/>
  <c r="Z31" i="81" s="1"/>
  <c r="J31" i="81"/>
  <c r="H31" i="81"/>
  <c r="AC43" i="81"/>
  <c r="Y43" i="81"/>
  <c r="Z43" i="81" s="1"/>
  <c r="J43" i="81"/>
  <c r="H43" i="81"/>
  <c r="AC42" i="81"/>
  <c r="Y42" i="81"/>
  <c r="Z42" i="81" s="1"/>
  <c r="J42" i="81"/>
  <c r="L42" i="81" s="1"/>
  <c r="N42" i="81" s="1"/>
  <c r="CU42" i="81" s="1"/>
  <c r="CV42" i="81" s="1"/>
  <c r="H42" i="81"/>
  <c r="AC28" i="81"/>
  <c r="Y28" i="81"/>
  <c r="Z28" i="81" s="1"/>
  <c r="J28" i="81"/>
  <c r="L28" i="81" s="1"/>
  <c r="N28" i="81" s="1"/>
  <c r="CU28" i="81" s="1"/>
  <c r="H28" i="81"/>
  <c r="AJ73" i="81"/>
  <c r="AI73" i="81"/>
  <c r="AH73" i="81"/>
  <c r="AG73" i="81"/>
  <c r="AF73" i="81"/>
  <c r="CV28" i="81" l="1"/>
  <c r="N39" i="81"/>
  <c r="CU39" i="81" s="1"/>
  <c r="CV39" i="81" s="1"/>
  <c r="P45" i="81"/>
  <c r="N45" i="81"/>
  <c r="CU45" i="81" s="1"/>
  <c r="CV45" i="81" s="1"/>
  <c r="N52" i="81"/>
  <c r="CU52" i="81" s="1"/>
  <c r="CV52" i="81" s="1"/>
  <c r="N55" i="81"/>
  <c r="CU55" i="81" s="1"/>
  <c r="CV55" i="81" s="1"/>
  <c r="N56" i="81"/>
  <c r="CU56" i="81" s="1"/>
  <c r="CV56" i="81" s="1"/>
  <c r="M68" i="81"/>
  <c r="M28" i="81"/>
  <c r="M42" i="81"/>
  <c r="M40" i="81"/>
  <c r="M41" i="81"/>
  <c r="M39" i="81"/>
  <c r="M45" i="81"/>
  <c r="M52" i="81"/>
  <c r="M56" i="81"/>
  <c r="N60" i="81"/>
  <c r="CU60" i="81" s="1"/>
  <c r="CV60" i="81" s="1"/>
  <c r="N61" i="81"/>
  <c r="CU61" i="81" s="1"/>
  <c r="CV61" i="81" s="1"/>
  <c r="N62" i="81"/>
  <c r="CU62" i="81" s="1"/>
  <c r="CV62" i="81" s="1"/>
  <c r="N69" i="81"/>
  <c r="CU69" i="81" s="1"/>
  <c r="CV69" i="81" s="1"/>
  <c r="AK24" i="85"/>
  <c r="I44" i="81"/>
  <c r="I43" i="81"/>
  <c r="I31" i="81"/>
  <c r="K41" i="81"/>
  <c r="AD41" i="81" s="1"/>
  <c r="AE41" i="81" s="1"/>
  <c r="AK41" i="81" s="1"/>
  <c r="I65" i="81"/>
  <c r="X18" i="84"/>
  <c r="K40" i="81"/>
  <c r="AD40" i="81" s="1"/>
  <c r="AE40" i="81" s="1"/>
  <c r="AK40" i="81" s="1"/>
  <c r="I52" i="81"/>
  <c r="AS15" i="85"/>
  <c r="BN15" i="85" s="1"/>
  <c r="AR24" i="85"/>
  <c r="X15" i="84"/>
  <c r="Y15" i="84" s="1"/>
  <c r="P15" i="84"/>
  <c r="K15" i="84"/>
  <c r="O15" i="84" s="1"/>
  <c r="K18" i="84"/>
  <c r="O18" i="84" s="1"/>
  <c r="I18" i="84"/>
  <c r="V18" i="84" s="1"/>
  <c r="W18" i="84" s="1"/>
  <c r="I15" i="84"/>
  <c r="V15" i="84" s="1"/>
  <c r="I16" i="81"/>
  <c r="K16" i="81"/>
  <c r="O16" i="81" s="1"/>
  <c r="I57" i="81"/>
  <c r="P57" i="81"/>
  <c r="K57" i="81"/>
  <c r="O57" i="81" s="1"/>
  <c r="L43" i="81"/>
  <c r="K69" i="81"/>
  <c r="I69" i="81"/>
  <c r="P68" i="81"/>
  <c r="K68" i="81"/>
  <c r="O68" i="81" s="1"/>
  <c r="I68" i="81"/>
  <c r="L65" i="81"/>
  <c r="N65" i="81" s="1"/>
  <c r="CU65" i="81" s="1"/>
  <c r="CV65" i="81" s="1"/>
  <c r="K62" i="81"/>
  <c r="I62" i="81"/>
  <c r="K61" i="81"/>
  <c r="I61" i="81"/>
  <c r="K60" i="81"/>
  <c r="I60" i="81"/>
  <c r="K56" i="81"/>
  <c r="O56" i="81" s="1"/>
  <c r="I56" i="81"/>
  <c r="K55" i="81"/>
  <c r="I55" i="81"/>
  <c r="K52" i="81"/>
  <c r="O52" i="81" s="1"/>
  <c r="P46" i="81"/>
  <c r="K46" i="81"/>
  <c r="O46" i="81" s="1"/>
  <c r="I46" i="81"/>
  <c r="K45" i="81"/>
  <c r="O45" i="81" s="1"/>
  <c r="I45" i="81"/>
  <c r="L44" i="81"/>
  <c r="N44" i="81" s="1"/>
  <c r="CU44" i="81" s="1"/>
  <c r="CV44" i="81" s="1"/>
  <c r="K19" i="81"/>
  <c r="O19" i="81" s="1"/>
  <c r="I19" i="81"/>
  <c r="K39" i="81"/>
  <c r="O39" i="81" s="1"/>
  <c r="I39" i="81"/>
  <c r="P41" i="81"/>
  <c r="I41" i="81"/>
  <c r="P40" i="81"/>
  <c r="I40" i="81"/>
  <c r="L31" i="81"/>
  <c r="N31" i="81" s="1"/>
  <c r="CU31" i="81" s="1"/>
  <c r="CV31" i="81" s="1"/>
  <c r="P42" i="81"/>
  <c r="K42" i="81"/>
  <c r="O42" i="81" s="1"/>
  <c r="P28" i="81"/>
  <c r="K28" i="81"/>
  <c r="O28" i="81" s="1"/>
  <c r="I28" i="81"/>
  <c r="I42" i="81"/>
  <c r="P39" i="81" l="1"/>
  <c r="M55" i="81"/>
  <c r="O55" i="81" s="1"/>
  <c r="M44" i="81"/>
  <c r="M31" i="81"/>
  <c r="M69" i="81"/>
  <c r="O69" i="81" s="1"/>
  <c r="M65" i="81"/>
  <c r="M61" i="81"/>
  <c r="O61" i="81" s="1"/>
  <c r="N43" i="81"/>
  <c r="P69" i="81"/>
  <c r="P62" i="81"/>
  <c r="P61" i="81"/>
  <c r="P60" i="81"/>
  <c r="M62" i="81"/>
  <c r="O62" i="81" s="1"/>
  <c r="M60" i="81"/>
  <c r="O60" i="81" s="1"/>
  <c r="P56" i="81"/>
  <c r="P55" i="81"/>
  <c r="P52" i="81"/>
  <c r="BN24" i="85"/>
  <c r="BN25" i="85" s="1"/>
  <c r="CG15" i="85"/>
  <c r="CN15" i="85" s="1"/>
  <c r="DM15" i="85" s="1"/>
  <c r="DM24" i="85" s="1"/>
  <c r="AS24" i="85"/>
  <c r="AR40" i="81"/>
  <c r="AS40" i="81" s="1"/>
  <c r="AR41" i="81"/>
  <c r="AS41" i="81" s="1"/>
  <c r="O40" i="81"/>
  <c r="O41" i="81"/>
  <c r="AD69" i="81"/>
  <c r="AE69" i="81" s="1"/>
  <c r="AK69" i="81" s="1"/>
  <c r="AD39" i="81"/>
  <c r="AE39" i="81" s="1"/>
  <c r="AK39" i="81" s="1"/>
  <c r="AD55" i="81"/>
  <c r="AE55" i="81" s="1"/>
  <c r="AK55" i="81" s="1"/>
  <c r="AD56" i="81"/>
  <c r="AE56" i="81" s="1"/>
  <c r="AK56" i="81" s="1"/>
  <c r="AD52" i="81"/>
  <c r="AE52" i="81" s="1"/>
  <c r="AK52" i="81" s="1"/>
  <c r="AD68" i="81"/>
  <c r="AE68" i="81" s="1"/>
  <c r="AK68" i="81" s="1"/>
  <c r="Y18" i="84"/>
  <c r="Z18" i="84" s="1"/>
  <c r="AD18" i="84" s="1"/>
  <c r="AE18" i="84" s="1"/>
  <c r="AK18" i="84" s="1"/>
  <c r="AR18" i="84" s="1"/>
  <c r="K43" i="81"/>
  <c r="AD19" i="81"/>
  <c r="AE19" i="81" s="1"/>
  <c r="AK19" i="81" s="1"/>
  <c r="AD60" i="81"/>
  <c r="AE60" i="81" s="1"/>
  <c r="AK60" i="81" s="1"/>
  <c r="AD16" i="81"/>
  <c r="AE16" i="81" s="1"/>
  <c r="AK16" i="81" s="1"/>
  <c r="V19" i="84"/>
  <c r="W15" i="84"/>
  <c r="AD45" i="81"/>
  <c r="AE45" i="81" s="1"/>
  <c r="AK45" i="81" s="1"/>
  <c r="AD61" i="81"/>
  <c r="AE61" i="81" s="1"/>
  <c r="AK61" i="81" s="1"/>
  <c r="AD62" i="81"/>
  <c r="AE62" i="81" s="1"/>
  <c r="AK62" i="81" s="1"/>
  <c r="AD57" i="81"/>
  <c r="AE57" i="81" s="1"/>
  <c r="AK57" i="81" s="1"/>
  <c r="K65" i="81"/>
  <c r="P65" i="81"/>
  <c r="AD46" i="81"/>
  <c r="AE46" i="81" s="1"/>
  <c r="AK46" i="81" s="1"/>
  <c r="P44" i="81"/>
  <c r="K44" i="81"/>
  <c r="P31" i="81"/>
  <c r="K31" i="81"/>
  <c r="AD42" i="81"/>
  <c r="AE42" i="81" s="1"/>
  <c r="AK42" i="81" s="1"/>
  <c r="AD28" i="81"/>
  <c r="AE28" i="81" s="1"/>
  <c r="AK28" i="81" s="1"/>
  <c r="CU43" i="81" l="1"/>
  <c r="M43" i="81"/>
  <c r="O43" i="81"/>
  <c r="P43" i="81"/>
  <c r="CN24" i="85"/>
  <c r="BN41" i="81"/>
  <c r="BN40" i="81"/>
  <c r="AR69" i="81"/>
  <c r="AS69" i="81" s="1"/>
  <c r="AR68" i="81"/>
  <c r="AS68" i="81" s="1"/>
  <c r="AR62" i="81"/>
  <c r="AS62" i="81" s="1"/>
  <c r="AR61" i="81"/>
  <c r="AS61" i="81" s="1"/>
  <c r="AR60" i="81"/>
  <c r="AS60" i="81" s="1"/>
  <c r="AR56" i="81"/>
  <c r="AS56" i="81" s="1"/>
  <c r="AR55" i="81"/>
  <c r="AS55" i="81" s="1"/>
  <c r="AR57" i="81"/>
  <c r="AS57" i="81" s="1"/>
  <c r="AR52" i="81"/>
  <c r="AS52" i="81" s="1"/>
  <c r="AR45" i="81"/>
  <c r="AS45" i="81" s="1"/>
  <c r="AR42" i="81"/>
  <c r="AS42" i="81" s="1"/>
  <c r="AR46" i="81"/>
  <c r="AS46" i="81" s="1"/>
  <c r="AR39" i="81"/>
  <c r="AR28" i="81"/>
  <c r="AR19" i="81"/>
  <c r="CG24" i="85"/>
  <c r="CN25" i="85" s="1"/>
  <c r="DM25" i="85" s="1"/>
  <c r="AD43" i="81"/>
  <c r="AE43" i="81" s="1"/>
  <c r="AK43" i="81" s="1"/>
  <c r="AR16" i="81"/>
  <c r="AS16" i="81" s="1"/>
  <c r="BN16" i="81" s="1"/>
  <c r="BU16" i="81" s="1"/>
  <c r="AS18" i="84"/>
  <c r="BN18" i="84" s="1"/>
  <c r="BU18" i="84" s="1"/>
  <c r="BY18" i="84" s="1"/>
  <c r="Z15" i="84"/>
  <c r="W19" i="84"/>
  <c r="O65" i="81"/>
  <c r="AD65" i="81"/>
  <c r="AE65" i="81" s="1"/>
  <c r="AK65" i="81" s="1"/>
  <c r="O44" i="81"/>
  <c r="AD44" i="81"/>
  <c r="AE44" i="81" s="1"/>
  <c r="AK44" i="81" s="1"/>
  <c r="O31" i="81"/>
  <c r="AD31" i="81"/>
  <c r="AE31" i="81" s="1"/>
  <c r="AK31" i="81" s="1"/>
  <c r="CV43" i="81" l="1"/>
  <c r="CV73" i="81" s="1"/>
  <c r="CU73" i="81"/>
  <c r="BZ18" i="84"/>
  <c r="CI18" i="84"/>
  <c r="CP18" i="84" s="1"/>
  <c r="BZ40" i="81"/>
  <c r="CA40" i="81" s="1"/>
  <c r="BU40" i="81"/>
  <c r="BZ41" i="81"/>
  <c r="CA41" i="81" s="1"/>
  <c r="BU41" i="81"/>
  <c r="AS39" i="81"/>
  <c r="BN39" i="81" s="1"/>
  <c r="BN60" i="81"/>
  <c r="BZ46" i="81"/>
  <c r="CA46" i="81" s="1"/>
  <c r="BN46" i="81"/>
  <c r="BU46" i="81" s="1"/>
  <c r="BN57" i="81"/>
  <c r="BN61" i="81"/>
  <c r="BU61" i="81" s="1"/>
  <c r="BN69" i="81"/>
  <c r="AS19" i="81"/>
  <c r="BN19" i="81" s="1"/>
  <c r="BU19" i="81" s="1"/>
  <c r="BN42" i="81"/>
  <c r="BN55" i="81"/>
  <c r="BN62" i="81"/>
  <c r="BN52" i="81"/>
  <c r="BU52" i="81" s="1"/>
  <c r="AS28" i="81"/>
  <c r="BN28" i="81" s="1"/>
  <c r="BN45" i="81"/>
  <c r="BU45" i="81" s="1"/>
  <c r="BN56" i="81"/>
  <c r="BN68" i="81"/>
  <c r="BU68" i="81" s="1"/>
  <c r="AR65" i="81"/>
  <c r="AS65" i="81" s="1"/>
  <c r="AR44" i="81"/>
  <c r="AS44" i="81" s="1"/>
  <c r="AR43" i="81"/>
  <c r="AS43" i="81" s="1"/>
  <c r="AR31" i="81"/>
  <c r="AS31" i="81" s="1"/>
  <c r="BN31" i="81" s="1"/>
  <c r="AK73" i="81"/>
  <c r="Z19" i="84"/>
  <c r="AD15" i="84"/>
  <c r="AE15" i="84" s="1"/>
  <c r="AK15" i="84" s="1"/>
  <c r="CT18" i="84" l="1"/>
  <c r="CU18" i="84" s="1"/>
  <c r="DO18" i="84"/>
  <c r="BZ61" i="81"/>
  <c r="CA61" i="81" s="1"/>
  <c r="BZ52" i="81"/>
  <c r="CA52" i="81" s="1"/>
  <c r="BU31" i="81"/>
  <c r="BZ56" i="81"/>
  <c r="CA56" i="81" s="1"/>
  <c r="BU56" i="81"/>
  <c r="BZ42" i="81"/>
  <c r="CA42" i="81" s="1"/>
  <c r="BU42" i="81"/>
  <c r="BZ60" i="81"/>
  <c r="CA60" i="81" s="1"/>
  <c r="BU60" i="81"/>
  <c r="BZ45" i="81"/>
  <c r="CA45" i="81" s="1"/>
  <c r="BZ62" i="81"/>
  <c r="CA62" i="81" s="1"/>
  <c r="BU62" i="81"/>
  <c r="BZ19" i="81"/>
  <c r="CA19" i="81" s="1"/>
  <c r="BZ57" i="81"/>
  <c r="CA57" i="81" s="1"/>
  <c r="BU57" i="81"/>
  <c r="BZ39" i="81"/>
  <c r="CA39" i="81" s="1"/>
  <c r="BU39" i="81"/>
  <c r="BZ68" i="81"/>
  <c r="CA68" i="81" s="1"/>
  <c r="BZ28" i="81"/>
  <c r="CA28" i="81" s="1"/>
  <c r="BU28" i="81"/>
  <c r="BZ55" i="81"/>
  <c r="CA55" i="81" s="1"/>
  <c r="BU55" i="81"/>
  <c r="BZ69" i="81"/>
  <c r="CA69" i="81" s="1"/>
  <c r="BU69" i="81"/>
  <c r="BN43" i="81"/>
  <c r="BN65" i="81"/>
  <c r="BZ44" i="81"/>
  <c r="CA44" i="81" s="1"/>
  <c r="BN44" i="81"/>
  <c r="BU44" i="81" s="1"/>
  <c r="AR73" i="81"/>
  <c r="AR15" i="84"/>
  <c r="AS15" i="84" s="1"/>
  <c r="AK19" i="84"/>
  <c r="BZ43" i="81" l="1"/>
  <c r="CA43" i="81" s="1"/>
  <c r="BU43" i="81"/>
  <c r="BZ65" i="81"/>
  <c r="CA65" i="81" s="1"/>
  <c r="BU65" i="81"/>
  <c r="BZ16" i="81"/>
  <c r="AS73" i="81"/>
  <c r="AS19" i="84"/>
  <c r="BN19" i="84" s="1"/>
  <c r="BN20" i="84" s="1"/>
  <c r="BN15" i="84"/>
  <c r="AR19" i="84"/>
  <c r="BU15" i="84" l="1"/>
  <c r="BU73" i="81"/>
  <c r="CA16" i="81"/>
  <c r="BZ31" i="81"/>
  <c r="CA31" i="81" s="1"/>
  <c r="BN73" i="81"/>
  <c r="BN74" i="81" s="1"/>
  <c r="AC15" i="80"/>
  <c r="Y15" i="80"/>
  <c r="Z15" i="80" s="1"/>
  <c r="AC19" i="80"/>
  <c r="Y19" i="80"/>
  <c r="Z19" i="80" s="1"/>
  <c r="J19" i="80"/>
  <c r="H19" i="80"/>
  <c r="N19" i="80" l="1"/>
  <c r="L19" i="80"/>
  <c r="M19" i="80"/>
  <c r="CA73" i="81"/>
  <c r="BU19" i="84"/>
  <c r="CI21" i="84" s="1"/>
  <c r="BY15" i="84"/>
  <c r="CI15" i="84"/>
  <c r="BZ73" i="81"/>
  <c r="BV73" i="81"/>
  <c r="P19" i="80"/>
  <c r="K19" i="80"/>
  <c r="I19" i="80"/>
  <c r="CI19" i="84" l="1"/>
  <c r="CP15" i="84"/>
  <c r="BZ15" i="84"/>
  <c r="BZ19" i="84" s="1"/>
  <c r="BY19" i="84"/>
  <c r="CI73" i="81"/>
  <c r="CJ75" i="81" s="1"/>
  <c r="O19" i="80"/>
  <c r="AD19" i="80"/>
  <c r="AE19" i="80" s="1"/>
  <c r="AK19" i="80" s="1"/>
  <c r="AR19" i="80" s="1"/>
  <c r="AS19" i="80" s="1"/>
  <c r="CP19" i="84" l="1"/>
  <c r="DO20" i="84" s="1"/>
  <c r="CT15" i="84"/>
  <c r="CU15" i="84" s="1"/>
  <c r="DO15" i="84"/>
  <c r="DO19" i="84" s="1"/>
  <c r="CT19" i="84"/>
  <c r="AP30" i="80"/>
  <c r="AJ30" i="80"/>
  <c r="AI30" i="80"/>
  <c r="AH30" i="80"/>
  <c r="AG30" i="80"/>
  <c r="AF30" i="80"/>
  <c r="AC29" i="80"/>
  <c r="Y29" i="80"/>
  <c r="Z29" i="80" s="1"/>
  <c r="H29" i="80"/>
  <c r="M29" i="80" s="1"/>
  <c r="AC18" i="80"/>
  <c r="Y18" i="80"/>
  <c r="Z18" i="80" s="1"/>
  <c r="J18" i="80"/>
  <c r="H15" i="80"/>
  <c r="M15" i="80" l="1"/>
  <c r="I15" i="80"/>
  <c r="N18" i="80"/>
  <c r="L18" i="80"/>
  <c r="P18" i="80" s="1"/>
  <c r="CU19" i="84"/>
  <c r="P29" i="80"/>
  <c r="K29" i="80"/>
  <c r="P15" i="80"/>
  <c r="K15" i="80"/>
  <c r="I29" i="80"/>
  <c r="I18" i="80"/>
  <c r="K18" i="80" l="1"/>
  <c r="BY18" i="80"/>
  <c r="M18" i="80"/>
  <c r="O18" i="80" s="1"/>
  <c r="AD18" i="80"/>
  <c r="AE18" i="80" s="1"/>
  <c r="AK18" i="80" s="1"/>
  <c r="AR18" i="80" s="1"/>
  <c r="AS18" i="80" s="1"/>
  <c r="BN18" i="80" s="1"/>
  <c r="O15" i="80"/>
  <c r="AD15" i="80"/>
  <c r="AE15" i="80" s="1"/>
  <c r="AK15" i="80" s="1"/>
  <c r="O29" i="80"/>
  <c r="AD29" i="80"/>
  <c r="AE29" i="80" l="1"/>
  <c r="AK29" i="80" s="1"/>
  <c r="AR15" i="80"/>
  <c r="AR29" i="80" l="1"/>
  <c r="AS29" i="80" s="1"/>
  <c r="BN29" i="80" s="1"/>
  <c r="AK30" i="80"/>
  <c r="AS15" i="80"/>
  <c r="BN15" i="80" l="1"/>
  <c r="AS30" i="80"/>
  <c r="AR30" i="80"/>
  <c r="Y48" i="78"/>
  <c r="Z48" i="78" s="1"/>
  <c r="AC48" i="78"/>
  <c r="L48" i="78"/>
  <c r="H48" i="78"/>
  <c r="M48" i="78" s="1"/>
  <c r="AC45" i="78"/>
  <c r="Y45" i="78"/>
  <c r="Z45" i="78" s="1"/>
  <c r="L45" i="78"/>
  <c r="P45" i="78" s="1"/>
  <c r="H45" i="78"/>
  <c r="M45" i="78" s="1"/>
  <c r="AC42" i="78"/>
  <c r="Y42" i="78"/>
  <c r="Z42" i="78" s="1"/>
  <c r="L42" i="78"/>
  <c r="P42" i="78" s="1"/>
  <c r="H42" i="78"/>
  <c r="M42" i="78" s="1"/>
  <c r="AC39" i="78"/>
  <c r="Y39" i="78"/>
  <c r="L39" i="78"/>
  <c r="H39" i="78"/>
  <c r="M39" i="78" s="1"/>
  <c r="AC35" i="78"/>
  <c r="Y35" i="78"/>
  <c r="Z35" i="78" s="1"/>
  <c r="L35" i="78"/>
  <c r="P35" i="78" s="1"/>
  <c r="H35" i="78"/>
  <c r="M35" i="78" s="1"/>
  <c r="AC32" i="78"/>
  <c r="Y32" i="78"/>
  <c r="Z32" i="78" s="1"/>
  <c r="P32" i="78"/>
  <c r="H32" i="78"/>
  <c r="M32" i="78" s="1"/>
  <c r="AC28" i="78"/>
  <c r="Y28" i="78"/>
  <c r="Z28" i="78" s="1"/>
  <c r="L28" i="78"/>
  <c r="P28" i="78" s="1"/>
  <c r="H28" i="78"/>
  <c r="M28" i="78" s="1"/>
  <c r="AC27" i="78"/>
  <c r="Y27" i="78"/>
  <c r="Z27" i="78" s="1"/>
  <c r="H27" i="78"/>
  <c r="M27" i="78" s="1"/>
  <c r="AC21" i="78"/>
  <c r="Y21" i="78"/>
  <c r="Z21" i="78" s="1"/>
  <c r="L21" i="78"/>
  <c r="P21" i="78" s="1"/>
  <c r="H21" i="78"/>
  <c r="M21" i="78" s="1"/>
  <c r="AC20" i="78"/>
  <c r="Y20" i="78"/>
  <c r="Z20" i="78" s="1"/>
  <c r="L20" i="78"/>
  <c r="P20" i="78" s="1"/>
  <c r="H20" i="78"/>
  <c r="M20" i="78" s="1"/>
  <c r="AC19" i="78"/>
  <c r="Y19" i="78"/>
  <c r="Z19" i="78" s="1"/>
  <c r="P19" i="78"/>
  <c r="H19" i="78"/>
  <c r="M19" i="78" s="1"/>
  <c r="AC38" i="78"/>
  <c r="Y38" i="78"/>
  <c r="L38" i="78"/>
  <c r="H38" i="78"/>
  <c r="M38" i="78" s="1"/>
  <c r="BN30" i="80" l="1"/>
  <c r="BN32" i="80" s="1"/>
  <c r="I35" i="78"/>
  <c r="I45" i="78"/>
  <c r="I27" i="78"/>
  <c r="I19" i="78"/>
  <c r="L27" i="78"/>
  <c r="P27" i="78" s="1"/>
  <c r="I39" i="78"/>
  <c r="I42" i="78"/>
  <c r="K48" i="78"/>
  <c r="O48" i="78" s="1"/>
  <c r="I48" i="78"/>
  <c r="K45" i="78"/>
  <c r="O45" i="78" s="1"/>
  <c r="K42" i="78"/>
  <c r="O42" i="78" s="1"/>
  <c r="K39" i="78"/>
  <c r="O39" i="78" s="1"/>
  <c r="K35" i="78"/>
  <c r="O35" i="78" s="1"/>
  <c r="K32" i="78"/>
  <c r="O32" i="78" s="1"/>
  <c r="I32" i="78"/>
  <c r="K28" i="78"/>
  <c r="O28" i="78" s="1"/>
  <c r="I28" i="78"/>
  <c r="K21" i="78"/>
  <c r="O21" i="78" s="1"/>
  <c r="I21" i="78"/>
  <c r="K20" i="78"/>
  <c r="O20" i="78" s="1"/>
  <c r="I20" i="78"/>
  <c r="K19" i="78"/>
  <c r="O19" i="78" s="1"/>
  <c r="I38" i="78"/>
  <c r="K38" i="78"/>
  <c r="O38" i="78" s="1"/>
  <c r="K27" i="78" l="1"/>
  <c r="O27" i="78" s="1"/>
  <c r="AD28" i="78"/>
  <c r="AE28" i="78" s="1"/>
  <c r="AF28" i="78" s="1"/>
  <c r="AM28" i="78" s="1"/>
  <c r="AD45" i="78"/>
  <c r="AE45" i="78" s="1"/>
  <c r="AF45" i="78" s="1"/>
  <c r="AM45" i="78" s="1"/>
  <c r="AD42" i="78"/>
  <c r="AE42" i="78" s="1"/>
  <c r="AF42" i="78" s="1"/>
  <c r="AM42" i="78" s="1"/>
  <c r="AD35" i="78"/>
  <c r="AE35" i="78" s="1"/>
  <c r="AF35" i="78" s="1"/>
  <c r="AM35" i="78" s="1"/>
  <c r="AD48" i="78"/>
  <c r="AE48" i="78" s="1"/>
  <c r="AF48" i="78" s="1"/>
  <c r="AM48" i="78" s="1"/>
  <c r="AD20" i="78"/>
  <c r="AE20" i="78" s="1"/>
  <c r="AF20" i="78" s="1"/>
  <c r="AM20" i="78" s="1"/>
  <c r="AE32" i="78"/>
  <c r="AF32" i="78" s="1"/>
  <c r="AM32" i="78" s="1"/>
  <c r="AD19" i="78"/>
  <c r="AE19" i="78" s="1"/>
  <c r="AF19" i="78" s="1"/>
  <c r="AD39" i="78"/>
  <c r="AE39" i="78" s="1"/>
  <c r="AF39" i="78" s="1"/>
  <c r="AM39" i="78" s="1"/>
  <c r="AD21" i="78"/>
  <c r="AE21" i="78" s="1"/>
  <c r="AF21" i="78" s="1"/>
  <c r="AM21" i="78" s="1"/>
  <c r="AD38" i="78"/>
  <c r="AE38" i="78" s="1"/>
  <c r="AF38" i="78" s="1"/>
  <c r="AM38" i="78" s="1"/>
  <c r="AD27" i="78" l="1"/>
  <c r="AE27" i="78" s="1"/>
  <c r="AF27" i="78" s="1"/>
  <c r="AM27" i="78" s="1"/>
  <c r="BR27" i="78" s="1"/>
  <c r="BS27" i="78" s="1"/>
  <c r="AN21" i="78"/>
  <c r="BI21" i="78" s="1"/>
  <c r="CB21" i="78" s="1"/>
  <c r="CP21" i="78" s="1"/>
  <c r="BR21" i="78"/>
  <c r="BS21" i="78" s="1"/>
  <c r="AN32" i="78"/>
  <c r="BI32" i="78" s="1"/>
  <c r="CB32" i="78" s="1"/>
  <c r="CP32" i="78" s="1"/>
  <c r="CW32" i="78" s="1"/>
  <c r="DV32" i="78" s="1"/>
  <c r="BR32" i="78"/>
  <c r="BS32" i="78" s="1"/>
  <c r="AN42" i="78"/>
  <c r="BI42" i="78" s="1"/>
  <c r="CB42" i="78" s="1"/>
  <c r="CP42" i="78" s="1"/>
  <c r="BR42" i="78"/>
  <c r="BS42" i="78" s="1"/>
  <c r="AN45" i="78"/>
  <c r="BI45" i="78" s="1"/>
  <c r="CB45" i="78" s="1"/>
  <c r="CP45" i="78" s="1"/>
  <c r="BR45" i="78"/>
  <c r="BS45" i="78" s="1"/>
  <c r="AN48" i="78"/>
  <c r="BI48" i="78" s="1"/>
  <c r="CB48" i="78" s="1"/>
  <c r="CP48" i="78" s="1"/>
  <c r="BR48" i="78"/>
  <c r="BS48" i="78" s="1"/>
  <c r="AN28" i="78"/>
  <c r="BI28" i="78" s="1"/>
  <c r="CB28" i="78" s="1"/>
  <c r="CP28" i="78" s="1"/>
  <c r="CW28" i="78" s="1"/>
  <c r="BR28" i="78"/>
  <c r="BS28" i="78" s="1"/>
  <c r="AN20" i="78"/>
  <c r="BI20" i="78" s="1"/>
  <c r="CB20" i="78" s="1"/>
  <c r="CP20" i="78" s="1"/>
  <c r="CW20" i="78" s="1"/>
  <c r="BR20" i="78"/>
  <c r="BS20" i="78" s="1"/>
  <c r="AN39" i="78"/>
  <c r="BI39" i="78" s="1"/>
  <c r="CB39" i="78" s="1"/>
  <c r="CP39" i="78" s="1"/>
  <c r="BR39" i="78"/>
  <c r="BS39" i="78" s="1"/>
  <c r="AN38" i="78"/>
  <c r="BI38" i="78" s="1"/>
  <c r="CB38" i="78" s="1"/>
  <c r="CP38" i="78" s="1"/>
  <c r="CW38" i="78" s="1"/>
  <c r="DV38" i="78" s="1"/>
  <c r="BR38" i="78"/>
  <c r="BS38" i="78" s="1"/>
  <c r="AN35" i="78"/>
  <c r="BI35" i="78" s="1"/>
  <c r="CB35" i="78" s="1"/>
  <c r="CP35" i="78" s="1"/>
  <c r="BR35" i="78"/>
  <c r="BS35" i="78" s="1"/>
  <c r="AM19" i="78"/>
  <c r="BR19" i="78" s="1"/>
  <c r="BS19" i="78" s="1"/>
  <c r="DA20" i="78" l="1"/>
  <c r="DB20" i="78" s="1"/>
  <c r="DV20" i="78"/>
  <c r="DA28" i="78"/>
  <c r="DB28" i="78" s="1"/>
  <c r="DV28" i="78"/>
  <c r="CW48" i="78"/>
  <c r="DV48" i="78" s="1"/>
  <c r="CW21" i="78"/>
  <c r="CW35" i="78"/>
  <c r="CW39" i="78"/>
  <c r="DV39" i="78" s="1"/>
  <c r="CF35" i="78"/>
  <c r="CG35" i="78" s="1"/>
  <c r="CF20" i="78"/>
  <c r="CG20" i="78" s="1"/>
  <c r="CF21" i="78"/>
  <c r="CG21" i="78" s="1"/>
  <c r="AN27" i="78"/>
  <c r="BI27" i="78" s="1"/>
  <c r="CB27" i="78" s="1"/>
  <c r="CP27" i="78" s="1"/>
  <c r="CF28" i="78"/>
  <c r="CG28" i="78" s="1"/>
  <c r="AF49" i="78"/>
  <c r="AN19" i="78"/>
  <c r="AM49" i="78"/>
  <c r="Y15" i="77"/>
  <c r="Z15" i="77" s="1"/>
  <c r="DA21" i="78" l="1"/>
  <c r="DB21" i="78" s="1"/>
  <c r="DV21" i="78"/>
  <c r="DA35" i="78"/>
  <c r="DB35" i="78" s="1"/>
  <c r="DV35" i="78"/>
  <c r="CW27" i="78"/>
  <c r="CF27" i="78"/>
  <c r="CG27" i="78" s="1"/>
  <c r="BI19" i="78"/>
  <c r="AN49" i="78"/>
  <c r="AC41" i="77"/>
  <c r="Y41" i="77"/>
  <c r="Z41" i="77" s="1"/>
  <c r="J41" i="77"/>
  <c r="L41" i="77" s="1"/>
  <c r="P41" i="77" s="1"/>
  <c r="H41" i="77"/>
  <c r="M41" i="77" s="1"/>
  <c r="AC50" i="77"/>
  <c r="Y50" i="77"/>
  <c r="Z50" i="77" s="1"/>
  <c r="J50" i="77"/>
  <c r="L50" i="77" s="1"/>
  <c r="P50" i="77" s="1"/>
  <c r="H50" i="77"/>
  <c r="M50" i="77" s="1"/>
  <c r="AC47" i="77"/>
  <c r="Y47" i="77"/>
  <c r="Z47" i="77" s="1"/>
  <c r="J47" i="77"/>
  <c r="H47" i="77"/>
  <c r="M47" i="77" s="1"/>
  <c r="AC44" i="77"/>
  <c r="Y44" i="77"/>
  <c r="Z44" i="77" s="1"/>
  <c r="J44" i="77"/>
  <c r="L44" i="77" s="1"/>
  <c r="P44" i="77" s="1"/>
  <c r="H44" i="77"/>
  <c r="M44" i="77" s="1"/>
  <c r="AC38" i="77"/>
  <c r="Y38" i="77"/>
  <c r="Z38" i="77" s="1"/>
  <c r="J38" i="77"/>
  <c r="H38" i="77"/>
  <c r="M38" i="77" s="1"/>
  <c r="AC35" i="77"/>
  <c r="Y35" i="77"/>
  <c r="Z35" i="77" s="1"/>
  <c r="J35" i="77"/>
  <c r="H35" i="77"/>
  <c r="M35" i="77" s="1"/>
  <c r="AC33" i="77"/>
  <c r="Y33" i="77"/>
  <c r="Z33" i="77" s="1"/>
  <c r="J33" i="77"/>
  <c r="L33" i="77" s="1"/>
  <c r="H33" i="77"/>
  <c r="M33" i="77" s="1"/>
  <c r="AC24" i="77"/>
  <c r="Y24" i="77"/>
  <c r="Z24" i="77" s="1"/>
  <c r="J24" i="77"/>
  <c r="L24" i="77" s="1"/>
  <c r="P24" i="77" s="1"/>
  <c r="H24" i="77"/>
  <c r="M24" i="77" s="1"/>
  <c r="AC23" i="77"/>
  <c r="Y23" i="77"/>
  <c r="Z23" i="77" s="1"/>
  <c r="J23" i="77"/>
  <c r="L23" i="77" s="1"/>
  <c r="H23" i="77"/>
  <c r="M23" i="77" s="1"/>
  <c r="AC20" i="77"/>
  <c r="Y20" i="77"/>
  <c r="Z20" i="77" s="1"/>
  <c r="J20" i="77"/>
  <c r="H20" i="77"/>
  <c r="M20" i="77" s="1"/>
  <c r="AC17" i="77"/>
  <c r="Y17" i="77"/>
  <c r="Z17" i="77" s="1"/>
  <c r="J17" i="77"/>
  <c r="H17" i="77"/>
  <c r="M17" i="77" s="1"/>
  <c r="AC16" i="77"/>
  <c r="Y16" i="77"/>
  <c r="Z16" i="77" s="1"/>
  <c r="J16" i="77"/>
  <c r="H16" i="77"/>
  <c r="M16" i="77" s="1"/>
  <c r="AC15" i="77"/>
  <c r="H15" i="77"/>
  <c r="M15" i="77" s="1"/>
  <c r="AO25" i="63"/>
  <c r="AP25" i="63" s="1"/>
  <c r="Z25" i="63"/>
  <c r="BB25" i="63"/>
  <c r="BC25" i="63" s="1"/>
  <c r="H25" i="63"/>
  <c r="M25" i="63" s="1"/>
  <c r="DA27" i="78" l="1"/>
  <c r="DB27" i="78" s="1"/>
  <c r="DV27" i="78"/>
  <c r="L20" i="77"/>
  <c r="P20" i="77" s="1"/>
  <c r="P17" i="77"/>
  <c r="L17" i="77"/>
  <c r="L16" i="77"/>
  <c r="P16" i="77" s="1"/>
  <c r="BQ25" i="63"/>
  <c r="BP25" i="63"/>
  <c r="BM25" i="63"/>
  <c r="BO25" i="63"/>
  <c r="BN25" i="63"/>
  <c r="BI25" i="63"/>
  <c r="BJ25" i="63"/>
  <c r="BH25" i="63"/>
  <c r="BG25" i="63"/>
  <c r="BF25" i="63"/>
  <c r="BE25" i="63"/>
  <c r="BD25" i="63"/>
  <c r="BI49" i="78"/>
  <c r="BI50" i="78" s="1"/>
  <c r="CB19" i="78"/>
  <c r="I47" i="77"/>
  <c r="I38" i="77"/>
  <c r="I35" i="77"/>
  <c r="L47" i="77"/>
  <c r="P47" i="77" s="1"/>
  <c r="I44" i="77"/>
  <c r="I41" i="77"/>
  <c r="L38" i="77"/>
  <c r="P38" i="77" s="1"/>
  <c r="L35" i="77"/>
  <c r="P35" i="77" s="1"/>
  <c r="I15" i="77"/>
  <c r="I16" i="77"/>
  <c r="I17" i="77"/>
  <c r="I20" i="77"/>
  <c r="K41" i="77"/>
  <c r="O41" i="77" s="1"/>
  <c r="K50" i="77"/>
  <c r="O50" i="77" s="1"/>
  <c r="I50" i="77"/>
  <c r="K44" i="77"/>
  <c r="O44" i="77" s="1"/>
  <c r="P33" i="77"/>
  <c r="K33" i="77"/>
  <c r="O33" i="77" s="1"/>
  <c r="I33" i="77"/>
  <c r="K24" i="77"/>
  <c r="O24" i="77" s="1"/>
  <c r="I24" i="77"/>
  <c r="P23" i="77"/>
  <c r="K23" i="77"/>
  <c r="O23" i="77" s="1"/>
  <c r="I23" i="77"/>
  <c r="K20" i="77"/>
  <c r="O20" i="77" s="1"/>
  <c r="K17" i="77"/>
  <c r="O17" i="77" s="1"/>
  <c r="K16" i="77"/>
  <c r="O16" i="77" s="1"/>
  <c r="P15" i="77"/>
  <c r="K15" i="77"/>
  <c r="P25" i="63"/>
  <c r="O25" i="63" s="1"/>
  <c r="K25" i="63"/>
  <c r="AA25" i="63" s="1"/>
  <c r="AB25" i="63" s="1"/>
  <c r="I25" i="63"/>
  <c r="BR25" i="63" l="1"/>
  <c r="CB49" i="78"/>
  <c r="CP51" i="78" s="1"/>
  <c r="CP19" i="78"/>
  <c r="CW19" i="78" s="1"/>
  <c r="BK25" i="63"/>
  <c r="BL25" i="63" s="1"/>
  <c r="BW25" i="63" s="1"/>
  <c r="BX25" i="63" s="1"/>
  <c r="CF19" i="78"/>
  <c r="CG19" i="78" s="1"/>
  <c r="CG49" i="78" s="1"/>
  <c r="AD24" i="77"/>
  <c r="AE24" i="77" s="1"/>
  <c r="AK24" i="77" s="1"/>
  <c r="AD16" i="77"/>
  <c r="AE16" i="77" s="1"/>
  <c r="AK16" i="77" s="1"/>
  <c r="AD20" i="77"/>
  <c r="AE20" i="77" s="1"/>
  <c r="AK20" i="77" s="1"/>
  <c r="AD41" i="77"/>
  <c r="AE41" i="77" s="1"/>
  <c r="AK41" i="77" s="1"/>
  <c r="AD17" i="77"/>
  <c r="AE17" i="77" s="1"/>
  <c r="AK17" i="77" s="1"/>
  <c r="K47" i="77"/>
  <c r="O47" i="77" s="1"/>
  <c r="K38" i="77"/>
  <c r="O38" i="77" s="1"/>
  <c r="K35" i="77"/>
  <c r="O35" i="77" s="1"/>
  <c r="O15" i="77"/>
  <c r="AD15" i="77"/>
  <c r="AE15" i="77" s="1"/>
  <c r="AK15" i="77" s="1"/>
  <c r="AR15" i="77" s="1"/>
  <c r="AS15" i="77" s="1"/>
  <c r="BN15" i="77" s="1"/>
  <c r="AD50" i="77"/>
  <c r="AE50" i="77" s="1"/>
  <c r="AK50" i="77" s="1"/>
  <c r="AD44" i="77"/>
  <c r="AE44" i="77" s="1"/>
  <c r="AK44" i="77" s="1"/>
  <c r="AD33" i="77"/>
  <c r="AE33" i="77" s="1"/>
  <c r="AK33" i="77" s="1"/>
  <c r="AD23" i="77"/>
  <c r="AE23" i="77" s="1"/>
  <c r="AK23" i="77" s="1"/>
  <c r="DV19" i="78" l="1"/>
  <c r="DV49" i="78" s="1"/>
  <c r="DA19" i="78"/>
  <c r="DB19" i="78" s="1"/>
  <c r="DB49" i="78" s="1"/>
  <c r="CW49" i="78"/>
  <c r="DV50" i="78" s="1"/>
  <c r="BS25" i="63"/>
  <c r="CR25" i="63" s="1"/>
  <c r="CP49" i="78"/>
  <c r="AR50" i="77"/>
  <c r="AS50" i="77" s="1"/>
  <c r="AR44" i="77"/>
  <c r="AS44" i="77" s="1"/>
  <c r="BN44" i="77" s="1"/>
  <c r="CV44" i="77" s="1"/>
  <c r="DC44" i="77" s="1"/>
  <c r="AR41" i="77"/>
  <c r="AS41" i="77" s="1"/>
  <c r="BN41" i="77" s="1"/>
  <c r="CV41" i="77" s="1"/>
  <c r="DC41" i="77" s="1"/>
  <c r="AR33" i="77"/>
  <c r="AS33" i="77" s="1"/>
  <c r="BN33" i="77" s="1"/>
  <c r="CH33" i="77" s="1"/>
  <c r="CV33" i="77" s="1"/>
  <c r="DC33" i="77" s="1"/>
  <c r="DG33" i="77" s="1"/>
  <c r="AR24" i="77"/>
  <c r="AS24" i="77" s="1"/>
  <c r="AR23" i="77"/>
  <c r="AS23" i="77" s="1"/>
  <c r="AR20" i="77"/>
  <c r="AS20" i="77" s="1"/>
  <c r="BN20" i="77" s="1"/>
  <c r="AR17" i="77"/>
  <c r="AS17" i="77" s="1"/>
  <c r="BN17" i="77" s="1"/>
  <c r="AR16" i="77"/>
  <c r="AS16" i="77" s="1"/>
  <c r="BN16" i="77" s="1"/>
  <c r="AD47" i="77"/>
  <c r="AE47" i="77" s="1"/>
  <c r="AK47" i="77" s="1"/>
  <c r="AD35" i="77"/>
  <c r="AE35" i="77" s="1"/>
  <c r="AK35" i="77" s="1"/>
  <c r="AD38" i="77"/>
  <c r="AE38" i="77" s="1"/>
  <c r="AK38" i="77" s="1"/>
  <c r="AQ51" i="77"/>
  <c r="AP51" i="77"/>
  <c r="AJ51" i="77"/>
  <c r="AI51" i="77"/>
  <c r="AH51" i="77"/>
  <c r="AG51" i="77"/>
  <c r="AF51" i="77"/>
  <c r="AC34" i="77"/>
  <c r="Y34" i="77"/>
  <c r="Z34" i="77" s="1"/>
  <c r="J34" i="77"/>
  <c r="H34" i="77"/>
  <c r="M34" i="77" s="1"/>
  <c r="AC30" i="77"/>
  <c r="Y30" i="77"/>
  <c r="Z30" i="77" s="1"/>
  <c r="J30" i="77"/>
  <c r="H30" i="77"/>
  <c r="M30" i="77" s="1"/>
  <c r="AC27" i="77"/>
  <c r="Y27" i="77"/>
  <c r="Z27" i="77" s="1"/>
  <c r="H27" i="77"/>
  <c r="M27" i="77" s="1"/>
  <c r="CV50" i="77" l="1"/>
  <c r="DC50" i="77" s="1"/>
  <c r="DG50" i="77" s="1"/>
  <c r="DH50" i="77" s="1"/>
  <c r="BN50" i="77"/>
  <c r="BN24" i="77"/>
  <c r="CH24" i="77" s="1"/>
  <c r="CV24" i="77" s="1"/>
  <c r="BN23" i="77"/>
  <c r="CH23" i="77" s="1"/>
  <c r="DC23" i="77" s="1"/>
  <c r="CM17" i="77"/>
  <c r="CL33" i="77"/>
  <c r="CM33" i="77" s="1"/>
  <c r="CM44" i="77"/>
  <c r="AR47" i="77"/>
  <c r="AS47" i="77" s="1"/>
  <c r="BN47" i="77" s="1"/>
  <c r="CH47" i="77" s="1"/>
  <c r="CV47" i="77" s="1"/>
  <c r="DC47" i="77" s="1"/>
  <c r="DG47" i="77" s="1"/>
  <c r="AR38" i="77"/>
  <c r="AS38" i="77" s="1"/>
  <c r="BN38" i="77" s="1"/>
  <c r="CH38" i="77" s="1"/>
  <c r="CV38" i="77" s="1"/>
  <c r="DC38" i="77" s="1"/>
  <c r="DG38" i="77" s="1"/>
  <c r="AR35" i="77"/>
  <c r="AS35" i="77" s="1"/>
  <c r="BN35" i="77" s="1"/>
  <c r="CH35" i="77" s="1"/>
  <c r="CV35" i="77" s="1"/>
  <c r="DC35" i="77" s="1"/>
  <c r="I34" i="77"/>
  <c r="I30" i="77"/>
  <c r="L30" i="77"/>
  <c r="P30" i="77" s="1"/>
  <c r="I27" i="77"/>
  <c r="L34" i="77"/>
  <c r="P34" i="77" s="1"/>
  <c r="AO33" i="73"/>
  <c r="AO39" i="73" s="1"/>
  <c r="AO73" i="57"/>
  <c r="AO74" i="57"/>
  <c r="AO18" i="62"/>
  <c r="AP18" i="62" s="1"/>
  <c r="BK18" i="62" s="1"/>
  <c r="AO19" i="62"/>
  <c r="AO20" i="62"/>
  <c r="AO21" i="62"/>
  <c r="AO22" i="62"/>
  <c r="AO25" i="62"/>
  <c r="AO28" i="62"/>
  <c r="AO29" i="62"/>
  <c r="AO38" i="62"/>
  <c r="AO43" i="62"/>
  <c r="AO47" i="62"/>
  <c r="AO15" i="61"/>
  <c r="AO16" i="61"/>
  <c r="AP16" i="61" s="1"/>
  <c r="BK16" i="61" s="1"/>
  <c r="CD16" i="61" s="1"/>
  <c r="AO17" i="61"/>
  <c r="AO18" i="61"/>
  <c r="AO21" i="61"/>
  <c r="AO32" i="61"/>
  <c r="AO35" i="61"/>
  <c r="AO15" i="64"/>
  <c r="AO18" i="64"/>
  <c r="X18" i="73"/>
  <c r="X15" i="73"/>
  <c r="DC24" i="77" l="1"/>
  <c r="DG24" i="77" s="1"/>
  <c r="CL24" i="77"/>
  <c r="CM24" i="77" s="1"/>
  <c r="AO19" i="64"/>
  <c r="CL23" i="77"/>
  <c r="CM23" i="77" s="1"/>
  <c r="CL38" i="77"/>
  <c r="CM38" i="77" s="1"/>
  <c r="CL35" i="77"/>
  <c r="CM35" i="77" s="1"/>
  <c r="CL47" i="77"/>
  <c r="CM47" i="77" s="1"/>
  <c r="CD18" i="62"/>
  <c r="AP15" i="64"/>
  <c r="K30" i="77"/>
  <c r="O30" i="77" s="1"/>
  <c r="K34" i="77"/>
  <c r="O34" i="77" s="1"/>
  <c r="P27" i="77"/>
  <c r="K27" i="77"/>
  <c r="AD30" i="77" l="1"/>
  <c r="AE30" i="77" s="1"/>
  <c r="AK30" i="77" s="1"/>
  <c r="AD34" i="77"/>
  <c r="AE34" i="77" s="1"/>
  <c r="AK34" i="77" s="1"/>
  <c r="O27" i="77"/>
  <c r="AD27" i="77"/>
  <c r="AE27" i="77" s="1"/>
  <c r="AK27" i="77" s="1"/>
  <c r="AR34" i="77" l="1"/>
  <c r="AS34" i="77" s="1"/>
  <c r="BN34" i="77" s="1"/>
  <c r="CH34" i="77" s="1"/>
  <c r="CV34" i="77" s="1"/>
  <c r="DC34" i="77" s="1"/>
  <c r="AR30" i="77"/>
  <c r="AS30" i="77" s="1"/>
  <c r="AR27" i="77"/>
  <c r="AS27" i="77" s="1"/>
  <c r="BN27" i="77" s="1"/>
  <c r="AK51" i="77"/>
  <c r="BN30" i="77" l="1"/>
  <c r="CH30" i="77" s="1"/>
  <c r="CL34" i="77"/>
  <c r="CM34" i="77" s="1"/>
  <c r="AS51" i="77"/>
  <c r="BN51" i="77" s="1"/>
  <c r="AR51" i="77"/>
  <c r="CV30" i="77" l="1"/>
  <c r="CL30" i="77"/>
  <c r="CM30" i="77" s="1"/>
  <c r="CV51" i="77" l="1"/>
  <c r="DC52" i="77" s="1"/>
  <c r="DG52" i="77" s="1"/>
  <c r="DC30" i="77"/>
  <c r="DC51" i="77" s="1"/>
  <c r="X32" i="73" l="1"/>
  <c r="AH33" i="73"/>
  <c r="AG33" i="73"/>
  <c r="AF33" i="73"/>
  <c r="AE33" i="73"/>
  <c r="AD33" i="73"/>
  <c r="AA32" i="73"/>
  <c r="P32" i="73"/>
  <c r="H32" i="73"/>
  <c r="M32" i="73" s="1"/>
  <c r="AA29" i="73"/>
  <c r="X29" i="73"/>
  <c r="L29" i="73"/>
  <c r="H29" i="73"/>
  <c r="M29" i="73" s="1"/>
  <c r="AA26" i="73"/>
  <c r="X26" i="73"/>
  <c r="H26" i="73"/>
  <c r="M26" i="73" s="1"/>
  <c r="AA22" i="73"/>
  <c r="P22" i="73"/>
  <c r="H22" i="73"/>
  <c r="I22" i="73" s="1"/>
  <c r="AA18" i="73"/>
  <c r="P18" i="73"/>
  <c r="H18" i="73"/>
  <c r="AA15" i="73"/>
  <c r="H15" i="73"/>
  <c r="M15" i="73" s="1"/>
  <c r="AB16" i="70"/>
  <c r="P16" i="70"/>
  <c r="H16" i="70"/>
  <c r="X16" i="70" s="1"/>
  <c r="AB28" i="70"/>
  <c r="X28" i="70"/>
  <c r="AB25" i="70"/>
  <c r="X25" i="70"/>
  <c r="AB22" i="70"/>
  <c r="X22" i="70"/>
  <c r="P22" i="70"/>
  <c r="H22" i="70"/>
  <c r="I22" i="70" s="1"/>
  <c r="AB19" i="70"/>
  <c r="P19" i="70"/>
  <c r="H19" i="70"/>
  <c r="X19" i="70" s="1"/>
  <c r="AB15" i="70"/>
  <c r="H15" i="70"/>
  <c r="X15" i="70" s="1"/>
  <c r="AE29" i="70"/>
  <c r="AF29" i="70"/>
  <c r="AG29" i="70"/>
  <c r="AH29" i="70"/>
  <c r="AI29" i="70"/>
  <c r="X15" i="69"/>
  <c r="H28" i="70"/>
  <c r="M28" i="70" s="1"/>
  <c r="H25" i="70"/>
  <c r="M25" i="70" s="1"/>
  <c r="O16" i="70" l="1"/>
  <c r="I18" i="73"/>
  <c r="M18" i="73"/>
  <c r="I32" i="73"/>
  <c r="K22" i="70"/>
  <c r="P15" i="73"/>
  <c r="O15" i="73" s="1"/>
  <c r="K15" i="73"/>
  <c r="AB15" i="73" s="1"/>
  <c r="AC15" i="73" s="1"/>
  <c r="AI15" i="73" s="1"/>
  <c r="AP15" i="73" s="1"/>
  <c r="AQ15" i="73" s="1"/>
  <c r="BL15" i="73" s="1"/>
  <c r="P29" i="73"/>
  <c r="K29" i="73"/>
  <c r="O29" i="73" s="1"/>
  <c r="P26" i="73"/>
  <c r="K26" i="73"/>
  <c r="I15" i="73"/>
  <c r="M22" i="73"/>
  <c r="X22" i="73"/>
  <c r="I26" i="73"/>
  <c r="K18" i="73"/>
  <c r="K22" i="73"/>
  <c r="AB22" i="73" s="1"/>
  <c r="AC22" i="73" s="1"/>
  <c r="I29" i="73"/>
  <c r="K32" i="73"/>
  <c r="O32" i="73" s="1"/>
  <c r="K16" i="70"/>
  <c r="I16" i="70"/>
  <c r="M16" i="70"/>
  <c r="M22" i="70"/>
  <c r="K19" i="70"/>
  <c r="I19" i="70"/>
  <c r="M19" i="70"/>
  <c r="P15" i="70"/>
  <c r="O15" i="70" s="1"/>
  <c r="K15" i="70"/>
  <c r="I15" i="70"/>
  <c r="M15" i="70"/>
  <c r="P25" i="70"/>
  <c r="O25" i="70" s="1"/>
  <c r="K25" i="70"/>
  <c r="AC25" i="70" s="1"/>
  <c r="AD25" i="70" s="1"/>
  <c r="AJ25" i="70" s="1"/>
  <c r="AQ25" i="70" s="1"/>
  <c r="AR25" i="70" s="1"/>
  <c r="BM25" i="70" s="1"/>
  <c r="CF25" i="70" s="1"/>
  <c r="CT25" i="70" s="1"/>
  <c r="P28" i="70"/>
  <c r="K28" i="70"/>
  <c r="O28" i="70" s="1"/>
  <c r="I25" i="70"/>
  <c r="I28" i="70"/>
  <c r="DA25" i="70" l="1"/>
  <c r="AC22" i="70"/>
  <c r="AD22" i="70" s="1"/>
  <c r="AJ22" i="70" s="1"/>
  <c r="AQ22" i="70" s="1"/>
  <c r="AR22" i="70" s="1"/>
  <c r="BM22" i="70" s="1"/>
  <c r="CF22" i="70" s="1"/>
  <c r="CT22" i="70" s="1"/>
  <c r="CJ25" i="70"/>
  <c r="CK25" i="70" s="1"/>
  <c r="AC19" i="70"/>
  <c r="AD19" i="70" s="1"/>
  <c r="AJ19" i="70" s="1"/>
  <c r="AQ19" i="70" s="1"/>
  <c r="AR19" i="70" s="1"/>
  <c r="BM19" i="70" s="1"/>
  <c r="CF19" i="70" s="1"/>
  <c r="CT19" i="70" s="1"/>
  <c r="O26" i="73"/>
  <c r="AB26" i="73"/>
  <c r="AC26" i="73" s="1"/>
  <c r="AP26" i="73" s="1"/>
  <c r="AQ26" i="73" s="1"/>
  <c r="BL26" i="73" s="1"/>
  <c r="CE26" i="73" s="1"/>
  <c r="AC15" i="70"/>
  <c r="AD15" i="70" s="1"/>
  <c r="AJ15" i="70" s="1"/>
  <c r="AB32" i="73"/>
  <c r="AC32" i="73" s="1"/>
  <c r="AI32" i="73" s="1"/>
  <c r="AP32" i="73" s="1"/>
  <c r="AQ32" i="73" s="1"/>
  <c r="BL32" i="73" s="1"/>
  <c r="CE32" i="73" s="1"/>
  <c r="CS32" i="73" s="1"/>
  <c r="CZ32" i="73" s="1"/>
  <c r="O18" i="73"/>
  <c r="AB29" i="73"/>
  <c r="AC29" i="73" s="1"/>
  <c r="AI29" i="73" s="1"/>
  <c r="AP22" i="73"/>
  <c r="AQ22" i="73" s="1"/>
  <c r="BL22" i="73" s="1"/>
  <c r="CE22" i="73" s="1"/>
  <c r="O22" i="70"/>
  <c r="O22" i="73"/>
  <c r="AB18" i="73"/>
  <c r="AC18" i="73" s="1"/>
  <c r="AI18" i="73" s="1"/>
  <c r="AC28" i="70"/>
  <c r="AD28" i="70" s="1"/>
  <c r="AJ28" i="70" s="1"/>
  <c r="AQ28" i="70" s="1"/>
  <c r="AR28" i="70" s="1"/>
  <c r="BM28" i="70" s="1"/>
  <c r="CF28" i="70" s="1"/>
  <c r="CT28" i="70" s="1"/>
  <c r="DA28" i="70" s="1"/>
  <c r="AC16" i="70"/>
  <c r="AD16" i="70" s="1"/>
  <c r="AJ16" i="70" s="1"/>
  <c r="AQ16" i="70" s="1"/>
  <c r="AR16" i="70" s="1"/>
  <c r="BM16" i="70" s="1"/>
  <c r="O19" i="70"/>
  <c r="DY32" i="73" l="1"/>
  <c r="DD32" i="73"/>
  <c r="DE32" i="73" s="1"/>
  <c r="DZ28" i="70"/>
  <c r="DE28" i="70"/>
  <c r="DF28" i="70" s="1"/>
  <c r="DE25" i="70"/>
  <c r="DZ25" i="70"/>
  <c r="DF25" i="70"/>
  <c r="DA19" i="70"/>
  <c r="DA22" i="70"/>
  <c r="CI32" i="73"/>
  <c r="CJ32" i="73" s="1"/>
  <c r="CJ22" i="70"/>
  <c r="CK22" i="70" s="1"/>
  <c r="CJ28" i="70"/>
  <c r="CK28" i="70" s="1"/>
  <c r="CJ19" i="70"/>
  <c r="CK19" i="70" s="1"/>
  <c r="AQ15" i="70"/>
  <c r="AQ29" i="70" s="1"/>
  <c r="AJ29" i="70"/>
  <c r="AP29" i="73"/>
  <c r="AQ29" i="73" s="1"/>
  <c r="BL29" i="73" s="1"/>
  <c r="CE29" i="73" s="1"/>
  <c r="CS29" i="73" s="1"/>
  <c r="AP18" i="73"/>
  <c r="AI33" i="73"/>
  <c r="DE22" i="70" l="1"/>
  <c r="DF22" i="70" s="1"/>
  <c r="DZ22" i="70"/>
  <c r="DE19" i="70"/>
  <c r="DF19" i="70" s="1"/>
  <c r="CZ29" i="73"/>
  <c r="CK29" i="70"/>
  <c r="CI29" i="73"/>
  <c r="CJ29" i="73" s="1"/>
  <c r="AR15" i="70"/>
  <c r="AQ18" i="73"/>
  <c r="AP33" i="73"/>
  <c r="DD29" i="73" l="1"/>
  <c r="DE29" i="73" s="1"/>
  <c r="DY29" i="73"/>
  <c r="AQ33" i="73"/>
  <c r="BL33" i="73" s="1"/>
  <c r="BL34" i="73" s="1"/>
  <c r="BL18" i="73"/>
  <c r="CE18" i="73" s="1"/>
  <c r="BM15" i="70"/>
  <c r="AR29" i="70"/>
  <c r="X45" i="69"/>
  <c r="X42" i="69"/>
  <c r="X39" i="69"/>
  <c r="X38" i="69"/>
  <c r="X37" i="69"/>
  <c r="X34" i="69"/>
  <c r="X33" i="69"/>
  <c r="X26" i="69"/>
  <c r="X25" i="69"/>
  <c r="X19" i="69"/>
  <c r="X18" i="69"/>
  <c r="X17" i="69"/>
  <c r="X16" i="69"/>
  <c r="J45" i="69"/>
  <c r="L45" i="69" l="1"/>
  <c r="AC45" i="69" s="1"/>
  <c r="AD45" i="69" s="1"/>
  <c r="CS18" i="73"/>
  <c r="CI18" i="73"/>
  <c r="CJ18" i="73" s="1"/>
  <c r="CE33" i="73"/>
  <c r="BM29" i="70"/>
  <c r="BM30" i="70" s="1"/>
  <c r="CS33" i="73" l="1"/>
  <c r="CZ34" i="73" s="1"/>
  <c r="CZ18" i="73"/>
  <c r="CR33" i="73"/>
  <c r="CS35" i="73" s="1"/>
  <c r="CF29" i="70"/>
  <c r="J26" i="69"/>
  <c r="L26" i="69" s="1"/>
  <c r="H26" i="69"/>
  <c r="M26" i="69" s="1"/>
  <c r="J39" i="69"/>
  <c r="L39" i="69" s="1"/>
  <c r="H39" i="69"/>
  <c r="M39" i="69" s="1"/>
  <c r="P45" i="69"/>
  <c r="H45" i="69"/>
  <c r="M45" i="69" s="1"/>
  <c r="J42" i="69"/>
  <c r="L42" i="69" s="1"/>
  <c r="H42" i="69"/>
  <c r="M42" i="69" s="1"/>
  <c r="J38" i="69"/>
  <c r="H38" i="69"/>
  <c r="M38" i="69" s="1"/>
  <c r="J37" i="69"/>
  <c r="L37" i="69" s="1"/>
  <c r="H37" i="69"/>
  <c r="M37" i="69" s="1"/>
  <c r="J34" i="69"/>
  <c r="L34" i="69" s="1"/>
  <c r="CQ34" i="69" s="1"/>
  <c r="CR34" i="69" s="1"/>
  <c r="H34" i="69"/>
  <c r="M34" i="69" s="1"/>
  <c r="J33" i="69"/>
  <c r="L33" i="69" s="1"/>
  <c r="H33" i="69"/>
  <c r="M33" i="69" s="1"/>
  <c r="AB30" i="69"/>
  <c r="H30" i="69"/>
  <c r="M30" i="69" s="1"/>
  <c r="AB29" i="69"/>
  <c r="H29" i="69"/>
  <c r="M29" i="69" s="1"/>
  <c r="J25" i="69"/>
  <c r="L25" i="69" s="1"/>
  <c r="H25" i="69"/>
  <c r="M25" i="69" s="1"/>
  <c r="AB22" i="69"/>
  <c r="P22" i="69"/>
  <c r="H22" i="69"/>
  <c r="M22" i="69" s="1"/>
  <c r="AB19" i="69"/>
  <c r="J19" i="69"/>
  <c r="L19" i="69" s="1"/>
  <c r="H19" i="69"/>
  <c r="M19" i="69" s="1"/>
  <c r="AB18" i="69"/>
  <c r="J18" i="69"/>
  <c r="L18" i="69" s="1"/>
  <c r="H18" i="69"/>
  <c r="M18" i="69" s="1"/>
  <c r="AB17" i="69"/>
  <c r="J17" i="69"/>
  <c r="L17" i="69" s="1"/>
  <c r="H17" i="69"/>
  <c r="M17" i="69" s="1"/>
  <c r="AB16" i="69"/>
  <c r="J16" i="69"/>
  <c r="H16" i="69"/>
  <c r="M16" i="69" s="1"/>
  <c r="AB15" i="69"/>
  <c r="H15" i="69"/>
  <c r="M15" i="69" s="1"/>
  <c r="Z15" i="68"/>
  <c r="J15" i="68"/>
  <c r="H15" i="68"/>
  <c r="M15" i="68" s="1"/>
  <c r="AN16" i="68"/>
  <c r="AM16" i="68"/>
  <c r="AL16" i="68"/>
  <c r="AK16" i="68"/>
  <c r="AJ16" i="68"/>
  <c r="AI16" i="68"/>
  <c r="AO16" i="67"/>
  <c r="AP16" i="67" s="1"/>
  <c r="BK16" i="67" s="1"/>
  <c r="CD16" i="67" s="1"/>
  <c r="Z16" i="67"/>
  <c r="L16" i="67"/>
  <c r="P16" i="67" s="1"/>
  <c r="H16" i="67"/>
  <c r="I16" i="67" s="1"/>
  <c r="L17" i="67"/>
  <c r="AO15" i="67"/>
  <c r="Z15" i="67"/>
  <c r="J15" i="67"/>
  <c r="H15" i="67"/>
  <c r="M15" i="67" s="1"/>
  <c r="AA31" i="67"/>
  <c r="P31" i="67"/>
  <c r="AO24" i="67"/>
  <c r="AP24" i="67" s="1"/>
  <c r="BK24" i="67" s="1"/>
  <c r="CD24" i="67" s="1"/>
  <c r="Z24" i="67"/>
  <c r="J24" i="67"/>
  <c r="L24" i="67" s="1"/>
  <c r="P24" i="67" s="1"/>
  <c r="H24" i="67"/>
  <c r="M24" i="67" s="1"/>
  <c r="AO27" i="67"/>
  <c r="AP27" i="67" s="1"/>
  <c r="BK27" i="67" s="1"/>
  <c r="CD27" i="67" s="1"/>
  <c r="Z27" i="67"/>
  <c r="J27" i="67"/>
  <c r="L27" i="67" s="1"/>
  <c r="P27" i="67" s="1"/>
  <c r="H27" i="67"/>
  <c r="M27" i="67" s="1"/>
  <c r="AO28" i="67"/>
  <c r="AP28" i="67" s="1"/>
  <c r="BK28" i="67" s="1"/>
  <c r="CD28" i="67" s="1"/>
  <c r="Z28" i="67"/>
  <c r="J28" i="67"/>
  <c r="L28" i="67" s="1"/>
  <c r="P28" i="67" s="1"/>
  <c r="H28" i="67"/>
  <c r="M28" i="67" s="1"/>
  <c r="CZ33" i="73" l="1"/>
  <c r="DY34" i="73" s="1"/>
  <c r="DY18" i="73"/>
  <c r="DY33" i="73" s="1"/>
  <c r="DD18" i="73"/>
  <c r="DE18" i="73" s="1"/>
  <c r="L38" i="69"/>
  <c r="AC38" i="69" s="1"/>
  <c r="AD38" i="69" s="1"/>
  <c r="L16" i="69"/>
  <c r="P16" i="69" s="1"/>
  <c r="CS29" i="70"/>
  <c r="CT31" i="70" s="1"/>
  <c r="CT29" i="70"/>
  <c r="P26" i="69"/>
  <c r="AC26" i="69"/>
  <c r="AD26" i="69" s="1"/>
  <c r="P37" i="69"/>
  <c r="AC37" i="69"/>
  <c r="AD37" i="69" s="1"/>
  <c r="P42" i="69"/>
  <c r="AC42" i="69"/>
  <c r="AD42" i="69" s="1"/>
  <c r="I15" i="67"/>
  <c r="I25" i="69"/>
  <c r="O28" i="67"/>
  <c r="I39" i="69"/>
  <c r="I18" i="69"/>
  <c r="I15" i="68"/>
  <c r="I15" i="69"/>
  <c r="I33" i="69"/>
  <c r="O24" i="67"/>
  <c r="AP15" i="67"/>
  <c r="BK15" i="67" s="1"/>
  <c r="CD15" i="67" s="1"/>
  <c r="I34" i="69"/>
  <c r="O16" i="67"/>
  <c r="I17" i="69"/>
  <c r="P17" i="69"/>
  <c r="I29" i="69"/>
  <c r="I37" i="69"/>
  <c r="I22" i="69"/>
  <c r="P29" i="69"/>
  <c r="K26" i="69"/>
  <c r="O26" i="69" s="1"/>
  <c r="I26" i="69"/>
  <c r="AC39" i="69"/>
  <c r="AD39" i="69" s="1"/>
  <c r="I45" i="69"/>
  <c r="P19" i="69"/>
  <c r="K19" i="69"/>
  <c r="O19" i="69" s="1"/>
  <c r="P30" i="69"/>
  <c r="K30" i="69"/>
  <c r="P38" i="69"/>
  <c r="I38" i="69"/>
  <c r="I19" i="69"/>
  <c r="K22" i="69"/>
  <c r="O22" i="69" s="1"/>
  <c r="AC25" i="69"/>
  <c r="AD25" i="69" s="1"/>
  <c r="I30" i="69"/>
  <c r="AC34" i="69"/>
  <c r="AD34" i="69" s="1"/>
  <c r="K37" i="69"/>
  <c r="O37" i="69" s="1"/>
  <c r="K45" i="69"/>
  <c r="K16" i="69"/>
  <c r="K42" i="69"/>
  <c r="O42" i="69" s="1"/>
  <c r="I16" i="69"/>
  <c r="I42" i="69"/>
  <c r="L15" i="68"/>
  <c r="M16" i="67"/>
  <c r="K16" i="67"/>
  <c r="I27" i="67"/>
  <c r="L15" i="67"/>
  <c r="O27" i="67"/>
  <c r="K24" i="67"/>
  <c r="AA24" i="67" s="1"/>
  <c r="AB24" i="67" s="1"/>
  <c r="I24" i="67"/>
  <c r="K27" i="67"/>
  <c r="AA27" i="67" s="1"/>
  <c r="AB27" i="67" s="1"/>
  <c r="K28" i="67"/>
  <c r="AA28" i="67" s="1"/>
  <c r="AB28" i="67" s="1"/>
  <c r="I28" i="67"/>
  <c r="K38" i="69" l="1"/>
  <c r="DA29" i="70"/>
  <c r="DZ31" i="70" s="1"/>
  <c r="DA30" i="70"/>
  <c r="P33" i="69"/>
  <c r="AC33" i="69"/>
  <c r="AD33" i="69" s="1"/>
  <c r="K17" i="69"/>
  <c r="AD17" i="69" s="1"/>
  <c r="AJ17" i="69" s="1"/>
  <c r="AA16" i="67"/>
  <c r="AB16" i="67" s="1"/>
  <c r="O16" i="69"/>
  <c r="AD16" i="69"/>
  <c r="AJ16" i="69" s="1"/>
  <c r="O45" i="69"/>
  <c r="AJ45" i="69"/>
  <c r="AQ45" i="69" s="1"/>
  <c r="K29" i="69"/>
  <c r="O29" i="69" s="1"/>
  <c r="AD22" i="69"/>
  <c r="AJ22" i="69" s="1"/>
  <c r="AQ22" i="69" s="1"/>
  <c r="K33" i="69"/>
  <c r="O33" i="69" s="1"/>
  <c r="AD19" i="69"/>
  <c r="AJ19" i="69" s="1"/>
  <c r="AQ19" i="69" s="1"/>
  <c r="AJ26" i="69"/>
  <c r="P39" i="69"/>
  <c r="K39" i="69"/>
  <c r="P34" i="69"/>
  <c r="K34" i="69"/>
  <c r="P18" i="69"/>
  <c r="K18" i="69"/>
  <c r="O38" i="69"/>
  <c r="AJ38" i="69"/>
  <c r="O30" i="69"/>
  <c r="AD30" i="69"/>
  <c r="AJ30" i="69" s="1"/>
  <c r="AP30" i="69" s="1"/>
  <c r="P15" i="69"/>
  <c r="O15" i="69" s="1"/>
  <c r="K15" i="69"/>
  <c r="AJ37" i="69"/>
  <c r="AJ29" i="69"/>
  <c r="AP29" i="69" s="1"/>
  <c r="AP46" i="69" s="1"/>
  <c r="P25" i="69"/>
  <c r="K25" i="69"/>
  <c r="AJ42" i="69"/>
  <c r="P15" i="68"/>
  <c r="O15" i="68" s="1"/>
  <c r="K15" i="68"/>
  <c r="AB15" i="68" s="1"/>
  <c r="P15" i="67"/>
  <c r="O15" i="67" s="1"/>
  <c r="K15" i="67"/>
  <c r="AA15" i="67" s="1"/>
  <c r="AB15" i="67" s="1"/>
  <c r="AQ30" i="69" l="1"/>
  <c r="AR30" i="69" s="1"/>
  <c r="AQ29" i="69"/>
  <c r="AR29" i="69" s="1"/>
  <c r="AQ42" i="69"/>
  <c r="AR42" i="69" s="1"/>
  <c r="AQ38" i="69"/>
  <c r="AR38" i="69" s="1"/>
  <c r="AQ37" i="69"/>
  <c r="AR37" i="69" s="1"/>
  <c r="AQ26" i="69"/>
  <c r="AR26" i="69" s="1"/>
  <c r="AQ16" i="69"/>
  <c r="AR16" i="69" s="1"/>
  <c r="AQ17" i="69"/>
  <c r="AR17" i="69" s="1"/>
  <c r="AR45" i="69"/>
  <c r="O17" i="69"/>
  <c r="AI15" i="68"/>
  <c r="AM15" i="68"/>
  <c r="AJ15" i="68"/>
  <c r="AN15" i="68"/>
  <c r="AK15" i="68"/>
  <c r="AL15" i="68"/>
  <c r="AH15" i="68"/>
  <c r="AR22" i="69"/>
  <c r="BM33" i="69"/>
  <c r="CF33" i="69" s="1"/>
  <c r="AR19" i="69"/>
  <c r="O18" i="69"/>
  <c r="AD18" i="69"/>
  <c r="AJ18" i="69" s="1"/>
  <c r="AD15" i="69"/>
  <c r="O39" i="69"/>
  <c r="AJ39" i="69"/>
  <c r="O34" i="69"/>
  <c r="AJ25" i="69"/>
  <c r="AQ25" i="69" s="1"/>
  <c r="AR25" i="69" s="1"/>
  <c r="CM25" i="69" s="1"/>
  <c r="CQ25" i="69" s="1"/>
  <c r="O25" i="69"/>
  <c r="AO31" i="67"/>
  <c r="AP31" i="67" s="1"/>
  <c r="BK31" i="67" s="1"/>
  <c r="CD31" i="67" s="1"/>
  <c r="Z31" i="67"/>
  <c r="H31" i="67"/>
  <c r="M31" i="67" s="1"/>
  <c r="AO17" i="67"/>
  <c r="Z17" i="67"/>
  <c r="H17" i="67"/>
  <c r="M17" i="67" s="1"/>
  <c r="AO18" i="66"/>
  <c r="AP18" i="66" s="1"/>
  <c r="BK18" i="66" s="1"/>
  <c r="CD18" i="66" s="1"/>
  <c r="Z18" i="66"/>
  <c r="J18" i="66"/>
  <c r="L18" i="66" s="1"/>
  <c r="H18" i="66"/>
  <c r="AO15" i="66"/>
  <c r="Z15" i="66"/>
  <c r="J15" i="66"/>
  <c r="L15" i="66" s="1"/>
  <c r="H15" i="66"/>
  <c r="M15" i="66" s="1"/>
  <c r="J28" i="65"/>
  <c r="L28" i="65" s="1"/>
  <c r="H28" i="65"/>
  <c r="M28" i="65" s="1"/>
  <c r="J25" i="65"/>
  <c r="L25" i="65" s="1"/>
  <c r="H25" i="65"/>
  <c r="M25" i="65" s="1"/>
  <c r="J22" i="65"/>
  <c r="L22" i="65" s="1"/>
  <c r="H22" i="65"/>
  <c r="M22" i="65" s="1"/>
  <c r="J19" i="65"/>
  <c r="L19" i="65" s="1"/>
  <c r="H19" i="65"/>
  <c r="M19" i="65" s="1"/>
  <c r="J18" i="65"/>
  <c r="L18" i="65" s="1"/>
  <c r="H18" i="65"/>
  <c r="M18" i="65" s="1"/>
  <c r="J17" i="65"/>
  <c r="L17" i="65" s="1"/>
  <c r="H17" i="65"/>
  <c r="M17" i="65" s="1"/>
  <c r="J16" i="65"/>
  <c r="L16" i="65" s="1"/>
  <c r="H16" i="65"/>
  <c r="M16" i="65" s="1"/>
  <c r="J15" i="65"/>
  <c r="L15" i="65" s="1"/>
  <c r="H15" i="65"/>
  <c r="M15" i="65" s="1"/>
  <c r="AO28" i="65"/>
  <c r="AP28" i="65" s="1"/>
  <c r="BK28" i="65" s="1"/>
  <c r="CD28" i="65" s="1"/>
  <c r="AO25" i="65"/>
  <c r="AP25" i="65" s="1"/>
  <c r="BK25" i="65" s="1"/>
  <c r="CD25" i="65" s="1"/>
  <c r="AO22" i="65"/>
  <c r="AP22" i="65" s="1"/>
  <c r="BK22" i="65" s="1"/>
  <c r="CD22" i="65" s="1"/>
  <c r="AO19" i="65"/>
  <c r="AP19" i="65" s="1"/>
  <c r="BK19" i="65" s="1"/>
  <c r="CD19" i="65" s="1"/>
  <c r="AO17" i="65"/>
  <c r="AP17" i="65" s="1"/>
  <c r="BK17" i="65" s="1"/>
  <c r="CD17" i="65" s="1"/>
  <c r="AO16" i="65"/>
  <c r="AP16" i="65" s="1"/>
  <c r="BK16" i="65" s="1"/>
  <c r="CD16" i="65" s="1"/>
  <c r="AO15" i="65"/>
  <c r="Z17" i="65"/>
  <c r="Z16" i="65"/>
  <c r="AH29" i="65"/>
  <c r="Z28" i="65"/>
  <c r="Z25" i="65"/>
  <c r="Z22" i="65"/>
  <c r="Z19" i="65"/>
  <c r="AO18" i="65"/>
  <c r="AP18" i="65" s="1"/>
  <c r="BK18" i="65" s="1"/>
  <c r="CD18" i="65" s="1"/>
  <c r="Z18" i="65"/>
  <c r="Z15" i="65"/>
  <c r="AA18" i="64"/>
  <c r="AA15" i="64"/>
  <c r="J15" i="64"/>
  <c r="AA15" i="63"/>
  <c r="AH19" i="64"/>
  <c r="AP18" i="64"/>
  <c r="AP19" i="64" s="1"/>
  <c r="Z18" i="64"/>
  <c r="J18" i="64"/>
  <c r="H18" i="64"/>
  <c r="M18" i="64" s="1"/>
  <c r="Z15" i="64"/>
  <c r="H15" i="64"/>
  <c r="M15" i="64" s="1"/>
  <c r="AO24" i="63"/>
  <c r="AP24" i="63" s="1"/>
  <c r="AO18" i="63"/>
  <c r="AP18" i="63" s="1"/>
  <c r="AO15" i="63"/>
  <c r="Z24" i="63"/>
  <c r="Z18" i="63"/>
  <c r="Z15" i="63"/>
  <c r="BB24" i="63"/>
  <c r="BC24" i="63" s="1"/>
  <c r="H24" i="63"/>
  <c r="M24" i="63" s="1"/>
  <c r="BB18" i="63"/>
  <c r="BC18" i="63" s="1"/>
  <c r="H18" i="63"/>
  <c r="M18" i="63" s="1"/>
  <c r="H15" i="63"/>
  <c r="M15" i="63" s="1"/>
  <c r="AP43" i="62"/>
  <c r="BK43" i="62" s="1"/>
  <c r="CD43" i="62" s="1"/>
  <c r="Z43" i="62"/>
  <c r="J43" i="62"/>
  <c r="L43" i="62" s="1"/>
  <c r="H43" i="62"/>
  <c r="M43" i="62" s="1"/>
  <c r="AP47" i="62"/>
  <c r="Z47" i="62"/>
  <c r="J47" i="62"/>
  <c r="L47" i="62" s="1"/>
  <c r="H47" i="62"/>
  <c r="M47" i="62" s="1"/>
  <c r="Z32" i="62"/>
  <c r="Z29" i="62"/>
  <c r="Z28" i="62"/>
  <c r="Z25" i="62"/>
  <c r="Z22" i="62"/>
  <c r="AO33" i="62"/>
  <c r="AP33" i="62" s="1"/>
  <c r="BK33" i="62" s="1"/>
  <c r="CD33" i="62" s="1"/>
  <c r="AO32" i="62"/>
  <c r="AP32" i="62" s="1"/>
  <c r="BK32" i="62" s="1"/>
  <c r="CD32" i="62" s="1"/>
  <c r="AP29" i="62"/>
  <c r="BK29" i="62" s="1"/>
  <c r="CD29" i="62" s="1"/>
  <c r="AP28" i="62"/>
  <c r="BK28" i="62" s="1"/>
  <c r="CD28" i="62" s="1"/>
  <c r="AP25" i="62"/>
  <c r="BK25" i="62" s="1"/>
  <c r="CD25" i="62" s="1"/>
  <c r="AP22" i="62"/>
  <c r="BK22" i="62" s="1"/>
  <c r="CD22" i="62" s="1"/>
  <c r="AP20" i="62"/>
  <c r="BK20" i="62" s="1"/>
  <c r="CD20" i="62" s="1"/>
  <c r="AP19" i="62"/>
  <c r="BK19" i="62" s="1"/>
  <c r="AA20" i="62"/>
  <c r="Z20" i="62"/>
  <c r="Z19" i="62"/>
  <c r="H21" i="62"/>
  <c r="M21" i="62" s="1"/>
  <c r="H20" i="62"/>
  <c r="K20" i="62" s="1"/>
  <c r="H19" i="62"/>
  <c r="M19" i="62" s="1"/>
  <c r="J33" i="62"/>
  <c r="J32" i="62"/>
  <c r="J29" i="62"/>
  <c r="L29" i="62" s="1"/>
  <c r="J28" i="62"/>
  <c r="L28" i="62" s="1"/>
  <c r="J25" i="62"/>
  <c r="L25" i="62" s="1"/>
  <c r="J22" i="62"/>
  <c r="L22" i="62" s="1"/>
  <c r="J21" i="62"/>
  <c r="L21" i="62" s="1"/>
  <c r="J20" i="62"/>
  <c r="J19" i="62"/>
  <c r="L19" i="62" s="1"/>
  <c r="J18" i="62"/>
  <c r="L18" i="62" s="1"/>
  <c r="P18" i="62" s="1"/>
  <c r="H33" i="62"/>
  <c r="M33" i="62" s="1"/>
  <c r="H32" i="62"/>
  <c r="M32" i="62" s="1"/>
  <c r="H29" i="62"/>
  <c r="M29" i="62" s="1"/>
  <c r="H28" i="62"/>
  <c r="M28" i="62" s="1"/>
  <c r="H25" i="62"/>
  <c r="M25" i="62" s="1"/>
  <c r="H22" i="62"/>
  <c r="M22" i="62" s="1"/>
  <c r="Z33" i="62"/>
  <c r="AP38" i="62"/>
  <c r="BK38" i="62" s="1"/>
  <c r="CD38" i="62" s="1"/>
  <c r="Z38" i="62"/>
  <c r="J38" i="62"/>
  <c r="L38" i="62" s="1"/>
  <c r="P38" i="62" s="1"/>
  <c r="H38" i="62"/>
  <c r="M38" i="62" s="1"/>
  <c r="AP21" i="62"/>
  <c r="BK21" i="62" s="1"/>
  <c r="CD21" i="62" s="1"/>
  <c r="Z21" i="62"/>
  <c r="Z18" i="62"/>
  <c r="H18" i="62"/>
  <c r="M18" i="62" s="1"/>
  <c r="AO15" i="62"/>
  <c r="Z15" i="62"/>
  <c r="J15" i="62"/>
  <c r="H15" i="62"/>
  <c r="M15" i="62" s="1"/>
  <c r="Z44" i="60"/>
  <c r="Z41" i="60"/>
  <c r="Z28" i="60"/>
  <c r="Z26" i="60"/>
  <c r="Z24" i="60"/>
  <c r="Z23" i="60"/>
  <c r="Z20" i="60"/>
  <c r="AP17" i="61"/>
  <c r="BK17" i="61" s="1"/>
  <c r="CD17" i="61" s="1"/>
  <c r="AO29" i="61"/>
  <c r="AP29" i="61" s="1"/>
  <c r="BK29" i="61" s="1"/>
  <c r="CD29" i="61" s="1"/>
  <c r="AP35" i="61"/>
  <c r="BK35" i="61" s="1"/>
  <c r="CD35" i="61" s="1"/>
  <c r="AP32" i="61"/>
  <c r="BK32" i="61" s="1"/>
  <c r="CD32" i="61" s="1"/>
  <c r="AA32" i="61"/>
  <c r="Z26" i="61"/>
  <c r="Z21" i="61"/>
  <c r="Z35" i="61"/>
  <c r="Z32" i="61"/>
  <c r="Z29" i="61"/>
  <c r="Z18" i="61"/>
  <c r="Z17" i="61"/>
  <c r="Z16" i="61"/>
  <c r="Z15" i="61"/>
  <c r="J35" i="61"/>
  <c r="J32" i="61"/>
  <c r="J29" i="61"/>
  <c r="J26" i="61"/>
  <c r="J21" i="61"/>
  <c r="J18" i="61"/>
  <c r="L18" i="61" s="1"/>
  <c r="J17" i="61"/>
  <c r="L17" i="61" s="1"/>
  <c r="J16" i="61"/>
  <c r="L16" i="61" s="1"/>
  <c r="H35" i="61"/>
  <c r="M35" i="61" s="1"/>
  <c r="H32" i="61"/>
  <c r="M32" i="61" s="1"/>
  <c r="H29" i="61"/>
  <c r="M29" i="61" s="1"/>
  <c r="H26" i="61"/>
  <c r="M26" i="61" s="1"/>
  <c r="H21" i="61"/>
  <c r="M21" i="61" s="1"/>
  <c r="H18" i="61"/>
  <c r="M18" i="61" s="1"/>
  <c r="H17" i="61"/>
  <c r="H16" i="61"/>
  <c r="M16" i="61" s="1"/>
  <c r="AP18" i="61"/>
  <c r="BK18" i="61" s="1"/>
  <c r="CD18" i="61" s="1"/>
  <c r="AP21" i="61"/>
  <c r="BK21" i="61" s="1"/>
  <c r="CD21" i="61" s="1"/>
  <c r="AP15" i="61"/>
  <c r="BK15" i="61" s="1"/>
  <c r="J15" i="61"/>
  <c r="L15" i="61" s="1"/>
  <c r="P15" i="61" s="1"/>
  <c r="H15" i="61"/>
  <c r="M15" i="61" s="1"/>
  <c r="AA74" i="57"/>
  <c r="AA73" i="57"/>
  <c r="Z15" i="57"/>
  <c r="Z25" i="60"/>
  <c r="J25" i="60"/>
  <c r="L25" i="60" s="1"/>
  <c r="J44" i="60"/>
  <c r="L44" i="60" s="1"/>
  <c r="J41" i="60"/>
  <c r="L41" i="60" s="1"/>
  <c r="L28" i="60"/>
  <c r="J26" i="60"/>
  <c r="L26" i="60" s="1"/>
  <c r="J24" i="60"/>
  <c r="L24" i="60" s="1"/>
  <c r="P24" i="60" s="1"/>
  <c r="J23" i="60"/>
  <c r="L23" i="60" s="1"/>
  <c r="H44" i="60"/>
  <c r="M44" i="60" s="1"/>
  <c r="H28" i="60"/>
  <c r="H26" i="60"/>
  <c r="M26" i="60" s="1"/>
  <c r="H25" i="60"/>
  <c r="M25" i="60" s="1"/>
  <c r="H24" i="60"/>
  <c r="M24" i="60" s="1"/>
  <c r="H23" i="60"/>
  <c r="M23" i="60" s="1"/>
  <c r="H41" i="60"/>
  <c r="M41" i="60" s="1"/>
  <c r="J20" i="60"/>
  <c r="L20" i="60" s="1"/>
  <c r="H20" i="60"/>
  <c r="DL25" i="69" l="1"/>
  <c r="CR25" i="69"/>
  <c r="BQ18" i="63"/>
  <c r="BP18" i="63"/>
  <c r="BQ24" i="63"/>
  <c r="BP24" i="63"/>
  <c r="BM19" i="69"/>
  <c r="CF19" i="69" s="1"/>
  <c r="CM19" i="69"/>
  <c r="DL19" i="69" s="1"/>
  <c r="BM17" i="69"/>
  <c r="CF17" i="69" s="1"/>
  <c r="CM17" i="69"/>
  <c r="DL17" i="69" s="1"/>
  <c r="BM38" i="69"/>
  <c r="CF38" i="69" s="1"/>
  <c r="CM38" i="69"/>
  <c r="BM18" i="63"/>
  <c r="BO18" i="63"/>
  <c r="BN18" i="63"/>
  <c r="BC29" i="63"/>
  <c r="BM16" i="69"/>
  <c r="CF16" i="69" s="1"/>
  <c r="CM16" i="69"/>
  <c r="DL16" i="69" s="1"/>
  <c r="BM42" i="69"/>
  <c r="CF42" i="69" s="1"/>
  <c r="CM42" i="69"/>
  <c r="BM22" i="69"/>
  <c r="CF22" i="69" s="1"/>
  <c r="CM22" i="69"/>
  <c r="DL22" i="69" s="1"/>
  <c r="BM26" i="69"/>
  <c r="CF26" i="69" s="1"/>
  <c r="CM26" i="69"/>
  <c r="BM29" i="69"/>
  <c r="CF29" i="69" s="1"/>
  <c r="CM29" i="69"/>
  <c r="DL29" i="69" s="1"/>
  <c r="BM24" i="63"/>
  <c r="BO24" i="63"/>
  <c r="BN24" i="63"/>
  <c r="BM45" i="69"/>
  <c r="CF45" i="69" s="1"/>
  <c r="CM45" i="69"/>
  <c r="BM37" i="69"/>
  <c r="CF37" i="69" s="1"/>
  <c r="CM37" i="69"/>
  <c r="BM30" i="69"/>
  <c r="CF30" i="69" s="1"/>
  <c r="CM30" i="69"/>
  <c r="DL30" i="69" s="1"/>
  <c r="BI18" i="63"/>
  <c r="BJ18" i="63"/>
  <c r="BI24" i="63"/>
  <c r="BJ24" i="63"/>
  <c r="BH18" i="63"/>
  <c r="BG18" i="63"/>
  <c r="BH24" i="63"/>
  <c r="BG24" i="63"/>
  <c r="BF24" i="63"/>
  <c r="BE24" i="63"/>
  <c r="BD24" i="63"/>
  <c r="BF18" i="63"/>
  <c r="BE18" i="63"/>
  <c r="BD18" i="63"/>
  <c r="AQ39" i="69"/>
  <c r="AR39" i="69" s="1"/>
  <c r="AQ18" i="69"/>
  <c r="AR18" i="69" s="1"/>
  <c r="AJ15" i="69"/>
  <c r="AQ15" i="69" s="1"/>
  <c r="AD46" i="69"/>
  <c r="CD15" i="61"/>
  <c r="CD19" i="62"/>
  <c r="CD54" i="62" s="1"/>
  <c r="BK54" i="62"/>
  <c r="BK55" i="62" s="1"/>
  <c r="AV15" i="68"/>
  <c r="AV16" i="68" s="1"/>
  <c r="AW15" i="68"/>
  <c r="AW16" i="68" s="1"/>
  <c r="I20" i="60"/>
  <c r="I35" i="61"/>
  <c r="AO29" i="65"/>
  <c r="AU15" i="68"/>
  <c r="AU16" i="68" s="1"/>
  <c r="AS15" i="68"/>
  <c r="AT15" i="68"/>
  <c r="I21" i="61"/>
  <c r="O15" i="61"/>
  <c r="AH16" i="68"/>
  <c r="AO15" i="68"/>
  <c r="AP15" i="68" s="1"/>
  <c r="I17" i="61"/>
  <c r="M28" i="60"/>
  <c r="AA28" i="60"/>
  <c r="O18" i="62"/>
  <c r="AB20" i="62"/>
  <c r="I26" i="61"/>
  <c r="M17" i="61"/>
  <c r="I29" i="61"/>
  <c r="AP15" i="63"/>
  <c r="AP17" i="67"/>
  <c r="AO32" i="67"/>
  <c r="AP15" i="66"/>
  <c r="BK15" i="66" s="1"/>
  <c r="AP15" i="65"/>
  <c r="BK15" i="65" s="1"/>
  <c r="AP15" i="62"/>
  <c r="O24" i="60"/>
  <c r="L21" i="61"/>
  <c r="K21" i="61" s="1"/>
  <c r="AA21" i="61" s="1"/>
  <c r="AB21" i="61" s="1"/>
  <c r="O18" i="64"/>
  <c r="I24" i="60"/>
  <c r="I16" i="61"/>
  <c r="L35" i="61"/>
  <c r="K35" i="61" s="1"/>
  <c r="AA35" i="61" s="1"/>
  <c r="AB35" i="61" s="1"/>
  <c r="M20" i="60"/>
  <c r="I32" i="61"/>
  <c r="AB15" i="63"/>
  <c r="BM34" i="69"/>
  <c r="CF34" i="69" s="1"/>
  <c r="BM25" i="69"/>
  <c r="CF25" i="69" s="1"/>
  <c r="O31" i="67"/>
  <c r="AB31" i="67"/>
  <c r="K31" i="67"/>
  <c r="I31" i="67"/>
  <c r="P17" i="67"/>
  <c r="O17" i="67" s="1"/>
  <c r="K17" i="67"/>
  <c r="AA17" i="67" s="1"/>
  <c r="AB17" i="67" s="1"/>
  <c r="I17" i="67"/>
  <c r="I18" i="66"/>
  <c r="M18" i="66"/>
  <c r="K18" i="66"/>
  <c r="P18" i="66"/>
  <c r="O18" i="66" s="1"/>
  <c r="P15" i="66"/>
  <c r="O15" i="66" s="1"/>
  <c r="K15" i="66"/>
  <c r="AA15" i="66" s="1"/>
  <c r="AB15" i="66" s="1"/>
  <c r="I15" i="66"/>
  <c r="P28" i="65"/>
  <c r="O28" i="65" s="1"/>
  <c r="K28" i="65"/>
  <c r="AA28" i="65" s="1"/>
  <c r="AB28" i="65" s="1"/>
  <c r="I28" i="65"/>
  <c r="P25" i="65"/>
  <c r="O25" i="65" s="1"/>
  <c r="K25" i="65"/>
  <c r="AA25" i="65" s="1"/>
  <c r="AB25" i="65" s="1"/>
  <c r="I25" i="65"/>
  <c r="P22" i="65"/>
  <c r="O22" i="65" s="1"/>
  <c r="K22" i="65"/>
  <c r="AA22" i="65" s="1"/>
  <c r="AB22" i="65" s="1"/>
  <c r="I22" i="65"/>
  <c r="P19" i="65"/>
  <c r="O19" i="65" s="1"/>
  <c r="K19" i="65"/>
  <c r="AA19" i="65" s="1"/>
  <c r="AB19" i="65" s="1"/>
  <c r="I19" i="65"/>
  <c r="P18" i="65"/>
  <c r="O18" i="65" s="1"/>
  <c r="K18" i="65"/>
  <c r="AA18" i="65" s="1"/>
  <c r="AB18" i="65" s="1"/>
  <c r="I18" i="65"/>
  <c r="P17" i="65"/>
  <c r="O17" i="65" s="1"/>
  <c r="K17" i="65"/>
  <c r="AA17" i="65" s="1"/>
  <c r="AB17" i="65" s="1"/>
  <c r="I17" i="65"/>
  <c r="P16" i="65"/>
  <c r="O16" i="65" s="1"/>
  <c r="K16" i="65"/>
  <c r="AA16" i="65" s="1"/>
  <c r="AB16" i="65" s="1"/>
  <c r="I16" i="65"/>
  <c r="P15" i="65"/>
  <c r="O15" i="65" s="1"/>
  <c r="K15" i="65"/>
  <c r="AA15" i="65" s="1"/>
  <c r="AB15" i="65" s="1"/>
  <c r="I15" i="65"/>
  <c r="I15" i="64"/>
  <c r="O15" i="64"/>
  <c r="AB18" i="64"/>
  <c r="K18" i="64"/>
  <c r="K15" i="64"/>
  <c r="I18" i="64"/>
  <c r="P24" i="63"/>
  <c r="O24" i="63" s="1"/>
  <c r="K24" i="63"/>
  <c r="AA24" i="63" s="1"/>
  <c r="AB24" i="63" s="1"/>
  <c r="I24" i="63"/>
  <c r="P18" i="63"/>
  <c r="O18" i="63" s="1"/>
  <c r="K18" i="63"/>
  <c r="AA18" i="63" s="1"/>
  <c r="AB18" i="63" s="1"/>
  <c r="I18" i="63"/>
  <c r="P15" i="63"/>
  <c r="K15" i="63"/>
  <c r="I15" i="63"/>
  <c r="P43" i="62"/>
  <c r="O43" i="62" s="1"/>
  <c r="K43" i="62"/>
  <c r="AA43" i="62" s="1"/>
  <c r="AB43" i="62" s="1"/>
  <c r="I43" i="62"/>
  <c r="P47" i="62"/>
  <c r="O47" i="62" s="1"/>
  <c r="K47" i="62"/>
  <c r="AA47" i="62" s="1"/>
  <c r="I47" i="62"/>
  <c r="M20" i="62"/>
  <c r="O38" i="62"/>
  <c r="K18" i="62"/>
  <c r="AA18" i="62" s="1"/>
  <c r="P33" i="62"/>
  <c r="O33" i="62" s="1"/>
  <c r="K33" i="62"/>
  <c r="I33" i="62"/>
  <c r="P32" i="62"/>
  <c r="O32" i="62" s="1"/>
  <c r="K32" i="62"/>
  <c r="I32" i="62"/>
  <c r="P29" i="62"/>
  <c r="O29" i="62" s="1"/>
  <c r="K29" i="62"/>
  <c r="AA29" i="62" s="1"/>
  <c r="AB29" i="62" s="1"/>
  <c r="I29" i="62"/>
  <c r="P28" i="62"/>
  <c r="O28" i="62" s="1"/>
  <c r="K28" i="62"/>
  <c r="AA28" i="62" s="1"/>
  <c r="AB28" i="62" s="1"/>
  <c r="I28" i="62"/>
  <c r="P25" i="62"/>
  <c r="O25" i="62" s="1"/>
  <c r="K25" i="62"/>
  <c r="AA25" i="62" s="1"/>
  <c r="AB25" i="62" s="1"/>
  <c r="I25" i="62"/>
  <c r="P22" i="62"/>
  <c r="O22" i="62" s="1"/>
  <c r="K22" i="62"/>
  <c r="AA22" i="62" s="1"/>
  <c r="AB22" i="62" s="1"/>
  <c r="I22" i="62"/>
  <c r="P21" i="62"/>
  <c r="O21" i="62" s="1"/>
  <c r="K21" i="62"/>
  <c r="AA21" i="62" s="1"/>
  <c r="AB21" i="62" s="1"/>
  <c r="I21" i="62"/>
  <c r="P20" i="62"/>
  <c r="O20" i="62" s="1"/>
  <c r="I20" i="62"/>
  <c r="P19" i="62"/>
  <c r="O19" i="62" s="1"/>
  <c r="K19" i="62"/>
  <c r="AA19" i="62" s="1"/>
  <c r="AB19" i="62" s="1"/>
  <c r="I19" i="62"/>
  <c r="I18" i="62"/>
  <c r="K38" i="62"/>
  <c r="AA38" i="62" s="1"/>
  <c r="AB38" i="62" s="1"/>
  <c r="I38" i="62"/>
  <c r="P15" i="62"/>
  <c r="O15" i="62" s="1"/>
  <c r="K15" i="62"/>
  <c r="I15" i="62"/>
  <c r="AH26" i="61"/>
  <c r="K18" i="61"/>
  <c r="AA18" i="61" s="1"/>
  <c r="AB18" i="61" s="1"/>
  <c r="P18" i="61"/>
  <c r="O18" i="61" s="1"/>
  <c r="K17" i="61"/>
  <c r="P17" i="61"/>
  <c r="O17" i="61" s="1"/>
  <c r="P16" i="61"/>
  <c r="O16" i="61" s="1"/>
  <c r="K16" i="61"/>
  <c r="AA16" i="61" s="1"/>
  <c r="AB16" i="61" s="1"/>
  <c r="K26" i="61"/>
  <c r="P26" i="61"/>
  <c r="O26" i="61" s="1"/>
  <c r="I18" i="61"/>
  <c r="I15" i="61"/>
  <c r="K15" i="61"/>
  <c r="AA15" i="61" s="1"/>
  <c r="AB15" i="61" s="1"/>
  <c r="P44" i="60"/>
  <c r="O44" i="60" s="1"/>
  <c r="K44" i="60"/>
  <c r="AA44" i="60" s="1"/>
  <c r="AB44" i="60" s="1"/>
  <c r="AH44" i="60" s="1"/>
  <c r="I44" i="60"/>
  <c r="P41" i="60"/>
  <c r="O41" i="60" s="1"/>
  <c r="Q41" i="60" s="1"/>
  <c r="K41" i="60"/>
  <c r="AA41" i="60" s="1"/>
  <c r="AB41" i="60" s="1"/>
  <c r="AH41" i="60" s="1"/>
  <c r="I41" i="60"/>
  <c r="P28" i="60"/>
  <c r="O28" i="60" s="1"/>
  <c r="K28" i="60"/>
  <c r="I28" i="60"/>
  <c r="P26" i="60"/>
  <c r="O26" i="60" s="1"/>
  <c r="K26" i="60"/>
  <c r="AA26" i="60" s="1"/>
  <c r="AB26" i="60" s="1"/>
  <c r="AH26" i="60" s="1"/>
  <c r="I26" i="60"/>
  <c r="P25" i="60"/>
  <c r="O25" i="60" s="1"/>
  <c r="K25" i="60"/>
  <c r="AA25" i="60" s="1"/>
  <c r="AB25" i="60" s="1"/>
  <c r="AH25" i="60" s="1"/>
  <c r="I25" i="60"/>
  <c r="K24" i="60"/>
  <c r="AA24" i="60" s="1"/>
  <c r="AB24" i="60" s="1"/>
  <c r="AH24" i="60" s="1"/>
  <c r="P23" i="60"/>
  <c r="O23" i="60" s="1"/>
  <c r="K23" i="60"/>
  <c r="AA23" i="60" s="1"/>
  <c r="AB23" i="60" s="1"/>
  <c r="AH23" i="60" s="1"/>
  <c r="I23" i="60"/>
  <c r="P20" i="60"/>
  <c r="O20" i="60" s="1"/>
  <c r="K20" i="60"/>
  <c r="AH18" i="57"/>
  <c r="AH17" i="57"/>
  <c r="AO17" i="57" s="1"/>
  <c r="AH16" i="57"/>
  <c r="H15" i="57"/>
  <c r="M15" i="57" s="1"/>
  <c r="H74" i="57"/>
  <c r="H73" i="57"/>
  <c r="M73" i="57" s="1"/>
  <c r="H70" i="57"/>
  <c r="H67" i="57"/>
  <c r="M67" i="57" s="1"/>
  <c r="H61" i="57"/>
  <c r="M61" i="57" s="1"/>
  <c r="H59" i="57"/>
  <c r="M59" i="57" s="1"/>
  <c r="H55" i="57"/>
  <c r="H48" i="57"/>
  <c r="H45" i="57"/>
  <c r="H44" i="57"/>
  <c r="H41" i="57"/>
  <c r="M41" i="57" s="1"/>
  <c r="H40" i="57"/>
  <c r="M40" i="57" s="1"/>
  <c r="H39" i="57"/>
  <c r="M39" i="57" s="1"/>
  <c r="H38" i="57"/>
  <c r="M38" i="57" s="1"/>
  <c r="H37" i="57"/>
  <c r="H34" i="57"/>
  <c r="M34" i="57" s="1"/>
  <c r="H31" i="57"/>
  <c r="H30" i="57"/>
  <c r="H29" i="57"/>
  <c r="H26" i="57"/>
  <c r="H23" i="57"/>
  <c r="M23" i="57" s="1"/>
  <c r="H19" i="57"/>
  <c r="M19" i="57" s="1"/>
  <c r="H18" i="57"/>
  <c r="H17" i="57"/>
  <c r="M17" i="57" s="1"/>
  <c r="H16" i="57"/>
  <c r="J74" i="57"/>
  <c r="L74" i="57" s="1"/>
  <c r="P74" i="57" s="1"/>
  <c r="J73" i="57"/>
  <c r="L73" i="57" s="1"/>
  <c r="P73" i="57" s="1"/>
  <c r="J70" i="57"/>
  <c r="L70" i="57" s="1"/>
  <c r="P70" i="57" s="1"/>
  <c r="L67" i="57"/>
  <c r="L61" i="57"/>
  <c r="P61" i="57" s="1"/>
  <c r="J59" i="57"/>
  <c r="J55" i="57"/>
  <c r="L55" i="57" s="1"/>
  <c r="P55" i="57" s="1"/>
  <c r="J48" i="57"/>
  <c r="L48" i="57" s="1"/>
  <c r="P48" i="57" s="1"/>
  <c r="J45" i="57"/>
  <c r="L45" i="57" s="1"/>
  <c r="P45" i="57" s="1"/>
  <c r="J44" i="57"/>
  <c r="L44" i="57" s="1"/>
  <c r="P44" i="57" s="1"/>
  <c r="J41" i="57"/>
  <c r="L41" i="57" s="1"/>
  <c r="P41" i="57" s="1"/>
  <c r="J40" i="57"/>
  <c r="L40" i="57" s="1"/>
  <c r="P40" i="57" s="1"/>
  <c r="J39" i="57"/>
  <c r="L39" i="57" s="1"/>
  <c r="P39" i="57" s="1"/>
  <c r="J38" i="57"/>
  <c r="L38" i="57" s="1"/>
  <c r="P38" i="57" s="1"/>
  <c r="J37" i="57"/>
  <c r="L37" i="57" s="1"/>
  <c r="P37" i="57" s="1"/>
  <c r="J34" i="57"/>
  <c r="L34" i="57" s="1"/>
  <c r="P34" i="57" s="1"/>
  <c r="J31" i="57"/>
  <c r="L31" i="57" s="1"/>
  <c r="P31" i="57" s="1"/>
  <c r="J30" i="57"/>
  <c r="L30" i="57" s="1"/>
  <c r="P30" i="57" s="1"/>
  <c r="J29" i="57"/>
  <c r="L29" i="57" s="1"/>
  <c r="P29" i="57" s="1"/>
  <c r="M29" i="57"/>
  <c r="J26" i="57"/>
  <c r="L26" i="57" s="1"/>
  <c r="P26" i="57" s="1"/>
  <c r="J23" i="57"/>
  <c r="L23" i="57" s="1"/>
  <c r="P23" i="57" s="1"/>
  <c r="J19" i="57"/>
  <c r="L19" i="57" s="1"/>
  <c r="P19" i="57" s="1"/>
  <c r="J18" i="57"/>
  <c r="L18" i="57" s="1"/>
  <c r="P18" i="57" s="1"/>
  <c r="J17" i="57"/>
  <c r="L17" i="57" s="1"/>
  <c r="P17" i="57" s="1"/>
  <c r="J16" i="57"/>
  <c r="L16" i="57" s="1"/>
  <c r="J15" i="57"/>
  <c r="Z55" i="57"/>
  <c r="Z18" i="57"/>
  <c r="Z74" i="57"/>
  <c r="AB74" i="57" s="1"/>
  <c r="Z40" i="57"/>
  <c r="Z39" i="57"/>
  <c r="Z37" i="57"/>
  <c r="Z34" i="57"/>
  <c r="Z31" i="57"/>
  <c r="Z29" i="57"/>
  <c r="Z26" i="57"/>
  <c r="Z16" i="57"/>
  <c r="Z17" i="57"/>
  <c r="Z19" i="57"/>
  <c r="Z23" i="57"/>
  <c r="Z30" i="57"/>
  <c r="Z38" i="57"/>
  <c r="Z41" i="57"/>
  <c r="Z44" i="57"/>
  <c r="Z45" i="57"/>
  <c r="Z48" i="57"/>
  <c r="Z59" i="57"/>
  <c r="Z61" i="57"/>
  <c r="Z67" i="57"/>
  <c r="Z70" i="57"/>
  <c r="Z73" i="57"/>
  <c r="AB73" i="57" s="1"/>
  <c r="BP29" i="63" l="1"/>
  <c r="DL45" i="69"/>
  <c r="CQ45" i="69"/>
  <c r="CR45" i="69" s="1"/>
  <c r="CQ38" i="69"/>
  <c r="CR38" i="69" s="1"/>
  <c r="DL38" i="69"/>
  <c r="DL37" i="69"/>
  <c r="CQ37" i="69"/>
  <c r="CR37" i="69" s="1"/>
  <c r="BM29" i="63"/>
  <c r="BD29" i="63"/>
  <c r="BH29" i="63"/>
  <c r="BI29" i="63"/>
  <c r="BE29" i="63"/>
  <c r="BQ29" i="63"/>
  <c r="BO29" i="63"/>
  <c r="BM18" i="69"/>
  <c r="CF18" i="69" s="1"/>
  <c r="CM18" i="69"/>
  <c r="DL18" i="69" s="1"/>
  <c r="BF29" i="63"/>
  <c r="BM39" i="69"/>
  <c r="CF39" i="69" s="1"/>
  <c r="CM39" i="69"/>
  <c r="BG29" i="63"/>
  <c r="BJ29" i="63"/>
  <c r="BR24" i="63"/>
  <c r="BR29" i="63" s="1"/>
  <c r="BN29" i="63"/>
  <c r="O15" i="63"/>
  <c r="AJ46" i="69"/>
  <c r="P35" i="61"/>
  <c r="O35" i="61" s="1"/>
  <c r="P21" i="61"/>
  <c r="O21" i="61" s="1"/>
  <c r="BK24" i="63"/>
  <c r="BL24" i="63" s="1"/>
  <c r="BK18" i="63"/>
  <c r="AA17" i="61"/>
  <c r="AB17" i="61" s="1"/>
  <c r="I15" i="57"/>
  <c r="K67" i="57"/>
  <c r="O67" i="57" s="1"/>
  <c r="Q67" i="57" s="1"/>
  <c r="CD15" i="65"/>
  <c r="BK29" i="65"/>
  <c r="BK30" i="65" s="1"/>
  <c r="CD15" i="66"/>
  <c r="CD30" i="66" s="1"/>
  <c r="BK30" i="66"/>
  <c r="BK31" i="66" s="1"/>
  <c r="BJ15" i="68"/>
  <c r="BK15" i="68" s="1"/>
  <c r="AB28" i="60"/>
  <c r="I74" i="57"/>
  <c r="AP29" i="65"/>
  <c r="AQ46" i="69"/>
  <c r="AR48" i="69" s="1"/>
  <c r="AP32" i="67"/>
  <c r="BK17" i="67"/>
  <c r="K16" i="57"/>
  <c r="M74" i="57"/>
  <c r="P67" i="57"/>
  <c r="I73" i="57"/>
  <c r="Q28" i="60"/>
  <c r="I59" i="57"/>
  <c r="I70" i="57"/>
  <c r="I40" i="57"/>
  <c r="K18" i="57"/>
  <c r="K55" i="57"/>
  <c r="K29" i="57"/>
  <c r="O29" i="57" s="1"/>
  <c r="Q29" i="57" s="1"/>
  <c r="I18" i="57"/>
  <c r="I29" i="57"/>
  <c r="I37" i="57"/>
  <c r="I41" i="57"/>
  <c r="I55" i="57"/>
  <c r="I23" i="57"/>
  <c r="K37" i="57"/>
  <c r="I19" i="57"/>
  <c r="I30" i="57"/>
  <c r="I44" i="57"/>
  <c r="I39" i="57"/>
  <c r="K41" i="57"/>
  <c r="AA41" i="57" s="1"/>
  <c r="AB41" i="57" s="1"/>
  <c r="AH41" i="57" s="1"/>
  <c r="AO41" i="57" s="1"/>
  <c r="AR15" i="69"/>
  <c r="AO23" i="60"/>
  <c r="AP23" i="60" s="1"/>
  <c r="BK23" i="60" s="1"/>
  <c r="BR23" i="60" s="1"/>
  <c r="AO24" i="60"/>
  <c r="AP24" i="60" s="1"/>
  <c r="BK24" i="60" s="1"/>
  <c r="BR24" i="60" s="1"/>
  <c r="AO28" i="60"/>
  <c r="AO44" i="60"/>
  <c r="AP44" i="60" s="1"/>
  <c r="BK44" i="60" s="1"/>
  <c r="BR44" i="60" s="1"/>
  <c r="AO41" i="60"/>
  <c r="AP41" i="60" s="1"/>
  <c r="BK41" i="60" s="1"/>
  <c r="BR41" i="60" s="1"/>
  <c r="AO26" i="60"/>
  <c r="AP26" i="60" s="1"/>
  <c r="BK26" i="60" s="1"/>
  <c r="AA29" i="57"/>
  <c r="AB29" i="57" s="1"/>
  <c r="AH29" i="57" s="1"/>
  <c r="AO29" i="57" s="1"/>
  <c r="AP29" i="57" s="1"/>
  <c r="BK29" i="57" s="1"/>
  <c r="CD29" i="57" s="1"/>
  <c r="P16" i="57"/>
  <c r="I26" i="57"/>
  <c r="K19" i="57"/>
  <c r="AA19" i="57" s="1"/>
  <c r="AB19" i="57" s="1"/>
  <c r="AH19" i="57" s="1"/>
  <c r="AO19" i="57" s="1"/>
  <c r="K44" i="57"/>
  <c r="K70" i="57"/>
  <c r="AO25" i="60"/>
  <c r="AP25" i="60" s="1"/>
  <c r="BK25" i="60" s="1"/>
  <c r="BR25" i="60" s="1"/>
  <c r="M55" i="57"/>
  <c r="K23" i="57"/>
  <c r="AA23" i="57" s="1"/>
  <c r="AB23" i="57" s="1"/>
  <c r="AH23" i="57" s="1"/>
  <c r="AO23" i="57" s="1"/>
  <c r="K31" i="57"/>
  <c r="K39" i="57"/>
  <c r="AA39" i="57" s="1"/>
  <c r="AB39" i="57" s="1"/>
  <c r="AH39" i="57" s="1"/>
  <c r="AO39" i="57" s="1"/>
  <c r="K45" i="57"/>
  <c r="L15" i="57"/>
  <c r="K15" i="57" s="1"/>
  <c r="AA15" i="57" s="1"/>
  <c r="AB15" i="57" s="1"/>
  <c r="AH15" i="57" s="1"/>
  <c r="AO15" i="57" s="1"/>
  <c r="K73" i="57"/>
  <c r="O73" i="57" s="1"/>
  <c r="Q73" i="57" s="1"/>
  <c r="AA20" i="60"/>
  <c r="AB20" i="60" s="1"/>
  <c r="AH20" i="60" s="1"/>
  <c r="AO20" i="60" s="1"/>
  <c r="I16" i="57"/>
  <c r="I31" i="57"/>
  <c r="I45" i="57"/>
  <c r="AO26" i="61"/>
  <c r="AO45" i="61" s="1"/>
  <c r="AH45" i="61"/>
  <c r="I17" i="57"/>
  <c r="I34" i="57"/>
  <c r="I48" i="57"/>
  <c r="K30" i="57"/>
  <c r="K38" i="57"/>
  <c r="AA38" i="57" s="1"/>
  <c r="AB38" i="57" s="1"/>
  <c r="AH38" i="57" s="1"/>
  <c r="AO38" i="57" s="1"/>
  <c r="M70" i="57"/>
  <c r="I38" i="57"/>
  <c r="K17" i="57"/>
  <c r="O17" i="57" s="1"/>
  <c r="K26" i="57"/>
  <c r="K34" i="57"/>
  <c r="AA34" i="57" s="1"/>
  <c r="AB34" i="57" s="1"/>
  <c r="AH34" i="57" s="1"/>
  <c r="AO34" i="57" s="1"/>
  <c r="K40" i="57"/>
  <c r="AA40" i="57" s="1"/>
  <c r="AB40" i="57" s="1"/>
  <c r="AH40" i="57" s="1"/>
  <c r="AO40" i="57" s="1"/>
  <c r="K48" i="57"/>
  <c r="K61" i="57"/>
  <c r="K74" i="57"/>
  <c r="AA18" i="66"/>
  <c r="AB18" i="66" s="1"/>
  <c r="AB15" i="64"/>
  <c r="AB47" i="62"/>
  <c r="AB18" i="62"/>
  <c r="K29" i="61"/>
  <c r="P29" i="61"/>
  <c r="O29" i="61" s="1"/>
  <c r="K32" i="61"/>
  <c r="AB32" i="61" s="1"/>
  <c r="O32" i="61"/>
  <c r="M48" i="57"/>
  <c r="M45" i="57"/>
  <c r="M44" i="57"/>
  <c r="M37" i="57"/>
  <c r="M31" i="57"/>
  <c r="M30" i="57"/>
  <c r="M26" i="57"/>
  <c r="M18" i="57"/>
  <c r="M16" i="57"/>
  <c r="L59" i="57"/>
  <c r="CQ39" i="69" l="1"/>
  <c r="CR39" i="69" s="1"/>
  <c r="DL39" i="69"/>
  <c r="BS24" i="63"/>
  <c r="CR24" i="63" s="1"/>
  <c r="BW24" i="63"/>
  <c r="BX24" i="63" s="1"/>
  <c r="AR46" i="69"/>
  <c r="CM47" i="69" s="1"/>
  <c r="CM15" i="69"/>
  <c r="DL15" i="69" s="1"/>
  <c r="BL18" i="63"/>
  <c r="BW18" i="63" s="1"/>
  <c r="BX18" i="63" s="1"/>
  <c r="BK29" i="63"/>
  <c r="BL31" i="63" s="1"/>
  <c r="CD29" i="65"/>
  <c r="AA67" i="57"/>
  <c r="AB67" i="57" s="1"/>
  <c r="AH67" i="57" s="1"/>
  <c r="AO67" i="57" s="1"/>
  <c r="AP67" i="57" s="1"/>
  <c r="CD67" i="57" s="1"/>
  <c r="O38" i="57"/>
  <c r="Q38" i="57" s="1"/>
  <c r="BR26" i="60"/>
  <c r="BK32" i="67"/>
  <c r="BK33" i="67" s="1"/>
  <c r="CD17" i="67"/>
  <c r="CD32" i="67" s="1"/>
  <c r="O44" i="57"/>
  <c r="Q44" i="57" s="1"/>
  <c r="O41" i="57"/>
  <c r="Q41" i="57" s="1"/>
  <c r="AA48" i="57"/>
  <c r="AB48" i="57" s="1"/>
  <c r="AH48" i="57" s="1"/>
  <c r="O70" i="57"/>
  <c r="Q70" i="57" s="1"/>
  <c r="BM15" i="69"/>
  <c r="O74" i="57"/>
  <c r="Q74" i="57" s="1"/>
  <c r="AO64" i="60"/>
  <c r="AP28" i="60"/>
  <c r="BK28" i="60" s="1"/>
  <c r="BR28" i="60" s="1"/>
  <c r="AH64" i="60"/>
  <c r="O30" i="57"/>
  <c r="Q30" i="57" s="1"/>
  <c r="P15" i="57"/>
  <c r="O15" i="57" s="1"/>
  <c r="O16" i="57"/>
  <c r="AA55" i="57"/>
  <c r="AB55" i="57" s="1"/>
  <c r="O18" i="57"/>
  <c r="O37" i="57"/>
  <c r="Q37" i="57" s="1"/>
  <c r="O61" i="57"/>
  <c r="Q61" i="57" s="1"/>
  <c r="AA61" i="57"/>
  <c r="O55" i="57"/>
  <c r="Q55" i="57" s="1"/>
  <c r="O34" i="57"/>
  <c r="Q34" i="57" s="1"/>
  <c r="O23" i="57"/>
  <c r="Q23" i="57" s="1"/>
  <c r="AB61" i="57"/>
  <c r="AO61" i="57" s="1"/>
  <c r="AP61" i="57" s="1"/>
  <c r="BK61" i="57" s="1"/>
  <c r="CD61" i="57" s="1"/>
  <c r="AP26" i="61"/>
  <c r="AP15" i="57"/>
  <c r="BK15" i="57" s="1"/>
  <c r="CD15" i="57" s="1"/>
  <c r="AP20" i="60"/>
  <c r="BK20" i="60" s="1"/>
  <c r="BR20" i="60" s="1"/>
  <c r="AA31" i="57"/>
  <c r="AB31" i="57" s="1"/>
  <c r="AH31" i="57" s="1"/>
  <c r="AO31" i="57" s="1"/>
  <c r="AP31" i="57" s="1"/>
  <c r="BK31" i="57" s="1"/>
  <c r="CD31" i="57" s="1"/>
  <c r="AA45" i="57"/>
  <c r="AB45" i="57" s="1"/>
  <c r="AH45" i="57" s="1"/>
  <c r="AO45" i="57" s="1"/>
  <c r="AP45" i="57" s="1"/>
  <c r="BK45" i="57" s="1"/>
  <c r="CD45" i="57" s="1"/>
  <c r="AO56" i="57"/>
  <c r="AP56" i="57" s="1"/>
  <c r="BK56" i="57" s="1"/>
  <c r="CD56" i="57" s="1"/>
  <c r="O26" i="57"/>
  <c r="Q26" i="57" s="1"/>
  <c r="AA26" i="57"/>
  <c r="AB26" i="57" s="1"/>
  <c r="AH26" i="57" s="1"/>
  <c r="AO26" i="57" s="1"/>
  <c r="AP26" i="57" s="1"/>
  <c r="BK26" i="57" s="1"/>
  <c r="CD26" i="57" s="1"/>
  <c r="O31" i="57"/>
  <c r="Q31" i="57" s="1"/>
  <c r="O40" i="57"/>
  <c r="Q40" i="57" s="1"/>
  <c r="AO55" i="57"/>
  <c r="AP55" i="57" s="1"/>
  <c r="BK55" i="57" s="1"/>
  <c r="CD55" i="57" s="1"/>
  <c r="O19" i="57"/>
  <c r="O39" i="57"/>
  <c r="Q39" i="57" s="1"/>
  <c r="P59" i="57"/>
  <c r="K59" i="57"/>
  <c r="AA30" i="57"/>
  <c r="AB30" i="57" s="1"/>
  <c r="AH30" i="57" s="1"/>
  <c r="AO30" i="57" s="1"/>
  <c r="AP30" i="57" s="1"/>
  <c r="BK30" i="57" s="1"/>
  <c r="CD30" i="57" s="1"/>
  <c r="AA44" i="57"/>
  <c r="AB44" i="57" s="1"/>
  <c r="AH44" i="57" s="1"/>
  <c r="AO44" i="57" s="1"/>
  <c r="AP44" i="57" s="1"/>
  <c r="BK44" i="57" s="1"/>
  <c r="CD44" i="57" s="1"/>
  <c r="AA70" i="57"/>
  <c r="AB70" i="57" s="1"/>
  <c r="AH70" i="57" s="1"/>
  <c r="AO70" i="57" s="1"/>
  <c r="AP70" i="57" s="1"/>
  <c r="BK70" i="57" s="1"/>
  <c r="CD70" i="57" s="1"/>
  <c r="AA37" i="57"/>
  <c r="AB37" i="57" s="1"/>
  <c r="AH37" i="57" s="1"/>
  <c r="O48" i="57"/>
  <c r="Q48" i="57" s="1"/>
  <c r="O45" i="57"/>
  <c r="Q45" i="57" s="1"/>
  <c r="AP38" i="57"/>
  <c r="BK38" i="57" s="1"/>
  <c r="CD38" i="57" s="1"/>
  <c r="AP74" i="57"/>
  <c r="BK74" i="57" s="1"/>
  <c r="CD74" i="57" s="1"/>
  <c r="AP40" i="57"/>
  <c r="BK40" i="57" s="1"/>
  <c r="CD40" i="57" s="1"/>
  <c r="AP73" i="57"/>
  <c r="BK73" i="57" s="1"/>
  <c r="CD73" i="57" s="1"/>
  <c r="AP41" i="57"/>
  <c r="BK41" i="57" s="1"/>
  <c r="CD41" i="57" s="1"/>
  <c r="AP39" i="57"/>
  <c r="BK39" i="57" s="1"/>
  <c r="CD39" i="57" s="1"/>
  <c r="AP34" i="57"/>
  <c r="BK34" i="57" s="1"/>
  <c r="CD34" i="57" s="1"/>
  <c r="AP23" i="57"/>
  <c r="BK23" i="57" s="1"/>
  <c r="CD23" i="57" s="1"/>
  <c r="AP19" i="57"/>
  <c r="BK19" i="57" s="1"/>
  <c r="CD19" i="57" s="1"/>
  <c r="AO18" i="57"/>
  <c r="AO16" i="57"/>
  <c r="BX29" i="63" l="1"/>
  <c r="DL46" i="69"/>
  <c r="BW29" i="63"/>
  <c r="BL29" i="63"/>
  <c r="BS30" i="63" s="1"/>
  <c r="BS18" i="63"/>
  <c r="CF15" i="69"/>
  <c r="BM46" i="69"/>
  <c r="BM47" i="69" s="1"/>
  <c r="BR65" i="60"/>
  <c r="BK26" i="61"/>
  <c r="AP45" i="61"/>
  <c r="AP64" i="60"/>
  <c r="AO37" i="57"/>
  <c r="AP37" i="57" s="1"/>
  <c r="BK37" i="57" s="1"/>
  <c r="CD37" i="57" s="1"/>
  <c r="AO48" i="57"/>
  <c r="AP48" i="57" s="1"/>
  <c r="BK48" i="57" s="1"/>
  <c r="CD48" i="57" s="1"/>
  <c r="AA59" i="57"/>
  <c r="AB59" i="57" s="1"/>
  <c r="AH59" i="57" s="1"/>
  <c r="AO59" i="57" s="1"/>
  <c r="AP59" i="57" s="1"/>
  <c r="BK59" i="57" s="1"/>
  <c r="O59" i="57"/>
  <c r="Q59" i="57" s="1"/>
  <c r="BS29" i="63" l="1"/>
  <c r="CR30" i="63" s="1"/>
  <c r="CR18" i="63"/>
  <c r="CR29" i="63" s="1"/>
  <c r="CF46" i="69"/>
  <c r="CM46" i="69"/>
  <c r="DL47" i="69" s="1"/>
  <c r="CD26" i="61"/>
  <c r="CD45" i="61" s="1"/>
  <c r="BK45" i="61"/>
  <c r="BK46" i="61" s="1"/>
  <c r="BK75" i="57"/>
  <c r="CD59" i="57"/>
  <c r="CD75" i="57" s="1"/>
  <c r="BK65" i="60"/>
  <c r="AP75" i="57"/>
  <c r="AO75" i="57"/>
  <c r="AH75" i="57"/>
  <c r="CR15" i="69" l="1"/>
  <c r="CG51" i="77"/>
  <c r="BN52" i="77" s="1"/>
  <c r="CM16" i="77" l="1"/>
  <c r="CM51" i="77" s="1"/>
  <c r="CH51" i="77"/>
  <c r="CV53" i="77" s="1"/>
  <c r="CL15" i="89" l="1"/>
  <c r="CM15" i="89" s="1"/>
  <c r="BR30" i="80" l="1"/>
  <c r="BQ30" i="80"/>
  <c r="CZ30" i="80" l="1"/>
  <c r="DZ19" i="70"/>
  <c r="DZ30" i="70" s="1"/>
  <c r="DZ17" i="74"/>
  <c r="DZ23" i="74"/>
  <c r="DZ29" i="74"/>
  <c r="DZ18" i="74"/>
  <c r="DZ20" i="74"/>
  <c r="DZ26" i="74"/>
  <c r="DZ32" i="74"/>
  <c r="EJ15" i="94"/>
  <c r="DZ16" i="74"/>
  <c r="DZ33" i="74"/>
  <c r="DY16" i="74"/>
  <c r="DY33" i="74"/>
  <c r="DZ34" i="74"/>
</calcChain>
</file>

<file path=xl/comments1.xml><?xml version="1.0" encoding="utf-8"?>
<comments xmlns="http://schemas.openxmlformats.org/spreadsheetml/2006/main">
  <authors>
    <author>SERVIDOR</author>
  </authors>
  <commentList>
    <comment ref="V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V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I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DD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10.xml><?xml version="1.0" encoding="utf-8"?>
<comments xmlns="http://schemas.openxmlformats.org/spreadsheetml/2006/main">
  <authors>
    <author>SERVIDOR</author>
  </authors>
  <commentList>
    <comment ref="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Q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W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DR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11.xml><?xml version="1.0" encoding="utf-8"?>
<comments xmlns="http://schemas.openxmlformats.org/spreadsheetml/2006/main">
  <authors>
    <author>SERVIDOR</author>
  </authors>
  <commentList>
    <comment ref="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12.xml><?xml version="1.0" encoding="utf-8"?>
<comments xmlns="http://schemas.openxmlformats.org/spreadsheetml/2006/main">
  <authors>
    <author>SERVIDOR</author>
  </authors>
  <commentList>
    <comment ref="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Y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T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13.xml><?xml version="1.0" encoding="utf-8"?>
<comments xmlns="http://schemas.openxmlformats.org/spreadsheetml/2006/main">
  <authors>
    <author>SERVIDOR</author>
  </authors>
  <commentList>
    <comment ref="Z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Z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S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N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14.xml><?xml version="1.0" encoding="utf-8"?>
<comments xmlns="http://schemas.openxmlformats.org/spreadsheetml/2006/main">
  <authors>
    <author>SERVIDOR</author>
  </authors>
  <commentList>
    <comment ref="Z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Z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S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G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DB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15.xml><?xml version="1.0" encoding="utf-8"?>
<comments xmlns="http://schemas.openxmlformats.org/spreadsheetml/2006/main">
  <authors>
    <author>SERVIDOR</author>
  </authors>
  <commentList>
    <comment ref="Y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Y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R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F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DA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16.xml><?xml version="1.0" encoding="utf-8"?>
<comments xmlns="http://schemas.openxmlformats.org/spreadsheetml/2006/main">
  <authors>
    <author>SERVIDOR</author>
  </authors>
  <commentList>
    <comment ref="Z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Z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S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G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DB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17.xml><?xml version="1.0" encoding="utf-8"?>
<comments xmlns="http://schemas.openxmlformats.org/spreadsheetml/2006/main">
  <authors>
    <author>SERVIDOR</author>
  </authors>
  <commentList>
    <comment ref="AA10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A10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V10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Q10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18.xml><?xml version="1.0" encoding="utf-8"?>
<comments xmlns="http://schemas.openxmlformats.org/spreadsheetml/2006/main">
  <authors>
    <author>SERVIDOR</author>
  </authors>
  <commentList>
    <comment ref="AA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A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U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I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DD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19.xml><?xml version="1.0" encoding="utf-8"?>
<comments xmlns="http://schemas.openxmlformats.org/spreadsheetml/2006/main">
  <authors>
    <author>SERVIDOR</author>
  </authors>
  <commentList>
    <comment ref="AA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V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O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C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2.xml><?xml version="1.0" encoding="utf-8"?>
<comments xmlns="http://schemas.openxmlformats.org/spreadsheetml/2006/main">
  <authors>
    <author>SERVIDOR</author>
  </authors>
  <commentList>
    <comment ref="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K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DF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20.xml><?xml version="1.0" encoding="utf-8"?>
<comments xmlns="http://schemas.openxmlformats.org/spreadsheetml/2006/main">
  <authors>
    <author>SERVIDOR</author>
  </authors>
  <commentList>
    <comment ref="AA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V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O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J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21.xml><?xml version="1.0" encoding="utf-8"?>
<comments xmlns="http://schemas.openxmlformats.org/spreadsheetml/2006/main">
  <authors>
    <author>SERVIDOR</author>
  </authors>
  <commentList>
    <comment ref="AA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A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U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DA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22.xml><?xml version="1.0" encoding="utf-8"?>
<comments xmlns="http://schemas.openxmlformats.org/spreadsheetml/2006/main">
  <authors>
    <author>SERVIDOR</author>
  </authors>
  <commentList>
    <comment ref="AA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A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W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R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23.xml><?xml version="1.0" encoding="utf-8"?>
<comments xmlns="http://schemas.openxmlformats.org/spreadsheetml/2006/main">
  <authors>
    <author>SERVIDOR</author>
  </authors>
  <commentList>
    <comment ref="AA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A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T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Z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DU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24.xml><?xml version="1.0" encoding="utf-8"?>
<comments xmlns="http://schemas.openxmlformats.org/spreadsheetml/2006/main">
  <authors>
    <author>SERVIDOR</author>
  </authors>
  <commentList>
    <comment ref="AA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A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V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R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25.xml><?xml version="1.0" encoding="utf-8"?>
<comments xmlns="http://schemas.openxmlformats.org/spreadsheetml/2006/main">
  <authors>
    <author>SERVIDOR</author>
  </authors>
  <commentList>
    <comment ref="AA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A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V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Q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26.xml><?xml version="1.0" encoding="utf-8"?>
<comments xmlns="http://schemas.openxmlformats.org/spreadsheetml/2006/main">
  <authors>
    <author>SERVIDOR</author>
  </authors>
  <commentList>
    <comment ref="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S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N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27.xml><?xml version="1.0" encoding="utf-8"?>
<comments xmlns="http://schemas.openxmlformats.org/spreadsheetml/2006/main">
  <authors>
    <author>SERVIDOR</author>
  </authors>
  <commentList>
    <comment ref="AA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A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T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O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28.xml><?xml version="1.0" encoding="utf-8"?>
<comments xmlns="http://schemas.openxmlformats.org/spreadsheetml/2006/main">
  <authors>
    <author>SERVIDOR</author>
  </authors>
  <commentList>
    <comment ref="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S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N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29.xml><?xml version="1.0" encoding="utf-8"?>
<comments xmlns="http://schemas.openxmlformats.org/spreadsheetml/2006/main">
  <authors>
    <author>SERVIDOR</author>
  </authors>
  <commentList>
    <comment ref="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S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N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3.xml><?xml version="1.0" encoding="utf-8"?>
<comments xmlns="http://schemas.openxmlformats.org/spreadsheetml/2006/main">
  <authors>
    <author>SERVIDOR</author>
  </authors>
  <commentList>
    <comment ref="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Q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W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DR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30.xml><?xml version="1.0" encoding="utf-8"?>
<comments xmlns="http://schemas.openxmlformats.org/spreadsheetml/2006/main">
  <authors>
    <author>SERVIDOR</author>
  </authors>
  <commentList>
    <comment ref="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S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N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31.xml><?xml version="1.0" encoding="utf-8"?>
<comments xmlns="http://schemas.openxmlformats.org/spreadsheetml/2006/main">
  <authors>
    <author>SERVIDOR</author>
  </authors>
  <commentList>
    <comment ref="Z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Z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U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P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32.xml><?xml version="1.0" encoding="utf-8"?>
<comments xmlns="http://schemas.openxmlformats.org/spreadsheetml/2006/main">
  <authors>
    <author>SERVIDOR</author>
  </authors>
  <commentList>
    <comment ref="Z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Z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U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P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33.xml><?xml version="1.0" encoding="utf-8"?>
<comments xmlns="http://schemas.openxmlformats.org/spreadsheetml/2006/main">
  <authors>
    <author>SERVIDOR</author>
  </authors>
  <commentList>
    <comment ref="CO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DL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EG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34.xml><?xml version="1.0" encoding="utf-8"?>
<comments xmlns="http://schemas.openxmlformats.org/spreadsheetml/2006/main">
  <authors>
    <author>SERVIDOR</author>
  </authors>
  <commentList>
    <comment ref="Y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W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P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K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DG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35.xml><?xml version="1.0" encoding="utf-8"?>
<comments xmlns="http://schemas.openxmlformats.org/spreadsheetml/2006/main">
  <authors>
    <author>SERVIDOR</author>
  </authors>
  <commentList>
    <comment ref="V2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36.xml><?xml version="1.0" encoding="utf-8"?>
<comments xmlns="http://schemas.openxmlformats.org/spreadsheetml/2006/main">
  <authors>
    <author>SERVIDOR</author>
  </authors>
  <commentList>
    <comment ref="Z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Z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U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P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37.xml><?xml version="1.0" encoding="utf-8"?>
<comments xmlns="http://schemas.openxmlformats.org/spreadsheetml/2006/main">
  <authors>
    <author>SERVIDOR</author>
  </authors>
  <commentList>
    <comment ref="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Q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N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DQ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4.xml><?xml version="1.0" encoding="utf-8"?>
<comments xmlns="http://schemas.openxmlformats.org/spreadsheetml/2006/main">
  <authors>
    <author>SERVIDOR</author>
  </authors>
  <commentList>
    <comment ref="AA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A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T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DE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EF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FA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5.xml><?xml version="1.0" encoding="utf-8"?>
<comments xmlns="http://schemas.openxmlformats.org/spreadsheetml/2006/main">
  <authors>
    <author>SERVIDOR</author>
  </authors>
  <commentList>
    <comment ref="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Q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W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DR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6.xml><?xml version="1.0" encoding="utf-8"?>
<comments xmlns="http://schemas.openxmlformats.org/spreadsheetml/2006/main">
  <authors>
    <author>SERVIDOR</author>
  </authors>
  <commentList>
    <comment ref="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Q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Y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DZ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EU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7.xml><?xml version="1.0" encoding="utf-8"?>
<comments xmlns="http://schemas.openxmlformats.org/spreadsheetml/2006/main">
  <authors>
    <author>SERVIDOR</author>
  </authors>
  <commentList>
    <comment ref="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8.xml><?xml version="1.0" encoding="utf-8"?>
<comments xmlns="http://schemas.openxmlformats.org/spreadsheetml/2006/main">
  <authors>
    <author>SERVIDOR</author>
  </authors>
  <commentList>
    <comment ref="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Q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W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EG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comments9.xml><?xml version="1.0" encoding="utf-8"?>
<comments xmlns="http://schemas.openxmlformats.org/spreadsheetml/2006/main">
  <authors>
    <author>SERVIDOR</author>
  </authors>
  <commentList>
    <comment ref="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AX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BQ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CW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  <comment ref="DV11" authorId="0">
      <text>
        <r>
          <rPr>
            <sz val="9"/>
            <color indexed="81"/>
            <rFont val="Tahoma"/>
            <family val="2"/>
          </rPr>
          <t xml:space="preserve">de
</t>
        </r>
      </text>
    </comment>
  </commentList>
</comments>
</file>

<file path=xl/sharedStrings.xml><?xml version="1.0" encoding="utf-8"?>
<sst xmlns="http://schemas.openxmlformats.org/spreadsheetml/2006/main" count="8121" uniqueCount="1277">
  <si>
    <t>DESCRIPCION DEL BIEN</t>
  </si>
  <si>
    <t>IMPORTE</t>
  </si>
  <si>
    <t>SALDO POR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</si>
  <si>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</si>
  <si>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</si>
  <si>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</si>
  <si>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</si>
  <si>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</si>
  <si>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</si>
  <si>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</si>
  <si>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</si>
  <si>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</si>
  <si>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</si>
  <si>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</si>
  <si>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</si>
  <si>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 N P C</t>
  </si>
  <si>
    <t>FACTOR</t>
  </si>
  <si>
    <t>DEP. ANUAL</t>
  </si>
  <si>
    <t>ADQ.</t>
  </si>
  <si>
    <t>DEDUCIR</t>
  </si>
  <si>
    <t>1ra. MITAD</t>
  </si>
  <si>
    <t>MES  ADQ.</t>
  </si>
  <si>
    <t>DE  ACT.</t>
  </si>
  <si>
    <t>ACTUALIZ.</t>
  </si>
  <si>
    <t>EQUIPO DE COMPUTO</t>
  </si>
  <si>
    <t>CAMARAS FOTOGRAFICAS</t>
  </si>
  <si>
    <t>TELEFONO, CELULAR</t>
  </si>
  <si>
    <t>MUNICIPIO DE PIHUAMO, JALISCO</t>
  </si>
  <si>
    <t>TELEFONO NORTEL NETWORKS</t>
  </si>
  <si>
    <t>CONJUNTO GRECIA</t>
  </si>
  <si>
    <t>ESCRITORIO NEGRO/CEREZO</t>
  </si>
  <si>
    <t xml:space="preserve">MESA DE MADERA </t>
  </si>
  <si>
    <t>MESA METALICA</t>
  </si>
  <si>
    <t>SILLA SECRETARIAL GRIS/NEGRO</t>
  </si>
  <si>
    <t>ESCRITORIO DE MADERA</t>
  </si>
  <si>
    <t>ARCHIVERO 4 GAVETAS METALICO</t>
  </si>
  <si>
    <t xml:space="preserve">MAQUINA DE ESCRIBIR BLANCA OLYMPIA </t>
  </si>
  <si>
    <t>NO BREAK NEGRO CDP</t>
  </si>
  <si>
    <t>MONITOR NEGRO DELL</t>
  </si>
  <si>
    <t>CAMARA DIGITAL NEGRO FUJIMILM</t>
  </si>
  <si>
    <t>TELEFONO NEGRO NORTEL NETWORKS</t>
  </si>
  <si>
    <t xml:space="preserve">ARCHIVERO METÁLICO 4 GAVETAS </t>
  </si>
  <si>
    <t>ARCHIVERO METÁLICO 2 GAVETAS GRIS</t>
  </si>
  <si>
    <t>ANAQUEL METÁLICO 6 ESTANTES 2,60 X2,10X0,30 NEGRO</t>
  </si>
  <si>
    <t>ANAQUEL METÁLICO 3 ESTANTES Y 4 PATAS 0,90X0,65X0,30</t>
  </si>
  <si>
    <t>MESA METÁLICA DE 0,60X2,20X0,75</t>
  </si>
  <si>
    <t>SUMADORA GRIS ROYAL</t>
  </si>
  <si>
    <t>VENTILADOR GRIS/BLANCO CYCLONE</t>
  </si>
  <si>
    <t>ESCALERA ALUMINIO 3 NIVELES 0,66 M, DE ALT.</t>
  </si>
  <si>
    <t>2 SILLAS GIRATORIAS FORRADAS DE TELA NEGRA</t>
  </si>
  <si>
    <t xml:space="preserve">ESCRITORIO GRIS </t>
  </si>
  <si>
    <t>MONITOR Y CPU NEGRO GHIA</t>
  </si>
  <si>
    <t>TELEFONO NEGRO NORSTAR</t>
  </si>
  <si>
    <t>CPU NEGRO LG</t>
  </si>
  <si>
    <t>CPU NEGRO/GRIS COMPAQ</t>
  </si>
  <si>
    <t>PORCENTAJE</t>
  </si>
  <si>
    <t>FECHA DE ADQUISICIÓN</t>
  </si>
  <si>
    <t>CUENTA CONTABLE</t>
  </si>
  <si>
    <t>1241-113-101-018-01</t>
  </si>
  <si>
    <t>1250-ACTIVOS INTANGIBLES</t>
  </si>
  <si>
    <t>1254-LICENCIAS</t>
  </si>
  <si>
    <t>1254-101-101-018-01</t>
  </si>
  <si>
    <t>DEP. AL 31 DE DIC. 2013</t>
  </si>
  <si>
    <t>VALOR ACTUAL</t>
  </si>
  <si>
    <t>DEL BIEN</t>
  </si>
  <si>
    <t>1241-MOBILIARIO Y EQUIPO DE ADMINISTRACIÓN</t>
  </si>
  <si>
    <t>1241-101 EQUIPO DE COMPUTO</t>
  </si>
  <si>
    <t>1241-101-101-018-01</t>
  </si>
  <si>
    <t>1241-105-101-018-01</t>
  </si>
  <si>
    <t>1242-101-CAMARAS FOTOGRAFICAS</t>
  </si>
  <si>
    <t xml:space="preserve">1242-MOBILIARIO Y EQUIPO EDUCACIONAL </t>
  </si>
  <si>
    <t>1241-MOBILIARIO Y EQUIPO DE ADMINISTRACIÓN/OTROS</t>
  </si>
  <si>
    <t>1241-106-101-018-01</t>
  </si>
  <si>
    <t>1241-107-101-018-05</t>
  </si>
  <si>
    <t>1241-107-101-018-01</t>
  </si>
  <si>
    <t>1241-107-101-018-06</t>
  </si>
  <si>
    <t>1241-105-TELEFONO, CELULAR</t>
  </si>
  <si>
    <t>1241-106-PORTAPAPELES</t>
  </si>
  <si>
    <t>1241-115-IMPRESORAS</t>
  </si>
  <si>
    <t>VIDA ÚTIL</t>
  </si>
  <si>
    <t>EN MESES</t>
  </si>
  <si>
    <t>1241-108-SUMADORA</t>
  </si>
  <si>
    <t>1241-103-ESCRITORIO</t>
  </si>
  <si>
    <t>1241-107-SILLA SECRETARIAL</t>
  </si>
  <si>
    <t>ARCHIVEROS</t>
  </si>
  <si>
    <t>VENTILADORES</t>
  </si>
  <si>
    <t>SUMADORAS</t>
  </si>
  <si>
    <t>SILLAS SECRETARIALES</t>
  </si>
  <si>
    <t>IMPRESORAS</t>
  </si>
  <si>
    <t>ESCRITORIOS</t>
  </si>
  <si>
    <t>1241-115-101-018-01</t>
  </si>
  <si>
    <t>1241-108-101-018-06</t>
  </si>
  <si>
    <t>1241-116-CAJA FUERTE</t>
  </si>
  <si>
    <t>CAJA FUERTE</t>
  </si>
  <si>
    <t>1241-116-101-018-06</t>
  </si>
  <si>
    <t>1241-108-101-018-04</t>
  </si>
  <si>
    <t>SCANNERS</t>
  </si>
  <si>
    <t>1241-110-ARCHIVEROS</t>
  </si>
  <si>
    <t>1241-112-SCANNERS</t>
  </si>
  <si>
    <t>1241-107-101-018-04</t>
  </si>
  <si>
    <t>1241-115-101-018-05</t>
  </si>
  <si>
    <t>1241-113-101-018-05</t>
  </si>
  <si>
    <t>1241-106-101-018-05</t>
  </si>
  <si>
    <t>1241-112-101-018-01</t>
  </si>
  <si>
    <t>LICENCIAS</t>
  </si>
  <si>
    <t>1241-113-ELECTRODOMÉSTICOS/VENTILADORES</t>
  </si>
  <si>
    <t>1241-103-101-002-01</t>
  </si>
  <si>
    <t>1241-105-101-002-01</t>
  </si>
  <si>
    <t>1241-107-101-002-01</t>
  </si>
  <si>
    <t>1241-107-SILLAS SECRETARIALES</t>
  </si>
  <si>
    <t>1241-113-ELECTRODOMÉSTICOS</t>
  </si>
  <si>
    <t>1241-113-101-002-01</t>
  </si>
  <si>
    <t>1241-103-101-003-01</t>
  </si>
  <si>
    <t>1241-109-101-003-01</t>
  </si>
  <si>
    <t>1241-107-101-003-01</t>
  </si>
  <si>
    <t>1241-110-101-003-01</t>
  </si>
  <si>
    <t>1241-109-BASES METÁLICAS</t>
  </si>
  <si>
    <t>1241-101-101-005-01</t>
  </si>
  <si>
    <t>1241-103-101-005-01</t>
  </si>
  <si>
    <t>1241-105-101-005-01</t>
  </si>
  <si>
    <t>1241-106-101-005-01</t>
  </si>
  <si>
    <t>1241-107-101-005-01</t>
  </si>
  <si>
    <t>1241-110-101-005-01</t>
  </si>
  <si>
    <t>1241-113-101-005-01</t>
  </si>
  <si>
    <t>1241-106-ANAQUELES, REPISAS, LIBREROS</t>
  </si>
  <si>
    <t>ANAQUEL/REPISA</t>
  </si>
  <si>
    <t>1246-MAQUINARIA, OTROS EQUIPOS Y HERRAMIENTAS</t>
  </si>
  <si>
    <t>1246-003-101-005-01</t>
  </si>
  <si>
    <t>1241-103-101-006-01</t>
  </si>
  <si>
    <t>1241-110-101-008-01</t>
  </si>
  <si>
    <t>1241-117-MÁQUINA DE ESCRIBIR</t>
  </si>
  <si>
    <t>MÁQUINA DE ESCRIBIR</t>
  </si>
  <si>
    <t>1241-103-101-008-01</t>
  </si>
  <si>
    <t>1241-101-101-012-01</t>
  </si>
  <si>
    <t>MOUSE NEGRO GENIUS</t>
  </si>
  <si>
    <t>1241-107-101-012-01</t>
  </si>
  <si>
    <t>1241-115-101-012-01</t>
  </si>
  <si>
    <t>IMPRESORA BLANCO/GRIS</t>
  </si>
  <si>
    <t>1241-102-101-012-01</t>
  </si>
  <si>
    <t>1241-103-101-024-01</t>
  </si>
  <si>
    <t>1241-106-101-024-01</t>
  </si>
  <si>
    <t>1241-107-101-024-01</t>
  </si>
  <si>
    <t>1241-108-101-024-01</t>
  </si>
  <si>
    <t>1241-110-101-024-01</t>
  </si>
  <si>
    <t>1241-113-101-024-01</t>
  </si>
  <si>
    <t>ESCALERAS</t>
  </si>
  <si>
    <t>1293-MOBILIARIO Y EQUIPO DE ADMINISTRACIÓN/COMODATO</t>
  </si>
  <si>
    <t>1293-001 EQUIPO DE COMPUTO/COMODATO</t>
  </si>
  <si>
    <t>1293-015-IMPRESORA/COMODATO</t>
  </si>
  <si>
    <t>1293-015-002-024-01</t>
  </si>
  <si>
    <t>IMPRESORA</t>
  </si>
  <si>
    <t>1241-101-101-026-01</t>
  </si>
  <si>
    <t>1241-113-101-026-01</t>
  </si>
  <si>
    <t>1242-101-DVD</t>
  </si>
  <si>
    <t>DVD</t>
  </si>
  <si>
    <t>1241-101-101-045-01</t>
  </si>
  <si>
    <t>1241-105-101-045-01</t>
  </si>
  <si>
    <t>PIZARRÓN DE PARED CAFÉ/PLATA</t>
  </si>
  <si>
    <t>1293-MOBILIARIO Y EQUIPO DE ADMINISTRACIÓN</t>
  </si>
  <si>
    <t>PIZARRÓN</t>
  </si>
  <si>
    <t>1293-003-ESCRITORIO</t>
  </si>
  <si>
    <t>1293-003-101-045-01</t>
  </si>
  <si>
    <t>1241-103-ESCRITORIO/MUEBLE PARA CÓMPUTO</t>
  </si>
  <si>
    <t>ESCRITORIOS/MUEBLE CÓMPUTO</t>
  </si>
  <si>
    <t>ESCRITORIO HERMIMAN-LUXE CEREZO</t>
  </si>
  <si>
    <t>SILLA TUBULAR TAPIZADA EN TELA</t>
  </si>
  <si>
    <t>ARCHIVERO METALICO 4 GAVETAS</t>
  </si>
  <si>
    <t>VENTILADOR DE PISO LASKO BLANCO</t>
  </si>
  <si>
    <t>1293-EQUIPO DE CÓMPUTO/COMODATO</t>
  </si>
  <si>
    <t>1293-001-001-034-01</t>
  </si>
  <si>
    <t>PC LENOVO NEGRA</t>
  </si>
  <si>
    <t>1293-MOBILIARIO Y EQUIPO EDUCACIONAL/COMODATO</t>
  </si>
  <si>
    <t>1293-002-CÁMARAS FOTOGRÁFICAS/COMODATO</t>
  </si>
  <si>
    <t>1293-001-002-034-01</t>
  </si>
  <si>
    <t>CÁMARA FOTOGRÁFICA SONY NEGRA</t>
  </si>
  <si>
    <t>1293-003-002-034-01</t>
  </si>
  <si>
    <t>1293-001-003-034-01</t>
  </si>
  <si>
    <t>1293-MOBILIARIO Y EQUIPO EDUCACIONAL Y RECREATIVO/COMODATO</t>
  </si>
  <si>
    <t>1293-003-ESCRITORIO/COMODATO</t>
  </si>
  <si>
    <t>1293-006-001-034-01</t>
  </si>
  <si>
    <t>ANAQUEL GRIS CEA</t>
  </si>
  <si>
    <t>1293-MOBILIARIO Y EQUIPO DE ADMINISTRACIÓN/OTROS/COMODATO</t>
  </si>
  <si>
    <t>1293-006-ANAQUELES, REPISAS, LIBREROS/COMODATO</t>
  </si>
  <si>
    <t>1241-107-SILLA SECRETARIAL/COMODATO</t>
  </si>
  <si>
    <t>SILLA SECRETARIAL CEA NEGRO</t>
  </si>
  <si>
    <t>1293-007-001-034-01</t>
  </si>
  <si>
    <t>1293-010-ARCHIVEROS/COMODATO</t>
  </si>
  <si>
    <t>1293-010-001-034-01</t>
  </si>
  <si>
    <t>ARCHIVERO METALICO 2 GAVETAS CEA GRIS</t>
  </si>
  <si>
    <t>1293-035-001-034-01</t>
  </si>
  <si>
    <t>1293-035-PINTARRÓN CEA BLANCO/COMODATO</t>
  </si>
  <si>
    <t>PINTARRÓN CEA BLANCO</t>
  </si>
  <si>
    <t>1293-036-MULTIFUNCIONAL EPSON NEGRO/COMODATO</t>
  </si>
  <si>
    <t>1293-036-001-034-01</t>
  </si>
  <si>
    <t>1241-101-101-036-01</t>
  </si>
  <si>
    <t>MONITOR IBM NEGRO</t>
  </si>
  <si>
    <t>1241-103-101-036-01</t>
  </si>
  <si>
    <t>ESCRITORIO NEGRO/CAFÉ</t>
  </si>
  <si>
    <t>1241-107-101-036-01</t>
  </si>
  <si>
    <t>SILLA GIRATORIA SECRETARIAL NEGRO</t>
  </si>
  <si>
    <t>1241-110-101-036-01</t>
  </si>
  <si>
    <t>1246-003-BÁSCULA DIGITAL TORREY GRIS/NEGRO</t>
  </si>
  <si>
    <t>BÁSCULA DIGITAL</t>
  </si>
  <si>
    <t>1246-003-101-036-01</t>
  </si>
  <si>
    <t>1241-101-101-013-01</t>
  </si>
  <si>
    <t>CPU TIPO TORRE ACTIVE COOL NEGRO</t>
  </si>
  <si>
    <t>TECLADO ACTECK NEGRO</t>
  </si>
  <si>
    <t>MONITOR/CPU, SAMSUNG/INTEL PENTIUM</t>
  </si>
  <si>
    <t>KIT TECLADO/MOUSE, ACTECK/MICROSOFT</t>
  </si>
  <si>
    <t>1241-103-101-013-01</t>
  </si>
  <si>
    <t>ESCRITORIO CAFÉ</t>
  </si>
  <si>
    <t>ESCRITORIO METÁLICO</t>
  </si>
  <si>
    <t>1241-101 EQ. CÓMPUTO Y TECNOLOGÍAS DE LA INFORMACIÓN</t>
  </si>
  <si>
    <t>EQ. CÓMPUTO Y TECNOLOGÍAS DE LA INFORMACIÓN</t>
  </si>
  <si>
    <t>1241-104-101-013-01</t>
  </si>
  <si>
    <t>PAR BOCINAS PERFECT CHOICE</t>
  </si>
  <si>
    <t>1241-105-101-013-01</t>
  </si>
  <si>
    <t>TELEFONO NOSTAR NEGRO</t>
  </si>
  <si>
    <t>1241-107-101-013-01</t>
  </si>
  <si>
    <t>SILLA ACOJINADA NEGRA</t>
  </si>
  <si>
    <t>SILLA GIRATORIA CON BRAZOS</t>
  </si>
  <si>
    <t>1241-113-101-013-01</t>
  </si>
  <si>
    <t>1241-115-IMPRESORA</t>
  </si>
  <si>
    <t>1241-134-RUTEADOR</t>
  </si>
  <si>
    <t>RUTEADOR</t>
  </si>
  <si>
    <t>1241-134-101-013-01</t>
  </si>
  <si>
    <t>RUTEADOR TP-LINK BLANCO/NEGRO</t>
  </si>
  <si>
    <t>CÁMARA DIGITAL FUJIFILM FINEPIX JV 310</t>
  </si>
  <si>
    <t>1241-101-101-009-01</t>
  </si>
  <si>
    <t>1241-103-101-009-01</t>
  </si>
  <si>
    <t>1241-106-MUEBLES DE OFICINA Y ESTANTERÍA</t>
  </si>
  <si>
    <t>ESTANTERÍA</t>
  </si>
  <si>
    <t>1241-117-101-09-01</t>
  </si>
  <si>
    <t>PIZARRÓN PLANEADOR</t>
  </si>
  <si>
    <t>1241-115-101-003-01</t>
  </si>
  <si>
    <t>IMPRESORA HP PRO 400</t>
  </si>
  <si>
    <t>1243- EQUIPO E INSTRUMENTAL MÉDICO Y DE LABORATOTIO</t>
  </si>
  <si>
    <t>1243-001-EXTINGUIDOR ROJO</t>
  </si>
  <si>
    <t>1243-001-234-045-01/01</t>
  </si>
  <si>
    <t>EXTINGUIDOR ROJO</t>
  </si>
  <si>
    <t>MULTIFUNSIONAL</t>
  </si>
  <si>
    <t>1241-101-101-031-01</t>
  </si>
  <si>
    <t>1241-103-101-031-01</t>
  </si>
  <si>
    <t>1241-105-101-031-01</t>
  </si>
  <si>
    <t>1241-107-101-031-01</t>
  </si>
  <si>
    <t>1241-113-101-031-01</t>
  </si>
  <si>
    <t>COMPUTADORA</t>
  </si>
  <si>
    <t>BASES METÁLICAS (ESPECTACULARES)</t>
  </si>
  <si>
    <t>CÁMARA DIGITAL FUJIFILM FINEPIX JV 300</t>
  </si>
  <si>
    <t>VENTILADOR</t>
  </si>
  <si>
    <t>1241-103-101-038-01</t>
  </si>
  <si>
    <t>1241-105-101-038-01</t>
  </si>
  <si>
    <t>1241-MOBILIARIO Y EQUIPO DE ADMINISTRACIÓN (OTROS)</t>
  </si>
  <si>
    <t>1241-113-VENTILADOR DE PEDESTAL</t>
  </si>
  <si>
    <t>VENTILADOR DE PEDESTAL</t>
  </si>
  <si>
    <t>1241-113-101-038-01</t>
  </si>
  <si>
    <t>ESCALERA DE ALUMINIO 7 ESCALONES</t>
  </si>
  <si>
    <t>CARRETILLA TRUPER 45-ND</t>
  </si>
  <si>
    <t>1242-005-OTRO MOBILIARIO Y EQ. EDUCACIONAL Y RECREATIVO</t>
  </si>
  <si>
    <t>1242-005-101-018-01</t>
  </si>
  <si>
    <t>1241-112-MULTIFUNCIONAL</t>
  </si>
  <si>
    <t>1241-112-101-031-01</t>
  </si>
  <si>
    <t>1246-003-101-055-01</t>
  </si>
  <si>
    <t>1246-003-101-050-01</t>
  </si>
  <si>
    <t>1246-003-101-050-02/00</t>
  </si>
  <si>
    <t>1242-101-006-030-01</t>
  </si>
  <si>
    <t>MONITOR NEGRO GATEWAY</t>
  </si>
  <si>
    <t>CPU NEGRO THERMAL MASTER</t>
  </si>
  <si>
    <t xml:space="preserve">1241-MOBILIARIO Y EQUIPO EDUCACIONAL </t>
  </si>
  <si>
    <t>1241-102-CAMARAS FOTOGRAFICAS</t>
  </si>
  <si>
    <t>1241-102-018-01</t>
  </si>
  <si>
    <t>1241-102-101-013-01</t>
  </si>
  <si>
    <t>1246-002-OTROS EQUIPOS/ESCALERAS</t>
  </si>
  <si>
    <t>1246-002-101-024-01</t>
  </si>
  <si>
    <t>1242-MOBILIARIO Y EQUIPO DE ADMINISTRACIÓN/OTROS</t>
  </si>
  <si>
    <t>1242-007-PIZARRÓN</t>
  </si>
  <si>
    <t>1242-007-101-045-01</t>
  </si>
  <si>
    <t>1241-101-101-042-01</t>
  </si>
  <si>
    <t>1241-102-CÁMARAS FOTOGRÁFICAS</t>
  </si>
  <si>
    <t>CÁMARAS FOTOGRÁFICAS</t>
  </si>
  <si>
    <t>1241-102-101-042-01</t>
  </si>
  <si>
    <t>1241-103-101-042-01</t>
  </si>
  <si>
    <t>1241-105-101-042-01</t>
  </si>
  <si>
    <t>1241-106-101-042-01</t>
  </si>
  <si>
    <t>1241-107-101-042-01</t>
  </si>
  <si>
    <t>1241-110-101-042-01</t>
  </si>
  <si>
    <t>1241-112-COPIADORAS Y ESCÁNERS</t>
  </si>
  <si>
    <t>COPIADORAS Y ESCÁNERS</t>
  </si>
  <si>
    <t>1241-112-101-042-01</t>
  </si>
  <si>
    <t>1241-113-101-042-01</t>
  </si>
  <si>
    <t>1241-115-101-042-01</t>
  </si>
  <si>
    <t>1241-124-PERFORADORA</t>
  </si>
  <si>
    <t>PERFORADORA</t>
  </si>
  <si>
    <t>1241-135-LLAVE PROGRAMA OPUS</t>
  </si>
  <si>
    <t>1241-135-101-042-01</t>
  </si>
  <si>
    <t>1241-136-NAVEGADOR AZUL MARINO</t>
  </si>
  <si>
    <t>NAVEGADOR AZUL MARINO</t>
  </si>
  <si>
    <t>1241-136-101-042-01</t>
  </si>
  <si>
    <t>1241-137-NIVEL LÁSER</t>
  </si>
  <si>
    <t>NIVEL LÁSER</t>
  </si>
  <si>
    <t>1241-137-101-042-01</t>
  </si>
  <si>
    <t>1241-139-PROGRAMA BLANCO CON AZUL</t>
  </si>
  <si>
    <t>PROGRAMA BLANCO CON AZUL</t>
  </si>
  <si>
    <t>1241-139-101-042-01</t>
  </si>
  <si>
    <t>1241-140-101-042-01</t>
  </si>
  <si>
    <t>ESTIMADA (MESES)</t>
  </si>
  <si>
    <t>AÑOS DE VIDA ÚTIL</t>
  </si>
  <si>
    <t xml:space="preserve">VIDA ÚTIL RESTANTE </t>
  </si>
  <si>
    <t>CONTABILIDAD</t>
  </si>
  <si>
    <t>COMODATO DE PATRIMONIO MUNICIPAL</t>
  </si>
  <si>
    <r>
      <t xml:space="preserve">DEPARTAMENTO: </t>
    </r>
    <r>
      <rPr>
        <b/>
        <sz val="10"/>
        <color theme="0"/>
        <rFont val="Arial"/>
        <family val="2"/>
      </rPr>
      <t>HACIENDA MUNICIPAL</t>
    </r>
  </si>
  <si>
    <t>HACIENDA</t>
  </si>
  <si>
    <t>EGRESOS</t>
  </si>
  <si>
    <t>REVALUACIÓN</t>
  </si>
  <si>
    <t>PRESIDENCIA MUNICIPAL</t>
  </si>
  <si>
    <t>*REVALÚO DE PATRIMONIO CONTEMPLANDO UNA VIDA ÚTIL ESTIMADA DE 2 AÑOS CONSIDERANDO DEL 01 DE ENERO AL 31 DE DICIEMBRE DE 2015</t>
  </si>
  <si>
    <t>SECRETARÍA GENERAL</t>
  </si>
  <si>
    <t>1241-105-101-003-01</t>
  </si>
  <si>
    <t>2 ARCHIVEROS METALICOS GRIS</t>
  </si>
  <si>
    <t>OFICIALÍA MAYOR ADMINISTRATIVA</t>
  </si>
  <si>
    <t>DIRECCIÓN/DEPARTAMENTO/   ÁREA</t>
  </si>
  <si>
    <t>1241-106-101-018-06</t>
  </si>
  <si>
    <t>SECRETARIA PARTICULAR</t>
  </si>
  <si>
    <t>DIRECCIÓN/DEPARTAMENTO/ ÁREA</t>
  </si>
  <si>
    <t>1241-111-SILLAS SECRETARIALES</t>
  </si>
  <si>
    <t>1241-111-101-002-01</t>
  </si>
  <si>
    <t>COMUNICACIÓN SOCIAL</t>
  </si>
  <si>
    <t>DIRECCIÓN DE COMUNICACIÓN SOCIAL</t>
  </si>
  <si>
    <t>JURÍDICO</t>
  </si>
  <si>
    <t>RECEPCIONISTA</t>
  </si>
  <si>
    <t>1241-102-101-006-01</t>
  </si>
  <si>
    <t>CAMARA DIGITAL SEMIPROFESIONAL</t>
  </si>
  <si>
    <t>RELACIONES PÚBLICAS Y COMU</t>
  </si>
  <si>
    <t>RECLUTAMIENTO</t>
  </si>
  <si>
    <t>PARQUE VEHICULAR</t>
  </si>
  <si>
    <t>SILLA SECRETARIAL NEGRO</t>
  </si>
  <si>
    <t>JUNTA MUNICIPAL DE RECLUTAMIENTO</t>
  </si>
  <si>
    <t>DIRECCIÓN DE DEPORTES</t>
  </si>
  <si>
    <t>DEPORTES</t>
  </si>
  <si>
    <t>DIRECCIÓN DE CÓMPUTO E INFORMÁTICA</t>
  </si>
  <si>
    <t>CÓMPUTO E INFORMÁTICA</t>
  </si>
  <si>
    <t>TECLADO LENOVO BÁSICO</t>
  </si>
  <si>
    <t>1242-006-101-026-01</t>
  </si>
  <si>
    <t>DIRECCIÓN DE DESARROLLO RURAL</t>
  </si>
  <si>
    <t>DIRECCIÓN DESARROLLO RURAL</t>
  </si>
  <si>
    <t>MULTIFUNCIONAL</t>
  </si>
  <si>
    <t>DIRECCIÓN DE ECOLOGÍA</t>
  </si>
  <si>
    <t>BÁSCULA DIGITAL TORREY GRIS/NEGRO</t>
  </si>
  <si>
    <t>PROTECCIÓN CIVIL</t>
  </si>
  <si>
    <t>DIRECCIÓN DE PROTECCIÓN CIVIL</t>
  </si>
  <si>
    <t>MESA CAFÉ CON NEGRO</t>
  </si>
  <si>
    <t>SERVICIOS PÚBLICOS</t>
  </si>
  <si>
    <t>DIRECCIÓN DE SERVICIOS PÚBLICOS</t>
  </si>
  <si>
    <t>COMPRESOR A GASOLINA 6.5 HP 32 LTS.</t>
  </si>
  <si>
    <t>DIRECCIÓN DE OBRAS PÚBLICAS</t>
  </si>
  <si>
    <t>OBRAS PÚBLICAS</t>
  </si>
  <si>
    <t>FOTOGRAFÍA AÉREA DEL MUNICIPIO</t>
  </si>
  <si>
    <t xml:space="preserve">   </t>
  </si>
  <si>
    <t>CATASTRO MUNICIPAL</t>
  </si>
  <si>
    <t>COTIZACIÓN INTERNET</t>
  </si>
  <si>
    <t>COMODATO</t>
  </si>
  <si>
    <t>CULTURA DEL AGUA</t>
  </si>
  <si>
    <t>MULTIFUNCIONAL EPSON NEGRO</t>
  </si>
  <si>
    <t>REGISTRO CIVIL</t>
  </si>
  <si>
    <t>PODADORA, COLOR NEGRO, CRAFTSMAN, TORQ 21"</t>
  </si>
  <si>
    <t>1246-002-101-050-01</t>
  </si>
  <si>
    <t>PICO DE FIERRO, COLOR NARANJA CON AZA DE MADERA</t>
  </si>
  <si>
    <t>14 PALAS METÁLICAS CON AZA DE MADERA</t>
  </si>
  <si>
    <t>1246-005-COMPRESOR</t>
  </si>
  <si>
    <t>1246-002-PICO Y PALAS</t>
  </si>
  <si>
    <t>1246-003-BASES METÁLICAS</t>
  </si>
  <si>
    <t>1241-110-101-050-01</t>
  </si>
  <si>
    <t>ARCHIVERO DE METAL, COLOR GRIS</t>
  </si>
  <si>
    <t>2 AZADONES</t>
  </si>
  <si>
    <t>CUCHARAS PARA MEZCLA</t>
  </si>
  <si>
    <t>2 MARROS DE METAL CON AZA DE MADERA</t>
  </si>
  <si>
    <t>2 RASTRILLOS</t>
  </si>
  <si>
    <t>ESCALERA DE EXTENSIÓN COLOR NARANJA</t>
  </si>
  <si>
    <t>1246-002 ESCALERAS</t>
  </si>
  <si>
    <t>1246-002-101-050-02/00</t>
  </si>
  <si>
    <t>1246-003 OTRAS HERRAMIENTAS</t>
  </si>
  <si>
    <t>1241-113-101-050-01</t>
  </si>
  <si>
    <t>VENTILADOR, LASKO, COLOR GRIS</t>
  </si>
  <si>
    <t>1241-103-ESCRITORIOS, MESAS</t>
  </si>
  <si>
    <t>1241-103-101-050-01</t>
  </si>
  <si>
    <t xml:space="preserve">ESCRITORIO DE OFICINA AGLOMERADO </t>
  </si>
  <si>
    <t>PROMOCIÓN ECONÓMICA Y DESARROLLO SOCIAL</t>
  </si>
  <si>
    <t>EXTENSIÓN ELÉCTRICA USO RUDO VOLTECH</t>
  </si>
  <si>
    <t>ESCALERA DE ALUMINIO 5 ESCALONES</t>
  </si>
  <si>
    <t>1246-005-101-049-01</t>
  </si>
  <si>
    <t>DIR. SERV. PÚB./AGUA POTABLE</t>
  </si>
  <si>
    <t>DIR. SERV. PÚB./PARQUES Y JARDINES</t>
  </si>
  <si>
    <t>1246-002-101-056-01</t>
  </si>
  <si>
    <t>DIR. SERV. PÚB./ALUMBRADO PÚBLICO</t>
  </si>
  <si>
    <t>MONITOR NEGRO ACER</t>
  </si>
  <si>
    <t>1241-101-101-029-01</t>
  </si>
  <si>
    <t>LAPTOP, ROSA, MARCA ASUS TOUCH</t>
  </si>
  <si>
    <t>PANTALLA LED, NEGRO, TOSHIBA</t>
  </si>
  <si>
    <t>VENTILADOR DE PISO CYCLONE GRIS</t>
  </si>
  <si>
    <t>1241-102-101-029-01</t>
  </si>
  <si>
    <t>CÁMARA DIGITAL, ROJO, MARCA SAMSUNG</t>
  </si>
  <si>
    <t>COMPUTADORA, NEGRO, HP PAVILION, ALL IN ONE</t>
  </si>
  <si>
    <t>1241-103-101-029-01</t>
  </si>
  <si>
    <t>MESA DE JUNTAS</t>
  </si>
  <si>
    <t>ESCRITORIO GERENCIAL AMBIENT, DERECHO</t>
  </si>
  <si>
    <t>1241-104 EQ. CÓMPUTO Y TECNOLOGÍAS DE LA INFORMACIÓN</t>
  </si>
  <si>
    <t>1241-104-101-029-01</t>
  </si>
  <si>
    <t>BOCINA AMPLIFICADA CON TRIPIÉ, COLOR NEGRO</t>
  </si>
  <si>
    <t>1241-105-101-029-01</t>
  </si>
  <si>
    <t>TELÉFONO INALÁMBRICO, BLANCO CON ROSA, VTECH, VTONE 300P</t>
  </si>
  <si>
    <t>1241-107-101-029-01</t>
  </si>
  <si>
    <t>2 SILLAS DE VISITAS GERENCIALES</t>
  </si>
  <si>
    <t>5 SILLAS PARA JUNTES GERENCIALES</t>
  </si>
  <si>
    <t xml:space="preserve">1 SILLÓN EJECUTVIO EN PIEL CONTEMPORÁNEO </t>
  </si>
  <si>
    <t>1241-110-101-029-01</t>
  </si>
  <si>
    <t>ARCHIVERO DE MELAMINA, CAFÉ</t>
  </si>
  <si>
    <t>1241-115-101-029-01</t>
  </si>
  <si>
    <t>IMPRESORA, NEGRA, EPSON, L300</t>
  </si>
  <si>
    <t>1241-142-TABLONES</t>
  </si>
  <si>
    <t>1241-142-101-029-01</t>
  </si>
  <si>
    <t>2 TABLONES PLEGABLES, GRIS, LIFETIME</t>
  </si>
  <si>
    <t>1241-123-PROYECTOR</t>
  </si>
  <si>
    <t>1241-123-101-029-01</t>
  </si>
  <si>
    <t>PROYECTOR, BLANCO, EPSON, POWER LITE S17</t>
  </si>
  <si>
    <t>1242-005-101-029-01</t>
  </si>
  <si>
    <t>PINTARRÓN, BLANCO</t>
  </si>
  <si>
    <t>INSTITUTO MUNICIPAL DE LA MUJER</t>
  </si>
  <si>
    <t>CASA DE LA CULTURA</t>
  </si>
  <si>
    <t>FAX BROTHER Y TELÉFONO</t>
  </si>
  <si>
    <t>TELÉFONO DIGITAL NEGRO MERIDIAN</t>
  </si>
  <si>
    <t>TECLADO Y MOUSE LOGITECH</t>
  </si>
  <si>
    <t>1241-101-101-018-06</t>
  </si>
  <si>
    <t>VENTILADOR DE PEDESTAL 16"</t>
  </si>
  <si>
    <t>TELÉFONO DIGITAL NEGRO</t>
  </si>
  <si>
    <t>2 DISCOS DUROS TOSHIBA EXTERNO</t>
  </si>
  <si>
    <t>1241-105-101-026-01</t>
  </si>
  <si>
    <t>PLANEACIÓN, PROGRAMACIÓN Y PRESUPUESTOS</t>
  </si>
  <si>
    <t>NO. FACTURA</t>
  </si>
  <si>
    <t>F-3079</t>
  </si>
  <si>
    <t>VALOR A MAYO 2015</t>
  </si>
  <si>
    <t>MESA DE TRABAJO DE MADERA</t>
  </si>
  <si>
    <t>1241-103-MUEBLES DE OFICINA</t>
  </si>
  <si>
    <t>FAX, MARCA BROTHER, COLOR BEIGE</t>
  </si>
  <si>
    <t>TELÉFONO NEGRO NORTEL NETWORKS</t>
  </si>
  <si>
    <t>SALA DE ESPERA, COLOR CAFÉ</t>
  </si>
  <si>
    <t>C. INTERNET</t>
  </si>
  <si>
    <t>VIDA ÚTIL EN MESES</t>
  </si>
  <si>
    <t>IMPORTE (VALOR DEL BIEN AL 31 DE MAYO DE 2015)</t>
  </si>
  <si>
    <t>HISTORIAL DE ADQUISICIÓN</t>
  </si>
  <si>
    <t>IMPORTE DE ADQUISICIÓN</t>
  </si>
  <si>
    <t>CÁLCULO DE LA DEPRECIACIÓN ACTUALIZADA</t>
  </si>
  <si>
    <t>F-464</t>
  </si>
  <si>
    <t>DEP. DEL 01 DE ENERO AL 31 DE MAYO 2015</t>
  </si>
  <si>
    <t>F-5730</t>
  </si>
  <si>
    <t>F-1074</t>
  </si>
  <si>
    <t>TELÉFONO PANASONIC DIGITAL</t>
  </si>
  <si>
    <t>1241-113-VENTILADOR</t>
  </si>
  <si>
    <t>SILLA VISITA, COLOR CAFÉ</t>
  </si>
  <si>
    <t>F-135</t>
  </si>
  <si>
    <t>POSE/2373551</t>
  </si>
  <si>
    <t>VEINTILADOR DE PISO 20", APAS DE FIERRO</t>
  </si>
  <si>
    <t>A-23139</t>
  </si>
  <si>
    <r>
      <t xml:space="preserve">NO SE ACTUALIZÓ PORQUE HUBO DEFLACIÓN EN BASE A LOS INPC COMO LO MARCA EL BOLETÍN B-12: </t>
    </r>
    <r>
      <rPr>
        <i/>
        <sz val="10"/>
        <rFont val="Arial"/>
        <family val="2"/>
      </rPr>
      <t>"Un derecho de compensación que no reúna los criterios para ser incondicional puede posteriormente calificar como incondicional si el evento contigente ocurre y el derecho de compensación ya no es condicionado, por lo cual pueden presentarse los activos financieros y pasivos financieros por su monto neto a partir de que ocurre el evento..."</t>
    </r>
  </si>
  <si>
    <t>COMPUTADORA SAMSUNG 300E4C-AOT, NEGRA</t>
  </si>
  <si>
    <t>COMPUTADORA RAM NEGRA GATEWAY</t>
  </si>
  <si>
    <t>COMPUTADORA RAM NEGRO GATEWAY</t>
  </si>
  <si>
    <t>CAMARA DIGITAL NEGRO FUJIFILM</t>
  </si>
  <si>
    <t>BASE DE ANGULO MADERA/FIERRO</t>
  </si>
  <si>
    <t>INGRESOS</t>
  </si>
  <si>
    <t>2 ANAQUELES DE METAL CON 5 ENTREPAÑOS DE MADERA</t>
  </si>
  <si>
    <t>ANAQUEL DE METAL CON 4 ETREPAÑOS DE MADERA</t>
  </si>
  <si>
    <t>SILLA DE TELA NEGRO</t>
  </si>
  <si>
    <t>2 SILLAS SECRETARIALES APILABLES NUEVA ITALIA Y 1 VASTRA AZUL</t>
  </si>
  <si>
    <t xml:space="preserve">SILLA DE PIEL SECRETARIAL NEGRO </t>
  </si>
  <si>
    <t>SILLA SEMIEJECUTIVA</t>
  </si>
  <si>
    <t xml:space="preserve">SILLA SECRETARIAL DE PIEL NEGRO </t>
  </si>
  <si>
    <t>SILLA SECRETARIAL DE PIEL NEGRO</t>
  </si>
  <si>
    <t>SUMADORA BLANCA SHARP</t>
  </si>
  <si>
    <t>SUMADORA BEIGE/GRIS CASIO</t>
  </si>
  <si>
    <t>SCANNER HP GRIS/BEIGE</t>
  </si>
  <si>
    <t>VENTILADOR DE PISO, COLORES GRIS, LAKEWOOD</t>
  </si>
  <si>
    <t xml:space="preserve">VENTILADOR LASKO </t>
  </si>
  <si>
    <t>IMPRESORA HP PRO 400 COLOR</t>
  </si>
  <si>
    <t>IMPRESORA GRIS EPSON LX-300</t>
  </si>
  <si>
    <t>CAJA FUERTE NEGRO/GRIS SENTRY SAFE</t>
  </si>
  <si>
    <t>LICENCIA SOFTWARE CONTABLE 2 USUARIOS/NÓMINAS</t>
  </si>
  <si>
    <t>LICENCIA SOFTWARE CONTABLE 2 LICENCIAS/FACTURA ELECTRÓNICA</t>
  </si>
  <si>
    <t>F-160167</t>
  </si>
  <si>
    <t>F-671086</t>
  </si>
  <si>
    <t>ADG748248</t>
  </si>
  <si>
    <t>POSA26 687 643</t>
  </si>
  <si>
    <t>F-6405</t>
  </si>
  <si>
    <t>% DE USO RESTANTE (DEPRECIADO AL 100%)</t>
  </si>
  <si>
    <t xml:space="preserve">MESES RESTANTES A DEPRECIAR </t>
  </si>
  <si>
    <t>HACIENDA MUNICIPAL</t>
  </si>
  <si>
    <t>POSE133787</t>
  </si>
  <si>
    <t>OP 238</t>
  </si>
  <si>
    <t>0P 239</t>
  </si>
  <si>
    <t>POSE655045</t>
  </si>
  <si>
    <t>POSE296680</t>
  </si>
  <si>
    <t>BBAAJ113779</t>
  </si>
  <si>
    <t>POSE147322</t>
  </si>
  <si>
    <t>COT. INT</t>
  </si>
  <si>
    <t>POSC3628234</t>
  </si>
  <si>
    <t>IMAGS604</t>
  </si>
  <si>
    <t>BBAAJ111141</t>
  </si>
  <si>
    <t>I214</t>
  </si>
  <si>
    <t>A-204</t>
  </si>
  <si>
    <t>COT INT</t>
  </si>
  <si>
    <t>OFICIALIA MAYOR</t>
  </si>
  <si>
    <t>1241-101-EQUIPO DE COMPUTO</t>
  </si>
  <si>
    <t>ESCRITORIO SEMIEJECUTIVO NEGRO/CEREZO</t>
  </si>
  <si>
    <t>F-998</t>
  </si>
  <si>
    <t>MESA DE PINO</t>
  </si>
  <si>
    <t>OP 519001</t>
  </si>
  <si>
    <t>MOSTRADOR RECEPCION DE MADERA</t>
  </si>
  <si>
    <t>0P 33897</t>
  </si>
  <si>
    <t>MESA METALICA CON RUEDAS</t>
  </si>
  <si>
    <t>1241-105 TELEFONO, CELULAR</t>
  </si>
  <si>
    <t>TELEFONO CONMUTADOR NEGRO NORTEL</t>
  </si>
  <si>
    <t>1241-106-ANAQUELES,REPISAS,LIBREROS</t>
  </si>
  <si>
    <t>PORTAPAPELES GRIS</t>
  </si>
  <si>
    <t>REPISA MADERA</t>
  </si>
  <si>
    <t>SILLA SECRETARIAL</t>
  </si>
  <si>
    <t>SILLA SECRETARIAL ALTA GRIS</t>
  </si>
  <si>
    <t>MESES DE USO AL 31 DE MAYO DE 2015</t>
  </si>
  <si>
    <t>% DE USO AL 31 DE MAYO DE 2015</t>
  </si>
  <si>
    <t>DEPRECIACIÓN MENSUAL PARA JUNIO A DICIEMBRE 2015</t>
  </si>
  <si>
    <t>FECHA DE TÉRMINO DE DEPRECIACIÓN</t>
  </si>
  <si>
    <t>MESES RESTANTES A DEPRECIAR AL</t>
  </si>
  <si>
    <t>MESES RESTANTES DE USO (DEPRECIARSE AL 100%) A PARTIR DEL</t>
  </si>
  <si>
    <t>DEP'N. JUNIO A DICIEMBRE 2015.</t>
  </si>
  <si>
    <r>
      <t xml:space="preserve">VIDA ÚTIL                                                                           </t>
    </r>
    <r>
      <rPr>
        <b/>
        <sz val="8"/>
        <color theme="1"/>
        <rFont val="Arial"/>
        <family val="2"/>
      </rPr>
      <t xml:space="preserve">                                                                                                                                                                            (PARÁMETROS DE VIDA ÚTIL PUBLICADO EN EL DOF 15/AGOSTO/2012)</t>
    </r>
  </si>
  <si>
    <t xml:space="preserve">% MENSUAL A DEPRECIARSE POR MES </t>
  </si>
  <si>
    <t xml:space="preserve">% DE USO RESTANTE A DEPRECIAR </t>
  </si>
  <si>
    <t>% DE USO RESTANTE PARA DEPRECIAR EN 2015</t>
  </si>
  <si>
    <t>DEPRECIACIÓN MENSUAL ACTUALIZADA</t>
  </si>
  <si>
    <t>PRESIDENCIA</t>
  </si>
  <si>
    <t>COMPUTADORA NEGRA ACER</t>
  </si>
  <si>
    <t xml:space="preserve">1241-MOBILIARIO Y EQUIPO DE ADMINISTRACIÓN </t>
  </si>
  <si>
    <t>ARCHIVERO, 4 GAVETAS, METÁLICO</t>
  </si>
  <si>
    <t>VENTILADOR DE PEDESTAL, BLANCO, STAR</t>
  </si>
  <si>
    <t>1246-MAQUINARIA, HERRAMIENTAS Y OTROS EQUIPOS</t>
  </si>
  <si>
    <t>1246-003-TERMOS</t>
  </si>
  <si>
    <t>3 TERMOS, 5 GALONES COLOR NARANJA</t>
  </si>
  <si>
    <t>AJ-101836</t>
  </si>
  <si>
    <t>ESCRITORIO TRIPLAY CAFÉ</t>
  </si>
  <si>
    <t>F-1731</t>
  </si>
  <si>
    <t>F-2085</t>
  </si>
  <si>
    <t>F-169635</t>
  </si>
  <si>
    <t>F-19635</t>
  </si>
  <si>
    <t>F-3628422</t>
  </si>
  <si>
    <t>PANTALLA NEGRO LENOVO</t>
  </si>
  <si>
    <t>ANAQUELES</t>
  </si>
  <si>
    <t>1241-106-101-026-01</t>
  </si>
  <si>
    <t xml:space="preserve">2 ANAQUELES CAFÉ </t>
  </si>
  <si>
    <t>VENTILADOR NEGRO VENCOOL</t>
  </si>
  <si>
    <t>ASPIRADORA BLANCA CON ROJO KOBLENZ</t>
  </si>
  <si>
    <t>DVD NEGRO PHILIPS</t>
  </si>
  <si>
    <t>BBAAJ-79375</t>
  </si>
  <si>
    <t>F-8627</t>
  </si>
  <si>
    <t>1241-105-TELÉFONO</t>
  </si>
  <si>
    <t>TELÉFONO DIGITAL, NEGRO, MERIDIAM, M-7100</t>
  </si>
  <si>
    <t>5.00 SUPRESOR TRIPP-LITTE PICOS</t>
  </si>
  <si>
    <t>FECHA DE ACTUALIZACIÓN</t>
  </si>
  <si>
    <t>POSE-133787</t>
  </si>
  <si>
    <t>BAJA POR EXTRAVÍO SEGÚN OFICIO NÚMERO 0041/2015</t>
  </si>
  <si>
    <t>PROMOCIÓN ECONÓMICA</t>
  </si>
  <si>
    <t>DEPRECIACIÓN ACUMULADA MIENTRAS SE REALIZABA EL PROCESO DE ACTUALIZACIÓN: REGISTRAR EN EL MES DE JUNIO 2015</t>
  </si>
  <si>
    <t>DEP. ACUMULADA AL 31 DE MAYO 2015</t>
  </si>
  <si>
    <t>DEP. MENSUAL 2014</t>
  </si>
  <si>
    <t>DESARROLLO RURAL</t>
  </si>
  <si>
    <t>F-168457</t>
  </si>
  <si>
    <t>CL0901</t>
  </si>
  <si>
    <t>ECOLOGÍA</t>
  </si>
  <si>
    <t>FV0098</t>
  </si>
  <si>
    <t>F/1986473</t>
  </si>
  <si>
    <t>LAP-TOP ACER NEGRA</t>
  </si>
  <si>
    <t>ESCRITORIO DE FORMAICA GRIS</t>
  </si>
  <si>
    <t>ESCRITORIO CON CRISTAL, 8 CAJONES GRIS</t>
  </si>
  <si>
    <t>TELÉFONO NORTEL NEGRO</t>
  </si>
  <si>
    <t>ESTANTE NEGRO 4 ENTRE PAÑOS</t>
  </si>
  <si>
    <t>ESTANTE NEGRO 2 ENTRE PAÑOS</t>
  </si>
  <si>
    <t>SILLA SECRETARIAL NEGRA</t>
  </si>
  <si>
    <t>ARCHIVERO METÁLICO CON GAVETERO GRIS</t>
  </si>
  <si>
    <t>FOTOCOPIADORA, COLOR BLANCO, WORK CENTER</t>
  </si>
  <si>
    <t>VENTILADOR LASKO BLANCO</t>
  </si>
  <si>
    <t>IMPRESORA HP BLANCA</t>
  </si>
  <si>
    <t>LLAVE PROGRAMA OPUS NEGRA</t>
  </si>
  <si>
    <t>PERFORADORA DE 3 NEGRA</t>
  </si>
  <si>
    <t>PERFORADORA DE 2 ACME LAMUSA NEGRA</t>
  </si>
  <si>
    <t>PERFORADORA DE 2 USO RUDO SWUINGLINE</t>
  </si>
  <si>
    <t>PERFORADORA DE 4 NEGRA</t>
  </si>
  <si>
    <t>1241-141-FOTOGRAFÍA AEREA DEL MUNICIPIO</t>
  </si>
  <si>
    <t>1241-141-101-042-01</t>
  </si>
  <si>
    <t>DEPRECIACIÓN EJERCICIO 2014</t>
  </si>
  <si>
    <t>VALOR DEL BIEN AL 01 DE ENERO DE 2015</t>
  </si>
  <si>
    <t>DEPRECIACIÓN ACUMULADA DEL 01 DE ENERO AL 31 DE MAYO 2015</t>
  </si>
  <si>
    <t>DEP'N. ACUMULADA JUNIO A DICIEMBRE</t>
  </si>
  <si>
    <t>VALOR DEL BIEN AL 31 DE MAYO DE 2015</t>
  </si>
  <si>
    <t>INSTITUTO DE LA MUJER</t>
  </si>
  <si>
    <t>VENTILADOR DE PEDESTAL 20"</t>
  </si>
  <si>
    <t>F-7258</t>
  </si>
  <si>
    <t>F-78A</t>
  </si>
  <si>
    <t>DIRECCIÓN DE CATASTRO MUNICIPAL</t>
  </si>
  <si>
    <t>REGULADOR APC</t>
  </si>
  <si>
    <t>ESCRITORIO METÁLICO GRIS/MADERA</t>
  </si>
  <si>
    <t>MÁQUINA DE ESCRIBIR ELÉCTRICA OLYMPIA</t>
  </si>
  <si>
    <t>7 DEPÓSITOS PARA BASURA</t>
  </si>
  <si>
    <t>1241-103-CÁMARAS FOTOGRÁFICAS</t>
  </si>
  <si>
    <t>1241-102-101-050-02</t>
  </si>
  <si>
    <t>CÁMARA CANON POWER SHOT, COLOR PLATA</t>
  </si>
  <si>
    <t>F-176063</t>
  </si>
  <si>
    <t>TRAILERS DE AYUDA</t>
  </si>
  <si>
    <t>1243-EQUIPO E INSTRUMENTAL MÉDICO Y DE LABORATORIO</t>
  </si>
  <si>
    <t>1243-001-101</t>
  </si>
  <si>
    <t>4 CAMAS DE HOSPITAL ELÉCTRICAS</t>
  </si>
  <si>
    <t>1243-002-101</t>
  </si>
  <si>
    <t>EQUIPO DE ULTRASONIDO</t>
  </si>
  <si>
    <t>REFRIGERADOR PARA VACUNAS</t>
  </si>
  <si>
    <t>CONV. DE COLAB.</t>
  </si>
  <si>
    <t>1243-004-101</t>
  </si>
  <si>
    <t>CUNA DE CALOR RADIANTE</t>
  </si>
  <si>
    <t>1243-005-101</t>
  </si>
  <si>
    <t>BOMBA DE INFUSIÓN</t>
  </si>
  <si>
    <t>1243-006-101</t>
  </si>
  <si>
    <t>1243-003-101</t>
  </si>
  <si>
    <t>2 SILLAS DE TRASLADO DE PACIENTES</t>
  </si>
  <si>
    <t>1243-007-101</t>
  </si>
  <si>
    <t>MONITOR FETAL CON TOCOCARDIÓGRAFO</t>
  </si>
  <si>
    <t>1243-008-101</t>
  </si>
  <si>
    <t>SILLÓN DE USOS MÚLTIPLES</t>
  </si>
  <si>
    <t>1244-EQUIPO DE TRANSPORTE</t>
  </si>
  <si>
    <t>1244-002-101</t>
  </si>
  <si>
    <t>1246-006-007</t>
  </si>
  <si>
    <t>1246-006-101</t>
  </si>
  <si>
    <t>1246-007-101</t>
  </si>
  <si>
    <t>RETROEXCAVADORA, VOLVO, AMARILLO, 2002</t>
  </si>
  <si>
    <t>CAMIÓN DE VOLTEO DE 6M3, 1999, STERLING, BLANCO</t>
  </si>
  <si>
    <t>CAMIÓN ESCOLAR, AMARILLO, INTERNATIONAL, 2002</t>
  </si>
  <si>
    <t>DIRECCIÓN DE PLANEACIÓN, PROGRAMACIÓN Y PRESUPUESTOS</t>
  </si>
  <si>
    <t>1241- MOBILIARIO Y EQUIÓ DE ADMINISTRACIÓN</t>
  </si>
  <si>
    <t>1241-103-101-025-01</t>
  </si>
  <si>
    <t>1241-107-SILLA SECRETARIALES</t>
  </si>
  <si>
    <t>1241-107-101-025-01</t>
  </si>
  <si>
    <t>SILLA EJECUTIVA, GRIS, SIN MARCA</t>
  </si>
  <si>
    <t>ARCHIVERO 2 GAVETAS, NEGRO, SIN MODELO</t>
  </si>
  <si>
    <t>1241-112- SCANNERS</t>
  </si>
  <si>
    <t>1241-112-101-025-01</t>
  </si>
  <si>
    <t>SCANNER HP SCANJET G2410</t>
  </si>
  <si>
    <t>POSE/133787</t>
  </si>
  <si>
    <t>MESA, COLOR CAFÉ, SIN MARCA</t>
  </si>
  <si>
    <t>1293-103-ESCRITORIOS, MESAS</t>
  </si>
  <si>
    <t>1293- MOBILIARIO Y EQUIÓ DE ADMINISTRACIÓN</t>
  </si>
  <si>
    <t>1293-103-101-007-01</t>
  </si>
  <si>
    <t>1241-110-101-007-01</t>
  </si>
  <si>
    <t>ARCHIVERO, COLOR PLOMO, SIN MARCA</t>
  </si>
  <si>
    <t>DIRECCIÓN DE PARTICIPACIÓN CIUDADANA</t>
  </si>
  <si>
    <t>PARTICIPACIÓN CIUDADANA</t>
  </si>
  <si>
    <t>JUZGADO MUNICIPAL</t>
  </si>
  <si>
    <t>1241-115-101-040-01</t>
  </si>
  <si>
    <t>IMPRESORA HP OFFICEJET 4500 DESKTOP</t>
  </si>
  <si>
    <t>1241-101 EQUIPO DE CÓMPUTO</t>
  </si>
  <si>
    <t>1241-101-101-040-01</t>
  </si>
  <si>
    <t>CPU</t>
  </si>
  <si>
    <t>TECLADO OFFICE KEYBOARD</t>
  </si>
  <si>
    <t>MONITOR SAMSUNG</t>
  </si>
  <si>
    <t>VENTILADOR DE PISO 20", ASPAS DE FIERRO</t>
  </si>
  <si>
    <t>A23016</t>
  </si>
  <si>
    <t>A22892</t>
  </si>
  <si>
    <t>COMPUTADORA J5U41LA</t>
  </si>
  <si>
    <t>ADG1978347</t>
  </si>
  <si>
    <t>1241-115-MULTIFUNCIONAL</t>
  </si>
  <si>
    <t>1241-115-101-002-01</t>
  </si>
  <si>
    <t>MULTIFUNCIONAL SAMSUNG SCX3405 MONOC</t>
  </si>
  <si>
    <t>POSE/26612303</t>
  </si>
  <si>
    <t>1241-107-101-009-01</t>
  </si>
  <si>
    <t>2 SILLAS SECRETARIALES PANAMA</t>
  </si>
  <si>
    <t>MESA PLEGABLES</t>
  </si>
  <si>
    <t>1241-144-MESAS</t>
  </si>
  <si>
    <t>1241-144-101-003-01</t>
  </si>
  <si>
    <t>2 MESAS PLEGABLES DOS EN 1, BLANCAS</t>
  </si>
  <si>
    <t>BBAAJ-146824</t>
  </si>
  <si>
    <t>POSE26039527</t>
  </si>
  <si>
    <t>INSTITUTO DE LA JUVENTUD</t>
  </si>
  <si>
    <t>1241-101-101-077-01</t>
  </si>
  <si>
    <t>LAPTOP ACER E5-573-PBE3, BLANCA, N15Q1</t>
  </si>
  <si>
    <t>POSE/27256941</t>
  </si>
  <si>
    <t>1241- MOBILIARIO Y EQUIPO DE ADMINISTRACIÓN</t>
  </si>
  <si>
    <t>MULTI HP OFFICE JETPRO X 476</t>
  </si>
  <si>
    <t>POSE/27257043</t>
  </si>
  <si>
    <t>1241-115-101-021-01</t>
  </si>
  <si>
    <t>MULTIFUNCIONAL HP JETPRO 8610</t>
  </si>
  <si>
    <t>1241-115-101-004-01</t>
  </si>
  <si>
    <t>HP LASER JET P1102</t>
  </si>
  <si>
    <t>SINDICATURA MUNICIPAL</t>
  </si>
  <si>
    <t>TELÉFONO ALÁMBRICO</t>
  </si>
  <si>
    <t>POSE/27219846</t>
  </si>
  <si>
    <t>1241-101-101-002-01</t>
  </si>
  <si>
    <t>LAP TOP HP CP 14-AC112LA</t>
  </si>
  <si>
    <t>POSE/27257318</t>
  </si>
  <si>
    <t>1241-145-101-005-01</t>
  </si>
  <si>
    <t>RELOJ CHECADOR FACIAL</t>
  </si>
  <si>
    <t>1241-RELOJ CHECADOR FACIAL</t>
  </si>
  <si>
    <t>1241-145- RELOJ CHECADOR FACIAL</t>
  </si>
  <si>
    <t>CONTRALORIA</t>
  </si>
  <si>
    <t>ADMINISTRACIÓN 2015-2018</t>
  </si>
  <si>
    <t>1241-107-101-074-01</t>
  </si>
  <si>
    <t>SILLA EJECUTIVA MADRID</t>
  </si>
  <si>
    <t>DEP. MENSUAL 2015</t>
  </si>
  <si>
    <t>3 SILLA EJECUTIVA MADRID</t>
  </si>
  <si>
    <t>2SILLA EJECUTIVA MOSCU</t>
  </si>
  <si>
    <t>1241-107-101-038-01</t>
  </si>
  <si>
    <t>1 SILLA EJECUTIVA MADRID</t>
  </si>
  <si>
    <t>1241-107-101-040-01</t>
  </si>
  <si>
    <t>1241-107-101-006-01</t>
  </si>
  <si>
    <t>1241-107-101-050-01</t>
  </si>
  <si>
    <t>1241-107-101-077-01</t>
  </si>
  <si>
    <t>1241-107-101-004-01</t>
  </si>
  <si>
    <t>2 SILLA EJECUTIVA MADRID</t>
  </si>
  <si>
    <t>DESARROLLO ECONOMICO</t>
  </si>
  <si>
    <t>1241-107-101-072-01</t>
  </si>
  <si>
    <t>DESARROLLO SOCIAL</t>
  </si>
  <si>
    <t>1241-107-101-073-01</t>
  </si>
  <si>
    <t>CONMUTADOR</t>
  </si>
  <si>
    <t>12 SILLA EJECUTIVA MADRID</t>
  </si>
  <si>
    <t>SALA DE REGIDORES</t>
  </si>
  <si>
    <t>VENTILADOR GRIS MITEK</t>
  </si>
  <si>
    <t>A26155</t>
  </si>
  <si>
    <t>1241-113-101-021-01</t>
  </si>
  <si>
    <t>CAMARA NEGRA CANON</t>
  </si>
  <si>
    <t>LWAY24047</t>
  </si>
  <si>
    <t>1241-102-101-050-01</t>
  </si>
  <si>
    <t>CAMARA SONY</t>
  </si>
  <si>
    <t>1241-105-101-072-01</t>
  </si>
  <si>
    <t>UBR</t>
  </si>
  <si>
    <t>BBAAJ-146825</t>
  </si>
  <si>
    <t>telefono panasonic</t>
  </si>
  <si>
    <t>telefono negro v tech</t>
  </si>
  <si>
    <t>ESCALERA DE TIJERA</t>
  </si>
  <si>
    <t>1246-002-101-011-01-01-01</t>
  </si>
  <si>
    <t>2 ESTRUCTURAS DE FIERRO PARA LONAS</t>
  </si>
  <si>
    <t>1246-002-101-011-01-02/02</t>
  </si>
  <si>
    <t>1246-002-HERRAMIENTAS</t>
  </si>
  <si>
    <t>5 EXHIBIDORES DE MADERA Y CRISTAL</t>
  </si>
  <si>
    <t>1245-145-101-011-01-05/05</t>
  </si>
  <si>
    <t>1245-145-EXHIBIDORES DE MADERA</t>
  </si>
  <si>
    <t>1245-EQUIPO DE DEFENSA Y SEGURIDAD</t>
  </si>
  <si>
    <t>PIZARRON</t>
  </si>
  <si>
    <t>1242-005-101-011-01-01-01</t>
  </si>
  <si>
    <t>1242-004-101-011-01-01-01</t>
  </si>
  <si>
    <t>1242-004-EQUIPO DE SONIDO CASA DE L CULTURA</t>
  </si>
  <si>
    <t>11 GUITARRAS</t>
  </si>
  <si>
    <t>1242-001-101-011-01-011/011</t>
  </si>
  <si>
    <t>1242-001-BANDA MUSICA CASA DE LA CULTURA</t>
  </si>
  <si>
    <t>CUADRO DE REPUJADO EN MARCO</t>
  </si>
  <si>
    <t>1242-146-01-011-01-01-01</t>
  </si>
  <si>
    <t>CUADRO DE PIHUAMO EN DIFERENTES TIPOS DE MADERA</t>
  </si>
  <si>
    <t>1241-146-101-011-01-01-01</t>
  </si>
  <si>
    <t>PINTURA EN MARCO</t>
  </si>
  <si>
    <t>1241-146-101-011-01-02-04</t>
  </si>
  <si>
    <t>1241-146-101-011-01-04-04</t>
  </si>
  <si>
    <t>ESPEJO GRANDE CON MARCO DE MADERA</t>
  </si>
  <si>
    <t>3 FOTOGRAFIAS EN MARCO</t>
  </si>
  <si>
    <t>1241-146-101-011-01-03-03</t>
  </si>
  <si>
    <t>1241-146-PINTURA CASA DE CULTURA</t>
  </si>
  <si>
    <t>PROYECTOR</t>
  </si>
  <si>
    <t>1241-123-101-011-01</t>
  </si>
  <si>
    <t>1241-123 PROYECTOR</t>
  </si>
  <si>
    <t>IMPRESORA BLANCO/NEGRO</t>
  </si>
  <si>
    <t>1241-115-101-011-01-01</t>
  </si>
  <si>
    <t>SILLA EJECUTIVA MOSCU</t>
  </si>
  <si>
    <t>1241-107-101-011-01</t>
  </si>
  <si>
    <t>2 VENTILADORES REDONDOS</t>
  </si>
  <si>
    <t>1241-113-101-011-01-02/02</t>
  </si>
  <si>
    <t>ARCHIVERO METALICO</t>
  </si>
  <si>
    <t>1241-110-101-011-01-01-02</t>
  </si>
  <si>
    <t>ARCHIVERO DE METAL</t>
  </si>
  <si>
    <t>1241-110-101-011-01-02-02</t>
  </si>
  <si>
    <t>2 MANIQUI DE FIERRO</t>
  </si>
  <si>
    <t>1241-109-101-011-01-011/011</t>
  </si>
  <si>
    <t>PORTA GARRAFONES</t>
  </si>
  <si>
    <t>1241-109-101-011-01-01-01</t>
  </si>
  <si>
    <t>1241-109-BASES METALICAS</t>
  </si>
  <si>
    <t>BANCOS DE MADERA</t>
  </si>
  <si>
    <t>1241-107-101-011-01-02-02</t>
  </si>
  <si>
    <t>ANAQUEL DE FIERRO 5 DIVISIONES</t>
  </si>
  <si>
    <t>1241-106-101-011-01-01-01</t>
  </si>
  <si>
    <t>PORTA BANDERA DE MADERA</t>
  </si>
  <si>
    <t>PORTA GUITARRA DE MADERA</t>
  </si>
  <si>
    <t>8 CABALLETES DE MADERA</t>
  </si>
  <si>
    <t>1241-106-101-011-01-08/08</t>
  </si>
  <si>
    <t>2 ESCRITORIOS DE METAL Y MADERA</t>
  </si>
  <si>
    <t>1241-103-101-011-01-02-02</t>
  </si>
  <si>
    <t>ESCRITORIO DE MADERA PARA COMPUTADORA</t>
  </si>
  <si>
    <t>1241-103-101-011-01-02-03</t>
  </si>
  <si>
    <t>MESA DE FIERRO</t>
  </si>
  <si>
    <t>1241-103-101-011-01-01-01</t>
  </si>
  <si>
    <t>5 MESAS DE MADERA</t>
  </si>
  <si>
    <t>1241-103-101-011-01-06/06</t>
  </si>
  <si>
    <t>1241-103 ESCRITORIOS, MESAS</t>
  </si>
  <si>
    <t>1241-MOBILIARIO Y EQUIPO DE ADMINISTRACION</t>
  </si>
  <si>
    <t>MONITOR NEGRO, SAMSUNG</t>
  </si>
  <si>
    <t>1241-101-101-011-01</t>
  </si>
  <si>
    <t>TERRENOS</t>
  </si>
  <si>
    <t>TANQUE LESA, PLANTA POTABILIZADORA  Y ANTENA REPETIDORA</t>
  </si>
  <si>
    <t>"RASTRO MUNICIPAL" PUENTE LA VIRGENCITA</t>
  </si>
  <si>
    <t>PREDIO LOS TOROS</t>
  </si>
  <si>
    <t>COLONIA HUIZACHITOS II</t>
  </si>
  <si>
    <t>COLONIA HUIZACHITOS I</t>
  </si>
  <si>
    <t>TELESECUNDARIA MELCHOR OCAMPO SAN JOSE DEL TULE</t>
  </si>
  <si>
    <t>CALLES Y VIALIDADES COLONIA MAGISTERIAL</t>
  </si>
  <si>
    <t>CALLE DIEGO RIVERA COLONIA LOS MANGUITOS</t>
  </si>
  <si>
    <t>CALLES Y VIALIDADES COLONIA SANTA CECILIA</t>
  </si>
  <si>
    <t>1231 TERRENOS</t>
  </si>
  <si>
    <t>BIENES INMUEBLES</t>
  </si>
  <si>
    <t>UNIDAD MUNICIPAL DE PROTECCION CIVIL</t>
  </si>
  <si>
    <t>1231-008-000</t>
  </si>
  <si>
    <t>UNIDAD DEPORTIVA ENRIQUE SOLORZANO GARCIA Y BALNEARIO MUNICIPAL</t>
  </si>
  <si>
    <t>TANQUE IMSS</t>
  </si>
  <si>
    <t>TANQUE CONCEPCION MONTES</t>
  </si>
  <si>
    <t>RELLENO SANITARIO MUNICIPAL</t>
  </si>
  <si>
    <t>1231-002-000</t>
  </si>
  <si>
    <t>UNIDAD BASICA DE REHABILITACION DE TERAPIA FISICA</t>
  </si>
  <si>
    <t>PORTAL LOPEZ COTILLA</t>
  </si>
  <si>
    <t>1234-159-000</t>
  </si>
  <si>
    <t>PORTAL INDEPENDENCIA</t>
  </si>
  <si>
    <t>1234-158-000</t>
  </si>
  <si>
    <t>PORTAL HIDALGO (ARRIBA)</t>
  </si>
  <si>
    <t>1234-157-000</t>
  </si>
  <si>
    <t>PORTAL HIDALGO (PORTAL DE ABAJO)</t>
  </si>
  <si>
    <t>1234-156-000</t>
  </si>
  <si>
    <t>PLAZA DE TOROS MANUEL CAPETILLO</t>
  </si>
  <si>
    <t>1234-155-000</t>
  </si>
  <si>
    <t>PALACIO MUNICIPAL</t>
  </si>
  <si>
    <t>1234-154-000</t>
  </si>
  <si>
    <t>JARDIN INDEPENDENCIA</t>
  </si>
  <si>
    <t>1234-153-000</t>
  </si>
  <si>
    <t>JARDIN HIDALGO</t>
  </si>
  <si>
    <t>1234-152-000</t>
  </si>
  <si>
    <t>1234-151-000</t>
  </si>
  <si>
    <t>ESTACIONAMIENTO Y ACCESO AL PANTEON MUNICIPAL</t>
  </si>
  <si>
    <t>1234-150-000</t>
  </si>
  <si>
    <t>PANTEON MUNICIPAL</t>
  </si>
  <si>
    <t>1234-149-000</t>
  </si>
  <si>
    <t>OFICINAS ALTERNAS AL PALACIO MUNICIPAL</t>
  </si>
  <si>
    <t>1234-148-000</t>
  </si>
  <si>
    <t>MERCADO MUNICIPAL</t>
  </si>
  <si>
    <t>1234-147-000</t>
  </si>
  <si>
    <t>DIF</t>
  </si>
  <si>
    <t>1234-146-000</t>
  </si>
  <si>
    <t>1234-145-000</t>
  </si>
  <si>
    <t>AUDITORIO DEPORTIVO MUNICIPAL EL CHAMIZAL</t>
  </si>
  <si>
    <t>1234-144-000</t>
  </si>
  <si>
    <t>1234 INFRAESTRUCTURA</t>
  </si>
  <si>
    <t>DEP. MENSUAL PARA 2015</t>
  </si>
  <si>
    <t>DEPRECIACIÓN EJERCICIO 31 MAYO 2015</t>
  </si>
  <si>
    <t>FECHA DE REVALUACIÓN</t>
  </si>
  <si>
    <t xml:space="preserve">BIENES INMUEBLES </t>
  </si>
  <si>
    <t>TRACTO CAMION AMARILLO KOMATSU</t>
  </si>
  <si>
    <t>PICK UP ROJO</t>
  </si>
  <si>
    <t>1244-005-101</t>
  </si>
  <si>
    <t>AUTOBUS ESCOLAR AMARILLLO MOD 1987</t>
  </si>
  <si>
    <t>1244-010-101</t>
  </si>
  <si>
    <t>AUTOBUS ESCOLAR AMARILLLO MOD 1994</t>
  </si>
  <si>
    <t>SUBURBAN TIPO C</t>
  </si>
  <si>
    <t>CAMIONETA FORD</t>
  </si>
  <si>
    <t>CHEVROLET SILVERADO</t>
  </si>
  <si>
    <t xml:space="preserve">PICK UP FORD </t>
  </si>
  <si>
    <t>1244-013-101</t>
  </si>
  <si>
    <t>URVAN BLANCO NISSAN</t>
  </si>
  <si>
    <t>PICK UP NISSAN</t>
  </si>
  <si>
    <t>1244-007-101</t>
  </si>
  <si>
    <t>TSURU SEDAN NISSAN</t>
  </si>
  <si>
    <t>PICK UP NEGRO DODGE</t>
  </si>
  <si>
    <t>PICK  UP BLANCA NISSAN</t>
  </si>
  <si>
    <t>PICK UP BLANCA FORD</t>
  </si>
  <si>
    <t xml:space="preserve"> 1244-003-101</t>
  </si>
  <si>
    <t>RECOLECTOR-COMPACTADOR BLANCO</t>
  </si>
  <si>
    <t>1244-008.101</t>
  </si>
  <si>
    <t>TRACTO CAMION AMARILLO</t>
  </si>
  <si>
    <t>1246-008-101</t>
  </si>
  <si>
    <t>RETROEXCAVADORA AMARILLO</t>
  </si>
  <si>
    <t>1246-011-101</t>
  </si>
  <si>
    <t>CAMION BLANCO KODIAK</t>
  </si>
  <si>
    <t>1246-010-101</t>
  </si>
  <si>
    <t>DEP'N. EJERC. JUNIO -NOV</t>
  </si>
  <si>
    <t>DEPRECIACIÓN DE ENERO A MAYO</t>
  </si>
  <si>
    <t xml:space="preserve">VALOR DEL BIEN AL 01 DE ENERO DE </t>
  </si>
  <si>
    <t>DEP'N. EJERC. JUNIO A DIC</t>
  </si>
  <si>
    <t>DEP A MAYO</t>
  </si>
  <si>
    <t>MESES DE USO AL 01/ENERO/2014</t>
  </si>
  <si>
    <t>REVALUACIÓN     01 DE ENERO 2014  AL     01  DE Julio DE 2016</t>
  </si>
  <si>
    <t>1246-009-101</t>
  </si>
  <si>
    <t>1246-MAQUINARIA</t>
  </si>
  <si>
    <t>1244-001-101</t>
  </si>
  <si>
    <t>1244-009-101</t>
  </si>
  <si>
    <t>1244-014-101</t>
  </si>
  <si>
    <t>1244-004-101</t>
  </si>
  <si>
    <t>1244-011-101</t>
  </si>
  <si>
    <t>1244-006-101</t>
  </si>
  <si>
    <t>1244-012-101</t>
  </si>
  <si>
    <t>A DIC 2014</t>
  </si>
  <si>
    <t xml:space="preserve">DEP. MENSUAL </t>
  </si>
  <si>
    <t>VALOR DEL BIEN</t>
  </si>
  <si>
    <t>DEP'N.   ACUMULADA.</t>
  </si>
  <si>
    <t>DEPRECIACIÓN MENSUAL PARA JUNIO A DICIEMBRE 2014</t>
  </si>
  <si>
    <t>VALOR DEL BIEN AL 31 DE MAYO DE 2014</t>
  </si>
  <si>
    <t>DEP. ACUMULADA AL 31 DE MAYO 2014</t>
  </si>
  <si>
    <t>VALOR DEL BIEN AL 01 DE ENERO DE 2014</t>
  </si>
  <si>
    <t>DEPRECIACIÓN EJERCICIO 31 MAYO 2014</t>
  </si>
  <si>
    <t>1241-143-SILLAS PLEGABLES</t>
  </si>
  <si>
    <t>1241-143-101-011-01</t>
  </si>
  <si>
    <t>100 SILLAS PLEGABLES</t>
  </si>
  <si>
    <t>F-203</t>
  </si>
  <si>
    <t>1241-104 MICROFONO INALAMBRICO</t>
  </si>
  <si>
    <t>1241-104-101-011-01</t>
  </si>
  <si>
    <t>2 MICROFONOS INALAMBRICOS</t>
  </si>
  <si>
    <t>ENTRADA PRINCIPAL A PIHUAMO, JALISCO</t>
  </si>
  <si>
    <t>CUENTA CATASTRAL/ESCRA</t>
  </si>
  <si>
    <t>U003910</t>
  </si>
  <si>
    <t>U001638</t>
  </si>
  <si>
    <t>U003902</t>
  </si>
  <si>
    <t>U000108</t>
  </si>
  <si>
    <t>U002296</t>
  </si>
  <si>
    <t>R001063</t>
  </si>
  <si>
    <t>U003906</t>
  </si>
  <si>
    <t>U000131</t>
  </si>
  <si>
    <t>U003615</t>
  </si>
  <si>
    <t>U000127</t>
  </si>
  <si>
    <t>R001018</t>
  </si>
  <si>
    <t>U003905</t>
  </si>
  <si>
    <t>U003907</t>
  </si>
  <si>
    <t>U003908</t>
  </si>
  <si>
    <t>U003904</t>
  </si>
  <si>
    <t>1234-164-101</t>
  </si>
  <si>
    <t>U003936</t>
  </si>
  <si>
    <t>R001320</t>
  </si>
  <si>
    <t>1234-167-101</t>
  </si>
  <si>
    <t>CERT. PARC</t>
  </si>
  <si>
    <t>1234-162-101</t>
  </si>
  <si>
    <t>U003909</t>
  </si>
  <si>
    <t>1234-161-101</t>
  </si>
  <si>
    <t>1234-166-101</t>
  </si>
  <si>
    <t>R001440, R001441, U003913</t>
  </si>
  <si>
    <t>1234-163-101</t>
  </si>
  <si>
    <t>R000770</t>
  </si>
  <si>
    <t>CALLES Y AREAS DE DON. DE LA COL. PLUTARCO ELIAS CALLES</t>
  </si>
  <si>
    <t>CALLES Y AREAS DE DON. DE LA COL. LOS MANGUITOS</t>
  </si>
  <si>
    <t>1234-168-101</t>
  </si>
  <si>
    <t>U003876</t>
  </si>
  <si>
    <t>1234-169-101</t>
  </si>
  <si>
    <t>U003955</t>
  </si>
  <si>
    <t>VIALIDADES Y AREAS DE DON.DE LA COL. LOS COLORADOS</t>
  </si>
  <si>
    <t>1234-170-101</t>
  </si>
  <si>
    <t>U003806, U003807, U003808, U003809, U003810, U003811</t>
  </si>
  <si>
    <t>U001353</t>
  </si>
  <si>
    <t>1234-160-101</t>
  </si>
  <si>
    <t>U002307</t>
  </si>
  <si>
    <t>1234-171-101</t>
  </si>
  <si>
    <t>U002862</t>
  </si>
  <si>
    <t>1234-172-101</t>
  </si>
  <si>
    <t>U002992</t>
  </si>
  <si>
    <t>1234-113-101</t>
  </si>
  <si>
    <t>U003100</t>
  </si>
  <si>
    <t>CALLES VIALIDADES Y AREAS DE DONACION COL.OLINKA</t>
  </si>
  <si>
    <t>1234-174-101</t>
  </si>
  <si>
    <t>U002718</t>
  </si>
  <si>
    <t>1234-175-101</t>
  </si>
  <si>
    <t>U003952</t>
  </si>
  <si>
    <t>1231-002-101</t>
  </si>
  <si>
    <t>R001334</t>
  </si>
  <si>
    <t>1231-001-101</t>
  </si>
  <si>
    <t>1241-116-101-022</t>
  </si>
  <si>
    <t>CAJA FUERTE CAPACIDAD 8.49 L</t>
  </si>
  <si>
    <t>F-1028870</t>
  </si>
  <si>
    <t>DEPRECIACIÓN MENSUAL PARA ENERO A MAYO 2016</t>
  </si>
  <si>
    <t>ESCRITORIO</t>
  </si>
  <si>
    <t>SILLA EJECUTIVA SILUETTE</t>
  </si>
  <si>
    <t>2 SILLAS CON ARMAZON DE METAL</t>
  </si>
  <si>
    <t>04/02/016</t>
  </si>
  <si>
    <t>CUDRICOPTERO CON CAMARA DE ALTA DEFINICION PROPEL</t>
  </si>
  <si>
    <t>FB60</t>
  </si>
  <si>
    <t>1246-012MARTILLOS</t>
  </si>
  <si>
    <t>1246-012-101-060</t>
  </si>
  <si>
    <t>MARTILLO DEMOLEDOR MARCA DEWALT</t>
  </si>
  <si>
    <t>DIRECCION DE SERVICIOS PÚBLICOS</t>
  </si>
  <si>
    <t>C965</t>
  </si>
  <si>
    <t>A DIC  2015</t>
  </si>
  <si>
    <t>DEP'N. ENERO A DICIEMBRE 2016.</t>
  </si>
  <si>
    <t>1241-103-101</t>
  </si>
  <si>
    <t>ESCRITORIO TENDENCE</t>
  </si>
  <si>
    <t>1241-105-101-050-01</t>
  </si>
  <si>
    <t>TELEFONO INAL DUO MOTOROLA</t>
  </si>
  <si>
    <t>MIERCOLES CIUDADANO</t>
  </si>
  <si>
    <t>1241-148-Ttrituradora de papel</t>
  </si>
  <si>
    <t>1241-148-101</t>
  </si>
  <si>
    <t>TRITURADORA DE 12 HOJAS ROYAL</t>
  </si>
  <si>
    <t>B60</t>
  </si>
  <si>
    <t>1241-149-EQUIPO DE AIRE ACONDICIONADO</t>
  </si>
  <si>
    <t>1241-149-101</t>
  </si>
  <si>
    <t>EQUIPO DE AIRE ACONDICIONADO</t>
  </si>
  <si>
    <t>1241-149-101-042-01</t>
  </si>
  <si>
    <t>1241-149-101-005-01</t>
  </si>
  <si>
    <t>DEPRECIACIÓN MENSUAL PARA JUNIO A DICIEMBRE 2016</t>
  </si>
  <si>
    <t>1241-115-101-038-01</t>
  </si>
  <si>
    <t>IMPRESORA HP LASER JET</t>
  </si>
  <si>
    <t>COL 184234</t>
  </si>
  <si>
    <t>1241-122-TABLON PEGABLE</t>
  </si>
  <si>
    <t>1241-122-101</t>
  </si>
  <si>
    <t>SIETE TABLONES PEGABLES</t>
  </si>
  <si>
    <t>FE 1632</t>
  </si>
  <si>
    <t>1242-MOBILIARIO Y EQUIPO EDUCACIONAL Y RECREATIVO</t>
  </si>
  <si>
    <t>1241-105-101-072-02</t>
  </si>
  <si>
    <t>telefono inalambrico</t>
  </si>
  <si>
    <t>1241-144-101-075-01</t>
  </si>
  <si>
    <t>1241-116-101-040-01</t>
  </si>
  <si>
    <t>DEP'N. JUNIO A DICIEMBRE 2015</t>
  </si>
  <si>
    <t>1242-010-101-011-01-01</t>
  </si>
  <si>
    <t>TABLADO</t>
  </si>
  <si>
    <t>F-370</t>
  </si>
  <si>
    <t>1241-105 TELÉFONO</t>
  </si>
  <si>
    <t>1241-105-101-011-01</t>
  </si>
  <si>
    <t>2 TELÉFONOS</t>
  </si>
  <si>
    <t>F-1622</t>
  </si>
  <si>
    <t>F-5598</t>
  </si>
  <si>
    <t>1241-014-101 EQUIPO DE RADIOCOMUNICACIÓN VEHÍCULO</t>
  </si>
  <si>
    <t>1246-014-101</t>
  </si>
  <si>
    <t>RADIOCOMUNICACIÓN</t>
  </si>
  <si>
    <t>F-046</t>
  </si>
  <si>
    <t>SEGURIDAD PÚBLICA</t>
  </si>
  <si>
    <t>Cálculo Depreciación de Activos Fijos Ejercicio Fiscal 2016</t>
  </si>
  <si>
    <t>1246-002-101 HERRAMIENTAS</t>
  </si>
  <si>
    <t>1246-002-101-042-01</t>
  </si>
  <si>
    <t>ESCALERA</t>
  </si>
  <si>
    <t>F-0062</t>
  </si>
  <si>
    <t>CONTRALORÍA</t>
  </si>
  <si>
    <t>1241-151-101</t>
  </si>
  <si>
    <t>1241-151-101-047-01</t>
  </si>
  <si>
    <t>CÁMARAS DE VIDEOVIGILANCIA</t>
  </si>
  <si>
    <t>F-9042</t>
  </si>
  <si>
    <t>VENTILADOR Z FAN</t>
  </si>
  <si>
    <t>DEP'N. ENERO A DICIEMBRE 2016</t>
  </si>
  <si>
    <t>VEINTILADOR DE PISO 20", ASPAS DE FIERRO</t>
  </si>
  <si>
    <t>1241-EQUIPO DE CÓMPUTO</t>
  </si>
  <si>
    <t>1241-101-101-003-01</t>
  </si>
  <si>
    <t>EQUIPO DE CÓMPUTO</t>
  </si>
  <si>
    <t>F-5777</t>
  </si>
  <si>
    <t>1246- MAQUINARIA PESADA</t>
  </si>
  <si>
    <t>1244-015-101</t>
  </si>
  <si>
    <t>1241-101-234-042-01</t>
  </si>
  <si>
    <t>EQUIPO DE CÓMPUTO ACER</t>
  </si>
  <si>
    <t>F-30</t>
  </si>
  <si>
    <t>VALOR ACTUAL DEL BIEN 31 DICIEMBRE 2016</t>
  </si>
  <si>
    <t>1241-103-101-ESCRITORIOS, MESAS</t>
  </si>
  <si>
    <t>ESCRITORIO REDONDO EN PAROTA CON 2 CAJONES</t>
  </si>
  <si>
    <t>A-3796</t>
  </si>
  <si>
    <t>DEPRECIACIÓN MENSUAL PARA JUNIO A DICIEMBRE 2017</t>
  </si>
  <si>
    <t>DEP'N. ENERO A DICIEMBRE 2017</t>
  </si>
  <si>
    <t>DEPRECIACIÓN MENSUAL PARA JUNIO 2016 A MAYO 2017</t>
  </si>
  <si>
    <t>CÁLCULO DE LA DEPRECIACIÓN ACTUALIZADA JUNIO 2017</t>
  </si>
  <si>
    <t>Cálculo Depreciación de Activos Fijos Ejercicio Fiscal 2017</t>
  </si>
  <si>
    <t>DEPRECIACIÓN MENSUAL PARA JUNIO 2016 A MAYO 2018</t>
  </si>
  <si>
    <t>1241-106-101 ANAQUELES, REPIZAS, LIBREROS</t>
  </si>
  <si>
    <t>ESCRITORIO CESNA CON CUBIERTA CURVA</t>
  </si>
  <si>
    <t>1241-103-101-040-01</t>
  </si>
  <si>
    <t>1241-106-101-040-01</t>
  </si>
  <si>
    <t>CREDENZA CON LIBRERO/TMARINDO COLOR NEGRO</t>
  </si>
  <si>
    <t>DEPRECIACIÓN MENSUAL PARA JUNIO 2016 A JUNIO 2017</t>
  </si>
  <si>
    <t>1241-116-101-018-01</t>
  </si>
  <si>
    <t>CAJA FUERTE NEGRO/GRIS HONEYWELL</t>
  </si>
  <si>
    <t>F-301902204</t>
  </si>
  <si>
    <r>
      <t xml:space="preserve">DEPARTAMENTO: </t>
    </r>
    <r>
      <rPr>
        <b/>
        <sz val="10"/>
        <color theme="1"/>
        <rFont val="Arial"/>
        <family val="2"/>
      </rPr>
      <t>HACIENDA MUNICIPAL</t>
    </r>
  </si>
  <si>
    <t>DEPRECIACIÓN MENSUAL PARA JUNIO 2016 A  MAYO 2017</t>
  </si>
  <si>
    <t>1242-011-AMPLIFICADOR</t>
  </si>
  <si>
    <t>1242-011-101-006-01</t>
  </si>
  <si>
    <t>AMPLIFICADOR BÁSICO USB TECH</t>
  </si>
  <si>
    <t>F-1023</t>
  </si>
  <si>
    <t>1246-013-238-047-101</t>
  </si>
  <si>
    <t>EQUIPO DE RADIOCOMUNICACIÓN BASE EL ENCINO</t>
  </si>
  <si>
    <t>F-76492</t>
  </si>
  <si>
    <t>1246-015-101 HERRAMIENTAS</t>
  </si>
  <si>
    <t>1246-015-101</t>
  </si>
  <si>
    <t>COMPRA DE JUEGO DE ANDAMIOS</t>
  </si>
  <si>
    <t>AAB1A4</t>
  </si>
  <si>
    <t>1246-002 PODADORA</t>
  </si>
  <si>
    <t>1246-002 TALADROS</t>
  </si>
  <si>
    <t>1246-002-101-056</t>
  </si>
  <si>
    <t>TALADRO 3/8" (10 mm.) 120V-60Hz</t>
  </si>
  <si>
    <t>DIR. SERV. PÚB./ELECTRICISTA</t>
  </si>
  <si>
    <t>F-2872</t>
  </si>
  <si>
    <t>TOYOTA AVANZA, PREM MAN 2016, AUTOMÁTICA</t>
  </si>
  <si>
    <t>F-4392</t>
  </si>
  <si>
    <t>AMPLIFICADOR P/PUBLIDIFUSION USB/DISPLAY</t>
  </si>
  <si>
    <t>1242-012-EQUIPO DE SONIDO</t>
  </si>
  <si>
    <t>1242-012-101-055-01</t>
  </si>
  <si>
    <t>EQUIPO DE SONIDO, AMPLIFICADOR DE AUDIO, MP3. F.M.</t>
  </si>
  <si>
    <t>PARQUES Y JARDINES</t>
  </si>
  <si>
    <t>6A708C60</t>
  </si>
  <si>
    <t>NOTA LA TOYOTA AVANZA NO SE DEPRECIÓ EN ENERO DEBIDO A QUE SE DUPLICO EN OTRA RELACIÓN (OFICILÍA MAYOR SE DEPRECIÓ TAMBIÉN)</t>
  </si>
  <si>
    <t xml:space="preserve"> </t>
  </si>
  <si>
    <t>F-12DE3C9</t>
  </si>
  <si>
    <t>BASE DE FIERRO PARA OFICINA</t>
  </si>
  <si>
    <t>TELÉFONO DIGITAL, NEGRO, NORSTAR, M-7100</t>
  </si>
  <si>
    <t>F-001692</t>
  </si>
  <si>
    <t>1241-116-101-042-01</t>
  </si>
  <si>
    <t>F-301902004</t>
  </si>
  <si>
    <t>TELEFONO DIGITAL NORSTAR</t>
  </si>
  <si>
    <t>1241-105- TELEFONO DIGITAL NORSTAR</t>
  </si>
  <si>
    <t>1241-105-101-024-01</t>
  </si>
  <si>
    <t>TELÉFONO DIGITAL NORSTAR</t>
  </si>
  <si>
    <t>1241-105-TELÉFONO DIGITAL NORSTAR</t>
  </si>
  <si>
    <t>1241-105-101-009-01</t>
  </si>
  <si>
    <t>F-A2834</t>
  </si>
  <si>
    <t>1241-113-101-073-01</t>
  </si>
  <si>
    <t>1 VENTILADOR DE TORRE</t>
  </si>
  <si>
    <t>ESCRITORIO: LATERAL DERECHA 0.90x.040x0.75</t>
  </si>
  <si>
    <t>ESCRITORIO RECTANGULAR 1.50X.70X.77 FRENTE 1.60X.70</t>
  </si>
  <si>
    <t>ARCHIVERO 1 CAJÓN 1 GAVETA P/FONDO 40</t>
  </si>
  <si>
    <t>F-A2859</t>
  </si>
  <si>
    <t>1231-006-101</t>
  </si>
  <si>
    <t>TERRENO PARA NUEVO CEMENTERIO</t>
  </si>
  <si>
    <t>EN TRÁMITE</t>
  </si>
  <si>
    <t>DEP'N. ENERO A DICIEMBRE 2017.</t>
  </si>
  <si>
    <t>DEPRECIACIÓN MENSUAL PARA JUNIO 2017 A MAYO 2018</t>
  </si>
  <si>
    <t>AL 31 DE MAYO DE 2017</t>
  </si>
  <si>
    <t>% DE USO AL 31 DE MAYO DE 2017</t>
  </si>
  <si>
    <t>MESES DE USO AL 31 DE MAYO DE 2017</t>
  </si>
  <si>
    <t>% DE USO RESTANTE PARA DEPRECIAR</t>
  </si>
  <si>
    <t>DEPRECIACIÓN ACUMULADA DE ENERO A MAYO 2017</t>
  </si>
  <si>
    <t>DEPRECIACIÓN MENSUAL ACTUALIZADA PARA JUNIO 2017 A MAYO 2018</t>
  </si>
  <si>
    <t>DEP'N. JUNIO A DICIEMBRE 2017</t>
  </si>
  <si>
    <t>VALOR AL 31 DE MAYO DE 2017</t>
  </si>
  <si>
    <t>TOTAL DEPRECIACIÓN DE ENERO A MAYO 2017</t>
  </si>
  <si>
    <t>VALOR ACTUAL DEL BIEN AL 31 DE MAYO DE 2017</t>
  </si>
  <si>
    <t>MESES DE USO AL 31 DE MAYO DE 2018</t>
  </si>
  <si>
    <t>DEP'N. ENERO A MAYO 2017</t>
  </si>
  <si>
    <t>VALOR ACTUAL DEL BIEN AL 31 D EMAYO DE 2017</t>
  </si>
  <si>
    <t>DEPRECIACIÓN DE JUNIO A DICIEMBRE 2017</t>
  </si>
  <si>
    <t>VALOR ACTUAL DEL BIEN AL 31 DE MAYO 2017</t>
  </si>
  <si>
    <t>DEP'N. ENERO A JUNIO 2017.</t>
  </si>
  <si>
    <t>DEP'N. JUNIO A DICIEMBRE  2017</t>
  </si>
  <si>
    <t>VALOR ACTUAL DEL BIEN</t>
  </si>
  <si>
    <t>DEPRECIACIÓN MENSUAL PARA JUNIO 2017 A  MAYO 2018</t>
  </si>
  <si>
    <t>DEP'N. JUNIO A DICIEMBRE 2017.</t>
  </si>
  <si>
    <t>% DE USO RESTANTE PARA DEPRECIAR EN 2017</t>
  </si>
  <si>
    <t>DEPRECIACIÓN JUNIO 2017 A MAYO 2018</t>
  </si>
  <si>
    <t>DEPRECIACIÓN MENSUAL PARA JUNIO A MAYO 2018</t>
  </si>
  <si>
    <t xml:space="preserve">% DE USO RESTANTE PARA DEPRECIAR </t>
  </si>
  <si>
    <t>VALOR ACTUAL DEL BIEN AL 31 DE MAYO DE 217</t>
  </si>
  <si>
    <t>DEP. ACUMULADA DE ENERO A MAYO 2017</t>
  </si>
  <si>
    <t>DEP. ACUMULADA DE ENERO A MAYO DE 2017</t>
  </si>
  <si>
    <t>VALOR ACTUAL DEL BIEN AL 31 DE DICIEMBRE DE 2017</t>
  </si>
  <si>
    <t xml:space="preserve">DEP. ACUMULADA DE ENERO A MAYO </t>
  </si>
  <si>
    <t>DEP. ACUMULADA DE ENEO A MAYO DE 2017</t>
  </si>
  <si>
    <t>VALOR ACTUAL DE BIEN EL 31 DE MAYO DE 2017</t>
  </si>
  <si>
    <t>DEP. ACUMULADA MAYO 2017</t>
  </si>
  <si>
    <t>VALOR DEL BIEN AL 31 DE MAYO DE 2017</t>
  </si>
  <si>
    <t>DEP'N. JUNIO A DICIEMBRE</t>
  </si>
  <si>
    <t>DEPRECIACIÓN MENSUAL PARA JUNIO A MAYO 2017</t>
  </si>
  <si>
    <t>DEP'N. JUNIO  A DICIEMBRE 2017</t>
  </si>
  <si>
    <t>DEP. ACUMULADA ENERO A MAYO 2017</t>
  </si>
  <si>
    <t>DEP. ACUMLADA DE ENERO MAYO DE 2017</t>
  </si>
  <si>
    <t>PARRILLA USADA DE CUATRO QUEMADORES</t>
  </si>
  <si>
    <t>O.P. 5528</t>
  </si>
  <si>
    <t>1246-037-101-042</t>
  </si>
  <si>
    <t>MOTOCONFORMADORA, VOLVO, AMARILLA</t>
  </si>
  <si>
    <t>1246-039-101-042</t>
  </si>
  <si>
    <t>RETROEXVADORA, JBC SUBMARCA 214e2T</t>
  </si>
  <si>
    <t>CONV. NO. 79</t>
  </si>
  <si>
    <t>CONV. NO. 40</t>
  </si>
  <si>
    <t>COMPUTADORA RAM 8 GB, DD 2td, intel core I5-6400t</t>
  </si>
  <si>
    <t>A7CEB</t>
  </si>
  <si>
    <t>1241-112-101-002-01</t>
  </si>
  <si>
    <t>MULTIFUNCIONAL 4 COLORES, ESPSON L 220</t>
  </si>
  <si>
    <t>B9B61</t>
  </si>
  <si>
    <t>HORNO DE MICROONDAS 1.1 ES JAL, DAEWOO</t>
  </si>
  <si>
    <t>IWAAJ140404</t>
  </si>
  <si>
    <t>1241-AIRE ACONDICIONADO</t>
  </si>
  <si>
    <t>1241-149-239</t>
  </si>
  <si>
    <t>AIRE ACONDICIONADO MIRAGE LIFE, CAP. DE 1 T.R.</t>
  </si>
  <si>
    <t>1241-105-101-042-001</t>
  </si>
  <si>
    <t>Teléfono Alambrico FAC CLASS X</t>
  </si>
  <si>
    <t>FAC.1955</t>
  </si>
  <si>
    <t xml:space="preserve"> HP LASERJET PRO M452DW DUPLEX</t>
  </si>
  <si>
    <t>1241-115-240-001- IMPRESORA</t>
  </si>
  <si>
    <t>1241-115-240-001-</t>
  </si>
  <si>
    <t xml:space="preserve">           </t>
  </si>
  <si>
    <t>1241-122-101-011-001</t>
  </si>
  <si>
    <t xml:space="preserve">5 MESAS PLEGABLES 1.80 MT PORTAFOLIO </t>
  </si>
  <si>
    <t>F-509</t>
  </si>
  <si>
    <t>1241-101-240-042-01</t>
  </si>
  <si>
    <t>COMPUTADORA INTEL CORE i3-700</t>
  </si>
  <si>
    <t>F-1062</t>
  </si>
  <si>
    <t>LAPTOP DELL VOSTRO14300 SERIE 3458</t>
  </si>
  <si>
    <t>COMPUTADORA HP ALL IN ONE</t>
  </si>
  <si>
    <t>1241-110-101</t>
  </si>
  <si>
    <t>1241-105-101-047-001</t>
  </si>
  <si>
    <t>1241-110-101-047-001</t>
  </si>
  <si>
    <t>1241-149-239-047-001</t>
  </si>
  <si>
    <t>ARCHIVERO 4 GAV NGO TEXTURIZADO</t>
  </si>
  <si>
    <t>F-5849</t>
  </si>
  <si>
    <t>1241-113-239</t>
  </si>
  <si>
    <t>1241-113-239-047-001</t>
  </si>
  <si>
    <t xml:space="preserve">REFRIGERADOR ACROS MOD. AT090FQ </t>
  </si>
  <si>
    <t>N-4902</t>
  </si>
  <si>
    <t>1241-115-240-042-01</t>
  </si>
  <si>
    <t>MULTIFUNCIONAL HP LASERJET PRO M477FNW COLOR</t>
  </si>
  <si>
    <t>|</t>
  </si>
  <si>
    <t xml:space="preserve">1241-159- PLOTTER </t>
  </si>
  <si>
    <t>PLOTTER HP DESINGJET T120</t>
  </si>
  <si>
    <t xml:space="preserve">1241-160 SOFTWARE PARA CALCULO DE PRESIOS/COSTO DE CONSTRUCCIÓN </t>
  </si>
  <si>
    <t>1241-160-240-042-001</t>
  </si>
  <si>
    <t>1241-159-240-042-001</t>
  </si>
  <si>
    <t>SOFTWARE NEODATA PARA CALCULO DE PRECIOS/COSTOS DE CONSTRUCCIÓN</t>
  </si>
  <si>
    <t xml:space="preserve">1254-006-LICENCIAS </t>
  </si>
  <si>
    <t>1254-006-240-042-001</t>
  </si>
  <si>
    <t>OFFICE 365 CON LICENCIA PARA CINCO EQUIPOS</t>
  </si>
  <si>
    <t xml:space="preserve">1254-007-LICENCIAS </t>
  </si>
  <si>
    <t>1254-007-240-042-001</t>
  </si>
  <si>
    <t>KASPERSKY ANTIVIRUS LICENCIA PARA CINCO EQUIPOS</t>
  </si>
  <si>
    <t>1241-113-239-042-001</t>
  </si>
  <si>
    <t>ESTUFA DE GAS 4 QUEMADORES CON HORNO COLOR NEGRO MODELO 5101</t>
  </si>
  <si>
    <t>F-253</t>
  </si>
  <si>
    <t xml:space="preserve">1241-113- ELECTRODOMESTICOS </t>
  </si>
  <si>
    <t>1241-155-101</t>
  </si>
  <si>
    <t>VENTILADOR MYTEK 16" DE PEDESTAL MOD.3191</t>
  </si>
  <si>
    <t>F-0540</t>
  </si>
  <si>
    <t>1241-155-101-002-001</t>
  </si>
  <si>
    <t>1241-155 ESCUDO DE ARMAS DEL MUNICIPIO</t>
  </si>
  <si>
    <t>ELABORACIÓN DE ESCUDO DE ARMAS DEL MUNICIPIO EN MADERA DE PAROTA BARNIZADO</t>
  </si>
  <si>
    <t>O.P. 6371</t>
  </si>
  <si>
    <t>1246-040-101</t>
  </si>
  <si>
    <t>CAMIÓN TIPO GRÚA MACK MODELO 1997</t>
  </si>
  <si>
    <t>1241-110- ARCHIVERO METÁLICO CUATRO GAVETAS</t>
  </si>
  <si>
    <t>1241-110-239-002-01</t>
  </si>
  <si>
    <t xml:space="preserve">ARCHIVERO METALICO 4 GAV NGO </t>
  </si>
  <si>
    <t>F-1211</t>
  </si>
  <si>
    <t>1241-161-MESAS</t>
  </si>
  <si>
    <t>1241-110-239-003-01</t>
  </si>
  <si>
    <t>MESA PARA CABILDO DE 4.5MTS.</t>
  </si>
  <si>
    <t xml:space="preserve"> DESARROLLO SOCIAL</t>
  </si>
  <si>
    <t>1241-101-EQUIPO DE CÓMPUTO</t>
  </si>
  <si>
    <t>1241-101-101-073-01</t>
  </si>
  <si>
    <t>COMPUTADORA  HP COLOR BLANCO</t>
  </si>
  <si>
    <t>F-7045</t>
  </si>
  <si>
    <t>O.P 6856</t>
  </si>
  <si>
    <t>% DE USO RESTANTE PARA DEPRECIAR EN 2018</t>
  </si>
  <si>
    <t>F-928</t>
  </si>
  <si>
    <t>LAPTOP HACER INTEL CORE i3</t>
  </si>
  <si>
    <t>F-17</t>
  </si>
  <si>
    <t>f-cfu9098</t>
  </si>
  <si>
    <t>DEP. ACUMULADA DE ENERO A MAYO 2018</t>
  </si>
  <si>
    <t>VALOR DEL BIEN AL 31 DE MAYO DE 2018</t>
  </si>
  <si>
    <t>DEPRECIACIÓN MENSUAL PARA JUNIO A DICIEMBRE 2018</t>
  </si>
  <si>
    <t>DEL BIEN AL 31 DE DICIEMBRE DEL 2017</t>
  </si>
  <si>
    <t>zz</t>
  </si>
  <si>
    <t>DEP'N. ENERO A DICIEMBRE 2018</t>
  </si>
  <si>
    <t>1242-010-TABLADO</t>
  </si>
  <si>
    <t>1241-101-101-024-01</t>
  </si>
  <si>
    <t>CPU MARCA EVOTEC</t>
  </si>
  <si>
    <t>F-0195</t>
  </si>
  <si>
    <t>DEPRECIACIÓN MENSUAL PARA JUNIO 2018 A MAYO 2019</t>
  </si>
  <si>
    <t>VALOR DEL BIEN AL 31 DE MAYO DE 2019</t>
  </si>
  <si>
    <t>MESES DE USO RESTANTES</t>
  </si>
  <si>
    <t>DEPRECIACIÓN MENSUAL PARA JUNIO  2018 A MAYO 2019</t>
  </si>
  <si>
    <t xml:space="preserve">JUNIO </t>
  </si>
  <si>
    <t xml:space="preserve">AGOSTO </t>
  </si>
  <si>
    <t>ESCRITORIO CAFÉ/NEGRO, SIN MARCA</t>
  </si>
  <si>
    <t>,</t>
  </si>
  <si>
    <t>DEPRECIACIÓN MENSUAL PARA JUNIO 2018 MAYO 2019</t>
  </si>
  <si>
    <t xml:space="preserve">  </t>
  </si>
  <si>
    <t>ADMINISTRACIÓN 2018-2021</t>
  </si>
  <si>
    <t>Cálculo Depreciación de Activos Fijos Ejercicio Fiscal 2018</t>
  </si>
  <si>
    <t>DEP. ACUMULADA DE JUNIO ´18 A MAYO 2019</t>
  </si>
  <si>
    <t>VALOR DEL BIEN AL 31 MAYO DE 2019</t>
  </si>
  <si>
    <t>DEP. ACUMULADA DE JUNIO ´18 A MAYO 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</si>
</sst>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_);[Red]\(#,##0.00\)"/>
    <numFmt numFmtId="165" formatCode="_(* #,##0.00_);_(* \(#,##0.00\);_(* &quot;-&quot;??_);_(@_)"/>
    <numFmt numFmtId="166" formatCode="0.0000"/>
    <numFmt numFmtId="167" formatCode="#,##0.0000"/>
    <numFmt numFmtId="168" formatCode="#,##0.000"/>
    <numFmt numFmtId="169" formatCode="0.000"/>
    <numFmt numFmtId="170" formatCode="_(* #,##0.000_);_(* \(#,##0.000\);_(* &quot;-&quot;??_);_(@_)"/>
    <numFmt numFmtId="171" formatCode="_(* #,##0.0000_);_(* \(#,##0.0000\);_(* &quot;-&quot;??_);_(@_)"/>
    <numFmt numFmtId="172" formatCode="_(* #,##0.000000_);_(* \(#,##0.000000\);_(* &quot;-&quot;??_);_(@_)"/>
    <numFmt numFmtId="173" formatCode="&quot;$&quot;#,##0.00"/>
  </numFmts>
  <fonts count="61" x14ac:knownFonts="1">
    <font>
      <sz val="10"/>
      <name val="Arial"/>
    </font>
    <font>
      <sz val="8"/>
      <name val="Arial"/>
      <family val="2"/>
    </font>
    <font>
      <b/>
      <sz val="8"/>
      <name val="Arial Narrow"/>
      <family val="2"/>
    </font>
    <font>
      <b/>
      <u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color theme="0"/>
      <name val="Arial"/>
      <family val="2"/>
    </font>
    <font>
      <b/>
      <sz val="8"/>
      <color theme="0"/>
      <name val="Arial Narrow"/>
      <family val="2"/>
    </font>
    <font>
      <sz val="8"/>
      <color theme="0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indexed="81"/>
      <name val="Tahoma"/>
      <family val="2"/>
    </font>
    <font>
      <sz val="6"/>
      <color theme="1"/>
      <name val="Arial"/>
      <family val="2"/>
    </font>
    <font>
      <b/>
      <sz val="8"/>
      <color theme="1"/>
      <name val="Arial Narrow"/>
      <family val="2"/>
    </font>
    <font>
      <b/>
      <sz val="7"/>
      <color theme="1"/>
      <name val="Arial Narrow"/>
      <family val="2"/>
    </font>
    <font>
      <sz val="7"/>
      <color theme="1"/>
      <name val="Arial"/>
      <family val="2"/>
    </font>
    <font>
      <i/>
      <sz val="10"/>
      <name val="Arial"/>
      <family val="2"/>
    </font>
    <font>
      <b/>
      <sz val="6"/>
      <color theme="1"/>
      <name val="Arial Narrow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u/>
      <sz val="8"/>
      <color theme="1"/>
      <name val="Arial"/>
      <family val="2"/>
    </font>
    <font>
      <sz val="7"/>
      <color theme="0"/>
      <name val="Arial"/>
      <family val="2"/>
    </font>
    <font>
      <sz val="7"/>
      <name val="Arial"/>
      <family val="2"/>
    </font>
    <font>
      <b/>
      <sz val="7"/>
      <color theme="0"/>
      <name val="Arial Narrow"/>
      <family val="2"/>
    </font>
    <font>
      <b/>
      <u/>
      <sz val="7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b/>
      <sz val="9"/>
      <name val="Arial"/>
      <family val="2"/>
    </font>
    <font>
      <sz val="9"/>
      <color theme="0"/>
      <name val="Arial"/>
      <family val="2"/>
    </font>
    <font>
      <sz val="10"/>
      <name val="Arial"/>
      <family val="2"/>
    </font>
    <font>
      <b/>
      <sz val="10"/>
      <color theme="0"/>
      <name val="Arial Narrow"/>
      <family val="2"/>
    </font>
    <font>
      <sz val="8"/>
      <color theme="0"/>
      <name val="Arial Narrow"/>
      <family val="2"/>
    </font>
    <font>
      <u/>
      <sz val="8"/>
      <name val="Arial"/>
      <family val="2"/>
    </font>
    <font>
      <sz val="11"/>
      <name val="Calibri"/>
      <family val="2"/>
    </font>
    <font>
      <sz val="8"/>
      <color rgb="FFFF0000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u/>
      <sz val="10"/>
      <name val="Arial"/>
      <family val="2"/>
    </font>
    <font>
      <b/>
      <sz val="10"/>
      <name val="Arial Narrow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46" fillId="22" borderId="11" applyNumberFormat="0" applyFont="0" applyAlignment="0" applyProtection="0"/>
    <xf numFmtId="44" fontId="46" fillId="0" borderId="0" applyFont="0" applyFill="0" applyBorder="0" applyAlignment="0" applyProtection="0"/>
    <xf numFmtId="0" fontId="7" fillId="0" borderId="0"/>
  </cellStyleXfs>
  <cellXfs count="1306">
    <xf numFmtId="0" fontId="0" fillId="0" borderId="0" xfId="0"/>
    <xf numFmtId="0" fontId="4" fillId="0" borderId="4" xfId="0" applyFont="1" applyBorder="1" applyAlignment="1">
      <alignment horizontal="left"/>
    </xf>
    <xf numFmtId="164" fontId="4" fillId="0" borderId="4" xfId="0" applyNumberFormat="1" applyFont="1" applyBorder="1"/>
    <xf numFmtId="0" fontId="4" fillId="0" borderId="4" xfId="0" applyFont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4" fontId="4" fillId="0" borderId="4" xfId="0" applyNumberFormat="1" applyFont="1" applyFill="1" applyBorder="1" applyAlignment="1">
      <alignment horizontal="right"/>
    </xf>
    <xf numFmtId="0" fontId="1" fillId="0" borderId="4" xfId="0" applyFont="1" applyBorder="1" applyAlignment="1">
      <alignment horizontal="center"/>
    </xf>
    <xf numFmtId="4" fontId="1" fillId="0" borderId="4" xfId="0" applyNumberFormat="1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2" fillId="0" borderId="4" xfId="0" applyFont="1" applyBorder="1" applyAlignment="1">
      <alignment horizontal="center"/>
    </xf>
    <xf numFmtId="0" fontId="7" fillId="0" borderId="0" xfId="0" applyFont="1"/>
    <xf numFmtId="165" fontId="0" fillId="0" borderId="0" xfId="0" applyNumberFormat="1"/>
    <xf numFmtId="164" fontId="4" fillId="0" borderId="4" xfId="0" applyNumberFormat="1" applyFont="1" applyFill="1" applyBorder="1"/>
    <xf numFmtId="4" fontId="4" fillId="0" borderId="4" xfId="0" applyNumberFormat="1" applyFont="1" applyFill="1" applyBorder="1"/>
    <xf numFmtId="0" fontId="0" fillId="0" borderId="0" xfId="0" applyFill="1"/>
    <xf numFmtId="0" fontId="4" fillId="0" borderId="4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/>
    <xf numFmtId="14" fontId="4" fillId="0" borderId="4" xfId="0" applyNumberFormat="1" applyFont="1" applyFill="1" applyBorder="1" applyAlignment="1">
      <alignment horizontal="center"/>
    </xf>
    <xf numFmtId="14" fontId="4" fillId="0" borderId="4" xfId="0" applyNumberFormat="1" applyFont="1" applyBorder="1" applyAlignment="1">
      <alignment horizontal="center"/>
    </xf>
    <xf numFmtId="0" fontId="10" fillId="5" borderId="2" xfId="0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/>
    </xf>
    <xf numFmtId="0" fontId="10" fillId="5" borderId="3" xfId="0" applyFont="1" applyFill="1" applyBorder="1" applyAlignment="1">
      <alignment horizontal="center"/>
    </xf>
    <xf numFmtId="9" fontId="4" fillId="0" borderId="4" xfId="0" applyNumberFormat="1" applyFont="1" applyFill="1" applyBorder="1" applyAlignment="1">
      <alignment horizontal="center"/>
    </xf>
    <xf numFmtId="0" fontId="6" fillId="3" borderId="4" xfId="0" applyFont="1" applyFill="1" applyBorder="1" applyAlignment="1">
      <alignment horizontal="left"/>
    </xf>
    <xf numFmtId="0" fontId="6" fillId="0" borderId="4" xfId="0" applyFont="1" applyFill="1" applyBorder="1" applyAlignment="1">
      <alignment horizontal="center"/>
    </xf>
    <xf numFmtId="0" fontId="0" fillId="0" borderId="4" xfId="0" applyBorder="1"/>
    <xf numFmtId="0" fontId="6" fillId="0" borderId="4" xfId="0" applyFont="1" applyFill="1" applyBorder="1" applyAlignment="1">
      <alignment horizontal="left"/>
    </xf>
    <xf numFmtId="10" fontId="4" fillId="0" borderId="4" xfId="0" applyNumberFormat="1" applyFont="1" applyFill="1" applyBorder="1" applyAlignment="1">
      <alignment horizontal="center"/>
    </xf>
    <xf numFmtId="14" fontId="4" fillId="0" borderId="4" xfId="0" applyNumberFormat="1" applyFont="1" applyFill="1" applyBorder="1" applyAlignment="1">
      <alignment horizontal="left"/>
    </xf>
    <xf numFmtId="0" fontId="0" fillId="0" borderId="4" xfId="0" applyFill="1" applyBorder="1"/>
    <xf numFmtId="14" fontId="4" fillId="0" borderId="4" xfId="0" applyNumberFormat="1" applyFont="1" applyFill="1" applyBorder="1"/>
    <xf numFmtId="0" fontId="6" fillId="2" borderId="4" xfId="0" applyFont="1" applyFill="1" applyBorder="1" applyAlignment="1">
      <alignment horizontal="left"/>
    </xf>
    <xf numFmtId="0" fontId="7" fillId="0" borderId="0" xfId="0" applyFont="1" applyFill="1"/>
    <xf numFmtId="0" fontId="0" fillId="0" borderId="0" xfId="0" applyFill="1" applyBorder="1"/>
    <xf numFmtId="14" fontId="0" fillId="0" borderId="0" xfId="0" applyNumberFormat="1" applyFill="1"/>
    <xf numFmtId="0" fontId="0" fillId="0" borderId="0" xfId="0" applyFill="1" applyAlignment="1">
      <alignment horizontal="center"/>
    </xf>
    <xf numFmtId="0" fontId="0" fillId="0" borderId="0" xfId="0" applyFill="1" applyAlignment="1"/>
    <xf numFmtId="0" fontId="10" fillId="5" borderId="3" xfId="0" applyFont="1" applyFill="1" applyBorder="1" applyAlignment="1">
      <alignment horizontal="center" wrapText="1"/>
    </xf>
    <xf numFmtId="14" fontId="12" fillId="7" borderId="4" xfId="0" applyNumberFormat="1" applyFont="1" applyFill="1" applyBorder="1" applyAlignment="1">
      <alignment horizontal="center"/>
    </xf>
    <xf numFmtId="0" fontId="12" fillId="7" borderId="4" xfId="0" applyFont="1" applyFill="1" applyBorder="1" applyAlignment="1">
      <alignment horizontal="left"/>
    </xf>
    <xf numFmtId="164" fontId="12" fillId="7" borderId="4" xfId="0" applyNumberFormat="1" applyFont="1" applyFill="1" applyBorder="1"/>
    <xf numFmtId="0" fontId="12" fillId="7" borderId="4" xfId="0" applyNumberFormat="1" applyFont="1" applyFill="1" applyBorder="1" applyAlignment="1">
      <alignment horizontal="center"/>
    </xf>
    <xf numFmtId="0" fontId="12" fillId="0" borderId="4" xfId="0" applyFont="1" applyFill="1" applyBorder="1" applyAlignment="1">
      <alignment horizontal="left"/>
    </xf>
    <xf numFmtId="14" fontId="12" fillId="0" borderId="4" xfId="0" applyNumberFormat="1" applyFont="1" applyFill="1" applyBorder="1" applyAlignment="1">
      <alignment horizontal="center"/>
    </xf>
    <xf numFmtId="164" fontId="12" fillId="0" borderId="4" xfId="0" applyNumberFormat="1" applyFont="1" applyFill="1" applyBorder="1"/>
    <xf numFmtId="0" fontId="12" fillId="0" borderId="4" xfId="0" applyNumberFormat="1" applyFont="1" applyFill="1" applyBorder="1" applyAlignment="1">
      <alignment horizontal="center"/>
    </xf>
    <xf numFmtId="10" fontId="12" fillId="0" borderId="4" xfId="0" applyNumberFormat="1" applyFont="1" applyFill="1" applyBorder="1" applyAlignment="1">
      <alignment horizontal="center"/>
    </xf>
    <xf numFmtId="14" fontId="4" fillId="7" borderId="4" xfId="0" applyNumberFormat="1" applyFont="1" applyFill="1" applyBorder="1" applyAlignment="1">
      <alignment horizontal="center"/>
    </xf>
    <xf numFmtId="0" fontId="4" fillId="7" borderId="4" xfId="0" applyFont="1" applyFill="1" applyBorder="1" applyAlignment="1">
      <alignment horizontal="left"/>
    </xf>
    <xf numFmtId="9" fontId="4" fillId="7" borderId="4" xfId="0" applyNumberFormat="1" applyFont="1" applyFill="1" applyBorder="1" applyAlignment="1">
      <alignment horizontal="center"/>
    </xf>
    <xf numFmtId="9" fontId="12" fillId="0" borderId="4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left"/>
    </xf>
    <xf numFmtId="165" fontId="12" fillId="0" borderId="4" xfId="0" applyNumberFormat="1" applyFont="1" applyFill="1" applyBorder="1"/>
    <xf numFmtId="4" fontId="12" fillId="0" borderId="4" xfId="0" applyNumberFormat="1" applyFont="1" applyFill="1" applyBorder="1"/>
    <xf numFmtId="166" fontId="12" fillId="0" borderId="4" xfId="0" applyNumberFormat="1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166" fontId="12" fillId="7" borderId="4" xfId="0" applyNumberFormat="1" applyFont="1" applyFill="1" applyBorder="1" applyAlignment="1">
      <alignment horizontal="center"/>
    </xf>
    <xf numFmtId="165" fontId="12" fillId="7" borderId="4" xfId="0" applyNumberFormat="1" applyFont="1" applyFill="1" applyBorder="1"/>
    <xf numFmtId="0" fontId="12" fillId="7" borderId="4" xfId="0" applyFont="1" applyFill="1" applyBorder="1" applyAlignment="1">
      <alignment horizontal="center"/>
    </xf>
    <xf numFmtId="165" fontId="1" fillId="0" borderId="4" xfId="0" applyNumberFormat="1" applyFont="1" applyFill="1" applyBorder="1"/>
    <xf numFmtId="4" fontId="1" fillId="0" borderId="4" xfId="0" applyNumberFormat="1" applyFont="1" applyFill="1" applyBorder="1"/>
    <xf numFmtId="166" fontId="1" fillId="0" borderId="4" xfId="0" applyNumberFormat="1" applyFont="1" applyFill="1" applyBorder="1" applyAlignment="1">
      <alignment horizontal="center"/>
    </xf>
    <xf numFmtId="165" fontId="11" fillId="0" borderId="4" xfId="0" applyNumberFormat="1" applyFont="1" applyFill="1" applyBorder="1"/>
    <xf numFmtId="166" fontId="11" fillId="0" borderId="4" xfId="0" applyNumberFormat="1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/>
    </xf>
    <xf numFmtId="0" fontId="0" fillId="0" borderId="0" xfId="0" applyFill="1" applyAlignment="1">
      <alignment horizontal="right"/>
    </xf>
    <xf numFmtId="0" fontId="0" fillId="0" borderId="0" xfId="0" applyAlignment="1">
      <alignment horizontal="right"/>
    </xf>
    <xf numFmtId="0" fontId="10" fillId="5" borderId="2" xfId="0" applyFont="1" applyFill="1" applyBorder="1" applyAlignment="1">
      <alignment horizontal="right"/>
    </xf>
    <xf numFmtId="165" fontId="14" fillId="7" borderId="4" xfId="0" applyNumberFormat="1" applyFont="1" applyFill="1" applyBorder="1" applyAlignment="1">
      <alignment horizontal="right"/>
    </xf>
    <xf numFmtId="165" fontId="14" fillId="0" borderId="4" xfId="0" applyNumberFormat="1" applyFont="1" applyFill="1" applyBorder="1" applyAlignment="1">
      <alignment horizontal="right"/>
    </xf>
    <xf numFmtId="165" fontId="9" fillId="0" borderId="4" xfId="0" applyNumberFormat="1" applyFont="1" applyFill="1" applyBorder="1" applyAlignment="1">
      <alignment horizontal="right"/>
    </xf>
    <xf numFmtId="0" fontId="6" fillId="3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68" fontId="0" fillId="0" borderId="0" xfId="0" applyNumberFormat="1" applyFill="1" applyAlignment="1"/>
    <xf numFmtId="168" fontId="0" fillId="0" borderId="0" xfId="0" applyNumberFormat="1"/>
    <xf numFmtId="168" fontId="10" fillId="5" borderId="2" xfId="0" applyNumberFormat="1" applyFont="1" applyFill="1" applyBorder="1" applyAlignment="1">
      <alignment horizontal="center"/>
    </xf>
    <xf numFmtId="168" fontId="10" fillId="5" borderId="3" xfId="0" applyNumberFormat="1" applyFont="1" applyFill="1" applyBorder="1" applyAlignment="1">
      <alignment horizontal="center"/>
    </xf>
    <xf numFmtId="168" fontId="12" fillId="0" borderId="4" xfId="0" applyNumberFormat="1" applyFont="1" applyFill="1" applyBorder="1" applyAlignment="1">
      <alignment horizontal="center"/>
    </xf>
    <xf numFmtId="168" fontId="1" fillId="0" borderId="4" xfId="0" applyNumberFormat="1" applyFont="1" applyBorder="1" applyAlignment="1">
      <alignment horizontal="center"/>
    </xf>
    <xf numFmtId="168" fontId="1" fillId="0" borderId="4" xfId="0" applyNumberFormat="1" applyFont="1" applyFill="1" applyBorder="1" applyAlignment="1">
      <alignment horizontal="center"/>
    </xf>
    <xf numFmtId="168" fontId="11" fillId="0" borderId="4" xfId="0" applyNumberFormat="1" applyFont="1" applyFill="1" applyBorder="1" applyAlignment="1">
      <alignment horizontal="center"/>
    </xf>
    <xf numFmtId="168" fontId="12" fillId="0" borderId="5" xfId="0" applyNumberFormat="1" applyFont="1" applyFill="1" applyBorder="1" applyAlignment="1">
      <alignment horizontal="center"/>
    </xf>
    <xf numFmtId="168" fontId="7" fillId="0" borderId="0" xfId="0" applyNumberFormat="1" applyFont="1"/>
    <xf numFmtId="0" fontId="10" fillId="5" borderId="1" xfId="0" applyFont="1" applyFill="1" applyBorder="1" applyAlignment="1">
      <alignment horizontal="center" wrapText="1"/>
    </xf>
    <xf numFmtId="0" fontId="0" fillId="7" borderId="0" xfId="0" applyFill="1"/>
    <xf numFmtId="0" fontId="0" fillId="7" borderId="0" xfId="0" applyFill="1" applyAlignment="1">
      <alignment horizontal="center"/>
    </xf>
    <xf numFmtId="14" fontId="0" fillId="7" borderId="0" xfId="0" applyNumberFormat="1" applyFill="1"/>
    <xf numFmtId="0" fontId="7" fillId="7" borderId="0" xfId="0" applyFont="1" applyFill="1"/>
    <xf numFmtId="14" fontId="15" fillId="8" borderId="0" xfId="0" applyNumberFormat="1" applyFont="1" applyFill="1"/>
    <xf numFmtId="0" fontId="15" fillId="8" borderId="0" xfId="0" applyFont="1" applyFill="1"/>
    <xf numFmtId="0" fontId="15" fillId="8" borderId="0" xfId="0" applyFont="1" applyFill="1" applyAlignment="1">
      <alignment horizontal="center"/>
    </xf>
    <xf numFmtId="0" fontId="15" fillId="8" borderId="0" xfId="0" applyFont="1" applyFill="1" applyAlignment="1"/>
    <xf numFmtId="168" fontId="15" fillId="8" borderId="0" xfId="0" applyNumberFormat="1" applyFont="1" applyFill="1" applyAlignment="1"/>
    <xf numFmtId="0" fontId="15" fillId="8" borderId="0" xfId="0" applyFont="1" applyFill="1" applyAlignment="1">
      <alignment horizontal="right"/>
    </xf>
    <xf numFmtId="14" fontId="16" fillId="8" borderId="0" xfId="0" applyNumberFormat="1" applyFont="1" applyFill="1"/>
    <xf numFmtId="14" fontId="16" fillId="8" borderId="0" xfId="0" applyNumberFormat="1" applyFont="1" applyFill="1" applyAlignment="1">
      <alignment horizontal="center"/>
    </xf>
    <xf numFmtId="0" fontId="16" fillId="8" borderId="0" xfId="0" applyFont="1" applyFill="1"/>
    <xf numFmtId="0" fontId="1" fillId="0" borderId="4" xfId="0" applyFont="1" applyFill="1" applyBorder="1" applyAlignment="1">
      <alignment horizontal="left"/>
    </xf>
    <xf numFmtId="4" fontId="15" fillId="8" borderId="0" xfId="0" applyNumberFormat="1" applyFont="1" applyFill="1"/>
    <xf numFmtId="4" fontId="16" fillId="8" borderId="0" xfId="0" applyNumberFormat="1" applyFont="1" applyFill="1"/>
    <xf numFmtId="4" fontId="0" fillId="0" borderId="0" xfId="0" applyNumberFormat="1" applyFill="1"/>
    <xf numFmtId="4" fontId="0" fillId="0" borderId="0" xfId="0" applyNumberFormat="1"/>
    <xf numFmtId="4" fontId="12" fillId="7" borderId="4" xfId="0" applyNumberFormat="1" applyFont="1" applyFill="1" applyBorder="1" applyAlignment="1">
      <alignment horizontal="right"/>
    </xf>
    <xf numFmtId="4" fontId="12" fillId="0" borderId="4" xfId="0" applyNumberFormat="1" applyFont="1" applyFill="1" applyBorder="1" applyAlignment="1">
      <alignment horizontal="right"/>
    </xf>
    <xf numFmtId="4" fontId="1" fillId="0" borderId="4" xfId="0" applyNumberFormat="1" applyFont="1" applyBorder="1" applyAlignment="1">
      <alignment horizontal="right"/>
    </xf>
    <xf numFmtId="4" fontId="11" fillId="0" borderId="4" xfId="0" applyNumberFormat="1" applyFont="1" applyFill="1" applyBorder="1" applyAlignment="1">
      <alignment horizontal="right"/>
    </xf>
    <xf numFmtId="0" fontId="1" fillId="7" borderId="4" xfId="0" applyFont="1" applyFill="1" applyBorder="1" applyAlignment="1">
      <alignment horizontal="center"/>
    </xf>
    <xf numFmtId="0" fontId="7" fillId="7" borderId="0" xfId="0" applyFont="1" applyFill="1" applyBorder="1"/>
    <xf numFmtId="0" fontId="3" fillId="0" borderId="4" xfId="0" applyFont="1" applyFill="1" applyBorder="1" applyAlignment="1">
      <alignment horizontal="center"/>
    </xf>
    <xf numFmtId="168" fontId="5" fillId="0" borderId="4" xfId="0" applyNumberFormat="1" applyFont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4" fontId="7" fillId="0" borderId="0" xfId="0" applyNumberFormat="1" applyFont="1" applyFill="1" applyAlignment="1">
      <alignment horizontal="right"/>
    </xf>
    <xf numFmtId="4" fontId="7" fillId="0" borderId="0" xfId="0" applyNumberFormat="1" applyFont="1" applyAlignment="1">
      <alignment horizontal="right"/>
    </xf>
    <xf numFmtId="4" fontId="2" fillId="0" borderId="4" xfId="0" applyNumberFormat="1" applyFont="1" applyFill="1" applyBorder="1" applyAlignment="1">
      <alignment horizontal="right"/>
    </xf>
    <xf numFmtId="10" fontId="4" fillId="7" borderId="4" xfId="0" applyNumberFormat="1" applyFont="1" applyFill="1" applyBorder="1" applyAlignment="1">
      <alignment horizontal="center"/>
    </xf>
    <xf numFmtId="4" fontId="4" fillId="0" borderId="4" xfId="0" applyNumberFormat="1" applyFont="1" applyBorder="1" applyAlignment="1">
      <alignment horizontal="right"/>
    </xf>
    <xf numFmtId="14" fontId="1" fillId="0" borderId="4" xfId="0" applyNumberFormat="1" applyFont="1" applyFill="1" applyBorder="1" applyAlignment="1">
      <alignment horizontal="center"/>
    </xf>
    <xf numFmtId="0" fontId="3" fillId="3" borderId="4" xfId="0" applyFont="1" applyFill="1" applyBorder="1" applyAlignment="1">
      <alignment horizontal="left"/>
    </xf>
    <xf numFmtId="4" fontId="4" fillId="0" borderId="4" xfId="0" applyNumberFormat="1" applyFont="1" applyFill="1" applyBorder="1" applyAlignment="1">
      <alignment horizontal="center"/>
    </xf>
    <xf numFmtId="14" fontId="9" fillId="5" borderId="3" xfId="0" applyNumberFormat="1" applyFont="1" applyFill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right"/>
    </xf>
    <xf numFmtId="0" fontId="3" fillId="0" borderId="4" xfId="0" applyFont="1" applyFill="1" applyBorder="1" applyAlignment="1">
      <alignment horizontal="left"/>
    </xf>
    <xf numFmtId="0" fontId="1" fillId="0" borderId="4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left"/>
    </xf>
    <xf numFmtId="10" fontId="1" fillId="0" borderId="4" xfId="0" applyNumberFormat="1" applyFont="1" applyFill="1" applyBorder="1" applyAlignment="1">
      <alignment horizontal="center"/>
    </xf>
    <xf numFmtId="14" fontId="1" fillId="0" borderId="4" xfId="0" applyNumberFormat="1" applyFont="1" applyFill="1" applyBorder="1"/>
    <xf numFmtId="4" fontId="1" fillId="0" borderId="4" xfId="0" applyNumberFormat="1" applyFont="1" applyFill="1" applyBorder="1" applyAlignment="1">
      <alignment horizontal="center"/>
    </xf>
    <xf numFmtId="9" fontId="1" fillId="0" borderId="4" xfId="0" applyNumberFormat="1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4" fontId="1" fillId="0" borderId="4" xfId="0" applyNumberFormat="1" applyFont="1" applyBorder="1"/>
    <xf numFmtId="164" fontId="1" fillId="0" borderId="4" xfId="0" applyNumberFormat="1" applyFont="1" applyFill="1" applyBorder="1"/>
    <xf numFmtId="168" fontId="0" fillId="0" borderId="4" xfId="0" applyNumberFormat="1" applyFill="1" applyBorder="1"/>
    <xf numFmtId="168" fontId="0" fillId="0" borderId="4" xfId="0" applyNumberFormat="1" applyBorder="1"/>
    <xf numFmtId="4" fontId="12" fillId="0" borderId="5" xfId="0" applyNumberFormat="1" applyFont="1" applyFill="1" applyBorder="1" applyAlignment="1">
      <alignment horizontal="right"/>
    </xf>
    <xf numFmtId="4" fontId="1" fillId="0" borderId="5" xfId="0" applyNumberFormat="1" applyFont="1" applyFill="1" applyBorder="1" applyAlignment="1">
      <alignment horizontal="right"/>
    </xf>
    <xf numFmtId="166" fontId="12" fillId="0" borderId="5" xfId="0" applyNumberFormat="1" applyFont="1" applyFill="1" applyBorder="1" applyAlignment="1">
      <alignment horizontal="center"/>
    </xf>
    <xf numFmtId="168" fontId="1" fillId="0" borderId="5" xfId="0" applyNumberFormat="1" applyFont="1" applyFill="1" applyBorder="1" applyAlignment="1">
      <alignment horizontal="center"/>
    </xf>
    <xf numFmtId="168" fontId="0" fillId="0" borderId="5" xfId="0" applyNumberFormat="1" applyBorder="1"/>
    <xf numFmtId="4" fontId="4" fillId="0" borderId="4" xfId="0" applyNumberFormat="1" applyFont="1" applyFill="1" applyBorder="1" applyAlignment="1"/>
    <xf numFmtId="0" fontId="0" fillId="0" borderId="4" xfId="0" applyNumberFormat="1" applyBorder="1"/>
    <xf numFmtId="4" fontId="1" fillId="0" borderId="4" xfId="0" applyNumberFormat="1" applyFont="1" applyFill="1" applyBorder="1" applyAlignment="1">
      <alignment vertical="center"/>
    </xf>
    <xf numFmtId="169" fontId="12" fillId="0" borderId="4" xfId="0" applyNumberFormat="1" applyFont="1" applyFill="1" applyBorder="1" applyAlignment="1">
      <alignment horizontal="center"/>
    </xf>
    <xf numFmtId="169" fontId="1" fillId="0" borderId="4" xfId="0" applyNumberFormat="1" applyFont="1" applyFill="1" applyBorder="1" applyAlignment="1">
      <alignment horizontal="center"/>
    </xf>
    <xf numFmtId="169" fontId="12" fillId="7" borderId="4" xfId="0" applyNumberFormat="1" applyFont="1" applyFill="1" applyBorder="1" applyAlignment="1">
      <alignment horizontal="center"/>
    </xf>
    <xf numFmtId="0" fontId="1" fillId="7" borderId="4" xfId="0" applyNumberFormat="1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4" xfId="0" applyNumberFormat="1" applyFill="1" applyBorder="1"/>
    <xf numFmtId="2" fontId="4" fillId="0" borderId="4" xfId="0" applyNumberFormat="1" applyFont="1" applyFill="1" applyBorder="1" applyAlignment="1">
      <alignment horizontal="right" vertical="center"/>
    </xf>
    <xf numFmtId="164" fontId="4" fillId="0" borderId="4" xfId="0" applyNumberFormat="1" applyFont="1" applyFill="1" applyBorder="1" applyAlignment="1">
      <alignment horizontal="right" vertical="center"/>
    </xf>
    <xf numFmtId="0" fontId="2" fillId="0" borderId="4" xfId="0" applyFont="1" applyBorder="1" applyAlignment="1">
      <alignment horizontal="right" vertical="center"/>
    </xf>
    <xf numFmtId="4" fontId="4" fillId="0" borderId="4" xfId="0" applyNumberFormat="1" applyFont="1" applyFill="1" applyBorder="1" applyAlignment="1">
      <alignment horizontal="right" vertical="center"/>
    </xf>
    <xf numFmtId="4" fontId="4" fillId="0" borderId="4" xfId="0" applyNumberFormat="1" applyFont="1" applyBorder="1" applyAlignment="1">
      <alignment horizontal="right" vertical="center"/>
    </xf>
    <xf numFmtId="4" fontId="2" fillId="0" borderId="4" xfId="0" applyNumberFormat="1" applyFont="1" applyBorder="1" applyAlignment="1">
      <alignment horizontal="right" vertical="center"/>
    </xf>
    <xf numFmtId="14" fontId="10" fillId="4" borderId="2" xfId="0" applyNumberFormat="1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/>
    </xf>
    <xf numFmtId="168" fontId="10" fillId="4" borderId="2" xfId="0" applyNumberFormat="1" applyFont="1" applyFill="1" applyBorder="1" applyAlignment="1">
      <alignment horizontal="center"/>
    </xf>
    <xf numFmtId="0" fontId="10" fillId="4" borderId="2" xfId="0" applyFont="1" applyFill="1" applyBorder="1" applyAlignment="1">
      <alignment horizontal="right"/>
    </xf>
    <xf numFmtId="14" fontId="16" fillId="4" borderId="3" xfId="0" applyNumberFormat="1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/>
    </xf>
    <xf numFmtId="168" fontId="10" fillId="4" borderId="3" xfId="0" applyNumberFormat="1" applyFont="1" applyFill="1" applyBorder="1" applyAlignment="1">
      <alignment horizontal="center"/>
    </xf>
    <xf numFmtId="2" fontId="12" fillId="7" borderId="4" xfId="0" applyNumberFormat="1" applyFont="1" applyFill="1" applyBorder="1" applyAlignment="1">
      <alignment horizontal="center"/>
    </xf>
    <xf numFmtId="2" fontId="12" fillId="0" borderId="4" xfId="0" applyNumberFormat="1" applyFont="1" applyFill="1" applyBorder="1" applyAlignment="1">
      <alignment horizontal="center"/>
    </xf>
    <xf numFmtId="14" fontId="20" fillId="9" borderId="2" xfId="0" applyNumberFormat="1" applyFont="1" applyFill="1" applyBorder="1" applyAlignment="1">
      <alignment horizontal="center" vertical="center" wrapText="1"/>
    </xf>
    <xf numFmtId="14" fontId="12" fillId="9" borderId="3" xfId="0" applyNumberFormat="1" applyFont="1" applyFill="1" applyBorder="1" applyAlignment="1">
      <alignment horizontal="center" vertical="center" wrapText="1"/>
    </xf>
    <xf numFmtId="167" fontId="12" fillId="0" borderId="4" xfId="0" applyNumberFormat="1" applyFont="1" applyFill="1" applyBorder="1" applyAlignment="1">
      <alignment horizontal="center"/>
    </xf>
    <xf numFmtId="167" fontId="11" fillId="0" borderId="4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0" fontId="3" fillId="3" borderId="5" xfId="0" applyFont="1" applyFill="1" applyBorder="1" applyAlignment="1"/>
    <xf numFmtId="14" fontId="1" fillId="2" borderId="4" xfId="0" applyNumberFormat="1" applyFont="1" applyFill="1" applyBorder="1" applyAlignment="1">
      <alignment horizontal="center"/>
    </xf>
    <xf numFmtId="164" fontId="1" fillId="2" borderId="4" xfId="0" applyNumberFormat="1" applyFont="1" applyFill="1" applyBorder="1"/>
    <xf numFmtId="0" fontId="0" fillId="0" borderId="0" xfId="0" applyNumberFormat="1"/>
    <xf numFmtId="0" fontId="1" fillId="12" borderId="4" xfId="0" applyFont="1" applyFill="1" applyBorder="1" applyAlignment="1">
      <alignment horizontal="left"/>
    </xf>
    <xf numFmtId="0" fontId="12" fillId="12" borderId="4" xfId="0" applyFont="1" applyFill="1" applyBorder="1" applyAlignment="1">
      <alignment horizontal="left"/>
    </xf>
    <xf numFmtId="0" fontId="4" fillId="12" borderId="4" xfId="0" applyFont="1" applyFill="1" applyBorder="1" applyAlignment="1">
      <alignment horizontal="center"/>
    </xf>
    <xf numFmtId="9" fontId="4" fillId="12" borderId="4" xfId="0" applyNumberFormat="1" applyFont="1" applyFill="1" applyBorder="1" applyAlignment="1">
      <alignment horizontal="center"/>
    </xf>
    <xf numFmtId="0" fontId="4" fillId="12" borderId="4" xfId="0" applyNumberFormat="1" applyFont="1" applyFill="1" applyBorder="1" applyAlignment="1">
      <alignment horizontal="center"/>
    </xf>
    <xf numFmtId="14" fontId="4" fillId="12" borderId="4" xfId="0" applyNumberFormat="1" applyFont="1" applyFill="1" applyBorder="1" applyAlignment="1">
      <alignment horizontal="center"/>
    </xf>
    <xf numFmtId="164" fontId="4" fillId="12" borderId="4" xfId="0" applyNumberFormat="1" applyFont="1" applyFill="1" applyBorder="1"/>
    <xf numFmtId="0" fontId="1" fillId="12" borderId="4" xfId="0" applyNumberFormat="1" applyFont="1" applyFill="1" applyBorder="1" applyAlignment="1">
      <alignment horizontal="center"/>
    </xf>
    <xf numFmtId="4" fontId="12" fillId="12" borderId="4" xfId="0" applyNumberFormat="1" applyFont="1" applyFill="1" applyBorder="1" applyAlignment="1">
      <alignment horizontal="right"/>
    </xf>
    <xf numFmtId="14" fontId="10" fillId="4" borderId="2" xfId="0" applyNumberFormat="1" applyFont="1" applyFill="1" applyBorder="1" applyAlignment="1">
      <alignment horizontal="center" vertical="center" wrapText="1"/>
    </xf>
    <xf numFmtId="0" fontId="21" fillId="9" borderId="2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169" fontId="4" fillId="0" borderId="4" xfId="0" applyNumberFormat="1" applyFont="1" applyFill="1" applyBorder="1" applyAlignment="1">
      <alignment horizontal="center"/>
    </xf>
    <xf numFmtId="0" fontId="21" fillId="9" borderId="2" xfId="0" applyFont="1" applyFill="1" applyBorder="1" applyAlignment="1">
      <alignment horizontal="center" vertical="center" wrapText="1"/>
    </xf>
    <xf numFmtId="14" fontId="10" fillId="4" borderId="2" xfId="0" applyNumberFormat="1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14" fontId="24" fillId="9" borderId="3" xfId="0" applyNumberFormat="1" applyFont="1" applyFill="1" applyBorder="1" applyAlignment="1">
      <alignment horizontal="center" vertical="center" wrapText="1"/>
    </xf>
    <xf numFmtId="14" fontId="21" fillId="9" borderId="3" xfId="0" applyNumberFormat="1" applyFont="1" applyFill="1" applyBorder="1" applyAlignment="1">
      <alignment horizontal="center" vertical="center" wrapText="1"/>
    </xf>
    <xf numFmtId="165" fontId="1" fillId="0" borderId="0" xfId="0" applyNumberFormat="1" applyFont="1"/>
    <xf numFmtId="0" fontId="10" fillId="4" borderId="2" xfId="0" applyFont="1" applyFill="1" applyBorder="1" applyAlignment="1">
      <alignment horizontal="center" wrapText="1"/>
    </xf>
    <xf numFmtId="14" fontId="10" fillId="4" borderId="2" xfId="0" applyNumberFormat="1" applyFont="1" applyFill="1" applyBorder="1" applyAlignment="1">
      <alignment horizontal="center" vertical="center" wrapText="1"/>
    </xf>
    <xf numFmtId="0" fontId="21" fillId="9" borderId="2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0" fontId="21" fillId="9" borderId="2" xfId="0" applyFont="1" applyFill="1" applyBorder="1" applyAlignment="1">
      <alignment horizontal="center" vertical="center" wrapText="1"/>
    </xf>
    <xf numFmtId="14" fontId="10" fillId="4" borderId="2" xfId="0" applyNumberFormat="1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12" fillId="10" borderId="3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21" fillId="9" borderId="2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14" fontId="8" fillId="10" borderId="6" xfId="0" applyNumberFormat="1" applyFont="1" applyFill="1" applyBorder="1" applyAlignment="1">
      <alignment horizontal="center" vertical="center"/>
    </xf>
    <xf numFmtId="14" fontId="10" fillId="4" borderId="2" xfId="0" applyNumberFormat="1" applyFont="1" applyFill="1" applyBorder="1" applyAlignment="1">
      <alignment horizontal="center" vertical="center" wrapText="1"/>
    </xf>
    <xf numFmtId="14" fontId="17" fillId="4" borderId="3" xfId="0" applyNumberFormat="1" applyFont="1" applyFill="1" applyBorder="1" applyAlignment="1">
      <alignment horizontal="center" vertical="center" wrapText="1"/>
    </xf>
    <xf numFmtId="0" fontId="7" fillId="13" borderId="0" xfId="0" applyFont="1" applyFill="1"/>
    <xf numFmtId="0" fontId="0" fillId="13" borderId="0" xfId="0" applyFill="1"/>
    <xf numFmtId="14" fontId="1" fillId="13" borderId="4" xfId="0" applyNumberFormat="1" applyFont="1" applyFill="1" applyBorder="1" applyAlignment="1">
      <alignment horizontal="center"/>
    </xf>
    <xf numFmtId="0" fontId="1" fillId="13" borderId="4" xfId="0" applyFont="1" applyFill="1" applyBorder="1" applyAlignment="1">
      <alignment horizontal="left"/>
    </xf>
    <xf numFmtId="0" fontId="12" fillId="13" borderId="4" xfId="0" applyFont="1" applyFill="1" applyBorder="1" applyAlignment="1">
      <alignment horizontal="left"/>
    </xf>
    <xf numFmtId="0" fontId="12" fillId="13" borderId="4" xfId="0" applyFont="1" applyFill="1" applyBorder="1" applyAlignment="1">
      <alignment horizontal="center"/>
    </xf>
    <xf numFmtId="10" fontId="12" fillId="13" borderId="4" xfId="0" applyNumberFormat="1" applyFont="1" applyFill="1" applyBorder="1" applyAlignment="1">
      <alignment horizontal="center"/>
    </xf>
    <xf numFmtId="14" fontId="12" fillId="13" borderId="4" xfId="0" applyNumberFormat="1" applyFont="1" applyFill="1" applyBorder="1" applyAlignment="1">
      <alignment horizontal="center"/>
    </xf>
    <xf numFmtId="0" fontId="12" fillId="13" borderId="4" xfId="0" applyNumberFormat="1" applyFont="1" applyFill="1" applyBorder="1" applyAlignment="1">
      <alignment horizontal="center"/>
    </xf>
    <xf numFmtId="169" fontId="12" fillId="13" borderId="4" xfId="0" applyNumberFormat="1" applyFont="1" applyFill="1" applyBorder="1" applyAlignment="1">
      <alignment horizontal="center"/>
    </xf>
    <xf numFmtId="2" fontId="12" fillId="13" borderId="4" xfId="0" applyNumberFormat="1" applyFont="1" applyFill="1" applyBorder="1" applyAlignment="1">
      <alignment horizontal="center"/>
    </xf>
    <xf numFmtId="164" fontId="12" fillId="13" borderId="4" xfId="0" applyNumberFormat="1" applyFont="1" applyFill="1" applyBorder="1"/>
    <xf numFmtId="4" fontId="12" fillId="13" borderId="4" xfId="0" applyNumberFormat="1" applyFont="1" applyFill="1" applyBorder="1" applyAlignment="1">
      <alignment horizontal="right"/>
    </xf>
    <xf numFmtId="166" fontId="12" fillId="13" borderId="4" xfId="0" applyNumberFormat="1" applyFont="1" applyFill="1" applyBorder="1" applyAlignment="1">
      <alignment horizontal="center"/>
    </xf>
    <xf numFmtId="168" fontId="12" fillId="13" borderId="4" xfId="0" applyNumberFormat="1" applyFont="1" applyFill="1" applyBorder="1" applyAlignment="1">
      <alignment horizontal="center"/>
    </xf>
    <xf numFmtId="165" fontId="12" fillId="13" borderId="4" xfId="0" applyNumberFormat="1" applyFont="1" applyFill="1" applyBorder="1"/>
    <xf numFmtId="165" fontId="14" fillId="13" borderId="4" xfId="0" applyNumberFormat="1" applyFont="1" applyFill="1" applyBorder="1" applyAlignment="1">
      <alignment horizontal="right"/>
    </xf>
    <xf numFmtId="14" fontId="8" fillId="10" borderId="6" xfId="0" applyNumberFormat="1" applyFont="1" applyFill="1" applyBorder="1" applyAlignment="1">
      <alignment horizontal="center" vertical="center"/>
    </xf>
    <xf numFmtId="14" fontId="10" fillId="4" borderId="2" xfId="0" applyNumberFormat="1" applyFont="1" applyFill="1" applyBorder="1" applyAlignment="1">
      <alignment horizontal="center" vertical="center" wrapText="1"/>
    </xf>
    <xf numFmtId="0" fontId="21" fillId="9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12" fillId="10" borderId="3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4" fontId="0" fillId="14" borderId="0" xfId="0" applyNumberFormat="1" applyFill="1"/>
    <xf numFmtId="0" fontId="1" fillId="14" borderId="0" xfId="0" applyFont="1" applyFill="1" applyBorder="1" applyAlignment="1">
      <alignment horizontal="left"/>
    </xf>
    <xf numFmtId="0" fontId="0" fillId="14" borderId="0" xfId="0" applyFill="1"/>
    <xf numFmtId="0" fontId="0" fillId="14" borderId="0" xfId="0" applyFill="1" applyAlignment="1">
      <alignment horizontal="center"/>
    </xf>
    <xf numFmtId="0" fontId="1" fillId="0" borderId="4" xfId="0" applyNumberFormat="1" applyFont="1" applyBorder="1" applyAlignment="1">
      <alignment horizontal="center"/>
    </xf>
    <xf numFmtId="14" fontId="1" fillId="0" borderId="4" xfId="0" applyNumberFormat="1" applyFont="1" applyFill="1" applyBorder="1" applyAlignment="1">
      <alignment horizontal="left"/>
    </xf>
    <xf numFmtId="165" fontId="12" fillId="0" borderId="4" xfId="0" applyNumberFormat="1" applyFont="1" applyFill="1" applyBorder="1" applyAlignment="1">
      <alignment horizontal="right"/>
    </xf>
    <xf numFmtId="14" fontId="10" fillId="4" borderId="2" xfId="0" applyNumberFormat="1" applyFont="1" applyFill="1" applyBorder="1" applyAlignment="1">
      <alignment horizontal="center" vertical="center" wrapText="1"/>
    </xf>
    <xf numFmtId="0" fontId="21" fillId="9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12" fillId="10" borderId="3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4" fontId="1" fillId="0" borderId="4" xfId="0" applyNumberFormat="1" applyFont="1" applyFill="1" applyBorder="1" applyAlignment="1"/>
    <xf numFmtId="0" fontId="3" fillId="0" borderId="4" xfId="0" applyNumberFormat="1" applyFont="1" applyFill="1" applyBorder="1" applyAlignment="1">
      <alignment horizontal="center"/>
    </xf>
    <xf numFmtId="14" fontId="8" fillId="4" borderId="6" xfId="0" applyNumberFormat="1" applyFont="1" applyFill="1" applyBorder="1" applyAlignment="1">
      <alignment horizontal="center" vertical="center"/>
    </xf>
    <xf numFmtId="4" fontId="1" fillId="0" borderId="0" xfId="0" applyNumberFormat="1" applyFont="1"/>
    <xf numFmtId="43" fontId="1" fillId="0" borderId="0" xfId="0" applyNumberFormat="1" applyFont="1"/>
    <xf numFmtId="4" fontId="12" fillId="7" borderId="4" xfId="0" applyNumberFormat="1" applyFont="1" applyFill="1" applyBorder="1" applyAlignment="1">
      <alignment horizontal="center"/>
    </xf>
    <xf numFmtId="4" fontId="11" fillId="0" borderId="4" xfId="0" applyNumberFormat="1" applyFont="1" applyFill="1" applyBorder="1" applyAlignment="1">
      <alignment horizontal="center"/>
    </xf>
    <xf numFmtId="4" fontId="12" fillId="0" borderId="4" xfId="0" applyNumberFormat="1" applyFont="1" applyFill="1" applyBorder="1" applyAlignment="1">
      <alignment horizontal="center"/>
    </xf>
    <xf numFmtId="2" fontId="12" fillId="0" borderId="4" xfId="0" applyNumberFormat="1" applyFont="1" applyFill="1" applyBorder="1"/>
    <xf numFmtId="14" fontId="8" fillId="10" borderId="6" xfId="0" applyNumberFormat="1" applyFont="1" applyFill="1" applyBorder="1" applyAlignment="1">
      <alignment horizontal="center" vertical="center"/>
    </xf>
    <xf numFmtId="14" fontId="10" fillId="4" borderId="2" xfId="0" applyNumberFormat="1" applyFont="1" applyFill="1" applyBorder="1" applyAlignment="1">
      <alignment horizontal="center" vertical="center" wrapText="1"/>
    </xf>
    <xf numFmtId="0" fontId="21" fillId="9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12" fillId="10" borderId="3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4" fontId="1" fillId="0" borderId="0" xfId="0" applyNumberFormat="1" applyFont="1" applyFill="1"/>
    <xf numFmtId="14" fontId="8" fillId="10" borderId="6" xfId="0" applyNumberFormat="1" applyFont="1" applyFill="1" applyBorder="1" applyAlignment="1">
      <alignment horizontal="center" vertical="center"/>
    </xf>
    <xf numFmtId="14" fontId="10" fillId="4" borderId="2" xfId="0" applyNumberFormat="1" applyFont="1" applyFill="1" applyBorder="1" applyAlignment="1">
      <alignment horizontal="center" vertical="center" wrapText="1"/>
    </xf>
    <xf numFmtId="0" fontId="21" fillId="9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12" fillId="10" borderId="3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43" fontId="1" fillId="14" borderId="0" xfId="0" applyNumberFormat="1" applyFont="1" applyFill="1"/>
    <xf numFmtId="165" fontId="1" fillId="14" borderId="0" xfId="0" applyNumberFormat="1" applyFont="1" applyFill="1"/>
    <xf numFmtId="14" fontId="8" fillId="10" borderId="6" xfId="0" applyNumberFormat="1" applyFont="1" applyFill="1" applyBorder="1" applyAlignment="1">
      <alignment horizontal="center" vertical="center"/>
    </xf>
    <xf numFmtId="14" fontId="10" fillId="4" borderId="2" xfId="0" applyNumberFormat="1" applyFont="1" applyFill="1" applyBorder="1" applyAlignment="1">
      <alignment horizontal="center" vertical="center" wrapText="1"/>
    </xf>
    <xf numFmtId="0" fontId="21" fillId="9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12" fillId="10" borderId="3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14" fontId="4" fillId="7" borderId="4" xfId="0" applyNumberFormat="1" applyFont="1" applyFill="1" applyBorder="1"/>
    <xf numFmtId="165" fontId="26" fillId="0" borderId="0" xfId="0" applyNumberFormat="1" applyFont="1" applyAlignment="1">
      <alignment horizontal="right"/>
    </xf>
    <xf numFmtId="43" fontId="0" fillId="0" borderId="0" xfId="0" applyNumberFormat="1"/>
    <xf numFmtId="165" fontId="26" fillId="0" borderId="0" xfId="0" applyNumberFormat="1" applyFont="1"/>
    <xf numFmtId="43" fontId="26" fillId="0" borderId="0" xfId="0" applyNumberFormat="1" applyFont="1"/>
    <xf numFmtId="0" fontId="15" fillId="0" borderId="0" xfId="0" applyFont="1"/>
    <xf numFmtId="0" fontId="20" fillId="10" borderId="2" xfId="0" applyFont="1" applyFill="1" applyBorder="1" applyAlignment="1">
      <alignment horizontal="center" vertical="center" wrapText="1"/>
    </xf>
    <xf numFmtId="0" fontId="12" fillId="10" borderId="3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21" fillId="9" borderId="2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14" fontId="8" fillId="10" borderId="6" xfId="0" applyNumberFormat="1" applyFont="1" applyFill="1" applyBorder="1" applyAlignment="1">
      <alignment horizontal="center" vertical="center"/>
    </xf>
    <xf numFmtId="14" fontId="10" fillId="4" borderId="2" xfId="0" applyNumberFormat="1" applyFont="1" applyFill="1" applyBorder="1" applyAlignment="1">
      <alignment horizontal="center" vertical="center" wrapText="1"/>
    </xf>
    <xf numFmtId="0" fontId="1" fillId="15" borderId="4" xfId="0" applyFont="1" applyFill="1" applyBorder="1" applyAlignment="1">
      <alignment horizontal="left"/>
    </xf>
    <xf numFmtId="0" fontId="12" fillId="15" borderId="4" xfId="0" applyFont="1" applyFill="1" applyBorder="1" applyAlignment="1">
      <alignment horizontal="center"/>
    </xf>
    <xf numFmtId="14" fontId="12" fillId="15" borderId="4" xfId="0" applyNumberFormat="1" applyFont="1" applyFill="1" applyBorder="1" applyAlignment="1">
      <alignment horizontal="center"/>
    </xf>
    <xf numFmtId="0" fontId="12" fillId="15" borderId="4" xfId="0" applyNumberFormat="1" applyFont="1" applyFill="1" applyBorder="1" applyAlignment="1">
      <alignment horizontal="center"/>
    </xf>
    <xf numFmtId="169" fontId="12" fillId="15" borderId="4" xfId="0" applyNumberFormat="1" applyFont="1" applyFill="1" applyBorder="1" applyAlignment="1">
      <alignment horizontal="center"/>
    </xf>
    <xf numFmtId="2" fontId="12" fillId="15" borderId="4" xfId="0" applyNumberFormat="1" applyFont="1" applyFill="1" applyBorder="1" applyAlignment="1">
      <alignment horizontal="center"/>
    </xf>
    <xf numFmtId="164" fontId="12" fillId="15" borderId="4" xfId="0" applyNumberFormat="1" applyFont="1" applyFill="1" applyBorder="1"/>
    <xf numFmtId="4" fontId="12" fillId="15" borderId="4" xfId="0" applyNumberFormat="1" applyFont="1" applyFill="1" applyBorder="1" applyAlignment="1">
      <alignment horizontal="right"/>
    </xf>
    <xf numFmtId="166" fontId="12" fillId="15" borderId="4" xfId="0" applyNumberFormat="1" applyFont="1" applyFill="1" applyBorder="1" applyAlignment="1">
      <alignment horizontal="center"/>
    </xf>
    <xf numFmtId="165" fontId="12" fillId="15" borderId="4" xfId="0" applyNumberFormat="1" applyFont="1" applyFill="1" applyBorder="1"/>
    <xf numFmtId="165" fontId="14" fillId="15" borderId="4" xfId="0" applyNumberFormat="1" applyFont="1" applyFill="1" applyBorder="1" applyAlignment="1">
      <alignment horizontal="right"/>
    </xf>
    <xf numFmtId="0" fontId="12" fillId="15" borderId="4" xfId="0" applyFont="1" applyFill="1" applyBorder="1" applyAlignment="1">
      <alignment horizontal="left"/>
    </xf>
    <xf numFmtId="9" fontId="12" fillId="15" borderId="4" xfId="0" applyNumberFormat="1" applyFont="1" applyFill="1" applyBorder="1" applyAlignment="1">
      <alignment horizontal="center"/>
    </xf>
    <xf numFmtId="0" fontId="4" fillId="15" borderId="4" xfId="0" applyNumberFormat="1" applyFont="1" applyFill="1" applyBorder="1" applyAlignment="1">
      <alignment horizontal="center"/>
    </xf>
    <xf numFmtId="166" fontId="11" fillId="15" borderId="4" xfId="0" applyNumberFormat="1" applyFont="1" applyFill="1" applyBorder="1" applyAlignment="1">
      <alignment horizontal="center"/>
    </xf>
    <xf numFmtId="167" fontId="12" fillId="15" borderId="4" xfId="0" applyNumberFormat="1" applyFont="1" applyFill="1" applyBorder="1" applyAlignment="1">
      <alignment horizontal="center"/>
    </xf>
    <xf numFmtId="0" fontId="10" fillId="4" borderId="2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21" fillId="9" borderId="2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14" fontId="10" fillId="4" borderId="2" xfId="0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Border="1"/>
    <xf numFmtId="14" fontId="10" fillId="4" borderId="2" xfId="0" applyNumberFormat="1" applyFont="1" applyFill="1" applyBorder="1" applyAlignment="1">
      <alignment horizontal="center" vertical="center" wrapText="1"/>
    </xf>
    <xf numFmtId="0" fontId="21" fillId="9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0" fontId="1" fillId="16" borderId="4" xfId="0" applyFont="1" applyFill="1" applyBorder="1" applyAlignment="1">
      <alignment horizontal="left"/>
    </xf>
    <xf numFmtId="0" fontId="12" fillId="16" borderId="4" xfId="0" applyFont="1" applyFill="1" applyBorder="1" applyAlignment="1">
      <alignment horizontal="center"/>
    </xf>
    <xf numFmtId="14" fontId="12" fillId="16" borderId="4" xfId="0" applyNumberFormat="1" applyFont="1" applyFill="1" applyBorder="1" applyAlignment="1">
      <alignment horizontal="center"/>
    </xf>
    <xf numFmtId="0" fontId="12" fillId="16" borderId="4" xfId="0" applyNumberFormat="1" applyFont="1" applyFill="1" applyBorder="1" applyAlignment="1">
      <alignment horizontal="center"/>
    </xf>
    <xf numFmtId="169" fontId="12" fillId="16" borderId="4" xfId="0" applyNumberFormat="1" applyFont="1" applyFill="1" applyBorder="1" applyAlignment="1">
      <alignment horizontal="center"/>
    </xf>
    <xf numFmtId="2" fontId="12" fillId="16" borderId="4" xfId="0" applyNumberFormat="1" applyFont="1" applyFill="1" applyBorder="1" applyAlignment="1">
      <alignment horizontal="center"/>
    </xf>
    <xf numFmtId="14" fontId="1" fillId="16" borderId="4" xfId="0" applyNumberFormat="1" applyFont="1" applyFill="1" applyBorder="1" applyAlignment="1">
      <alignment horizontal="center"/>
    </xf>
    <xf numFmtId="164" fontId="12" fillId="16" borderId="4" xfId="0" applyNumberFormat="1" applyFont="1" applyFill="1" applyBorder="1"/>
    <xf numFmtId="4" fontId="12" fillId="16" borderId="4" xfId="0" applyNumberFormat="1" applyFont="1" applyFill="1" applyBorder="1" applyAlignment="1">
      <alignment horizontal="right"/>
    </xf>
    <xf numFmtId="166" fontId="12" fillId="16" borderId="4" xfId="0" applyNumberFormat="1" applyFont="1" applyFill="1" applyBorder="1" applyAlignment="1">
      <alignment horizontal="center"/>
    </xf>
    <xf numFmtId="165" fontId="12" fillId="16" borderId="4" xfId="0" applyNumberFormat="1" applyFont="1" applyFill="1" applyBorder="1"/>
    <xf numFmtId="165" fontId="14" fillId="16" borderId="4" xfId="0" applyNumberFormat="1" applyFont="1" applyFill="1" applyBorder="1" applyAlignment="1">
      <alignment horizontal="right"/>
    </xf>
    <xf numFmtId="0" fontId="0" fillId="16" borderId="0" xfId="0" applyFill="1"/>
    <xf numFmtId="0" fontId="12" fillId="16" borderId="4" xfId="0" applyFont="1" applyFill="1" applyBorder="1" applyAlignment="1">
      <alignment horizontal="left"/>
    </xf>
    <xf numFmtId="9" fontId="12" fillId="16" borderId="4" xfId="0" applyNumberFormat="1" applyFont="1" applyFill="1" applyBorder="1" applyAlignment="1">
      <alignment horizontal="center"/>
    </xf>
    <xf numFmtId="167" fontId="12" fillId="16" borderId="4" xfId="0" applyNumberFormat="1" applyFont="1" applyFill="1" applyBorder="1" applyAlignment="1">
      <alignment horizontal="center"/>
    </xf>
    <xf numFmtId="0" fontId="1" fillId="16" borderId="4" xfId="0" applyNumberFormat="1" applyFont="1" applyFill="1" applyBorder="1" applyAlignment="1">
      <alignment horizontal="center"/>
    </xf>
    <xf numFmtId="170" fontId="12" fillId="16" borderId="4" xfId="0" applyNumberFormat="1" applyFont="1" applyFill="1" applyBorder="1"/>
    <xf numFmtId="171" fontId="12" fillId="16" borderId="4" xfId="0" applyNumberFormat="1" applyFont="1" applyFill="1" applyBorder="1"/>
    <xf numFmtId="0" fontId="1" fillId="17" borderId="4" xfId="0" applyFont="1" applyFill="1" applyBorder="1" applyAlignment="1">
      <alignment horizontal="left"/>
    </xf>
    <xf numFmtId="0" fontId="12" fillId="17" borderId="4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71" fontId="12" fillId="0" borderId="4" xfId="0" applyNumberFormat="1" applyFont="1" applyFill="1" applyBorder="1"/>
    <xf numFmtId="44" fontId="12" fillId="0" borderId="4" xfId="0" applyNumberFormat="1" applyFont="1" applyFill="1" applyBorder="1" applyAlignment="1">
      <alignment horizontal="center"/>
    </xf>
    <xf numFmtId="172" fontId="12" fillId="0" borderId="4" xfId="0" applyNumberFormat="1" applyFont="1" applyFill="1" applyBorder="1"/>
    <xf numFmtId="44" fontId="11" fillId="0" borderId="4" xfId="0" applyNumberFormat="1" applyFont="1" applyFill="1" applyBorder="1" applyAlignment="1">
      <alignment horizontal="center"/>
    </xf>
    <xf numFmtId="165" fontId="14" fillId="12" borderId="4" xfId="0" applyNumberFormat="1" applyFont="1" applyFill="1" applyBorder="1" applyAlignment="1">
      <alignment horizontal="right"/>
    </xf>
    <xf numFmtId="165" fontId="12" fillId="12" borderId="4" xfId="0" applyNumberFormat="1" applyFont="1" applyFill="1" applyBorder="1"/>
    <xf numFmtId="170" fontId="12" fillId="12" borderId="4" xfId="0" applyNumberFormat="1" applyFont="1" applyFill="1" applyBorder="1"/>
    <xf numFmtId="168" fontId="12" fillId="12" borderId="5" xfId="0" applyNumberFormat="1" applyFont="1" applyFill="1" applyBorder="1" applyAlignment="1">
      <alignment horizontal="center"/>
    </xf>
    <xf numFmtId="0" fontId="12" fillId="12" borderId="4" xfId="0" applyFont="1" applyFill="1" applyBorder="1" applyAlignment="1">
      <alignment horizontal="center"/>
    </xf>
    <xf numFmtId="166" fontId="12" fillId="12" borderId="4" xfId="0" applyNumberFormat="1" applyFont="1" applyFill="1" applyBorder="1" applyAlignment="1">
      <alignment horizontal="center"/>
    </xf>
    <xf numFmtId="4" fontId="12" fillId="12" borderId="4" xfId="0" applyNumberFormat="1" applyFont="1" applyFill="1" applyBorder="1"/>
    <xf numFmtId="4" fontId="12" fillId="12" borderId="5" xfId="0" applyNumberFormat="1" applyFont="1" applyFill="1" applyBorder="1" applyAlignment="1">
      <alignment horizontal="right"/>
    </xf>
    <xf numFmtId="1" fontId="12" fillId="12" borderId="4" xfId="0" applyNumberFormat="1" applyFont="1" applyFill="1" applyBorder="1" applyAlignment="1">
      <alignment horizontal="center" vertical="center"/>
    </xf>
    <xf numFmtId="0" fontId="12" fillId="12" borderId="5" xfId="0" applyFont="1" applyFill="1" applyBorder="1" applyAlignment="1">
      <alignment horizontal="center"/>
    </xf>
    <xf numFmtId="4" fontId="1" fillId="12" borderId="4" xfId="0" applyNumberFormat="1" applyFont="1" applyFill="1" applyBorder="1" applyAlignment="1">
      <alignment horizontal="right"/>
    </xf>
    <xf numFmtId="14" fontId="1" fillId="12" borderId="4" xfId="0" applyNumberFormat="1" applyFont="1" applyFill="1" applyBorder="1"/>
    <xf numFmtId="10" fontId="1" fillId="12" borderId="4" xfId="0" applyNumberFormat="1" applyFont="1" applyFill="1" applyBorder="1" applyAlignment="1">
      <alignment horizontal="center"/>
    </xf>
    <xf numFmtId="14" fontId="1" fillId="12" borderId="4" xfId="0" applyNumberFormat="1" applyFont="1" applyFill="1" applyBorder="1" applyAlignment="1">
      <alignment horizontal="center"/>
    </xf>
    <xf numFmtId="0" fontId="3" fillId="17" borderId="4" xfId="0" applyFont="1" applyFill="1" applyBorder="1" applyAlignment="1">
      <alignment horizontal="left"/>
    </xf>
    <xf numFmtId="0" fontId="11" fillId="5" borderId="3" xfId="0" applyNumberFormat="1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wrapText="1"/>
    </xf>
    <xf numFmtId="0" fontId="10" fillId="5" borderId="2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center"/>
    </xf>
    <xf numFmtId="0" fontId="0" fillId="0" borderId="0" xfId="0" applyNumberFormat="1" applyFill="1" applyAlignment="1">
      <alignment horizontal="center"/>
    </xf>
    <xf numFmtId="170" fontId="12" fillId="0" borderId="4" xfId="0" applyNumberFormat="1" applyFont="1" applyFill="1" applyBorder="1"/>
    <xf numFmtId="0" fontId="27" fillId="17" borderId="4" xfId="0" applyFont="1" applyFill="1" applyBorder="1" applyAlignment="1">
      <alignment horizontal="left"/>
    </xf>
    <xf numFmtId="14" fontId="10" fillId="4" borderId="2" xfId="0" applyNumberFormat="1" applyFont="1" applyFill="1" applyBorder="1" applyAlignment="1">
      <alignment horizontal="center" vertical="center" wrapText="1"/>
    </xf>
    <xf numFmtId="0" fontId="21" fillId="9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10" fontId="4" fillId="16" borderId="4" xfId="0" applyNumberFormat="1" applyFont="1" applyFill="1" applyBorder="1" applyAlignment="1">
      <alignment horizontal="center"/>
    </xf>
    <xf numFmtId="14" fontId="4" fillId="16" borderId="4" xfId="0" applyNumberFormat="1" applyFont="1" applyFill="1" applyBorder="1"/>
    <xf numFmtId="4" fontId="4" fillId="16" borderId="4" xfId="0" applyNumberFormat="1" applyFont="1" applyFill="1" applyBorder="1" applyAlignment="1">
      <alignment horizontal="right"/>
    </xf>
    <xf numFmtId="4" fontId="4" fillId="16" borderId="4" xfId="0" applyNumberFormat="1" applyFont="1" applyFill="1" applyBorder="1" applyAlignment="1">
      <alignment horizontal="right" vertical="center"/>
    </xf>
    <xf numFmtId="165" fontId="1" fillId="0" borderId="0" xfId="0" applyNumberFormat="1" applyFont="1" applyFill="1"/>
    <xf numFmtId="43" fontId="1" fillId="0" borderId="0" xfId="0" applyNumberFormat="1" applyFont="1" applyFill="1"/>
    <xf numFmtId="0" fontId="0" fillId="0" borderId="0" xfId="0" applyFill="1" applyAlignment="1">
      <alignment horizontal="center" vertical="center"/>
    </xf>
    <xf numFmtId="168" fontId="0" fillId="0" borderId="0" xfId="0" applyNumberFormat="1" applyFill="1"/>
    <xf numFmtId="0" fontId="10" fillId="4" borderId="7" xfId="0" applyFont="1" applyFill="1" applyBorder="1" applyAlignment="1">
      <alignment horizontal="center" wrapText="1"/>
    </xf>
    <xf numFmtId="0" fontId="10" fillId="4" borderId="8" xfId="0" applyFont="1" applyFill="1" applyBorder="1" applyAlignment="1">
      <alignment horizontal="center"/>
    </xf>
    <xf numFmtId="165" fontId="9" fillId="0" borderId="9" xfId="0" applyNumberFormat="1" applyFont="1" applyFill="1" applyBorder="1" applyAlignment="1">
      <alignment horizontal="right"/>
    </xf>
    <xf numFmtId="165" fontId="14" fillId="0" borderId="9" xfId="0" applyNumberFormat="1" applyFont="1" applyFill="1" applyBorder="1" applyAlignment="1">
      <alignment horizontal="right"/>
    </xf>
    <xf numFmtId="165" fontId="14" fillId="16" borderId="9" xfId="0" applyNumberFormat="1" applyFont="1" applyFill="1" applyBorder="1" applyAlignment="1">
      <alignment horizontal="right"/>
    </xf>
    <xf numFmtId="165" fontId="12" fillId="0" borderId="9" xfId="0" applyNumberFormat="1" applyFont="1" applyFill="1" applyBorder="1"/>
    <xf numFmtId="4" fontId="0" fillId="0" borderId="0" xfId="0" applyNumberFormat="1" applyFill="1" applyBorder="1"/>
    <xf numFmtId="165" fontId="26" fillId="0" borderId="0" xfId="0" applyNumberFormat="1" applyFont="1" applyFill="1"/>
    <xf numFmtId="168" fontId="7" fillId="0" borderId="0" xfId="0" applyNumberFormat="1" applyFont="1" applyFill="1"/>
    <xf numFmtId="43" fontId="15" fillId="0" borderId="0" xfId="0" applyNumberFormat="1" applyFont="1"/>
    <xf numFmtId="165" fontId="15" fillId="0" borderId="0" xfId="0" applyNumberFormat="1" applyFont="1"/>
    <xf numFmtId="165" fontId="7" fillId="0" borderId="0" xfId="0" applyNumberFormat="1" applyFont="1"/>
    <xf numFmtId="4" fontId="15" fillId="0" borderId="0" xfId="0" applyNumberFormat="1" applyFont="1"/>
    <xf numFmtId="14" fontId="12" fillId="0" borderId="4" xfId="0" applyNumberFormat="1" applyFont="1" applyFill="1" applyBorder="1" applyAlignment="1">
      <alignment horizontal="center" wrapText="1"/>
    </xf>
    <xf numFmtId="0" fontId="29" fillId="0" borderId="0" xfId="0" applyFont="1" applyFill="1"/>
    <xf numFmtId="0" fontId="29" fillId="0" borderId="0" xfId="0" applyFont="1"/>
    <xf numFmtId="0" fontId="31" fillId="3" borderId="4" xfId="0" applyFont="1" applyFill="1" applyBorder="1" applyAlignment="1">
      <alignment horizontal="left"/>
    </xf>
    <xf numFmtId="0" fontId="29" fillId="0" borderId="4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3" fillId="12" borderId="4" xfId="0" applyFont="1" applyFill="1" applyBorder="1" applyAlignment="1">
      <alignment horizontal="left"/>
    </xf>
    <xf numFmtId="0" fontId="4" fillId="12" borderId="4" xfId="0" applyFont="1" applyFill="1" applyBorder="1" applyAlignment="1">
      <alignment horizontal="left"/>
    </xf>
    <xf numFmtId="0" fontId="1" fillId="18" borderId="4" xfId="0" applyFont="1" applyFill="1" applyBorder="1" applyAlignment="1">
      <alignment horizontal="left"/>
    </xf>
    <xf numFmtId="0" fontId="12" fillId="18" borderId="4" xfId="0" applyNumberFormat="1" applyFont="1" applyFill="1" applyBorder="1" applyAlignment="1">
      <alignment horizontal="center"/>
    </xf>
    <xf numFmtId="169" fontId="12" fillId="18" borderId="4" xfId="0" applyNumberFormat="1" applyFont="1" applyFill="1" applyBorder="1" applyAlignment="1">
      <alignment horizontal="center"/>
    </xf>
    <xf numFmtId="2" fontId="12" fillId="18" borderId="4" xfId="0" applyNumberFormat="1" applyFont="1" applyFill="1" applyBorder="1" applyAlignment="1">
      <alignment horizontal="center"/>
    </xf>
    <xf numFmtId="14" fontId="1" fillId="18" borderId="4" xfId="0" applyNumberFormat="1" applyFont="1" applyFill="1" applyBorder="1" applyAlignment="1">
      <alignment horizontal="center"/>
    </xf>
    <xf numFmtId="164" fontId="1" fillId="18" borderId="4" xfId="0" applyNumberFormat="1" applyFont="1" applyFill="1" applyBorder="1"/>
    <xf numFmtId="4" fontId="12" fillId="18" borderId="4" xfId="0" applyNumberFormat="1" applyFont="1" applyFill="1" applyBorder="1" applyAlignment="1">
      <alignment horizontal="right"/>
    </xf>
    <xf numFmtId="166" fontId="12" fillId="18" borderId="4" xfId="0" applyNumberFormat="1" applyFont="1" applyFill="1" applyBorder="1" applyAlignment="1">
      <alignment horizontal="center"/>
    </xf>
    <xf numFmtId="168" fontId="12" fillId="18" borderId="4" xfId="0" applyNumberFormat="1" applyFont="1" applyFill="1" applyBorder="1" applyAlignment="1">
      <alignment horizontal="center"/>
    </xf>
    <xf numFmtId="165" fontId="12" fillId="18" borderId="4" xfId="0" applyNumberFormat="1" applyFont="1" applyFill="1" applyBorder="1"/>
    <xf numFmtId="165" fontId="14" fillId="18" borderId="4" xfId="0" applyNumberFormat="1" applyFont="1" applyFill="1" applyBorder="1" applyAlignment="1">
      <alignment horizontal="right"/>
    </xf>
    <xf numFmtId="0" fontId="16" fillId="4" borderId="0" xfId="0" applyFont="1" applyFill="1" applyBorder="1" applyAlignment="1">
      <alignment horizontal="center" vertical="center"/>
    </xf>
    <xf numFmtId="0" fontId="12" fillId="18" borderId="4" xfId="0" applyFont="1" applyFill="1" applyBorder="1" applyAlignment="1">
      <alignment horizontal="left"/>
    </xf>
    <xf numFmtId="0" fontId="12" fillId="18" borderId="4" xfId="0" applyFont="1" applyFill="1" applyBorder="1" applyAlignment="1">
      <alignment horizontal="center"/>
    </xf>
    <xf numFmtId="9" fontId="4" fillId="18" borderId="4" xfId="0" applyNumberFormat="1" applyFont="1" applyFill="1" applyBorder="1" applyAlignment="1">
      <alignment horizontal="center"/>
    </xf>
    <xf numFmtId="0" fontId="1" fillId="18" borderId="4" xfId="0" applyNumberFormat="1" applyFont="1" applyFill="1" applyBorder="1" applyAlignment="1">
      <alignment horizontal="center"/>
    </xf>
    <xf numFmtId="164" fontId="4" fillId="18" borderId="4" xfId="0" applyNumberFormat="1" applyFont="1" applyFill="1" applyBorder="1"/>
    <xf numFmtId="166" fontId="11" fillId="18" borderId="4" xfId="0" applyNumberFormat="1" applyFont="1" applyFill="1" applyBorder="1" applyAlignment="1">
      <alignment horizontal="center"/>
    </xf>
    <xf numFmtId="165" fontId="0" fillId="0" borderId="4" xfId="0" applyNumberFormat="1" applyFill="1" applyBorder="1"/>
    <xf numFmtId="0" fontId="10" fillId="4" borderId="1" xfId="0" applyFont="1" applyFill="1" applyBorder="1" applyAlignment="1">
      <alignment horizontal="center"/>
    </xf>
    <xf numFmtId="43" fontId="0" fillId="0" borderId="4" xfId="0" applyNumberFormat="1" applyFill="1" applyBorder="1"/>
    <xf numFmtId="165" fontId="11" fillId="0" borderId="9" xfId="0" applyNumberFormat="1" applyFont="1" applyFill="1" applyBorder="1"/>
    <xf numFmtId="165" fontId="14" fillId="18" borderId="9" xfId="0" applyNumberFormat="1" applyFont="1" applyFill="1" applyBorder="1" applyAlignment="1">
      <alignment horizontal="right"/>
    </xf>
    <xf numFmtId="0" fontId="0" fillId="0" borderId="0" xfId="0" applyBorder="1"/>
    <xf numFmtId="4" fontId="0" fillId="0" borderId="0" xfId="0" applyNumberFormat="1" applyBorder="1"/>
    <xf numFmtId="0" fontId="8" fillId="0" borderId="0" xfId="0" applyFont="1"/>
    <xf numFmtId="0" fontId="8" fillId="0" borderId="0" xfId="0" applyFont="1" applyFill="1"/>
    <xf numFmtId="0" fontId="8" fillId="0" borderId="4" xfId="0" applyFont="1" applyFill="1" applyBorder="1"/>
    <xf numFmtId="165" fontId="8" fillId="0" borderId="4" xfId="0" applyNumberFormat="1" applyFont="1" applyFill="1" applyBorder="1"/>
    <xf numFmtId="0" fontId="8" fillId="0" borderId="0" xfId="0" applyFont="1" applyBorder="1"/>
    <xf numFmtId="4" fontId="8" fillId="0" borderId="0" xfId="0" applyNumberFormat="1" applyFont="1"/>
    <xf numFmtId="2" fontId="8" fillId="0" borderId="4" xfId="0" applyNumberFormat="1" applyFont="1" applyFill="1" applyBorder="1"/>
    <xf numFmtId="2" fontId="0" fillId="0" borderId="0" xfId="0" applyNumberFormat="1"/>
    <xf numFmtId="2" fontId="0" fillId="0" borderId="0" xfId="0" applyNumberFormat="1" applyFill="1"/>
    <xf numFmtId="2" fontId="10" fillId="4" borderId="2" xfId="0" applyNumberFormat="1" applyFont="1" applyFill="1" applyBorder="1" applyAlignment="1">
      <alignment horizontal="center" wrapText="1"/>
    </xf>
    <xf numFmtId="2" fontId="10" fillId="4" borderId="2" xfId="0" applyNumberFormat="1" applyFont="1" applyFill="1" applyBorder="1" applyAlignment="1">
      <alignment horizontal="right"/>
    </xf>
    <xf numFmtId="2" fontId="10" fillId="4" borderId="3" xfId="0" applyNumberFormat="1" applyFont="1" applyFill="1" applyBorder="1" applyAlignment="1">
      <alignment horizontal="center"/>
    </xf>
    <xf numFmtId="165" fontId="14" fillId="0" borderId="4" xfId="0" applyNumberFormat="1" applyFont="1" applyFill="1" applyBorder="1"/>
    <xf numFmtId="165" fontId="14" fillId="12" borderId="4" xfId="0" applyNumberFormat="1" applyFont="1" applyFill="1" applyBorder="1"/>
    <xf numFmtId="164" fontId="14" fillId="0" borderId="4" xfId="0" applyNumberFormat="1" applyFont="1" applyFill="1" applyBorder="1"/>
    <xf numFmtId="0" fontId="8" fillId="0" borderId="9" xfId="0" applyFont="1" applyFill="1" applyBorder="1"/>
    <xf numFmtId="165" fontId="8" fillId="0" borderId="9" xfId="0" applyNumberFormat="1" applyFont="1" applyFill="1" applyBorder="1"/>
    <xf numFmtId="0" fontId="0" fillId="12" borderId="0" xfId="0" applyFill="1" applyBorder="1"/>
    <xf numFmtId="4" fontId="0" fillId="12" borderId="0" xfId="0" applyNumberFormat="1" applyFill="1" applyBorder="1"/>
    <xf numFmtId="165" fontId="0" fillId="0" borderId="1" xfId="0" applyNumberFormat="1" applyFill="1" applyBorder="1"/>
    <xf numFmtId="164" fontId="0" fillId="0" borderId="0" xfId="0" applyNumberFormat="1" applyFill="1" applyBorder="1"/>
    <xf numFmtId="165" fontId="0" fillId="0" borderId="0" xfId="0" applyNumberFormat="1" applyFill="1"/>
    <xf numFmtId="165" fontId="8" fillId="0" borderId="1" xfId="0" applyNumberFormat="1" applyFont="1" applyFill="1" applyBorder="1"/>
    <xf numFmtId="165" fontId="12" fillId="0" borderId="1" xfId="0" applyNumberFormat="1" applyFont="1" applyFill="1" applyBorder="1"/>
    <xf numFmtId="165" fontId="14" fillId="0" borderId="1" xfId="0" applyNumberFormat="1" applyFont="1" applyFill="1" applyBorder="1"/>
    <xf numFmtId="9" fontId="12" fillId="12" borderId="4" xfId="0" applyNumberFormat="1" applyFont="1" applyFill="1" applyBorder="1" applyAlignment="1">
      <alignment horizontal="center"/>
    </xf>
    <xf numFmtId="14" fontId="12" fillId="12" borderId="4" xfId="0" applyNumberFormat="1" applyFont="1" applyFill="1" applyBorder="1" applyAlignment="1">
      <alignment horizontal="center"/>
    </xf>
    <xf numFmtId="0" fontId="12" fillId="12" borderId="4" xfId="0" applyNumberFormat="1" applyFont="1" applyFill="1" applyBorder="1" applyAlignment="1">
      <alignment horizontal="center"/>
    </xf>
    <xf numFmtId="169" fontId="12" fillId="12" borderId="4" xfId="0" applyNumberFormat="1" applyFont="1" applyFill="1" applyBorder="1" applyAlignment="1">
      <alignment horizontal="center"/>
    </xf>
    <xf numFmtId="2" fontId="12" fillId="12" borderId="4" xfId="0" applyNumberFormat="1" applyFont="1" applyFill="1" applyBorder="1" applyAlignment="1">
      <alignment horizontal="center"/>
    </xf>
    <xf numFmtId="164" fontId="12" fillId="12" borderId="4" xfId="0" applyNumberFormat="1" applyFont="1" applyFill="1" applyBorder="1"/>
    <xf numFmtId="0" fontId="12" fillId="0" borderId="0" xfId="0" applyFont="1" applyFill="1" applyBorder="1" applyAlignment="1">
      <alignment horizontal="left"/>
    </xf>
    <xf numFmtId="14" fontId="12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169" fontId="12" fillId="0" borderId="0" xfId="0" applyNumberFormat="1" applyFont="1" applyFill="1" applyBorder="1" applyAlignment="1">
      <alignment horizontal="center"/>
    </xf>
    <xf numFmtId="2" fontId="12" fillId="0" borderId="0" xfId="0" applyNumberFormat="1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4" fontId="1" fillId="0" borderId="0" xfId="0" applyNumberFormat="1" applyFont="1" applyFill="1" applyBorder="1" applyAlignment="1">
      <alignment horizontal="right"/>
    </xf>
    <xf numFmtId="165" fontId="14" fillId="0" borderId="0" xfId="0" applyNumberFormat="1" applyFont="1" applyFill="1" applyBorder="1" applyAlignment="1">
      <alignment horizontal="right"/>
    </xf>
    <xf numFmtId="164" fontId="12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right"/>
    </xf>
    <xf numFmtId="166" fontId="12" fillId="0" borderId="0" xfId="0" applyNumberFormat="1" applyFont="1" applyFill="1" applyBorder="1" applyAlignment="1">
      <alignment horizontal="center"/>
    </xf>
    <xf numFmtId="168" fontId="12" fillId="0" borderId="0" xfId="0" applyNumberFormat="1" applyFont="1" applyFill="1" applyBorder="1" applyAlignment="1">
      <alignment horizontal="center"/>
    </xf>
    <xf numFmtId="165" fontId="12" fillId="0" borderId="0" xfId="0" applyNumberFormat="1" applyFont="1" applyFill="1" applyBorder="1"/>
    <xf numFmtId="164" fontId="0" fillId="0" borderId="0" xfId="0" applyNumberFormat="1"/>
    <xf numFmtId="165" fontId="13" fillId="18" borderId="4" xfId="0" applyNumberFormat="1" applyFont="1" applyFill="1" applyBorder="1"/>
    <xf numFmtId="14" fontId="1" fillId="0" borderId="0" xfId="0" applyNumberFormat="1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9" fontId="4" fillId="0" borderId="0" xfId="0" applyNumberFormat="1" applyFont="1" applyFill="1" applyBorder="1" applyAlignment="1">
      <alignment horizontal="center"/>
    </xf>
    <xf numFmtId="14" fontId="1" fillId="0" borderId="0" xfId="0" applyNumberFormat="1" applyFont="1" applyFill="1" applyBorder="1"/>
    <xf numFmtId="0" fontId="10" fillId="4" borderId="2" xfId="0" applyFont="1" applyFill="1" applyBorder="1" applyAlignment="1">
      <alignment horizontal="right" wrapText="1"/>
    </xf>
    <xf numFmtId="0" fontId="10" fillId="4" borderId="2" xfId="0" applyFont="1" applyFill="1" applyBorder="1" applyAlignment="1">
      <alignment horizontal="center" vertical="center" wrapText="1"/>
    </xf>
    <xf numFmtId="168" fontId="5" fillId="0" borderId="4" xfId="0" applyNumberFormat="1" applyFont="1" applyFill="1" applyBorder="1" applyAlignment="1">
      <alignment horizontal="center"/>
    </xf>
    <xf numFmtId="0" fontId="4" fillId="17" borderId="4" xfId="0" applyFont="1" applyFill="1" applyBorder="1" applyAlignment="1">
      <alignment horizontal="left"/>
    </xf>
    <xf numFmtId="165" fontId="8" fillId="0" borderId="10" xfId="0" applyNumberFormat="1" applyFont="1" applyFill="1" applyBorder="1"/>
    <xf numFmtId="165" fontId="12" fillId="15" borderId="0" xfId="0" applyNumberFormat="1" applyFont="1" applyFill="1" applyBorder="1"/>
    <xf numFmtId="165" fontId="14" fillId="0" borderId="0" xfId="0" applyNumberFormat="1" applyFont="1" applyFill="1" applyBorder="1"/>
    <xf numFmtId="165" fontId="0" fillId="16" borderId="4" xfId="0" applyNumberFormat="1" applyFill="1" applyBorder="1"/>
    <xf numFmtId="170" fontId="12" fillId="0" borderId="4" xfId="0" applyNumberFormat="1" applyFont="1" applyFill="1" applyBorder="1" applyAlignment="1">
      <alignment horizontal="center"/>
    </xf>
    <xf numFmtId="168" fontId="12" fillId="0" borderId="4" xfId="0" applyNumberFormat="1" applyFont="1" applyFill="1" applyBorder="1" applyAlignment="1">
      <alignment horizontal="right"/>
    </xf>
    <xf numFmtId="166" fontId="12" fillId="0" borderId="4" xfId="0" applyNumberFormat="1" applyFont="1" applyFill="1" applyBorder="1" applyAlignment="1">
      <alignment horizontal="right"/>
    </xf>
    <xf numFmtId="170" fontId="12" fillId="0" borderId="4" xfId="0" applyNumberFormat="1" applyFont="1" applyFill="1" applyBorder="1" applyAlignment="1">
      <alignment horizontal="right"/>
    </xf>
    <xf numFmtId="168" fontId="1" fillId="0" borderId="4" xfId="0" applyNumberFormat="1" applyFont="1" applyFill="1" applyBorder="1" applyAlignment="1">
      <alignment horizontal="right"/>
    </xf>
    <xf numFmtId="169" fontId="12" fillId="0" borderId="4" xfId="0" applyNumberFormat="1" applyFont="1" applyFill="1" applyBorder="1" applyAlignment="1">
      <alignment horizontal="right"/>
    </xf>
    <xf numFmtId="169" fontId="1" fillId="0" borderId="4" xfId="0" applyNumberFormat="1" applyFont="1" applyFill="1" applyBorder="1" applyAlignment="1">
      <alignment horizontal="right"/>
    </xf>
    <xf numFmtId="165" fontId="12" fillId="0" borderId="4" xfId="0" applyNumberFormat="1" applyFont="1" applyFill="1" applyBorder="1" applyAlignment="1">
      <alignment horizontal="left" indent="2"/>
    </xf>
    <xf numFmtId="2" fontId="1" fillId="0" borderId="0" xfId="0" applyNumberFormat="1" applyFont="1"/>
    <xf numFmtId="4" fontId="12" fillId="0" borderId="1" xfId="0" applyNumberFormat="1" applyFont="1" applyFill="1" applyBorder="1"/>
    <xf numFmtId="4" fontId="5" fillId="0" borderId="0" xfId="0" applyNumberFormat="1" applyFont="1"/>
    <xf numFmtId="165" fontId="32" fillId="0" borderId="4" xfId="0" applyNumberFormat="1" applyFont="1" applyFill="1" applyBorder="1"/>
    <xf numFmtId="165" fontId="33" fillId="0" borderId="4" xfId="0" applyNumberFormat="1" applyFont="1" applyFill="1" applyBorder="1"/>
    <xf numFmtId="2" fontId="26" fillId="0" borderId="0" xfId="0" applyNumberFormat="1" applyFont="1"/>
    <xf numFmtId="43" fontId="7" fillId="0" borderId="4" xfId="0" applyNumberFormat="1" applyFont="1" applyFill="1" applyBorder="1"/>
    <xf numFmtId="0" fontId="7" fillId="0" borderId="4" xfId="0" applyFont="1" applyFill="1" applyBorder="1"/>
    <xf numFmtId="165" fontId="7" fillId="0" borderId="4" xfId="0" applyNumberFormat="1" applyFont="1" applyFill="1" applyBorder="1"/>
    <xf numFmtId="165" fontId="13" fillId="0" borderId="4" xfId="0" applyNumberFormat="1" applyFont="1" applyFill="1" applyBorder="1"/>
    <xf numFmtId="165" fontId="26" fillId="0" borderId="1" xfId="0" applyNumberFormat="1" applyFont="1" applyFill="1" applyBorder="1"/>
    <xf numFmtId="173" fontId="1" fillId="0" borderId="0" xfId="0" applyNumberFormat="1" applyFont="1"/>
    <xf numFmtId="166" fontId="35" fillId="0" borderId="4" xfId="0" applyNumberFormat="1" applyFont="1" applyFill="1" applyBorder="1" applyAlignment="1">
      <alignment horizontal="center"/>
    </xf>
    <xf numFmtId="168" fontId="35" fillId="0" borderId="4" xfId="0" applyNumberFormat="1" applyFont="1" applyFill="1" applyBorder="1" applyAlignment="1">
      <alignment horizontal="center"/>
    </xf>
    <xf numFmtId="165" fontId="35" fillId="0" borderId="4" xfId="0" applyNumberFormat="1" applyFont="1" applyFill="1" applyBorder="1"/>
    <xf numFmtId="165" fontId="36" fillId="0" borderId="4" xfId="0" applyNumberFormat="1" applyFont="1" applyFill="1" applyBorder="1"/>
    <xf numFmtId="168" fontId="37" fillId="0" borderId="4" xfId="0" applyNumberFormat="1" applyFont="1" applyFill="1" applyBorder="1" applyAlignment="1">
      <alignment horizontal="center"/>
    </xf>
    <xf numFmtId="166" fontId="37" fillId="0" borderId="4" xfId="0" applyNumberFormat="1" applyFont="1" applyFill="1" applyBorder="1" applyAlignment="1">
      <alignment horizontal="center"/>
    </xf>
    <xf numFmtId="165" fontId="37" fillId="0" borderId="4" xfId="0" applyNumberFormat="1" applyFont="1" applyFill="1" applyBorder="1"/>
    <xf numFmtId="0" fontId="34" fillId="0" borderId="0" xfId="0" applyFont="1"/>
    <xf numFmtId="4" fontId="34" fillId="0" borderId="0" xfId="0" applyNumberFormat="1" applyFont="1"/>
    <xf numFmtId="168" fontId="34" fillId="0" borderId="0" xfId="0" applyNumberFormat="1" applyFont="1"/>
    <xf numFmtId="165" fontId="34" fillId="0" borderId="0" xfId="0" applyNumberFormat="1" applyFont="1"/>
    <xf numFmtId="165" fontId="35" fillId="12" borderId="4" xfId="0" applyNumberFormat="1" applyFont="1" applyFill="1" applyBorder="1"/>
    <xf numFmtId="166" fontId="35" fillId="12" borderId="4" xfId="0" applyNumberFormat="1" applyFont="1" applyFill="1" applyBorder="1" applyAlignment="1">
      <alignment horizontal="center"/>
    </xf>
    <xf numFmtId="165" fontId="36" fillId="12" borderId="4" xfId="0" applyNumberFormat="1" applyFont="1" applyFill="1" applyBorder="1"/>
    <xf numFmtId="168" fontId="34" fillId="0" borderId="4" xfId="0" applyNumberFormat="1" applyFont="1" applyBorder="1" applyAlignment="1">
      <alignment horizontal="center"/>
    </xf>
    <xf numFmtId="168" fontId="34" fillId="12" borderId="4" xfId="0" applyNumberFormat="1" applyFont="1" applyFill="1" applyBorder="1" applyAlignment="1">
      <alignment horizontal="center"/>
    </xf>
    <xf numFmtId="168" fontId="38" fillId="0" borderId="4" xfId="0" applyNumberFormat="1" applyFont="1" applyBorder="1" applyAlignment="1">
      <alignment horizontal="center"/>
    </xf>
    <xf numFmtId="168" fontId="38" fillId="12" borderId="4" xfId="0" applyNumberFormat="1" applyFont="1" applyFill="1" applyBorder="1" applyAlignment="1">
      <alignment horizontal="center"/>
    </xf>
    <xf numFmtId="43" fontId="36" fillId="12" borderId="4" xfId="0" applyNumberFormat="1" applyFont="1" applyFill="1" applyBorder="1"/>
    <xf numFmtId="165" fontId="35" fillId="12" borderId="1" xfId="0" applyNumberFormat="1" applyFont="1" applyFill="1" applyBorder="1"/>
    <xf numFmtId="165" fontId="36" fillId="12" borderId="1" xfId="0" applyNumberFormat="1" applyFont="1" applyFill="1" applyBorder="1"/>
    <xf numFmtId="43" fontId="34" fillId="0" borderId="0" xfId="0" applyNumberFormat="1" applyFont="1"/>
    <xf numFmtId="165" fontId="1" fillId="0" borderId="0" xfId="0" applyNumberFormat="1" applyFont="1" applyAlignment="1">
      <alignment horizontal="right"/>
    </xf>
    <xf numFmtId="43" fontId="1" fillId="0" borderId="0" xfId="0" applyNumberFormat="1" applyFont="1" applyAlignment="1">
      <alignment horizontal="right"/>
    </xf>
    <xf numFmtId="165" fontId="34" fillId="0" borderId="4" xfId="0" applyNumberFormat="1" applyFont="1" applyFill="1" applyBorder="1"/>
    <xf numFmtId="0" fontId="34" fillId="0" borderId="4" xfId="0" applyFont="1" applyFill="1" applyBorder="1"/>
    <xf numFmtId="4" fontId="34" fillId="0" borderId="0" xfId="0" applyNumberFormat="1" applyFont="1" applyBorder="1"/>
    <xf numFmtId="0" fontId="15" fillId="0" borderId="0" xfId="0" applyFont="1" applyFill="1" applyAlignment="1"/>
    <xf numFmtId="168" fontId="15" fillId="0" borderId="0" xfId="0" applyNumberFormat="1" applyFont="1" applyFill="1" applyAlignment="1"/>
    <xf numFmtId="164" fontId="14" fillId="0" borderId="4" xfId="0" applyNumberFormat="1" applyFont="1" applyFill="1" applyBorder="1" applyAlignment="1">
      <alignment horizontal="right"/>
    </xf>
    <xf numFmtId="43" fontId="39" fillId="0" borderId="4" xfId="0" applyNumberFormat="1" applyFont="1" applyFill="1" applyBorder="1"/>
    <xf numFmtId="4" fontId="39" fillId="0" borderId="0" xfId="0" applyNumberFormat="1" applyFont="1"/>
    <xf numFmtId="0" fontId="39" fillId="0" borderId="0" xfId="0" applyFont="1"/>
    <xf numFmtId="168" fontId="39" fillId="0" borderId="0" xfId="0" applyNumberFormat="1" applyFont="1"/>
    <xf numFmtId="0" fontId="15" fillId="19" borderId="0" xfId="0" applyFont="1" applyFill="1"/>
    <xf numFmtId="14" fontId="25" fillId="19" borderId="0" xfId="0" applyNumberFormat="1" applyFont="1" applyFill="1"/>
    <xf numFmtId="0" fontId="15" fillId="19" borderId="0" xfId="0" applyFont="1" applyFill="1" applyAlignment="1">
      <alignment horizontal="center"/>
    </xf>
    <xf numFmtId="14" fontId="15" fillId="19" borderId="0" xfId="0" applyNumberFormat="1" applyFont="1" applyFill="1"/>
    <xf numFmtId="4" fontId="15" fillId="19" borderId="0" xfId="0" applyNumberFormat="1" applyFont="1" applyFill="1"/>
    <xf numFmtId="0" fontId="15" fillId="19" borderId="0" xfId="0" applyFont="1" applyFill="1" applyAlignment="1"/>
    <xf numFmtId="168" fontId="15" fillId="19" borderId="0" xfId="0" applyNumberFormat="1" applyFont="1" applyFill="1" applyAlignment="1"/>
    <xf numFmtId="0" fontId="15" fillId="19" borderId="0" xfId="0" applyFont="1" applyFill="1" applyAlignment="1">
      <alignment horizontal="right"/>
    </xf>
    <xf numFmtId="0" fontId="13" fillId="19" borderId="0" xfId="0" applyFont="1" applyFill="1"/>
    <xf numFmtId="14" fontId="16" fillId="19" borderId="0" xfId="0" applyNumberFormat="1" applyFont="1" applyFill="1"/>
    <xf numFmtId="14" fontId="16" fillId="19" borderId="0" xfId="0" applyNumberFormat="1" applyFont="1" applyFill="1" applyAlignment="1">
      <alignment horizontal="center"/>
    </xf>
    <xf numFmtId="0" fontId="16" fillId="19" borderId="0" xfId="0" applyFont="1" applyFill="1"/>
    <xf numFmtId="4" fontId="16" fillId="19" borderId="0" xfId="0" applyNumberFormat="1" applyFont="1" applyFill="1"/>
    <xf numFmtId="0" fontId="25" fillId="19" borderId="0" xfId="0" applyFont="1" applyFill="1"/>
    <xf numFmtId="0" fontId="0" fillId="19" borderId="0" xfId="0" applyFill="1"/>
    <xf numFmtId="14" fontId="4" fillId="0" borderId="4" xfId="0" applyNumberFormat="1" applyFont="1" applyFill="1" applyBorder="1" applyAlignment="1"/>
    <xf numFmtId="14" fontId="12" fillId="0" borderId="4" xfId="0" applyNumberFormat="1" applyFont="1" applyFill="1" applyBorder="1" applyAlignment="1"/>
    <xf numFmtId="14" fontId="1" fillId="0" borderId="4" xfId="0" applyNumberFormat="1" applyFont="1" applyFill="1" applyBorder="1" applyAlignment="1"/>
    <xf numFmtId="0" fontId="4" fillId="0" borderId="4" xfId="0" applyNumberFormat="1" applyFont="1" applyFill="1" applyBorder="1" applyAlignment="1"/>
    <xf numFmtId="0" fontId="1" fillId="0" borderId="4" xfId="0" applyNumberFormat="1" applyFont="1" applyFill="1" applyBorder="1" applyAlignment="1"/>
    <xf numFmtId="0" fontId="12" fillId="0" borderId="4" xfId="0" applyNumberFormat="1" applyFont="1" applyFill="1" applyBorder="1" applyAlignment="1"/>
    <xf numFmtId="0" fontId="13" fillId="19" borderId="0" xfId="0" applyFont="1" applyFill="1" applyAlignment="1">
      <alignment horizontal="center"/>
    </xf>
    <xf numFmtId="14" fontId="13" fillId="19" borderId="0" xfId="0" applyNumberFormat="1" applyFont="1" applyFill="1"/>
    <xf numFmtId="4" fontId="13" fillId="19" borderId="0" xfId="0" applyNumberFormat="1" applyFont="1" applyFill="1"/>
    <xf numFmtId="0" fontId="13" fillId="19" borderId="0" xfId="0" applyFont="1" applyFill="1" applyAlignment="1"/>
    <xf numFmtId="168" fontId="13" fillId="19" borderId="0" xfId="0" applyNumberFormat="1" applyFont="1" applyFill="1" applyAlignment="1"/>
    <xf numFmtId="0" fontId="13" fillId="19" borderId="0" xfId="0" applyFont="1" applyFill="1" applyAlignment="1">
      <alignment horizontal="right"/>
    </xf>
    <xf numFmtId="14" fontId="25" fillId="19" borderId="0" xfId="0" applyNumberFormat="1" applyFont="1" applyFill="1" applyAlignment="1">
      <alignment horizontal="center"/>
    </xf>
    <xf numFmtId="4" fontId="25" fillId="19" borderId="0" xfId="0" applyNumberFormat="1" applyFont="1" applyFill="1"/>
    <xf numFmtId="1" fontId="10" fillId="4" borderId="3" xfId="0" applyNumberFormat="1" applyFont="1" applyFill="1" applyBorder="1" applyAlignment="1">
      <alignment horizontal="center"/>
    </xf>
    <xf numFmtId="173" fontId="0" fillId="0" borderId="0" xfId="0" applyNumberFormat="1"/>
    <xf numFmtId="0" fontId="7" fillId="0" borderId="0" xfId="0" applyFont="1" applyFill="1" applyBorder="1"/>
    <xf numFmtId="168" fontId="0" fillId="0" borderId="0" xfId="0" applyNumberFormat="1" applyFill="1" applyAlignment="1">
      <alignment horizontal="center" vertical="center"/>
    </xf>
    <xf numFmtId="0" fontId="15" fillId="0" borderId="0" xfId="0" applyFont="1" applyFill="1"/>
    <xf numFmtId="0" fontId="13" fillId="20" borderId="0" xfId="0" applyFont="1" applyFill="1"/>
    <xf numFmtId="14" fontId="25" fillId="20" borderId="0" xfId="0" applyNumberFormat="1" applyFont="1" applyFill="1"/>
    <xf numFmtId="0" fontId="13" fillId="20" borderId="0" xfId="0" applyFont="1" applyFill="1" applyAlignment="1">
      <alignment horizontal="center"/>
    </xf>
    <xf numFmtId="14" fontId="13" fillId="20" borderId="0" xfId="0" applyNumberFormat="1" applyFont="1" applyFill="1"/>
    <xf numFmtId="4" fontId="13" fillId="20" borderId="0" xfId="0" applyNumberFormat="1" applyFont="1" applyFill="1"/>
    <xf numFmtId="0" fontId="13" fillId="20" borderId="0" xfId="0" applyFont="1" applyFill="1" applyAlignment="1"/>
    <xf numFmtId="168" fontId="13" fillId="20" borderId="0" xfId="0" applyNumberFormat="1" applyFont="1" applyFill="1" applyAlignment="1"/>
    <xf numFmtId="0" fontId="13" fillId="20" borderId="0" xfId="0" applyFont="1" applyFill="1" applyAlignment="1">
      <alignment horizontal="right"/>
    </xf>
    <xf numFmtId="0" fontId="0" fillId="20" borderId="0" xfId="0" applyFill="1"/>
    <xf numFmtId="14" fontId="25" fillId="20" borderId="0" xfId="0" applyNumberFormat="1" applyFont="1" applyFill="1" applyAlignment="1">
      <alignment horizontal="center"/>
    </xf>
    <xf numFmtId="0" fontId="25" fillId="20" borderId="0" xfId="0" applyFont="1" applyFill="1"/>
    <xf numFmtId="4" fontId="25" fillId="20" borderId="0" xfId="0" applyNumberFormat="1" applyFont="1" applyFill="1"/>
    <xf numFmtId="0" fontId="10" fillId="4" borderId="2" xfId="0" applyFont="1" applyFill="1" applyBorder="1" applyAlignment="1">
      <alignment horizontal="center" vertical="center" wrapText="1"/>
    </xf>
    <xf numFmtId="166" fontId="42" fillId="0" borderId="4" xfId="0" applyNumberFormat="1" applyFont="1" applyFill="1" applyBorder="1" applyAlignment="1">
      <alignment horizontal="center"/>
    </xf>
    <xf numFmtId="168" fontId="40" fillId="0" borderId="4" xfId="0" applyNumberFormat="1" applyFont="1" applyBorder="1" applyAlignment="1">
      <alignment horizontal="center"/>
    </xf>
    <xf numFmtId="165" fontId="42" fillId="0" borderId="4" xfId="0" applyNumberFormat="1" applyFont="1" applyFill="1" applyBorder="1"/>
    <xf numFmtId="165" fontId="41" fillId="0" borderId="4" xfId="0" applyNumberFormat="1" applyFont="1" applyFill="1" applyBorder="1"/>
    <xf numFmtId="166" fontId="41" fillId="0" borderId="4" xfId="0" applyNumberFormat="1" applyFont="1" applyFill="1" applyBorder="1" applyAlignment="1">
      <alignment horizontal="center"/>
    </xf>
    <xf numFmtId="168" fontId="41" fillId="0" borderId="4" xfId="0" applyNumberFormat="1" applyFont="1" applyFill="1" applyBorder="1" applyAlignment="1">
      <alignment horizontal="center"/>
    </xf>
    <xf numFmtId="165" fontId="43" fillId="0" borderId="4" xfId="0" applyNumberFormat="1" applyFont="1" applyFill="1" applyBorder="1"/>
    <xf numFmtId="168" fontId="39" fillId="0" borderId="4" xfId="0" applyNumberFormat="1" applyFont="1" applyFill="1" applyBorder="1" applyAlignment="1">
      <alignment horizontal="center"/>
    </xf>
    <xf numFmtId="165" fontId="39" fillId="0" borderId="0" xfId="0" applyNumberFormat="1" applyFont="1"/>
    <xf numFmtId="168" fontId="39" fillId="0" borderId="4" xfId="0" applyNumberFormat="1" applyFont="1" applyBorder="1" applyAlignment="1">
      <alignment horizontal="center"/>
    </xf>
    <xf numFmtId="168" fontId="42" fillId="0" borderId="4" xfId="0" applyNumberFormat="1" applyFont="1" applyFill="1" applyBorder="1" applyAlignment="1">
      <alignment horizontal="center"/>
    </xf>
    <xf numFmtId="0" fontId="0" fillId="0" borderId="0" xfId="0" applyNumberFormat="1" applyFill="1"/>
    <xf numFmtId="165" fontId="41" fillId="0" borderId="0" xfId="0" applyNumberFormat="1" applyFont="1" applyFill="1" applyBorder="1"/>
    <xf numFmtId="165" fontId="43" fillId="0" borderId="0" xfId="0" applyNumberFormat="1" applyFont="1" applyFill="1" applyBorder="1"/>
    <xf numFmtId="165" fontId="0" fillId="0" borderId="0" xfId="0" applyNumberFormat="1" applyFill="1" applyBorder="1"/>
    <xf numFmtId="4" fontId="7" fillId="7" borderId="4" xfId="0" applyNumberFormat="1" applyFont="1" applyFill="1" applyBorder="1" applyAlignment="1">
      <alignment horizontal="right"/>
    </xf>
    <xf numFmtId="165" fontId="25" fillId="7" borderId="4" xfId="0" applyNumberFormat="1" applyFont="1" applyFill="1" applyBorder="1" applyAlignment="1">
      <alignment horizontal="right"/>
    </xf>
    <xf numFmtId="4" fontId="7" fillId="7" borderId="4" xfId="0" applyNumberFormat="1" applyFont="1" applyFill="1" applyBorder="1" applyAlignment="1">
      <alignment horizontal="right" vertical="center"/>
    </xf>
    <xf numFmtId="165" fontId="13" fillId="7" borderId="4" xfId="0" applyNumberFormat="1" applyFont="1" applyFill="1" applyBorder="1"/>
    <xf numFmtId="4" fontId="13" fillId="7" borderId="4" xfId="0" applyNumberFormat="1" applyFont="1" applyFill="1" applyBorder="1" applyAlignment="1">
      <alignment horizontal="right"/>
    </xf>
    <xf numFmtId="4" fontId="13" fillId="7" borderId="4" xfId="0" applyNumberFormat="1" applyFont="1" applyFill="1" applyBorder="1" applyAlignment="1">
      <alignment horizontal="center"/>
    </xf>
    <xf numFmtId="166" fontId="13" fillId="7" borderId="4" xfId="0" applyNumberFormat="1" applyFont="1" applyFill="1" applyBorder="1" applyAlignment="1">
      <alignment horizontal="center"/>
    </xf>
    <xf numFmtId="165" fontId="13" fillId="12" borderId="4" xfId="0" applyNumberFormat="1" applyFont="1" applyFill="1" applyBorder="1"/>
    <xf numFmtId="166" fontId="13" fillId="12" borderId="4" xfId="0" applyNumberFormat="1" applyFont="1" applyFill="1" applyBorder="1" applyAlignment="1">
      <alignment horizontal="center"/>
    </xf>
    <xf numFmtId="164" fontId="7" fillId="0" borderId="4" xfId="0" applyNumberFormat="1" applyFont="1" applyFill="1" applyBorder="1"/>
    <xf numFmtId="4" fontId="15" fillId="0" borderId="4" xfId="0" applyNumberFormat="1" applyFont="1" applyFill="1" applyBorder="1" applyAlignment="1">
      <alignment horizontal="right"/>
    </xf>
    <xf numFmtId="166" fontId="15" fillId="0" borderId="4" xfId="0" applyNumberFormat="1" applyFont="1" applyFill="1" applyBorder="1" applyAlignment="1">
      <alignment horizontal="center"/>
    </xf>
    <xf numFmtId="168" fontId="7" fillId="0" borderId="4" xfId="0" applyNumberFormat="1" applyFont="1" applyBorder="1" applyAlignment="1">
      <alignment horizontal="center"/>
    </xf>
    <xf numFmtId="165" fontId="15" fillId="0" borderId="4" xfId="0" applyNumberFormat="1" applyFont="1" applyFill="1" applyBorder="1"/>
    <xf numFmtId="168" fontId="7" fillId="12" borderId="4" xfId="0" applyNumberFormat="1" applyFont="1" applyFill="1" applyBorder="1" applyAlignment="1">
      <alignment horizontal="center"/>
    </xf>
    <xf numFmtId="168" fontId="8" fillId="0" borderId="4" xfId="0" applyNumberFormat="1" applyFont="1" applyBorder="1" applyAlignment="1">
      <alignment horizontal="center"/>
    </xf>
    <xf numFmtId="168" fontId="8" fillId="12" borderId="4" xfId="0" applyNumberFormat="1" applyFont="1" applyFill="1" applyBorder="1" applyAlignment="1">
      <alignment horizontal="center"/>
    </xf>
    <xf numFmtId="4" fontId="7" fillId="0" borderId="0" xfId="0" applyNumberFormat="1" applyFont="1"/>
    <xf numFmtId="4" fontId="7" fillId="14" borderId="0" xfId="0" applyNumberFormat="1" applyFont="1" applyFill="1"/>
    <xf numFmtId="4" fontId="7" fillId="0" borderId="0" xfId="0" applyNumberFormat="1" applyFont="1" applyFill="1"/>
    <xf numFmtId="165" fontId="7" fillId="14" borderId="0" xfId="0" applyNumberFormat="1" applyFont="1" applyFill="1"/>
    <xf numFmtId="165" fontId="8" fillId="0" borderId="0" xfId="0" applyNumberFormat="1" applyFont="1" applyFill="1" applyBorder="1"/>
    <xf numFmtId="165" fontId="1" fillId="0" borderId="0" xfId="0" applyNumberFormat="1" applyFont="1" applyBorder="1"/>
    <xf numFmtId="168" fontId="0" fillId="0" borderId="0" xfId="0" applyNumberFormat="1" applyBorder="1"/>
    <xf numFmtId="165" fontId="0" fillId="0" borderId="0" xfId="0" applyNumberFormat="1" applyBorder="1"/>
    <xf numFmtId="0" fontId="15" fillId="21" borderId="0" xfId="0" applyFont="1" applyFill="1"/>
    <xf numFmtId="0" fontId="16" fillId="21" borderId="0" xfId="0" applyFont="1" applyFill="1"/>
    <xf numFmtId="0" fontId="13" fillId="21" borderId="0" xfId="0" applyFont="1" applyFill="1"/>
    <xf numFmtId="14" fontId="25" fillId="21" borderId="0" xfId="0" applyNumberFormat="1" applyFont="1" applyFill="1"/>
    <xf numFmtId="0" fontId="13" fillId="21" borderId="0" xfId="0" applyFont="1" applyFill="1" applyAlignment="1">
      <alignment horizontal="center"/>
    </xf>
    <xf numFmtId="14" fontId="13" fillId="21" borderId="0" xfId="0" applyNumberFormat="1" applyFont="1" applyFill="1"/>
    <xf numFmtId="14" fontId="25" fillId="21" borderId="0" xfId="0" applyNumberFormat="1" applyFont="1" applyFill="1" applyAlignment="1">
      <alignment horizontal="center"/>
    </xf>
    <xf numFmtId="0" fontId="25" fillId="21" borderId="0" xfId="0" applyFont="1" applyFill="1"/>
    <xf numFmtId="4" fontId="15" fillId="21" borderId="0" xfId="0" applyNumberFormat="1" applyFont="1" applyFill="1"/>
    <xf numFmtId="0" fontId="15" fillId="21" borderId="0" xfId="0" applyFont="1" applyFill="1" applyAlignment="1"/>
    <xf numFmtId="168" fontId="15" fillId="21" borderId="0" xfId="0" applyNumberFormat="1" applyFont="1" applyFill="1" applyAlignment="1"/>
    <xf numFmtId="0" fontId="15" fillId="21" borderId="0" xfId="0" applyFont="1" applyFill="1" applyAlignment="1">
      <alignment horizontal="right"/>
    </xf>
    <xf numFmtId="0" fontId="0" fillId="21" borderId="0" xfId="0" applyFill="1"/>
    <xf numFmtId="4" fontId="16" fillId="21" borderId="0" xfId="0" applyNumberFormat="1" applyFont="1" applyFill="1"/>
    <xf numFmtId="0" fontId="0" fillId="21" borderId="0" xfId="0" applyFill="1" applyAlignment="1">
      <alignment horizontal="center"/>
    </xf>
    <xf numFmtId="14" fontId="0" fillId="21" borderId="0" xfId="0" applyNumberFormat="1" applyFill="1"/>
    <xf numFmtId="0" fontId="7" fillId="21" borderId="0" xfId="0" applyFont="1" applyFill="1"/>
    <xf numFmtId="4" fontId="0" fillId="21" borderId="0" xfId="0" applyNumberFormat="1" applyFill="1"/>
    <xf numFmtId="0" fontId="0" fillId="21" borderId="0" xfId="0" applyFill="1" applyAlignment="1"/>
    <xf numFmtId="168" fontId="0" fillId="21" borderId="0" xfId="0" applyNumberFormat="1" applyFill="1" applyAlignment="1"/>
    <xf numFmtId="0" fontId="0" fillId="21" borderId="0" xfId="0" applyFill="1" applyAlignment="1">
      <alignment horizontal="right"/>
    </xf>
    <xf numFmtId="166" fontId="13" fillId="0" borderId="4" xfId="0" applyNumberFormat="1" applyFont="1" applyFill="1" applyBorder="1" applyAlignment="1">
      <alignment horizontal="center"/>
    </xf>
    <xf numFmtId="165" fontId="25" fillId="0" borderId="4" xfId="0" applyNumberFormat="1" applyFont="1" applyFill="1" applyBorder="1"/>
    <xf numFmtId="168" fontId="7" fillId="0" borderId="5" xfId="0" applyNumberFormat="1" applyFont="1" applyFill="1" applyBorder="1" applyAlignment="1">
      <alignment horizontal="center"/>
    </xf>
    <xf numFmtId="168" fontId="13" fillId="0" borderId="5" xfId="0" applyNumberFormat="1" applyFont="1" applyFill="1" applyBorder="1" applyAlignment="1">
      <alignment horizontal="center"/>
    </xf>
    <xf numFmtId="165" fontId="13" fillId="0" borderId="1" xfId="0" applyNumberFormat="1" applyFont="1" applyFill="1" applyBorder="1"/>
    <xf numFmtId="4" fontId="13" fillId="21" borderId="0" xfId="0" applyNumberFormat="1" applyFont="1" applyFill="1"/>
    <xf numFmtId="0" fontId="13" fillId="21" borderId="0" xfId="0" applyFont="1" applyFill="1" applyAlignment="1"/>
    <xf numFmtId="168" fontId="13" fillId="21" borderId="0" xfId="0" applyNumberFormat="1" applyFont="1" applyFill="1" applyAlignment="1"/>
    <xf numFmtId="0" fontId="13" fillId="21" borderId="0" xfId="0" applyFont="1" applyFill="1" applyAlignment="1">
      <alignment horizontal="right"/>
    </xf>
    <xf numFmtId="4" fontId="25" fillId="21" borderId="0" xfId="0" applyNumberFormat="1" applyFont="1" applyFill="1"/>
    <xf numFmtId="165" fontId="5" fillId="0" borderId="0" xfId="0" applyNumberFormat="1" applyFont="1"/>
    <xf numFmtId="43" fontId="8" fillId="0" borderId="0" xfId="0" applyNumberFormat="1" applyFont="1"/>
    <xf numFmtId="4" fontId="14" fillId="0" borderId="4" xfId="0" applyNumberFormat="1" applyFont="1" applyFill="1" applyBorder="1"/>
    <xf numFmtId="165" fontId="12" fillId="0" borderId="1" xfId="0" applyNumberFormat="1" applyFont="1" applyFill="1" applyBorder="1" applyAlignment="1">
      <alignment horizontal="center" wrapText="1"/>
    </xf>
    <xf numFmtId="0" fontId="1" fillId="12" borderId="0" xfId="0" applyFont="1" applyFill="1" applyBorder="1" applyAlignment="1">
      <alignment horizontal="left"/>
    </xf>
    <xf numFmtId="14" fontId="5" fillId="17" borderId="4" xfId="0" applyNumberFormat="1" applyFont="1" applyFill="1" applyBorder="1" applyAlignment="1">
      <alignment horizontal="left"/>
    </xf>
    <xf numFmtId="0" fontId="44" fillId="0" borderId="4" xfId="0" applyFont="1" applyFill="1" applyBorder="1"/>
    <xf numFmtId="0" fontId="26" fillId="0" borderId="4" xfId="0" applyFont="1" applyFill="1" applyBorder="1"/>
    <xf numFmtId="166" fontId="45" fillId="0" borderId="4" xfId="0" applyNumberFormat="1" applyFont="1" applyFill="1" applyBorder="1" applyAlignment="1">
      <alignment horizontal="center"/>
    </xf>
    <xf numFmtId="168" fontId="26" fillId="0" borderId="4" xfId="0" applyNumberFormat="1" applyFont="1" applyBorder="1" applyAlignment="1">
      <alignment horizontal="center"/>
    </xf>
    <xf numFmtId="165" fontId="45" fillId="0" borderId="4" xfId="0" applyNumberFormat="1" applyFont="1" applyFill="1" applyBorder="1"/>
    <xf numFmtId="168" fontId="44" fillId="0" borderId="4" xfId="0" applyNumberFormat="1" applyFont="1" applyBorder="1" applyAlignment="1">
      <alignment horizontal="center"/>
    </xf>
    <xf numFmtId="4" fontId="44" fillId="0" borderId="4" xfId="0" applyNumberFormat="1" applyFont="1" applyFill="1" applyBorder="1"/>
    <xf numFmtId="4" fontId="26" fillId="0" borderId="4" xfId="0" applyNumberFormat="1" applyFont="1" applyFill="1" applyBorder="1"/>
    <xf numFmtId="4" fontId="32" fillId="0" borderId="4" xfId="0" applyNumberFormat="1" applyFont="1" applyFill="1" applyBorder="1" applyAlignment="1">
      <alignment horizontal="center"/>
    </xf>
    <xf numFmtId="4" fontId="32" fillId="0" borderId="4" xfId="0" applyNumberFormat="1" applyFont="1" applyFill="1" applyBorder="1"/>
    <xf numFmtId="4" fontId="44" fillId="0" borderId="0" xfId="0" applyNumberFormat="1" applyFont="1"/>
    <xf numFmtId="4" fontId="26" fillId="0" borderId="0" xfId="0" applyNumberFormat="1" applyFont="1" applyFill="1"/>
    <xf numFmtId="4" fontId="26" fillId="0" borderId="0" xfId="0" applyNumberFormat="1" applyFont="1"/>
    <xf numFmtId="0" fontId="26" fillId="0" borderId="0" xfId="0" applyFont="1"/>
    <xf numFmtId="168" fontId="26" fillId="0" borderId="0" xfId="0" applyNumberFormat="1" applyFont="1"/>
    <xf numFmtId="0" fontId="8" fillId="21" borderId="0" xfId="0" applyFont="1" applyFill="1"/>
    <xf numFmtId="168" fontId="13" fillId="0" borderId="4" xfId="0" applyNumberFormat="1" applyFont="1" applyFill="1" applyBorder="1" applyAlignment="1">
      <alignment horizontal="center"/>
    </xf>
    <xf numFmtId="168" fontId="15" fillId="0" borderId="4" xfId="0" applyNumberFormat="1" applyFont="1" applyFill="1" applyBorder="1" applyAlignment="1">
      <alignment horizontal="center"/>
    </xf>
    <xf numFmtId="168" fontId="34" fillId="0" borderId="4" xfId="0" applyNumberFormat="1" applyFont="1" applyFill="1" applyBorder="1" applyAlignment="1">
      <alignment horizontal="center"/>
    </xf>
    <xf numFmtId="0" fontId="13" fillId="21" borderId="0" xfId="0" applyFont="1" applyFill="1" applyBorder="1"/>
    <xf numFmtId="164" fontId="13" fillId="0" borderId="4" xfId="0" applyNumberFormat="1" applyFont="1" applyFill="1" applyBorder="1"/>
    <xf numFmtId="4" fontId="13" fillId="0" borderId="4" xfId="0" applyNumberFormat="1" applyFont="1" applyFill="1" applyBorder="1" applyAlignment="1">
      <alignment horizontal="right"/>
    </xf>
    <xf numFmtId="2" fontId="13" fillId="0" borderId="4" xfId="0" applyNumberFormat="1" applyFont="1" applyFill="1" applyBorder="1" applyAlignment="1">
      <alignment horizontal="center"/>
    </xf>
    <xf numFmtId="165" fontId="25" fillId="0" borderId="4" xfId="0" applyNumberFormat="1" applyFont="1" applyFill="1" applyBorder="1" applyAlignment="1">
      <alignment horizontal="right"/>
    </xf>
    <xf numFmtId="170" fontId="7" fillId="0" borderId="0" xfId="0" applyNumberFormat="1" applyFont="1"/>
    <xf numFmtId="165" fontId="13" fillId="16" borderId="1" xfId="0" applyNumberFormat="1" applyFont="1" applyFill="1" applyBorder="1"/>
    <xf numFmtId="165" fontId="25" fillId="16" borderId="1" xfId="0" applyNumberFormat="1" applyFont="1" applyFill="1" applyBorder="1"/>
    <xf numFmtId="0" fontId="7" fillId="0" borderId="0" xfId="0" applyFont="1" applyAlignment="1">
      <alignment horizontal="right"/>
    </xf>
    <xf numFmtId="0" fontId="13" fillId="21" borderId="0" xfId="0" applyFont="1" applyFill="1" applyAlignment="1">
      <alignment horizontal="left"/>
    </xf>
    <xf numFmtId="0" fontId="22" fillId="21" borderId="0" xfId="0" applyFont="1" applyFill="1"/>
    <xf numFmtId="0" fontId="13" fillId="21" borderId="0" xfId="0" applyNumberFormat="1" applyFont="1" applyFill="1" applyAlignment="1">
      <alignment horizontal="center"/>
    </xf>
    <xf numFmtId="4" fontId="13" fillId="21" borderId="0" xfId="0" applyNumberFormat="1" applyFont="1" applyFill="1" applyAlignment="1">
      <alignment horizontal="right"/>
    </xf>
    <xf numFmtId="0" fontId="25" fillId="21" borderId="0" xfId="0" applyNumberFormat="1" applyFont="1" applyFill="1" applyAlignment="1">
      <alignment horizontal="center"/>
    </xf>
    <xf numFmtId="4" fontId="25" fillId="21" borderId="0" xfId="0" applyNumberFormat="1" applyFont="1" applyFill="1" applyAlignment="1">
      <alignment horizontal="right"/>
    </xf>
    <xf numFmtId="0" fontId="25" fillId="21" borderId="0" xfId="0" applyFont="1" applyFill="1" applyAlignment="1">
      <alignment horizontal="center"/>
    </xf>
    <xf numFmtId="0" fontId="13" fillId="21" borderId="0" xfId="0" applyNumberFormat="1" applyFont="1" applyFill="1" applyAlignment="1"/>
    <xf numFmtId="14" fontId="15" fillId="22" borderId="11" xfId="1" applyNumberFormat="1" applyFont="1"/>
    <xf numFmtId="165" fontId="1" fillId="0" borderId="4" xfId="0" applyNumberFormat="1" applyFont="1" applyBorder="1"/>
    <xf numFmtId="4" fontId="0" fillId="0" borderId="4" xfId="0" applyNumberFormat="1" applyBorder="1"/>
    <xf numFmtId="44" fontId="1" fillId="0" borderId="4" xfId="2" applyFont="1" applyFill="1" applyBorder="1" applyAlignment="1">
      <alignment horizontal="right"/>
    </xf>
    <xf numFmtId="0" fontId="21" fillId="9" borderId="2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wrapText="1"/>
    </xf>
    <xf numFmtId="0" fontId="21" fillId="9" borderId="2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20" fillId="10" borderId="2" xfId="0" applyFont="1" applyFill="1" applyBorder="1" applyAlignment="1">
      <alignment horizontal="center" vertical="center" wrapText="1"/>
    </xf>
    <xf numFmtId="0" fontId="12" fillId="10" borderId="3" xfId="0" applyFont="1" applyFill="1" applyBorder="1" applyAlignment="1">
      <alignment horizontal="center" vertical="center" wrapText="1"/>
    </xf>
    <xf numFmtId="0" fontId="21" fillId="9" borderId="2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14" fontId="8" fillId="10" borderId="6" xfId="0" applyNumberFormat="1" applyFont="1" applyFill="1" applyBorder="1" applyAlignment="1">
      <alignment horizontal="center" vertical="center"/>
    </xf>
    <xf numFmtId="0" fontId="11" fillId="4" borderId="3" xfId="0" applyFont="1" applyFill="1" applyBorder="1" applyAlignment="1">
      <alignment horizontal="center" vertical="center" wrapText="1"/>
    </xf>
    <xf numFmtId="4" fontId="0" fillId="0" borderId="4" xfId="0" applyNumberFormat="1" applyFill="1" applyBorder="1"/>
    <xf numFmtId="0" fontId="21" fillId="9" borderId="2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0" fillId="8" borderId="0" xfId="0" applyFill="1"/>
    <xf numFmtId="0" fontId="21" fillId="9" borderId="2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8" fillId="7" borderId="0" xfId="0" applyFont="1" applyFill="1"/>
    <xf numFmtId="164" fontId="8" fillId="0" borderId="4" xfId="0" applyNumberFormat="1" applyFont="1" applyFill="1" applyBorder="1"/>
    <xf numFmtId="164" fontId="25" fillId="0" borderId="4" xfId="0" applyNumberFormat="1" applyFont="1" applyFill="1" applyBorder="1"/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14" fontId="8" fillId="10" borderId="0" xfId="0" applyNumberFormat="1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 wrapText="1"/>
    </xf>
    <xf numFmtId="0" fontId="12" fillId="0" borderId="4" xfId="0" applyNumberFormat="1" applyFont="1" applyFill="1" applyBorder="1"/>
    <xf numFmtId="2" fontId="10" fillId="4" borderId="2" xfId="0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/>
    </xf>
    <xf numFmtId="168" fontId="48" fillId="4" borderId="2" xfId="0" applyNumberFormat="1" applyFont="1" applyFill="1" applyBorder="1" applyAlignment="1">
      <alignment horizontal="center"/>
    </xf>
    <xf numFmtId="0" fontId="48" fillId="4" borderId="2" xfId="0" applyFont="1" applyFill="1" applyBorder="1" applyAlignment="1">
      <alignment horizontal="center" wrapText="1"/>
    </xf>
    <xf numFmtId="0" fontId="48" fillId="4" borderId="2" xfId="0" applyFont="1" applyFill="1" applyBorder="1" applyAlignment="1">
      <alignment horizontal="right"/>
    </xf>
    <xf numFmtId="0" fontId="48" fillId="4" borderId="3" xfId="0" applyFont="1" applyFill="1" applyBorder="1" applyAlignment="1">
      <alignment horizontal="center"/>
    </xf>
    <xf numFmtId="168" fontId="48" fillId="4" borderId="3" xfId="0" applyNumberFormat="1" applyFont="1" applyFill="1" applyBorder="1" applyAlignment="1">
      <alignment horizontal="center"/>
    </xf>
    <xf numFmtId="0" fontId="13" fillId="0" borderId="0" xfId="0" applyFont="1" applyFill="1" applyAlignment="1"/>
    <xf numFmtId="168" fontId="13" fillId="0" borderId="0" xfId="0" applyNumberFormat="1" applyFont="1" applyFill="1" applyAlignment="1"/>
    <xf numFmtId="43" fontId="0" fillId="0" borderId="0" xfId="0" applyNumberFormat="1" applyAlignment="1">
      <alignment horizontal="right"/>
    </xf>
    <xf numFmtId="164" fontId="8" fillId="0" borderId="0" xfId="0" applyNumberFormat="1" applyFont="1"/>
    <xf numFmtId="43" fontId="14" fillId="0" borderId="4" xfId="0" applyNumberFormat="1" applyFont="1" applyFill="1" applyBorder="1"/>
    <xf numFmtId="43" fontId="12" fillId="0" borderId="4" xfId="0" applyNumberFormat="1" applyFont="1" applyFill="1" applyBorder="1"/>
    <xf numFmtId="2" fontId="0" fillId="0" borderId="4" xfId="0" applyNumberFormat="1" applyFill="1" applyBorder="1"/>
    <xf numFmtId="2" fontId="0" fillId="0" borderId="4" xfId="0" applyNumberFormat="1" applyBorder="1"/>
    <xf numFmtId="2" fontId="7" fillId="0" borderId="4" xfId="0" applyNumberFormat="1" applyFont="1" applyFill="1" applyBorder="1"/>
    <xf numFmtId="4" fontId="1" fillId="0" borderId="4" xfId="0" applyNumberFormat="1" applyFont="1" applyBorder="1" applyAlignment="1">
      <alignment horizontal="center"/>
    </xf>
    <xf numFmtId="4" fontId="11" fillId="0" borderId="4" xfId="0" applyNumberFormat="1" applyFont="1" applyFill="1" applyBorder="1"/>
    <xf numFmtId="4" fontId="5" fillId="0" borderId="4" xfId="0" applyNumberFormat="1" applyFont="1" applyBorder="1" applyAlignment="1">
      <alignment horizontal="center"/>
    </xf>
    <xf numFmtId="43" fontId="5" fillId="0" borderId="0" xfId="0" applyNumberFormat="1" applyFont="1"/>
    <xf numFmtId="165" fontId="12" fillId="0" borderId="4" xfId="0" applyNumberFormat="1" applyFont="1" applyFill="1" applyBorder="1" applyAlignment="1">
      <alignment horizontal="center" wrapText="1"/>
    </xf>
    <xf numFmtId="165" fontId="8" fillId="0" borderId="0" xfId="0" applyNumberFormat="1" applyFont="1"/>
    <xf numFmtId="0" fontId="1" fillId="23" borderId="4" xfId="0" applyFont="1" applyFill="1" applyBorder="1" applyAlignment="1">
      <alignment horizontal="left"/>
    </xf>
    <xf numFmtId="4" fontId="8" fillId="0" borderId="4" xfId="0" applyNumberFormat="1" applyFont="1" applyFill="1" applyBorder="1"/>
    <xf numFmtId="4" fontId="12" fillId="0" borderId="5" xfId="0" applyNumberFormat="1" applyFont="1" applyFill="1" applyBorder="1" applyAlignment="1">
      <alignment horizontal="center"/>
    </xf>
    <xf numFmtId="165" fontId="12" fillId="17" borderId="4" xfId="0" applyNumberFormat="1" applyFont="1" applyFill="1" applyBorder="1"/>
    <xf numFmtId="165" fontId="25" fillId="0" borderId="0" xfId="0" applyNumberFormat="1" applyFont="1" applyFill="1" applyBorder="1"/>
    <xf numFmtId="168" fontId="7" fillId="0" borderId="4" xfId="0" applyNumberFormat="1" applyFont="1" applyFill="1" applyBorder="1" applyAlignment="1">
      <alignment horizontal="center"/>
    </xf>
    <xf numFmtId="0" fontId="21" fillId="9" borderId="2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0" fontId="49" fillId="0" borderId="4" xfId="0" applyFont="1" applyFill="1" applyBorder="1" applyAlignment="1">
      <alignment horizontal="left"/>
    </xf>
    <xf numFmtId="0" fontId="7" fillId="0" borderId="4" xfId="0" applyFont="1" applyBorder="1"/>
    <xf numFmtId="4" fontId="1" fillId="0" borderId="4" xfId="0" applyNumberFormat="1" applyFont="1" applyBorder="1"/>
    <xf numFmtId="165" fontId="7" fillId="0" borderId="4" xfId="0" applyNumberFormat="1" applyFont="1" applyBorder="1"/>
    <xf numFmtId="0" fontId="7" fillId="0" borderId="4" xfId="0" applyNumberFormat="1" applyFont="1" applyBorder="1"/>
    <xf numFmtId="4" fontId="1" fillId="0" borderId="4" xfId="0" applyNumberFormat="1" applyFont="1" applyFill="1" applyBorder="1" applyAlignment="1">
      <alignment horizontal="right" vertical="center"/>
    </xf>
    <xf numFmtId="168" fontId="7" fillId="0" borderId="4" xfId="0" applyNumberFormat="1" applyFont="1" applyBorder="1"/>
    <xf numFmtId="2" fontId="7" fillId="0" borderId="4" xfId="0" applyNumberFormat="1" applyFont="1" applyBorder="1"/>
    <xf numFmtId="0" fontId="7" fillId="0" borderId="4" xfId="0" applyFont="1" applyBorder="1" applyAlignment="1">
      <alignment horizontal="center"/>
    </xf>
    <xf numFmtId="14" fontId="7" fillId="0" borderId="4" xfId="0" applyNumberFormat="1" applyFont="1" applyBorder="1"/>
    <xf numFmtId="4" fontId="7" fillId="14" borderId="4" xfId="0" applyNumberFormat="1" applyFont="1" applyFill="1" applyBorder="1"/>
    <xf numFmtId="0" fontId="1" fillId="0" borderId="4" xfId="0" applyFont="1" applyFill="1" applyBorder="1"/>
    <xf numFmtId="0" fontId="1" fillId="0" borderId="4" xfId="0" applyNumberFormat="1" applyFont="1" applyBorder="1"/>
    <xf numFmtId="0" fontId="1" fillId="0" borderId="4" xfId="0" applyFont="1" applyBorder="1"/>
    <xf numFmtId="4" fontId="1" fillId="14" borderId="4" xfId="0" applyNumberFormat="1" applyFont="1" applyFill="1" applyBorder="1"/>
    <xf numFmtId="168" fontId="1" fillId="0" borderId="4" xfId="0" applyNumberFormat="1" applyFont="1" applyBorder="1"/>
    <xf numFmtId="49" fontId="12" fillId="0" borderId="4" xfId="0" applyNumberFormat="1" applyFont="1" applyFill="1" applyBorder="1" applyAlignment="1">
      <alignment horizontal="center"/>
    </xf>
    <xf numFmtId="0" fontId="5" fillId="0" borderId="0" xfId="0" applyFont="1" applyAlignment="1">
      <alignment vertical="center"/>
    </xf>
    <xf numFmtId="14" fontId="20" fillId="0" borderId="2" xfId="0" applyNumberFormat="1" applyFont="1" applyFill="1" applyBorder="1" applyAlignment="1">
      <alignment horizontal="center" vertical="center" wrapText="1"/>
    </xf>
    <xf numFmtId="14" fontId="12" fillId="0" borderId="3" xfId="0" applyNumberFormat="1" applyFont="1" applyFill="1" applyBorder="1" applyAlignment="1">
      <alignment horizontal="center" vertical="center" wrapText="1"/>
    </xf>
    <xf numFmtId="14" fontId="21" fillId="0" borderId="3" xfId="0" applyNumberFormat="1" applyFont="1" applyFill="1" applyBorder="1" applyAlignment="1">
      <alignment horizontal="center" vertical="center" wrapText="1"/>
    </xf>
    <xf numFmtId="0" fontId="5" fillId="17" borderId="4" xfId="0" applyFont="1" applyFill="1" applyBorder="1" applyAlignment="1">
      <alignment horizontal="left"/>
    </xf>
    <xf numFmtId="2" fontId="1" fillId="0" borderId="4" xfId="0" applyNumberFormat="1" applyFont="1" applyFill="1" applyBorder="1"/>
    <xf numFmtId="0" fontId="8" fillId="0" borderId="4" xfId="0" applyFont="1" applyBorder="1"/>
    <xf numFmtId="0" fontId="1" fillId="13" borderId="4" xfId="0" applyNumberFormat="1" applyFont="1" applyFill="1" applyBorder="1" applyAlignment="1">
      <alignment horizontal="center"/>
    </xf>
    <xf numFmtId="10" fontId="1" fillId="13" borderId="4" xfId="0" applyNumberFormat="1" applyFont="1" applyFill="1" applyBorder="1" applyAlignment="1">
      <alignment horizontal="center"/>
    </xf>
    <xf numFmtId="14" fontId="1" fillId="13" borderId="4" xfId="0" applyNumberFormat="1" applyFont="1" applyFill="1" applyBorder="1"/>
    <xf numFmtId="4" fontId="1" fillId="13" borderId="4" xfId="0" applyNumberFormat="1" applyFont="1" applyFill="1" applyBorder="1" applyAlignment="1">
      <alignment horizontal="right"/>
    </xf>
    <xf numFmtId="4" fontId="12" fillId="13" borderId="4" xfId="0" applyNumberFormat="1" applyFont="1" applyFill="1" applyBorder="1" applyAlignment="1">
      <alignment horizontal="center"/>
    </xf>
    <xf numFmtId="165" fontId="14" fillId="13" borderId="4" xfId="0" applyNumberFormat="1" applyFont="1" applyFill="1" applyBorder="1"/>
    <xf numFmtId="0" fontId="0" fillId="13" borderId="4" xfId="0" applyFill="1" applyBorder="1"/>
    <xf numFmtId="165" fontId="0" fillId="13" borderId="4" xfId="0" applyNumberFormat="1" applyFill="1" applyBorder="1"/>
    <xf numFmtId="165" fontId="8" fillId="13" borderId="4" xfId="0" applyNumberFormat="1" applyFont="1" applyFill="1" applyBorder="1"/>
    <xf numFmtId="43" fontId="12" fillId="13" borderId="4" xfId="0" applyNumberFormat="1" applyFont="1" applyFill="1" applyBorder="1"/>
    <xf numFmtId="2" fontId="0" fillId="13" borderId="4" xfId="0" applyNumberFormat="1" applyFill="1" applyBorder="1"/>
    <xf numFmtId="4" fontId="12" fillId="12" borderId="4" xfId="0" applyNumberFormat="1" applyFont="1" applyFill="1" applyBorder="1" applyAlignment="1">
      <alignment horizontal="center"/>
    </xf>
    <xf numFmtId="43" fontId="12" fillId="12" borderId="4" xfId="0" applyNumberFormat="1" applyFont="1" applyFill="1" applyBorder="1"/>
    <xf numFmtId="2" fontId="0" fillId="12" borderId="4" xfId="0" applyNumberFormat="1" applyFill="1" applyBorder="1"/>
    <xf numFmtId="0" fontId="0" fillId="12" borderId="4" xfId="0" applyFill="1" applyBorder="1"/>
    <xf numFmtId="165" fontId="8" fillId="12" borderId="4" xfId="0" applyNumberFormat="1" applyFont="1" applyFill="1" applyBorder="1"/>
    <xf numFmtId="0" fontId="0" fillId="12" borderId="0" xfId="0" applyFill="1"/>
    <xf numFmtId="0" fontId="3" fillId="24" borderId="4" xfId="0" applyFont="1" applyFill="1" applyBorder="1" applyAlignment="1">
      <alignment horizontal="left"/>
    </xf>
    <xf numFmtId="0" fontId="1" fillId="24" borderId="4" xfId="0" applyFont="1" applyFill="1" applyBorder="1" applyAlignment="1">
      <alignment horizontal="left"/>
    </xf>
    <xf numFmtId="0" fontId="3" fillId="12" borderId="5" xfId="0" applyFont="1" applyFill="1" applyBorder="1" applyAlignment="1">
      <alignment horizontal="left"/>
    </xf>
    <xf numFmtId="4" fontId="11" fillId="12" borderId="4" xfId="0" applyNumberFormat="1" applyFont="1" applyFill="1" applyBorder="1" applyAlignment="1">
      <alignment horizontal="right"/>
    </xf>
    <xf numFmtId="166" fontId="11" fillId="12" borderId="4" xfId="0" applyNumberFormat="1" applyFont="1" applyFill="1" applyBorder="1" applyAlignment="1">
      <alignment horizontal="center"/>
    </xf>
    <xf numFmtId="168" fontId="1" fillId="12" borderId="4" xfId="0" applyNumberFormat="1" applyFont="1" applyFill="1" applyBorder="1" applyAlignment="1">
      <alignment horizontal="center"/>
    </xf>
    <xf numFmtId="165" fontId="11" fillId="12" borderId="4" xfId="0" applyNumberFormat="1" applyFont="1" applyFill="1" applyBorder="1"/>
    <xf numFmtId="165" fontId="9" fillId="12" borderId="4" xfId="0" applyNumberFormat="1" applyFont="1" applyFill="1" applyBorder="1" applyAlignment="1">
      <alignment horizontal="right"/>
    </xf>
    <xf numFmtId="0" fontId="44" fillId="12" borderId="4" xfId="0" applyFont="1" applyFill="1" applyBorder="1"/>
    <xf numFmtId="0" fontId="26" fillId="12" borderId="4" xfId="0" applyFont="1" applyFill="1" applyBorder="1"/>
    <xf numFmtId="166" fontId="45" fillId="12" borderId="4" xfId="0" applyNumberFormat="1" applyFont="1" applyFill="1" applyBorder="1" applyAlignment="1">
      <alignment horizontal="center"/>
    </xf>
    <xf numFmtId="168" fontId="26" fillId="12" borderId="4" xfId="0" applyNumberFormat="1" applyFont="1" applyFill="1" applyBorder="1" applyAlignment="1">
      <alignment horizontal="center"/>
    </xf>
    <xf numFmtId="165" fontId="45" fillId="12" borderId="4" xfId="0" applyNumberFormat="1" applyFont="1" applyFill="1" applyBorder="1"/>
    <xf numFmtId="0" fontId="1" fillId="12" borderId="5" xfId="0" applyFont="1" applyFill="1" applyBorder="1" applyAlignment="1">
      <alignment horizontal="left"/>
    </xf>
    <xf numFmtId="0" fontId="1" fillId="13" borderId="5" xfId="0" applyFont="1" applyFill="1" applyBorder="1" applyAlignment="1">
      <alignment horizontal="left"/>
    </xf>
    <xf numFmtId="9" fontId="4" fillId="13" borderId="4" xfId="0" applyNumberFormat="1" applyFont="1" applyFill="1" applyBorder="1" applyAlignment="1">
      <alignment horizontal="center"/>
    </xf>
    <xf numFmtId="14" fontId="4" fillId="13" borderId="4" xfId="0" applyNumberFormat="1" applyFont="1" applyFill="1" applyBorder="1" applyAlignment="1">
      <alignment horizontal="center"/>
    </xf>
    <xf numFmtId="164" fontId="4" fillId="13" borderId="4" xfId="0" applyNumberFormat="1" applyFont="1" applyFill="1" applyBorder="1"/>
    <xf numFmtId="4" fontId="11" fillId="13" borderId="4" xfId="0" applyNumberFormat="1" applyFont="1" applyFill="1" applyBorder="1" applyAlignment="1">
      <alignment horizontal="right"/>
    </xf>
    <xf numFmtId="166" fontId="11" fillId="13" borderId="4" xfId="0" applyNumberFormat="1" applyFont="1" applyFill="1" applyBorder="1" applyAlignment="1">
      <alignment horizontal="center"/>
    </xf>
    <xf numFmtId="168" fontId="1" fillId="13" borderId="4" xfId="0" applyNumberFormat="1" applyFont="1" applyFill="1" applyBorder="1" applyAlignment="1">
      <alignment horizontal="center"/>
    </xf>
    <xf numFmtId="165" fontId="11" fillId="13" borderId="4" xfId="0" applyNumberFormat="1" applyFont="1" applyFill="1" applyBorder="1"/>
    <xf numFmtId="165" fontId="9" fillId="13" borderId="4" xfId="0" applyNumberFormat="1" applyFont="1" applyFill="1" applyBorder="1" applyAlignment="1">
      <alignment horizontal="right"/>
    </xf>
    <xf numFmtId="0" fontId="44" fillId="13" borderId="4" xfId="0" applyFont="1" applyFill="1" applyBorder="1"/>
    <xf numFmtId="0" fontId="26" fillId="13" borderId="4" xfId="0" applyFont="1" applyFill="1" applyBorder="1"/>
    <xf numFmtId="166" fontId="45" fillId="13" borderId="4" xfId="0" applyNumberFormat="1" applyFont="1" applyFill="1" applyBorder="1" applyAlignment="1">
      <alignment horizontal="center"/>
    </xf>
    <xf numFmtId="168" fontId="26" fillId="13" borderId="4" xfId="0" applyNumberFormat="1" applyFont="1" applyFill="1" applyBorder="1" applyAlignment="1">
      <alignment horizontal="center"/>
    </xf>
    <xf numFmtId="165" fontId="45" fillId="13" borderId="4" xfId="0" applyNumberFormat="1" applyFont="1" applyFill="1" applyBorder="1"/>
    <xf numFmtId="9" fontId="12" fillId="13" borderId="4" xfId="0" applyNumberFormat="1" applyFont="1" applyFill="1" applyBorder="1" applyAlignment="1">
      <alignment horizontal="center"/>
    </xf>
    <xf numFmtId="166" fontId="1" fillId="13" borderId="4" xfId="0" applyNumberFormat="1" applyFont="1" applyFill="1" applyBorder="1" applyAlignment="1">
      <alignment horizontal="center"/>
    </xf>
    <xf numFmtId="4" fontId="26" fillId="13" borderId="4" xfId="0" applyNumberFormat="1" applyFont="1" applyFill="1" applyBorder="1"/>
    <xf numFmtId="4" fontId="44" fillId="13" borderId="4" xfId="0" applyNumberFormat="1" applyFont="1" applyFill="1" applyBorder="1"/>
    <xf numFmtId="166" fontId="1" fillId="12" borderId="4" xfId="0" applyNumberFormat="1" applyFont="1" applyFill="1" applyBorder="1" applyAlignment="1">
      <alignment horizontal="center"/>
    </xf>
    <xf numFmtId="4" fontId="26" fillId="12" borderId="4" xfId="0" applyNumberFormat="1" applyFont="1" applyFill="1" applyBorder="1"/>
    <xf numFmtId="4" fontId="44" fillId="12" borderId="4" xfId="0" applyNumberFormat="1" applyFont="1" applyFill="1" applyBorder="1"/>
    <xf numFmtId="0" fontId="3" fillId="13" borderId="4" xfId="0" applyFont="1" applyFill="1" applyBorder="1" applyAlignment="1">
      <alignment horizontal="left"/>
    </xf>
    <xf numFmtId="170" fontId="12" fillId="13" borderId="4" xfId="0" applyNumberFormat="1" applyFont="1" applyFill="1" applyBorder="1"/>
    <xf numFmtId="0" fontId="3" fillId="3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12" fillId="0" borderId="2" xfId="0" applyFont="1" applyFill="1" applyBorder="1" applyAlignment="1">
      <alignment horizontal="left"/>
    </xf>
    <xf numFmtId="0" fontId="1" fillId="0" borderId="2" xfId="0" applyNumberFormat="1" applyFont="1" applyFill="1" applyBorder="1" applyAlignment="1">
      <alignment horizontal="center"/>
    </xf>
    <xf numFmtId="9" fontId="1" fillId="0" borderId="2" xfId="0" applyNumberFormat="1" applyFont="1" applyFill="1" applyBorder="1" applyAlignment="1">
      <alignment horizontal="center"/>
    </xf>
    <xf numFmtId="14" fontId="12" fillId="0" borderId="2" xfId="0" applyNumberFormat="1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/>
    </xf>
    <xf numFmtId="169" fontId="12" fillId="0" borderId="2" xfId="0" applyNumberFormat="1" applyFont="1" applyFill="1" applyBorder="1" applyAlignment="1">
      <alignment horizontal="center"/>
    </xf>
    <xf numFmtId="2" fontId="12" fillId="0" borderId="2" xfId="0" applyNumberFormat="1" applyFont="1" applyFill="1" applyBorder="1" applyAlignment="1">
      <alignment horizontal="center"/>
    </xf>
    <xf numFmtId="0" fontId="12" fillId="0" borderId="2" xfId="0" applyNumberFormat="1" applyFont="1" applyFill="1" applyBorder="1" applyAlignment="1">
      <alignment horizontal="center"/>
    </xf>
    <xf numFmtId="14" fontId="1" fillId="0" borderId="2" xfId="0" applyNumberFormat="1" applyFont="1" applyFill="1" applyBorder="1" applyAlignment="1">
      <alignment horizontal="center"/>
    </xf>
    <xf numFmtId="4" fontId="1" fillId="0" borderId="2" xfId="0" applyNumberFormat="1" applyFont="1" applyFill="1" applyBorder="1" applyAlignment="1">
      <alignment horizontal="right"/>
    </xf>
    <xf numFmtId="165" fontId="14" fillId="0" borderId="2" xfId="0" applyNumberFormat="1" applyFont="1" applyFill="1" applyBorder="1" applyAlignment="1">
      <alignment horizontal="right"/>
    </xf>
    <xf numFmtId="164" fontId="12" fillId="0" borderId="2" xfId="0" applyNumberFormat="1" applyFont="1" applyFill="1" applyBorder="1"/>
    <xf numFmtId="4" fontId="12" fillId="0" borderId="2" xfId="0" applyNumberFormat="1" applyFont="1" applyFill="1" applyBorder="1" applyAlignment="1">
      <alignment horizontal="right"/>
    </xf>
    <xf numFmtId="4" fontId="12" fillId="0" borderId="2" xfId="0" applyNumberFormat="1" applyFont="1" applyFill="1" applyBorder="1" applyAlignment="1">
      <alignment horizontal="center"/>
    </xf>
    <xf numFmtId="166" fontId="12" fillId="0" borderId="2" xfId="0" applyNumberFormat="1" applyFont="1" applyFill="1" applyBorder="1" applyAlignment="1">
      <alignment horizontal="center"/>
    </xf>
    <xf numFmtId="168" fontId="12" fillId="0" borderId="2" xfId="0" applyNumberFormat="1" applyFont="1" applyFill="1" applyBorder="1" applyAlignment="1">
      <alignment horizontal="center"/>
    </xf>
    <xf numFmtId="165" fontId="12" fillId="0" borderId="2" xfId="0" applyNumberFormat="1" applyFont="1" applyFill="1" applyBorder="1"/>
    <xf numFmtId="170" fontId="12" fillId="0" borderId="2" xfId="0" applyNumberFormat="1" applyFont="1" applyFill="1" applyBorder="1" applyAlignment="1">
      <alignment horizontal="center"/>
    </xf>
    <xf numFmtId="165" fontId="14" fillId="0" borderId="2" xfId="0" applyNumberFormat="1" applyFont="1" applyFill="1" applyBorder="1"/>
    <xf numFmtId="0" fontId="0" fillId="0" borderId="2" xfId="0" applyBorder="1"/>
    <xf numFmtId="168" fontId="0" fillId="0" borderId="2" xfId="0" applyNumberFormat="1" applyBorder="1"/>
    <xf numFmtId="2" fontId="0" fillId="0" borderId="2" xfId="0" applyNumberFormat="1" applyBorder="1"/>
    <xf numFmtId="14" fontId="12" fillId="12" borderId="3" xfId="0" applyNumberFormat="1" applyFont="1" applyFill="1" applyBorder="1" applyAlignment="1">
      <alignment horizontal="center"/>
    </xf>
    <xf numFmtId="0" fontId="1" fillId="13" borderId="4" xfId="0" applyFont="1" applyFill="1" applyBorder="1"/>
    <xf numFmtId="8" fontId="7" fillId="13" borderId="4" xfId="0" applyNumberFormat="1" applyFont="1" applyFill="1" applyBorder="1"/>
    <xf numFmtId="0" fontId="7" fillId="13" borderId="4" xfId="0" applyFont="1" applyFill="1" applyBorder="1"/>
    <xf numFmtId="4" fontId="0" fillId="13" borderId="4" xfId="0" applyNumberFormat="1" applyFill="1" applyBorder="1"/>
    <xf numFmtId="168" fontId="0" fillId="13" borderId="4" xfId="0" applyNumberFormat="1" applyFill="1" applyBorder="1"/>
    <xf numFmtId="0" fontId="0" fillId="13" borderId="4" xfId="0" applyFill="1" applyBorder="1" applyAlignment="1">
      <alignment horizontal="right"/>
    </xf>
    <xf numFmtId="165" fontId="0" fillId="13" borderId="9" xfId="0" applyNumberFormat="1" applyFill="1" applyBorder="1"/>
    <xf numFmtId="0" fontId="1" fillId="13" borderId="3" xfId="0" applyFont="1" applyFill="1" applyBorder="1" applyAlignment="1">
      <alignment horizontal="left"/>
    </xf>
    <xf numFmtId="2" fontId="12" fillId="13" borderId="3" xfId="0" applyNumberFormat="1" applyFont="1" applyFill="1" applyBorder="1" applyAlignment="1">
      <alignment horizontal="center"/>
    </xf>
    <xf numFmtId="0" fontId="12" fillId="13" borderId="3" xfId="0" applyNumberFormat="1" applyFont="1" applyFill="1" applyBorder="1" applyAlignment="1">
      <alignment horizontal="center"/>
    </xf>
    <xf numFmtId="166" fontId="12" fillId="13" borderId="3" xfId="0" applyNumberFormat="1" applyFont="1" applyFill="1" applyBorder="1" applyAlignment="1">
      <alignment horizontal="center"/>
    </xf>
    <xf numFmtId="165" fontId="12" fillId="13" borderId="3" xfId="0" applyNumberFormat="1" applyFont="1" applyFill="1" applyBorder="1"/>
    <xf numFmtId="2" fontId="0" fillId="13" borderId="3" xfId="0" applyNumberFormat="1" applyFill="1" applyBorder="1"/>
    <xf numFmtId="43" fontId="12" fillId="13" borderId="3" xfId="0" applyNumberFormat="1" applyFont="1" applyFill="1" applyBorder="1"/>
    <xf numFmtId="0" fontId="1" fillId="12" borderId="3" xfId="0" applyFont="1" applyFill="1" applyBorder="1"/>
    <xf numFmtId="0" fontId="12" fillId="12" borderId="3" xfId="0" applyFont="1" applyFill="1" applyBorder="1" applyAlignment="1">
      <alignment horizontal="left"/>
    </xf>
    <xf numFmtId="0" fontId="1" fillId="12" borderId="3" xfId="0" applyNumberFormat="1" applyFont="1" applyFill="1" applyBorder="1" applyAlignment="1">
      <alignment horizontal="center"/>
    </xf>
    <xf numFmtId="10" fontId="1" fillId="12" borderId="3" xfId="0" applyNumberFormat="1" applyFont="1" applyFill="1" applyBorder="1" applyAlignment="1">
      <alignment horizontal="center"/>
    </xf>
    <xf numFmtId="0" fontId="12" fillId="12" borderId="3" xfId="0" applyFont="1" applyFill="1" applyBorder="1" applyAlignment="1">
      <alignment horizontal="center"/>
    </xf>
    <xf numFmtId="169" fontId="12" fillId="12" borderId="3" xfId="0" applyNumberFormat="1" applyFont="1" applyFill="1" applyBorder="1" applyAlignment="1">
      <alignment horizontal="center"/>
    </xf>
    <xf numFmtId="2" fontId="12" fillId="12" borderId="3" xfId="0" applyNumberFormat="1" applyFont="1" applyFill="1" applyBorder="1" applyAlignment="1">
      <alignment horizontal="center"/>
    </xf>
    <xf numFmtId="0" fontId="12" fillId="12" borderId="3" xfId="0" applyNumberFormat="1" applyFont="1" applyFill="1" applyBorder="1" applyAlignment="1">
      <alignment horizontal="center"/>
    </xf>
    <xf numFmtId="14" fontId="1" fillId="12" borderId="3" xfId="0" applyNumberFormat="1" applyFont="1" applyFill="1" applyBorder="1" applyAlignment="1">
      <alignment horizontal="center"/>
    </xf>
    <xf numFmtId="8" fontId="7" fillId="12" borderId="3" xfId="0" applyNumberFormat="1" applyFont="1" applyFill="1" applyBorder="1"/>
    <xf numFmtId="0" fontId="7" fillId="12" borderId="3" xfId="0" applyFont="1" applyFill="1" applyBorder="1"/>
    <xf numFmtId="4" fontId="0" fillId="12" borderId="3" xfId="0" applyNumberFormat="1" applyFill="1" applyBorder="1"/>
    <xf numFmtId="0" fontId="0" fillId="12" borderId="3" xfId="0" applyFill="1" applyBorder="1"/>
    <xf numFmtId="168" fontId="0" fillId="12" borderId="3" xfId="0" applyNumberFormat="1" applyFill="1" applyBorder="1"/>
    <xf numFmtId="0" fontId="0" fillId="12" borderId="3" xfId="0" applyFill="1" applyBorder="1" applyAlignment="1">
      <alignment horizontal="right"/>
    </xf>
    <xf numFmtId="166" fontId="12" fillId="12" borderId="3" xfId="0" applyNumberFormat="1" applyFont="1" applyFill="1" applyBorder="1" applyAlignment="1">
      <alignment horizontal="center"/>
    </xf>
    <xf numFmtId="43" fontId="12" fillId="12" borderId="3" xfId="0" applyNumberFormat="1" applyFont="1" applyFill="1" applyBorder="1"/>
    <xf numFmtId="165" fontId="12" fillId="12" borderId="3" xfId="0" applyNumberFormat="1" applyFont="1" applyFill="1" applyBorder="1"/>
    <xf numFmtId="2" fontId="0" fillId="12" borderId="3" xfId="0" applyNumberFormat="1" applyFill="1" applyBorder="1"/>
    <xf numFmtId="165" fontId="0" fillId="12" borderId="8" xfId="0" applyNumberFormat="1" applyFill="1" applyBorder="1"/>
    <xf numFmtId="165" fontId="8" fillId="12" borderId="3" xfId="0" applyNumberFormat="1" applyFont="1" applyFill="1" applyBorder="1"/>
    <xf numFmtId="164" fontId="12" fillId="13" borderId="3" xfId="0" applyNumberFormat="1" applyFont="1" applyFill="1" applyBorder="1"/>
    <xf numFmtId="170" fontId="12" fillId="13" borderId="3" xfId="0" applyNumberFormat="1" applyFont="1" applyFill="1" applyBorder="1"/>
    <xf numFmtId="165" fontId="14" fillId="13" borderId="3" xfId="0" applyNumberFormat="1" applyFont="1" applyFill="1" applyBorder="1" applyAlignment="1">
      <alignment horizontal="right"/>
    </xf>
    <xf numFmtId="165" fontId="0" fillId="13" borderId="3" xfId="0" applyNumberFormat="1" applyFill="1" applyBorder="1"/>
    <xf numFmtId="168" fontId="12" fillId="13" borderId="3" xfId="0" applyNumberFormat="1" applyFont="1" applyFill="1" applyBorder="1" applyAlignment="1">
      <alignment horizontal="center"/>
    </xf>
    <xf numFmtId="165" fontId="14" fillId="13" borderId="3" xfId="0" applyNumberFormat="1" applyFont="1" applyFill="1" applyBorder="1"/>
    <xf numFmtId="2" fontId="1" fillId="13" borderId="3" xfId="0" applyNumberFormat="1" applyFont="1" applyFill="1" applyBorder="1"/>
    <xf numFmtId="4" fontId="1" fillId="13" borderId="4" xfId="0" applyNumberFormat="1" applyFont="1" applyFill="1" applyBorder="1"/>
    <xf numFmtId="0" fontId="3" fillId="3" borderId="3" xfId="0" applyFont="1" applyFill="1" applyBorder="1" applyAlignment="1">
      <alignment horizontal="left"/>
    </xf>
    <xf numFmtId="165" fontId="0" fillId="12" borderId="4" xfId="0" applyNumberFormat="1" applyFill="1" applyBorder="1"/>
    <xf numFmtId="168" fontId="12" fillId="12" borderId="4" xfId="0" applyNumberFormat="1" applyFont="1" applyFill="1" applyBorder="1" applyAlignment="1">
      <alignment horizontal="center"/>
    </xf>
    <xf numFmtId="4" fontId="0" fillId="12" borderId="4" xfId="0" applyNumberFormat="1" applyFill="1" applyBorder="1"/>
    <xf numFmtId="2" fontId="1" fillId="12" borderId="4" xfId="0" applyNumberFormat="1" applyFont="1" applyFill="1" applyBorder="1"/>
    <xf numFmtId="4" fontId="1" fillId="12" borderId="4" xfId="0" applyNumberFormat="1" applyFont="1" applyFill="1" applyBorder="1"/>
    <xf numFmtId="4" fontId="1" fillId="13" borderId="4" xfId="0" applyNumberFormat="1" applyFont="1" applyFill="1" applyBorder="1" applyAlignment="1"/>
    <xf numFmtId="4" fontId="11" fillId="13" borderId="4" xfId="0" applyNumberFormat="1" applyFont="1" applyFill="1" applyBorder="1" applyAlignment="1">
      <alignment horizontal="center"/>
    </xf>
    <xf numFmtId="8" fontId="1" fillId="13" borderId="4" xfId="0" applyNumberFormat="1" applyFont="1" applyFill="1" applyBorder="1"/>
    <xf numFmtId="0" fontId="10" fillId="4" borderId="2" xfId="0" applyFont="1" applyFill="1" applyBorder="1" applyAlignment="1">
      <alignment horizontal="center" wrapText="1"/>
    </xf>
    <xf numFmtId="165" fontId="5" fillId="0" borderId="4" xfId="0" applyNumberFormat="1" applyFont="1" applyFill="1" applyBorder="1"/>
    <xf numFmtId="165" fontId="1" fillId="13" borderId="4" xfId="0" applyNumberFormat="1" applyFont="1" applyFill="1" applyBorder="1"/>
    <xf numFmtId="165" fontId="34" fillId="0" borderId="1" xfId="0" applyNumberFormat="1" applyFont="1" applyFill="1" applyBorder="1"/>
    <xf numFmtId="165" fontId="34" fillId="0" borderId="0" xfId="0" applyNumberFormat="1" applyFont="1" applyFill="1" applyBorder="1"/>
    <xf numFmtId="164" fontId="34" fillId="0" borderId="0" xfId="0" applyNumberFormat="1" applyFont="1"/>
    <xf numFmtId="165" fontId="38" fillId="0" borderId="0" xfId="0" applyNumberFormat="1" applyFont="1"/>
    <xf numFmtId="4" fontId="34" fillId="0" borderId="0" xfId="0" applyNumberFormat="1" applyFont="1" applyFill="1"/>
    <xf numFmtId="168" fontId="12" fillId="13" borderId="5" xfId="0" applyNumberFormat="1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14" fontId="0" fillId="13" borderId="4" xfId="0" applyNumberFormat="1" applyFill="1" applyBorder="1"/>
    <xf numFmtId="14" fontId="7" fillId="13" borderId="4" xfId="0" applyNumberFormat="1" applyFont="1" applyFill="1" applyBorder="1"/>
    <xf numFmtId="4" fontId="7" fillId="13" borderId="4" xfId="0" applyNumberFormat="1" applyFont="1" applyFill="1" applyBorder="1"/>
    <xf numFmtId="2" fontId="4" fillId="13" borderId="4" xfId="0" applyNumberFormat="1" applyFont="1" applyFill="1" applyBorder="1"/>
    <xf numFmtId="0" fontId="12" fillId="13" borderId="4" xfId="0" applyNumberFormat="1" applyFont="1" applyFill="1" applyBorder="1"/>
    <xf numFmtId="0" fontId="12" fillId="13" borderId="4" xfId="0" applyNumberFormat="1" applyFont="1" applyFill="1" applyBorder="1" applyAlignment="1">
      <alignment horizontal="left" indent="2"/>
    </xf>
    <xf numFmtId="0" fontId="0" fillId="0" borderId="4" xfId="0" applyBorder="1" applyAlignment="1">
      <alignment horizontal="center" vertical="center"/>
    </xf>
    <xf numFmtId="0" fontId="27" fillId="13" borderId="4" xfId="0" applyFont="1" applyFill="1" applyBorder="1" applyAlignment="1">
      <alignment horizontal="left"/>
    </xf>
    <xf numFmtId="172" fontId="12" fillId="13" borderId="4" xfId="0" applyNumberFormat="1" applyFont="1" applyFill="1" applyBorder="1"/>
    <xf numFmtId="0" fontId="3" fillId="25" borderId="4" xfId="0" applyFont="1" applyFill="1" applyBorder="1" applyAlignment="1">
      <alignment horizontal="left"/>
    </xf>
    <xf numFmtId="0" fontId="1" fillId="25" borderId="4" xfId="0" applyFont="1" applyFill="1" applyBorder="1" applyAlignment="1">
      <alignment horizontal="left"/>
    </xf>
    <xf numFmtId="43" fontId="0" fillId="0" borderId="4" xfId="0" applyNumberFormat="1" applyBorder="1"/>
    <xf numFmtId="14" fontId="0" fillId="0" borderId="4" xfId="0" applyNumberFormat="1" applyBorder="1"/>
    <xf numFmtId="0" fontId="50" fillId="0" borderId="4" xfId="0" applyFont="1" applyBorder="1"/>
    <xf numFmtId="0" fontId="12" fillId="0" borderId="4" xfId="0" applyNumberFormat="1" applyFont="1" applyFill="1" applyBorder="1" applyAlignment="1">
      <alignment horizontal="left" indent="2"/>
    </xf>
    <xf numFmtId="165" fontId="12" fillId="0" borderId="0" xfId="0" applyNumberFormat="1" applyFont="1" applyFill="1" applyBorder="1" applyAlignment="1">
      <alignment horizontal="left" indent="2"/>
    </xf>
    <xf numFmtId="168" fontId="8" fillId="0" borderId="4" xfId="0" applyNumberFormat="1" applyFont="1" applyFill="1" applyBorder="1" applyAlignment="1">
      <alignment horizontal="center"/>
    </xf>
    <xf numFmtId="167" fontId="13" fillId="0" borderId="4" xfId="0" applyNumberFormat="1" applyFont="1" applyFill="1" applyBorder="1" applyAlignment="1">
      <alignment horizontal="center"/>
    </xf>
    <xf numFmtId="167" fontId="15" fillId="0" borderId="4" xfId="0" applyNumberFormat="1" applyFont="1" applyFill="1" applyBorder="1" applyAlignment="1">
      <alignment horizontal="center"/>
    </xf>
    <xf numFmtId="171" fontId="13" fillId="0" borderId="4" xfId="0" applyNumberFormat="1" applyFont="1" applyFill="1" applyBorder="1"/>
    <xf numFmtId="0" fontId="13" fillId="0" borderId="4" xfId="0" applyNumberFormat="1" applyFont="1" applyFill="1" applyBorder="1"/>
    <xf numFmtId="170" fontId="13" fillId="12" borderId="4" xfId="0" applyNumberFormat="1" applyFont="1" applyFill="1" applyBorder="1"/>
    <xf numFmtId="165" fontId="13" fillId="0" borderId="0" xfId="0" applyNumberFormat="1" applyFont="1" applyFill="1" applyBorder="1"/>
    <xf numFmtId="166" fontId="13" fillId="0" borderId="0" xfId="0" applyNumberFormat="1" applyFont="1" applyFill="1" applyBorder="1" applyAlignment="1">
      <alignment horizontal="center"/>
    </xf>
    <xf numFmtId="4" fontId="7" fillId="0" borderId="4" xfId="0" applyNumberFormat="1" applyFont="1" applyFill="1" applyBorder="1"/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167" fontId="13" fillId="0" borderId="0" xfId="0" applyNumberFormat="1" applyFont="1" applyFill="1" applyBorder="1" applyAlignment="1">
      <alignment horizontal="center"/>
    </xf>
    <xf numFmtId="167" fontId="15" fillId="0" borderId="0" xfId="0" applyNumberFormat="1" applyFont="1" applyFill="1" applyBorder="1" applyAlignment="1">
      <alignment horizontal="center"/>
    </xf>
    <xf numFmtId="0" fontId="1" fillId="0" borderId="0" xfId="0" applyFont="1"/>
    <xf numFmtId="168" fontId="1" fillId="0" borderId="0" xfId="0" applyNumberFormat="1" applyFont="1"/>
    <xf numFmtId="0" fontId="1" fillId="0" borderId="0" xfId="0" applyFont="1" applyAlignment="1">
      <alignment horizontal="center" vertical="center"/>
    </xf>
    <xf numFmtId="165" fontId="32" fillId="12" borderId="4" xfId="0" applyNumberFormat="1" applyFont="1" applyFill="1" applyBorder="1"/>
    <xf numFmtId="170" fontId="32" fillId="12" borderId="4" xfId="0" applyNumberFormat="1" applyFont="1" applyFill="1" applyBorder="1"/>
    <xf numFmtId="165" fontId="33" fillId="12" borderId="4" xfId="0" applyNumberFormat="1" applyFont="1" applyFill="1" applyBorder="1"/>
    <xf numFmtId="165" fontId="32" fillId="0" borderId="0" xfId="0" applyNumberFormat="1" applyFont="1" applyFill="1" applyBorder="1"/>
    <xf numFmtId="0" fontId="26" fillId="0" borderId="0" xfId="0" applyFont="1" applyFill="1"/>
    <xf numFmtId="168" fontId="26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7" fillId="12" borderId="0" xfId="0" applyFont="1" applyFill="1" applyBorder="1"/>
    <xf numFmtId="4" fontId="1" fillId="0" borderId="0" xfId="0" applyNumberFormat="1" applyFont="1" applyBorder="1"/>
    <xf numFmtId="0" fontId="1" fillId="0" borderId="0" xfId="0" applyFont="1" applyBorder="1"/>
    <xf numFmtId="0" fontId="5" fillId="0" borderId="0" xfId="0" applyFont="1" applyBorder="1"/>
    <xf numFmtId="0" fontId="1" fillId="12" borderId="0" xfId="0" applyFont="1" applyFill="1" applyBorder="1"/>
    <xf numFmtId="4" fontId="5" fillId="0" borderId="0" xfId="0" applyNumberFormat="1" applyFont="1" applyBorder="1"/>
    <xf numFmtId="4" fontId="8" fillId="0" borderId="0" xfId="0" applyNumberFormat="1" applyFont="1" applyFill="1"/>
    <xf numFmtId="4" fontId="1" fillId="0" borderId="0" xfId="0" applyNumberFormat="1" applyFont="1" applyFill="1" applyBorder="1"/>
    <xf numFmtId="166" fontId="15" fillId="0" borderId="0" xfId="0" applyNumberFormat="1" applyFont="1" applyFill="1" applyBorder="1" applyAlignment="1">
      <alignment horizontal="center"/>
    </xf>
    <xf numFmtId="165" fontId="26" fillId="0" borderId="0" xfId="0" applyNumberFormat="1" applyFont="1" applyBorder="1"/>
    <xf numFmtId="0" fontId="13" fillId="0" borderId="0" xfId="0" applyFont="1" applyFill="1"/>
    <xf numFmtId="165" fontId="14" fillId="0" borderId="9" xfId="0" applyNumberFormat="1" applyFont="1" applyFill="1" applyBorder="1"/>
    <xf numFmtId="165" fontId="26" fillId="0" borderId="4" xfId="0" applyNumberFormat="1" applyFont="1" applyBorder="1"/>
    <xf numFmtId="165" fontId="7" fillId="0" borderId="1" xfId="0" applyNumberFormat="1" applyFont="1" applyFill="1" applyBorder="1"/>
    <xf numFmtId="165" fontId="32" fillId="12" borderId="0" xfId="0" applyNumberFormat="1" applyFont="1" applyFill="1" applyBorder="1"/>
    <xf numFmtId="4" fontId="26" fillId="0" borderId="0" xfId="0" applyNumberFormat="1" applyFont="1" applyFill="1" applyBorder="1"/>
    <xf numFmtId="165" fontId="15" fillId="0" borderId="0" xfId="0" applyNumberFormat="1" applyFont="1" applyFill="1" applyBorder="1"/>
    <xf numFmtId="170" fontId="13" fillId="12" borderId="0" xfId="0" applyNumberFormat="1" applyFont="1" applyFill="1" applyBorder="1"/>
    <xf numFmtId="4" fontId="32" fillId="0" borderId="0" xfId="0" applyNumberFormat="1" applyFont="1" applyFill="1" applyBorder="1"/>
    <xf numFmtId="165" fontId="12" fillId="12" borderId="0" xfId="0" applyNumberFormat="1" applyFont="1" applyFill="1" applyBorder="1"/>
    <xf numFmtId="165" fontId="13" fillId="0" borderId="9" xfId="0" applyNumberFormat="1" applyFont="1" applyFill="1" applyBorder="1"/>
    <xf numFmtId="165" fontId="33" fillId="0" borderId="1" xfId="0" applyNumberFormat="1" applyFont="1" applyFill="1" applyBorder="1"/>
    <xf numFmtId="165" fontId="32" fillId="0" borderId="1" xfId="0" applyNumberFormat="1" applyFont="1" applyFill="1" applyBorder="1"/>
    <xf numFmtId="166" fontId="32" fillId="0" borderId="4" xfId="0" applyNumberFormat="1" applyFont="1" applyFill="1" applyBorder="1" applyAlignment="1">
      <alignment horizontal="center"/>
    </xf>
    <xf numFmtId="168" fontId="32" fillId="0" borderId="4" xfId="0" applyNumberFormat="1" applyFont="1" applyFill="1" applyBorder="1" applyAlignment="1">
      <alignment horizontal="center"/>
    </xf>
    <xf numFmtId="168" fontId="45" fillId="0" borderId="4" xfId="0" applyNumberFormat="1" applyFont="1" applyFill="1" applyBorder="1" applyAlignment="1">
      <alignment horizontal="center"/>
    </xf>
    <xf numFmtId="4" fontId="7" fillId="0" borderId="4" xfId="0" applyNumberFormat="1" applyFont="1" applyFill="1" applyBorder="1" applyAlignment="1">
      <alignment horizontal="right" vertical="center"/>
    </xf>
    <xf numFmtId="4" fontId="13" fillId="0" borderId="4" xfId="0" applyNumberFormat="1" applyFont="1" applyFill="1" applyBorder="1" applyAlignment="1">
      <alignment horizontal="center"/>
    </xf>
    <xf numFmtId="4" fontId="4" fillId="13" borderId="4" xfId="0" applyNumberFormat="1" applyFont="1" applyFill="1" applyBorder="1"/>
    <xf numFmtId="14" fontId="0" fillId="0" borderId="4" xfId="0" applyNumberFormat="1" applyFill="1" applyBorder="1"/>
    <xf numFmtId="43" fontId="26" fillId="0" borderId="4" xfId="0" applyNumberFormat="1" applyFont="1" applyFill="1" applyBorder="1"/>
    <xf numFmtId="0" fontId="26" fillId="0" borderId="4" xfId="0" applyFont="1" applyBorder="1"/>
    <xf numFmtId="0" fontId="8" fillId="0" borderId="0" xfId="0" applyFont="1" applyFill="1" applyBorder="1"/>
    <xf numFmtId="4" fontId="8" fillId="0" borderId="0" xfId="0" applyNumberFormat="1" applyFont="1" applyFill="1" applyBorder="1"/>
    <xf numFmtId="165" fontId="14" fillId="0" borderId="12" xfId="0" applyNumberFormat="1" applyFont="1" applyFill="1" applyBorder="1"/>
    <xf numFmtId="165" fontId="32" fillId="12" borderId="3" xfId="0" applyNumberFormat="1" applyFont="1" applyFill="1" applyBorder="1"/>
    <xf numFmtId="165" fontId="32" fillId="0" borderId="3" xfId="0" applyNumberFormat="1" applyFont="1" applyFill="1" applyBorder="1"/>
    <xf numFmtId="4" fontId="26" fillId="0" borderId="3" xfId="0" applyNumberFormat="1" applyFont="1" applyFill="1" applyBorder="1"/>
    <xf numFmtId="165" fontId="15" fillId="0" borderId="3" xfId="0" applyNumberFormat="1" applyFont="1" applyFill="1" applyBorder="1"/>
    <xf numFmtId="170" fontId="13" fillId="12" borderId="3" xfId="0" applyNumberFormat="1" applyFont="1" applyFill="1" applyBorder="1"/>
    <xf numFmtId="165" fontId="13" fillId="0" borderId="3" xfId="0" applyNumberFormat="1" applyFont="1" applyFill="1" applyBorder="1"/>
    <xf numFmtId="170" fontId="13" fillId="0" borderId="0" xfId="0" applyNumberFormat="1" applyFont="1" applyFill="1" applyBorder="1"/>
    <xf numFmtId="165" fontId="36" fillId="12" borderId="3" xfId="0" applyNumberFormat="1" applyFont="1" applyFill="1" applyBorder="1"/>
    <xf numFmtId="0" fontId="51" fillId="17" borderId="4" xfId="0" applyFont="1" applyFill="1" applyBorder="1" applyAlignment="1">
      <alignment horizontal="left"/>
    </xf>
    <xf numFmtId="0" fontId="6" fillId="17" borderId="4" xfId="0" applyFont="1" applyFill="1" applyBorder="1" applyAlignment="1">
      <alignment horizontal="left"/>
    </xf>
    <xf numFmtId="168" fontId="5" fillId="13" borderId="4" xfId="0" applyNumberFormat="1" applyFont="1" applyFill="1" applyBorder="1" applyAlignment="1">
      <alignment horizontal="center"/>
    </xf>
    <xf numFmtId="165" fontId="9" fillId="13" borderId="9" xfId="0" applyNumberFormat="1" applyFont="1" applyFill="1" applyBorder="1" applyAlignment="1">
      <alignment horizontal="right"/>
    </xf>
    <xf numFmtId="164" fontId="14" fillId="13" borderId="4" xfId="0" applyNumberFormat="1" applyFont="1" applyFill="1" applyBorder="1"/>
    <xf numFmtId="165" fontId="32" fillId="13" borderId="4" xfId="0" applyNumberFormat="1" applyFont="1" applyFill="1" applyBorder="1"/>
    <xf numFmtId="165" fontId="35" fillId="0" borderId="0" xfId="0" applyNumberFormat="1" applyFont="1" applyFill="1" applyBorder="1"/>
    <xf numFmtId="165" fontId="34" fillId="0" borderId="4" xfId="0" applyNumberFormat="1" applyFont="1" applyBorder="1"/>
    <xf numFmtId="165" fontId="36" fillId="0" borderId="0" xfId="0" applyNumberFormat="1" applyFont="1" applyFill="1" applyBorder="1"/>
    <xf numFmtId="165" fontId="36" fillId="0" borderId="1" xfId="0" applyNumberFormat="1" applyFont="1" applyFill="1" applyBorder="1"/>
    <xf numFmtId="4" fontId="40" fillId="0" borderId="0" xfId="0" applyNumberFormat="1" applyFont="1"/>
    <xf numFmtId="4" fontId="13" fillId="0" borderId="4" xfId="0" applyNumberFormat="1" applyFont="1" applyFill="1" applyBorder="1"/>
    <xf numFmtId="4" fontId="13" fillId="0" borderId="0" xfId="0" applyNumberFormat="1" applyFont="1" applyFill="1" applyBorder="1"/>
    <xf numFmtId="0" fontId="10" fillId="4" borderId="2" xfId="0" applyFont="1" applyFill="1" applyBorder="1" applyAlignment="1">
      <alignment horizontal="center" wrapText="1"/>
    </xf>
    <xf numFmtId="4" fontId="7" fillId="0" borderId="4" xfId="0" applyNumberFormat="1" applyFont="1" applyBorder="1" applyAlignment="1">
      <alignment horizontal="center"/>
    </xf>
    <xf numFmtId="4" fontId="7" fillId="0" borderId="4" xfId="0" applyNumberFormat="1" applyFont="1" applyFill="1" applyBorder="1" applyAlignment="1">
      <alignment horizontal="center"/>
    </xf>
    <xf numFmtId="4" fontId="15" fillId="0" borderId="4" xfId="0" applyNumberFormat="1" applyFont="1" applyFill="1" applyBorder="1" applyAlignment="1">
      <alignment horizontal="center"/>
    </xf>
    <xf numFmtId="4" fontId="13" fillId="0" borderId="5" xfId="0" applyNumberFormat="1" applyFont="1" applyFill="1" applyBorder="1" applyAlignment="1">
      <alignment horizontal="center"/>
    </xf>
    <xf numFmtId="166" fontId="13" fillId="0" borderId="4" xfId="0" applyNumberFormat="1" applyFont="1" applyFill="1" applyBorder="1" applyAlignment="1">
      <alignment horizontal="center" vertical="center"/>
    </xf>
    <xf numFmtId="165" fontId="13" fillId="0" borderId="4" xfId="0" applyNumberFormat="1" applyFont="1" applyFill="1" applyBorder="1" applyAlignment="1">
      <alignment horizontal="center" vertical="center"/>
    </xf>
    <xf numFmtId="170" fontId="13" fillId="0" borderId="4" xfId="0" applyNumberFormat="1" applyFont="1" applyFill="1" applyBorder="1" applyAlignment="1">
      <alignment horizontal="center" vertical="center"/>
    </xf>
    <xf numFmtId="165" fontId="52" fillId="0" borderId="4" xfId="3" applyNumberFormat="1" applyFont="1" applyFill="1" applyBorder="1"/>
    <xf numFmtId="165" fontId="53" fillId="0" borderId="4" xfId="3" applyNumberFormat="1" applyFont="1" applyFill="1" applyBorder="1"/>
    <xf numFmtId="0" fontId="10" fillId="4" borderId="3" xfId="0" applyNumberFormat="1" applyFont="1" applyFill="1" applyBorder="1" applyAlignment="1">
      <alignment horizontal="center"/>
    </xf>
    <xf numFmtId="0" fontId="10" fillId="4" borderId="2" xfId="0" applyFont="1" applyFill="1" applyBorder="1" applyAlignment="1">
      <alignment horizont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14" fontId="8" fillId="10" borderId="6" xfId="0" applyNumberFormat="1" applyFont="1" applyFill="1" applyBorder="1" applyAlignment="1">
      <alignment horizontal="center" vertical="center"/>
    </xf>
    <xf numFmtId="0" fontId="21" fillId="9" borderId="2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12" fillId="10" borderId="3" xfId="0" applyFont="1" applyFill="1" applyBorder="1" applyAlignment="1">
      <alignment horizontal="center" vertical="center" wrapText="1"/>
    </xf>
    <xf numFmtId="14" fontId="10" fillId="4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top" wrapText="1"/>
    </xf>
    <xf numFmtId="0" fontId="11" fillId="4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14" fontId="10" fillId="5" borderId="2" xfId="0" applyNumberFormat="1" applyFont="1" applyFill="1" applyBorder="1" applyAlignment="1">
      <alignment horizontal="center" vertical="center" wrapText="1"/>
    </xf>
    <xf numFmtId="165" fontId="0" fillId="0" borderId="4" xfId="0" applyNumberFormat="1" applyFont="1" applyFill="1" applyBorder="1"/>
    <xf numFmtId="2" fontId="12" fillId="13" borderId="4" xfId="0" applyNumberFormat="1" applyFont="1" applyFill="1" applyBorder="1" applyAlignment="1">
      <alignment horizontal="left" indent="2"/>
    </xf>
    <xf numFmtId="166" fontId="13" fillId="12" borderId="4" xfId="0" applyNumberFormat="1" applyFont="1" applyFill="1" applyBorder="1"/>
    <xf numFmtId="0" fontId="13" fillId="12" borderId="4" xfId="0" applyFont="1" applyFill="1" applyBorder="1"/>
    <xf numFmtId="0" fontId="3" fillId="12" borderId="4" xfId="0" applyFont="1" applyFill="1" applyBorder="1" applyAlignment="1">
      <alignment horizontal="center"/>
    </xf>
    <xf numFmtId="9" fontId="1" fillId="12" borderId="4" xfId="0" applyNumberFormat="1" applyFont="1" applyFill="1" applyBorder="1" applyAlignment="1">
      <alignment horizontal="center"/>
    </xf>
    <xf numFmtId="164" fontId="1" fillId="12" borderId="4" xfId="0" applyNumberFormat="1" applyFont="1" applyFill="1" applyBorder="1"/>
    <xf numFmtId="0" fontId="3" fillId="13" borderId="4" xfId="0" applyFont="1" applyFill="1" applyBorder="1" applyAlignment="1">
      <alignment horizontal="center"/>
    </xf>
    <xf numFmtId="9" fontId="1" fillId="13" borderId="4" xfId="0" applyNumberFormat="1" applyFont="1" applyFill="1" applyBorder="1" applyAlignment="1">
      <alignment horizontal="center"/>
    </xf>
    <xf numFmtId="164" fontId="1" fillId="13" borderId="4" xfId="0" applyNumberFormat="1" applyFont="1" applyFill="1" applyBorder="1"/>
    <xf numFmtId="4" fontId="1" fillId="13" borderId="4" xfId="0" applyNumberFormat="1" applyFont="1" applyFill="1" applyBorder="1" applyAlignment="1">
      <alignment horizontal="right" vertical="center"/>
    </xf>
    <xf numFmtId="0" fontId="10" fillId="4" borderId="2" xfId="0" applyFont="1" applyFill="1" applyBorder="1" applyAlignment="1">
      <alignment horizontal="center" wrapText="1"/>
    </xf>
    <xf numFmtId="0" fontId="10" fillId="4" borderId="2" xfId="0" applyFont="1" applyFill="1" applyBorder="1" applyAlignment="1">
      <alignment horizontal="center" vertical="center" wrapText="1"/>
    </xf>
    <xf numFmtId="14" fontId="8" fillId="10" borderId="6" xfId="0" applyNumberFormat="1" applyFont="1" applyFill="1" applyBorder="1" applyAlignment="1">
      <alignment horizontal="center" vertical="center"/>
    </xf>
    <xf numFmtId="0" fontId="21" fillId="9" borderId="2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12" fillId="10" borderId="3" xfId="0" applyFont="1" applyFill="1" applyBorder="1" applyAlignment="1">
      <alignment horizontal="center" vertical="center" wrapText="1"/>
    </xf>
    <xf numFmtId="14" fontId="10" fillId="4" borderId="2" xfId="0" applyNumberFormat="1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171" fontId="15" fillId="0" borderId="4" xfId="0" applyNumberFormat="1" applyFont="1" applyFill="1" applyBorder="1"/>
    <xf numFmtId="165" fontId="52" fillId="2" borderId="4" xfId="3" applyNumberFormat="1" applyFont="1" applyFill="1" applyBorder="1"/>
    <xf numFmtId="166" fontId="52" fillId="2" borderId="4" xfId="3" applyNumberFormat="1" applyFont="1" applyFill="1" applyBorder="1"/>
    <xf numFmtId="0" fontId="52" fillId="2" borderId="4" xfId="3" applyFont="1" applyFill="1" applyBorder="1"/>
    <xf numFmtId="2" fontId="1" fillId="0" borderId="4" xfId="0" applyNumberFormat="1" applyFont="1" applyFill="1" applyBorder="1" applyAlignment="1">
      <alignment horizontal="right" vertical="center"/>
    </xf>
    <xf numFmtId="166" fontId="13" fillId="0" borderId="5" xfId="0" applyNumberFormat="1" applyFont="1" applyFill="1" applyBorder="1" applyAlignment="1">
      <alignment horizontal="center"/>
    </xf>
    <xf numFmtId="164" fontId="1" fillId="0" borderId="4" xfId="0" applyNumberFormat="1" applyFont="1" applyFill="1" applyBorder="1" applyAlignment="1">
      <alignment horizontal="right" vertical="center"/>
    </xf>
    <xf numFmtId="168" fontId="7" fillId="0" borderId="5" xfId="0" applyNumberFormat="1" applyFont="1" applyBorder="1"/>
    <xf numFmtId="4" fontId="34" fillId="0" borderId="4" xfId="0" applyNumberFormat="1" applyFont="1" applyFill="1" applyBorder="1"/>
    <xf numFmtId="0" fontId="35" fillId="0" borderId="4" xfId="0" applyNumberFormat="1" applyFont="1" applyFill="1" applyBorder="1"/>
    <xf numFmtId="170" fontId="35" fillId="12" borderId="4" xfId="0" applyNumberFormat="1" applyFont="1" applyFill="1" applyBorder="1"/>
    <xf numFmtId="2" fontId="34" fillId="0" borderId="4" xfId="0" applyNumberFormat="1" applyFont="1" applyFill="1" applyBorder="1"/>
    <xf numFmtId="0" fontId="54" fillId="3" borderId="4" xfId="0" applyFont="1" applyFill="1" applyBorder="1" applyAlignment="1">
      <alignment horizontal="left"/>
    </xf>
    <xf numFmtId="0" fontId="54" fillId="0" borderId="4" xfId="0" applyFont="1" applyFill="1" applyBorder="1" applyAlignment="1">
      <alignment horizontal="left"/>
    </xf>
    <xf numFmtId="0" fontId="54" fillId="0" borderId="4" xfId="0" applyFont="1" applyFill="1" applyBorder="1" applyAlignment="1">
      <alignment horizontal="center"/>
    </xf>
    <xf numFmtId="9" fontId="7" fillId="0" borderId="4" xfId="0" applyNumberFormat="1" applyFont="1" applyFill="1" applyBorder="1" applyAlignment="1">
      <alignment horizontal="center"/>
    </xf>
    <xf numFmtId="0" fontId="7" fillId="0" borderId="4" xfId="0" applyNumberFormat="1" applyFont="1" applyFill="1" applyBorder="1" applyAlignment="1">
      <alignment horizontal="center"/>
    </xf>
    <xf numFmtId="14" fontId="7" fillId="0" borderId="4" xfId="0" applyNumberFormat="1" applyFont="1" applyFill="1" applyBorder="1" applyAlignment="1">
      <alignment horizontal="center"/>
    </xf>
    <xf numFmtId="0" fontId="54" fillId="2" borderId="4" xfId="0" applyFont="1" applyFill="1" applyBorder="1" applyAlignment="1">
      <alignment horizontal="left"/>
    </xf>
    <xf numFmtId="0" fontId="13" fillId="0" borderId="4" xfId="0" applyFont="1" applyFill="1" applyBorder="1" applyAlignment="1">
      <alignment horizontal="left"/>
    </xf>
    <xf numFmtId="0" fontId="7" fillId="0" borderId="4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left"/>
    </xf>
    <xf numFmtId="0" fontId="13" fillId="0" borderId="4" xfId="0" applyFont="1" applyFill="1" applyBorder="1" applyAlignment="1">
      <alignment horizontal="center"/>
    </xf>
    <xf numFmtId="10" fontId="7" fillId="0" borderId="4" xfId="0" applyNumberFormat="1" applyFont="1" applyFill="1" applyBorder="1" applyAlignment="1">
      <alignment horizontal="center"/>
    </xf>
    <xf numFmtId="14" fontId="13" fillId="0" borderId="4" xfId="0" applyNumberFormat="1" applyFont="1" applyFill="1" applyBorder="1" applyAlignment="1">
      <alignment horizontal="center"/>
    </xf>
    <xf numFmtId="0" fontId="13" fillId="0" borderId="4" xfId="0" applyNumberFormat="1" applyFont="1" applyFill="1" applyBorder="1" applyAlignment="1">
      <alignment horizontal="center"/>
    </xf>
    <xf numFmtId="169" fontId="13" fillId="0" borderId="4" xfId="0" applyNumberFormat="1" applyFont="1" applyFill="1" applyBorder="1" applyAlignment="1">
      <alignment horizontal="center"/>
    </xf>
    <xf numFmtId="14" fontId="13" fillId="12" borderId="4" xfId="0" applyNumberFormat="1" applyFont="1" applyFill="1" applyBorder="1" applyAlignment="1">
      <alignment horizontal="center"/>
    </xf>
    <xf numFmtId="2" fontId="7" fillId="0" borderId="4" xfId="0" applyNumberFormat="1" applyFont="1" applyFill="1" applyBorder="1" applyAlignment="1">
      <alignment horizontal="right" vertical="center"/>
    </xf>
    <xf numFmtId="14" fontId="7" fillId="0" borderId="4" xfId="0" applyNumberFormat="1" applyFont="1" applyBorder="1" applyAlignment="1">
      <alignment horizontal="center"/>
    </xf>
    <xf numFmtId="4" fontId="7" fillId="0" borderId="4" xfId="0" applyNumberFormat="1" applyFont="1" applyBorder="1" applyAlignment="1">
      <alignment horizontal="right" vertical="center"/>
    </xf>
    <xf numFmtId="164" fontId="7" fillId="0" borderId="4" xfId="0" applyNumberFormat="1" applyFont="1" applyBorder="1" applyAlignment="1">
      <alignment horizontal="right" vertical="center"/>
    </xf>
    <xf numFmtId="164" fontId="7" fillId="0" borderId="4" xfId="0" applyNumberFormat="1" applyFont="1" applyFill="1" applyBorder="1" applyAlignment="1">
      <alignment horizontal="right" vertical="center"/>
    </xf>
    <xf numFmtId="169" fontId="7" fillId="0" borderId="4" xfId="0" applyNumberFormat="1" applyFont="1" applyFill="1" applyBorder="1" applyAlignment="1">
      <alignment horizontal="center"/>
    </xf>
    <xf numFmtId="0" fontId="55" fillId="0" borderId="4" xfId="0" applyFont="1" applyBorder="1" applyAlignment="1">
      <alignment horizontal="center"/>
    </xf>
    <xf numFmtId="4" fontId="55" fillId="0" borderId="4" xfId="0" applyNumberFormat="1" applyFont="1" applyBorder="1" applyAlignment="1">
      <alignment horizontal="right" vertical="center"/>
    </xf>
    <xf numFmtId="0" fontId="55" fillId="0" borderId="4" xfId="0" applyFont="1" applyBorder="1" applyAlignment="1">
      <alignment horizontal="right" vertical="center"/>
    </xf>
    <xf numFmtId="0" fontId="54" fillId="3" borderId="3" xfId="0" applyFont="1" applyFill="1" applyBorder="1" applyAlignment="1">
      <alignment horizontal="left"/>
    </xf>
    <xf numFmtId="0" fontId="7" fillId="0" borderId="3" xfId="0" applyFont="1" applyFill="1" applyBorder="1" applyAlignment="1">
      <alignment horizontal="left"/>
    </xf>
    <xf numFmtId="4" fontId="1" fillId="7" borderId="4" xfId="0" applyNumberFormat="1" applyFont="1" applyFill="1" applyBorder="1" applyAlignment="1">
      <alignment horizontal="right" vertical="center"/>
    </xf>
    <xf numFmtId="4" fontId="1" fillId="12" borderId="4" xfId="0" applyNumberFormat="1" applyFont="1" applyFill="1" applyBorder="1" applyAlignment="1">
      <alignment horizontal="right" vertical="center"/>
    </xf>
    <xf numFmtId="4" fontId="1" fillId="0" borderId="2" xfId="0" applyNumberFormat="1" applyFont="1" applyFill="1" applyBorder="1" applyAlignment="1">
      <alignment horizontal="right" vertical="center"/>
    </xf>
    <xf numFmtId="168" fontId="34" fillId="0" borderId="4" xfId="0" applyNumberFormat="1" applyFont="1" applyFill="1" applyBorder="1"/>
    <xf numFmtId="168" fontId="34" fillId="0" borderId="4" xfId="0" applyNumberFormat="1" applyFont="1" applyBorder="1"/>
    <xf numFmtId="166" fontId="35" fillId="13" borderId="4" xfId="0" applyNumberFormat="1" applyFont="1" applyFill="1" applyBorder="1" applyAlignment="1">
      <alignment horizontal="center"/>
    </xf>
    <xf numFmtId="168" fontId="34" fillId="0" borderId="2" xfId="0" applyNumberFormat="1" applyFont="1" applyBorder="1"/>
    <xf numFmtId="166" fontId="35" fillId="12" borderId="3" xfId="0" applyNumberFormat="1" applyFont="1" applyFill="1" applyBorder="1" applyAlignment="1">
      <alignment horizontal="center"/>
    </xf>
    <xf numFmtId="4" fontId="35" fillId="0" borderId="0" xfId="0" applyNumberFormat="1" applyFont="1" applyFill="1" applyBorder="1"/>
    <xf numFmtId="170" fontId="35" fillId="12" borderId="0" xfId="0" applyNumberFormat="1" applyFont="1" applyFill="1" applyBorder="1"/>
    <xf numFmtId="4" fontId="35" fillId="0" borderId="4" xfId="0" applyNumberFormat="1" applyFont="1" applyFill="1" applyBorder="1"/>
    <xf numFmtId="166" fontId="35" fillId="0" borderId="0" xfId="0" applyNumberFormat="1" applyFont="1" applyFill="1" applyBorder="1" applyAlignment="1">
      <alignment horizontal="center"/>
    </xf>
    <xf numFmtId="4" fontId="34" fillId="0" borderId="0" xfId="0" applyNumberFormat="1" applyFont="1" applyFill="1" applyBorder="1"/>
    <xf numFmtId="165" fontId="37" fillId="0" borderId="0" xfId="0" applyNumberFormat="1" applyFont="1" applyFill="1" applyBorder="1"/>
    <xf numFmtId="165" fontId="7" fillId="0" borderId="12" xfId="0" applyNumberFormat="1" applyFont="1" applyFill="1" applyBorder="1"/>
    <xf numFmtId="167" fontId="35" fillId="0" borderId="4" xfId="0" applyNumberFormat="1" applyFont="1" applyFill="1" applyBorder="1" applyAlignment="1">
      <alignment horizontal="center"/>
    </xf>
    <xf numFmtId="168" fontId="34" fillId="13" borderId="4" xfId="0" applyNumberFormat="1" applyFont="1" applyFill="1" applyBorder="1"/>
    <xf numFmtId="167" fontId="35" fillId="0" borderId="0" xfId="0" applyNumberFormat="1" applyFont="1" applyFill="1" applyBorder="1" applyAlignment="1">
      <alignment horizontal="center"/>
    </xf>
    <xf numFmtId="2" fontId="39" fillId="0" borderId="4" xfId="0" applyNumberFormat="1" applyFont="1" applyFill="1" applyBorder="1"/>
    <xf numFmtId="165" fontId="43" fillId="0" borderId="1" xfId="0" applyNumberFormat="1" applyFont="1" applyFill="1" applyBorder="1"/>
    <xf numFmtId="165" fontId="44" fillId="0" borderId="0" xfId="0" applyNumberFormat="1" applyFont="1"/>
    <xf numFmtId="0" fontId="51" fillId="0" borderId="4" xfId="0" applyFont="1" applyFill="1" applyBorder="1" applyAlignment="1">
      <alignment horizontal="left"/>
    </xf>
    <xf numFmtId="0" fontId="51" fillId="0" borderId="4" xfId="0" applyFont="1" applyFill="1" applyBorder="1" applyAlignment="1">
      <alignment horizontal="center"/>
    </xf>
    <xf numFmtId="9" fontId="51" fillId="0" borderId="4" xfId="0" applyNumberFormat="1" applyFont="1" applyFill="1" applyBorder="1" applyAlignment="1">
      <alignment horizontal="center"/>
    </xf>
    <xf numFmtId="14" fontId="51" fillId="0" borderId="4" xfId="0" applyNumberFormat="1" applyFont="1" applyFill="1" applyBorder="1" applyAlignment="1">
      <alignment horizontal="center"/>
    </xf>
    <xf numFmtId="169" fontId="51" fillId="0" borderId="4" xfId="0" applyNumberFormat="1" applyFont="1" applyFill="1" applyBorder="1" applyAlignment="1">
      <alignment horizontal="center"/>
    </xf>
    <xf numFmtId="2" fontId="51" fillId="0" borderId="4" xfId="0" applyNumberFormat="1" applyFont="1" applyFill="1" applyBorder="1" applyAlignment="1">
      <alignment horizontal="center"/>
    </xf>
    <xf numFmtId="0" fontId="51" fillId="0" borderId="4" xfId="0" applyNumberFormat="1" applyFont="1" applyFill="1" applyBorder="1" applyAlignment="1">
      <alignment horizontal="center"/>
    </xf>
    <xf numFmtId="164" fontId="51" fillId="0" borderId="4" xfId="0" applyNumberFormat="1" applyFont="1" applyFill="1" applyBorder="1"/>
    <xf numFmtId="4" fontId="51" fillId="0" borderId="4" xfId="0" applyNumberFormat="1" applyFont="1" applyFill="1" applyBorder="1" applyAlignment="1">
      <alignment horizontal="right"/>
    </xf>
    <xf numFmtId="166" fontId="51" fillId="0" borderId="4" xfId="0" applyNumberFormat="1" applyFont="1" applyFill="1" applyBorder="1" applyAlignment="1">
      <alignment horizontal="center"/>
    </xf>
    <xf numFmtId="168" fontId="51" fillId="0" borderId="4" xfId="0" applyNumberFormat="1" applyFont="1" applyFill="1" applyBorder="1" applyAlignment="1">
      <alignment horizontal="center"/>
    </xf>
    <xf numFmtId="165" fontId="51" fillId="0" borderId="4" xfId="0" applyNumberFormat="1" applyFont="1" applyFill="1" applyBorder="1"/>
    <xf numFmtId="165" fontId="56" fillId="0" borderId="4" xfId="0" applyNumberFormat="1" applyFont="1" applyFill="1" applyBorder="1" applyAlignment="1">
      <alignment horizontal="right"/>
    </xf>
    <xf numFmtId="165" fontId="56" fillId="0" borderId="4" xfId="0" applyNumberFormat="1" applyFont="1" applyFill="1" applyBorder="1"/>
    <xf numFmtId="14" fontId="51" fillId="12" borderId="4" xfId="0" applyNumberFormat="1" applyFont="1" applyFill="1" applyBorder="1" applyAlignment="1">
      <alignment horizontal="center"/>
    </xf>
    <xf numFmtId="165" fontId="57" fillId="0" borderId="4" xfId="0" applyNumberFormat="1" applyFont="1" applyFill="1" applyBorder="1"/>
    <xf numFmtId="10" fontId="51" fillId="0" borderId="4" xfId="0" applyNumberFormat="1" applyFont="1" applyFill="1" applyBorder="1" applyAlignment="1">
      <alignment horizontal="center"/>
    </xf>
    <xf numFmtId="4" fontId="51" fillId="0" borderId="4" xfId="0" applyNumberFormat="1" applyFont="1" applyFill="1" applyBorder="1" applyAlignment="1">
      <alignment horizontal="right" vertical="center"/>
    </xf>
    <xf numFmtId="165" fontId="51" fillId="0" borderId="4" xfId="0" applyNumberFormat="1" applyFont="1" applyFill="1" applyBorder="1" applyAlignment="1">
      <alignment horizontal="right"/>
    </xf>
    <xf numFmtId="4" fontId="51" fillId="0" borderId="4" xfId="0" applyNumberFormat="1" applyFont="1" applyFill="1" applyBorder="1" applyAlignment="1">
      <alignment horizontal="center"/>
    </xf>
    <xf numFmtId="165" fontId="58" fillId="12" borderId="4" xfId="0" applyNumberFormat="1" applyFont="1" applyFill="1" applyBorder="1"/>
    <xf numFmtId="165" fontId="58" fillId="0" borderId="4" xfId="0" applyNumberFormat="1" applyFont="1" applyFill="1" applyBorder="1"/>
    <xf numFmtId="4" fontId="58" fillId="0" borderId="4" xfId="0" applyNumberFormat="1" applyFont="1" applyFill="1" applyBorder="1"/>
    <xf numFmtId="170" fontId="57" fillId="12" borderId="4" xfId="0" applyNumberFormat="1" applyFont="1" applyFill="1" applyBorder="1"/>
    <xf numFmtId="0" fontId="57" fillId="0" borderId="0" xfId="0" applyFont="1" applyFill="1"/>
    <xf numFmtId="166" fontId="59" fillId="0" borderId="4" xfId="0" applyNumberFormat="1" applyFont="1" applyFill="1" applyBorder="1" applyAlignment="1">
      <alignment horizontal="center"/>
    </xf>
    <xf numFmtId="165" fontId="59" fillId="0" borderId="4" xfId="0" applyNumberFormat="1" applyFont="1" applyFill="1" applyBorder="1"/>
    <xf numFmtId="165" fontId="60" fillId="0" borderId="4" xfId="0" applyNumberFormat="1" applyFont="1" applyFill="1" applyBorder="1"/>
    <xf numFmtId="168" fontId="59" fillId="0" borderId="4" xfId="0" applyNumberFormat="1" applyFont="1" applyFill="1" applyBorder="1" applyAlignment="1">
      <alignment horizontal="center"/>
    </xf>
    <xf numFmtId="14" fontId="51" fillId="0" borderId="4" xfId="0" applyNumberFormat="1" applyFont="1" applyFill="1" applyBorder="1"/>
    <xf numFmtId="2" fontId="1" fillId="0" borderId="4" xfId="0" applyNumberFormat="1" applyFont="1" applyFill="1" applyBorder="1" applyAlignment="1">
      <alignment horizontal="center"/>
    </xf>
    <xf numFmtId="167" fontId="1" fillId="0" borderId="4" xfId="0" applyNumberFormat="1" applyFont="1" applyFill="1" applyBorder="1" applyAlignment="1">
      <alignment horizontal="center"/>
    </xf>
    <xf numFmtId="165" fontId="5" fillId="0" borderId="4" xfId="0" applyNumberFormat="1" applyFont="1" applyFill="1" applyBorder="1" applyAlignment="1">
      <alignment horizontal="right"/>
    </xf>
    <xf numFmtId="165" fontId="26" fillId="0" borderId="4" xfId="0" applyNumberFormat="1" applyFont="1" applyFill="1" applyBorder="1"/>
    <xf numFmtId="0" fontId="7" fillId="0" borderId="4" xfId="0" applyNumberFormat="1" applyFont="1" applyFill="1" applyBorder="1"/>
    <xf numFmtId="165" fontId="5" fillId="0" borderId="9" xfId="0" applyNumberFormat="1" applyFont="1" applyFill="1" applyBorder="1" applyAlignment="1">
      <alignment horizontal="right"/>
    </xf>
    <xf numFmtId="43" fontId="34" fillId="0" borderId="4" xfId="0" applyNumberFormat="1" applyFont="1" applyFill="1" applyBorder="1"/>
    <xf numFmtId="166" fontId="7" fillId="0" borderId="4" xfId="0" applyNumberFormat="1" applyFont="1" applyFill="1" applyBorder="1" applyAlignment="1">
      <alignment horizontal="center"/>
    </xf>
    <xf numFmtId="167" fontId="7" fillId="0" borderId="4" xfId="0" applyNumberFormat="1" applyFont="1" applyFill="1" applyBorder="1" applyAlignment="1">
      <alignment horizontal="center"/>
    </xf>
    <xf numFmtId="165" fontId="7" fillId="12" borderId="4" xfId="0" applyNumberFormat="1" applyFont="1" applyFill="1" applyBorder="1"/>
    <xf numFmtId="0" fontId="1" fillId="0" borderId="5" xfId="0" applyFont="1" applyFill="1" applyBorder="1" applyAlignment="1">
      <alignment horizontal="left"/>
    </xf>
    <xf numFmtId="0" fontId="1" fillId="16" borderId="4" xfId="0" applyFont="1" applyFill="1" applyBorder="1" applyAlignment="1">
      <alignment horizontal="center"/>
    </xf>
    <xf numFmtId="9" fontId="1" fillId="16" borderId="4" xfId="0" applyNumberFormat="1" applyFont="1" applyFill="1" applyBorder="1" applyAlignment="1">
      <alignment horizontal="center"/>
    </xf>
    <xf numFmtId="169" fontId="1" fillId="16" borderId="4" xfId="0" applyNumberFormat="1" applyFont="1" applyFill="1" applyBorder="1" applyAlignment="1">
      <alignment horizontal="center"/>
    </xf>
    <xf numFmtId="2" fontId="1" fillId="16" borderId="4" xfId="0" applyNumberFormat="1" applyFont="1" applyFill="1" applyBorder="1" applyAlignment="1">
      <alignment horizontal="center"/>
    </xf>
    <xf numFmtId="164" fontId="1" fillId="16" borderId="4" xfId="0" applyNumberFormat="1" applyFont="1" applyFill="1" applyBorder="1"/>
    <xf numFmtId="166" fontId="1" fillId="16" borderId="4" xfId="0" applyNumberFormat="1" applyFont="1" applyFill="1" applyBorder="1" applyAlignment="1">
      <alignment horizontal="center"/>
    </xf>
    <xf numFmtId="165" fontId="1" fillId="16" borderId="4" xfId="0" applyNumberFormat="1" applyFont="1" applyFill="1" applyBorder="1"/>
    <xf numFmtId="170" fontId="1" fillId="16" borderId="4" xfId="0" applyNumberFormat="1" applyFont="1" applyFill="1" applyBorder="1"/>
    <xf numFmtId="165" fontId="5" fillId="16" borderId="4" xfId="0" applyNumberFormat="1" applyFont="1" applyFill="1" applyBorder="1" applyAlignment="1">
      <alignment horizontal="right"/>
    </xf>
    <xf numFmtId="165" fontId="5" fillId="16" borderId="9" xfId="0" applyNumberFormat="1" applyFont="1" applyFill="1" applyBorder="1" applyAlignment="1">
      <alignment horizontal="right"/>
    </xf>
    <xf numFmtId="170" fontId="7" fillId="0" borderId="4" xfId="0" applyNumberFormat="1" applyFont="1" applyFill="1" applyBorder="1"/>
    <xf numFmtId="0" fontId="7" fillId="16" borderId="0" xfId="0" applyFont="1" applyFill="1"/>
    <xf numFmtId="166" fontId="34" fillId="0" borderId="4" xfId="0" applyNumberFormat="1" applyFont="1" applyFill="1" applyBorder="1" applyAlignment="1">
      <alignment horizontal="center"/>
    </xf>
    <xf numFmtId="0" fontId="1" fillId="0" borderId="4" xfId="0" applyNumberFormat="1" applyFont="1" applyFill="1" applyBorder="1"/>
    <xf numFmtId="166" fontId="39" fillId="0" borderId="4" xfId="0" applyNumberFormat="1" applyFont="1" applyFill="1" applyBorder="1" applyAlignment="1">
      <alignment horizontal="center"/>
    </xf>
    <xf numFmtId="165" fontId="39" fillId="0" borderId="4" xfId="0" applyNumberFormat="1" applyFont="1" applyFill="1" applyBorder="1"/>
    <xf numFmtId="165" fontId="40" fillId="0" borderId="4" xfId="0" applyNumberFormat="1" applyFont="1" applyFill="1" applyBorder="1"/>
    <xf numFmtId="0" fontId="34" fillId="0" borderId="4" xfId="0" applyNumberFormat="1" applyFont="1" applyFill="1" applyBorder="1"/>
    <xf numFmtId="170" fontId="34" fillId="12" borderId="4" xfId="0" applyNumberFormat="1" applyFont="1" applyFill="1" applyBorder="1"/>
    <xf numFmtId="2" fontId="7" fillId="0" borderId="4" xfId="0" applyNumberFormat="1" applyFont="1" applyFill="1" applyBorder="1" applyAlignment="1">
      <alignment horizontal="center"/>
    </xf>
    <xf numFmtId="14" fontId="7" fillId="12" borderId="4" xfId="0" applyNumberFormat="1" applyFont="1" applyFill="1" applyBorder="1" applyAlignment="1">
      <alignment horizontal="center"/>
    </xf>
    <xf numFmtId="165" fontId="38" fillId="0" borderId="4" xfId="0" applyNumberFormat="1" applyFont="1" applyFill="1" applyBorder="1"/>
    <xf numFmtId="170" fontId="7" fillId="12" borderId="4" xfId="0" applyNumberFormat="1" applyFont="1" applyFill="1" applyBorder="1"/>
    <xf numFmtId="168" fontId="7" fillId="0" borderId="4" xfId="0" applyNumberFormat="1" applyFont="1" applyFill="1" applyBorder="1"/>
    <xf numFmtId="43" fontId="7" fillId="0" borderId="0" xfId="0" applyNumberFormat="1" applyFont="1" applyFill="1"/>
    <xf numFmtId="168" fontId="1" fillId="0" borderId="4" xfId="0" applyNumberFormat="1" applyFont="1" applyFill="1" applyBorder="1"/>
    <xf numFmtId="43" fontId="1" fillId="0" borderId="4" xfId="0" applyNumberFormat="1" applyFont="1" applyFill="1" applyBorder="1"/>
    <xf numFmtId="164" fontId="1" fillId="7" borderId="4" xfId="0" applyNumberFormat="1" applyFont="1" applyFill="1" applyBorder="1"/>
    <xf numFmtId="4" fontId="1" fillId="7" borderId="4" xfId="0" applyNumberFormat="1" applyFont="1" applyFill="1" applyBorder="1" applyAlignment="1">
      <alignment horizontal="right"/>
    </xf>
    <xf numFmtId="4" fontId="1" fillId="7" borderId="4" xfId="0" applyNumberFormat="1" applyFont="1" applyFill="1" applyBorder="1" applyAlignment="1">
      <alignment horizontal="center"/>
    </xf>
    <xf numFmtId="166" fontId="1" fillId="7" borderId="4" xfId="0" applyNumberFormat="1" applyFont="1" applyFill="1" applyBorder="1" applyAlignment="1">
      <alignment horizontal="center"/>
    </xf>
    <xf numFmtId="165" fontId="1" fillId="7" borderId="4" xfId="0" applyNumberFormat="1" applyFont="1" applyFill="1" applyBorder="1"/>
    <xf numFmtId="165" fontId="5" fillId="7" borderId="4" xfId="0" applyNumberFormat="1" applyFont="1" applyFill="1" applyBorder="1" applyAlignment="1">
      <alignment horizontal="right"/>
    </xf>
    <xf numFmtId="166" fontId="1" fillId="0" borderId="4" xfId="0" applyNumberFormat="1" applyFont="1" applyFill="1" applyBorder="1" applyAlignment="1">
      <alignment horizontal="right"/>
    </xf>
    <xf numFmtId="164" fontId="5" fillId="0" borderId="4" xfId="0" applyNumberFormat="1" applyFont="1" applyFill="1" applyBorder="1"/>
    <xf numFmtId="4" fontId="5" fillId="0" borderId="4" xfId="0" applyNumberFormat="1" applyFont="1" applyFill="1" applyBorder="1"/>
    <xf numFmtId="166" fontId="1" fillId="0" borderId="5" xfId="0" applyNumberFormat="1" applyFont="1" applyFill="1" applyBorder="1" applyAlignment="1">
      <alignment horizontal="center"/>
    </xf>
    <xf numFmtId="0" fontId="1" fillId="0" borderId="4" xfId="0" applyFont="1" applyFill="1" applyBorder="1" applyAlignment="1"/>
    <xf numFmtId="165" fontId="7" fillId="0" borderId="0" xfId="0" applyNumberFormat="1" applyFont="1" applyFill="1"/>
    <xf numFmtId="10" fontId="1" fillId="7" borderId="4" xfId="0" applyNumberFormat="1" applyFont="1" applyFill="1" applyBorder="1" applyAlignment="1">
      <alignment horizontal="center"/>
    </xf>
    <xf numFmtId="14" fontId="1" fillId="7" borderId="4" xfId="0" applyNumberFormat="1" applyFont="1" applyFill="1" applyBorder="1" applyAlignment="1">
      <alignment horizontal="center"/>
    </xf>
    <xf numFmtId="169" fontId="1" fillId="7" borderId="4" xfId="0" applyNumberFormat="1" applyFont="1" applyFill="1" applyBorder="1" applyAlignment="1">
      <alignment horizontal="center"/>
    </xf>
    <xf numFmtId="2" fontId="1" fillId="7" borderId="4" xfId="0" applyNumberFormat="1" applyFont="1" applyFill="1" applyBorder="1" applyAlignment="1">
      <alignment horizontal="center"/>
    </xf>
    <xf numFmtId="14" fontId="1" fillId="7" borderId="4" xfId="0" applyNumberFormat="1" applyFont="1" applyFill="1" applyBorder="1"/>
    <xf numFmtId="165" fontId="8" fillId="7" borderId="4" xfId="0" applyNumberFormat="1" applyFont="1" applyFill="1" applyBorder="1" applyAlignment="1">
      <alignment horizontal="right"/>
    </xf>
    <xf numFmtId="165" fontId="7" fillId="7" borderId="4" xfId="0" applyNumberFormat="1" applyFont="1" applyFill="1" applyBorder="1"/>
    <xf numFmtId="4" fontId="7" fillId="7" borderId="4" xfId="0" applyNumberFormat="1" applyFont="1" applyFill="1" applyBorder="1" applyAlignment="1">
      <alignment horizontal="center"/>
    </xf>
    <xf numFmtId="166" fontId="7" fillId="7" borderId="4" xfId="0" applyNumberFormat="1" applyFont="1" applyFill="1" applyBorder="1" applyAlignment="1">
      <alignment horizontal="center"/>
    </xf>
    <xf numFmtId="166" fontId="7" fillId="12" borderId="4" xfId="0" applyNumberFormat="1" applyFont="1" applyFill="1" applyBorder="1" applyAlignment="1">
      <alignment horizontal="center"/>
    </xf>
    <xf numFmtId="165" fontId="34" fillId="12" borderId="4" xfId="0" applyNumberFormat="1" applyFont="1" applyFill="1" applyBorder="1"/>
    <xf numFmtId="165" fontId="38" fillId="12" borderId="4" xfId="0" applyNumberFormat="1" applyFont="1" applyFill="1" applyBorder="1"/>
    <xf numFmtId="166" fontId="34" fillId="12" borderId="4" xfId="0" applyNumberFormat="1" applyFont="1" applyFill="1" applyBorder="1" applyAlignment="1">
      <alignment horizontal="center"/>
    </xf>
    <xf numFmtId="4" fontId="7" fillId="0" borderId="4" xfId="0" applyNumberFormat="1" applyFont="1" applyFill="1" applyBorder="1" applyAlignment="1">
      <alignment horizontal="right"/>
    </xf>
    <xf numFmtId="165" fontId="8" fillId="0" borderId="4" xfId="0" applyNumberFormat="1" applyFont="1" applyFill="1" applyBorder="1" applyAlignment="1">
      <alignment horizontal="right"/>
    </xf>
    <xf numFmtId="43" fontId="38" fillId="12" borderId="4" xfId="0" applyNumberFormat="1" applyFont="1" applyFill="1" applyBorder="1"/>
    <xf numFmtId="43" fontId="38" fillId="0" borderId="4" xfId="0" applyNumberFormat="1" applyFont="1" applyFill="1" applyBorder="1"/>
    <xf numFmtId="171" fontId="1" fillId="0" borderId="4" xfId="0" applyNumberFormat="1" applyFont="1" applyFill="1" applyBorder="1"/>
    <xf numFmtId="0" fontId="5" fillId="0" borderId="4" xfId="0" applyFont="1" applyFill="1" applyBorder="1" applyAlignment="1">
      <alignment horizontal="left"/>
    </xf>
    <xf numFmtId="164" fontId="5" fillId="0" borderId="4" xfId="0" applyNumberFormat="1" applyFont="1" applyFill="1" applyBorder="1" applyAlignment="1">
      <alignment horizontal="right"/>
    </xf>
    <xf numFmtId="4" fontId="26" fillId="0" borderId="4" xfId="0" applyNumberFormat="1" applyFont="1" applyFill="1" applyBorder="1" applyAlignment="1">
      <alignment horizontal="center"/>
    </xf>
    <xf numFmtId="165" fontId="1" fillId="0" borderId="9" xfId="0" applyNumberFormat="1" applyFont="1" applyFill="1" applyBorder="1"/>
    <xf numFmtId="4" fontId="7" fillId="0" borderId="4" xfId="0" applyNumberFormat="1" applyFont="1" applyBorder="1"/>
    <xf numFmtId="4" fontId="26" fillId="0" borderId="4" xfId="0" applyNumberFormat="1" applyFont="1" applyBorder="1"/>
    <xf numFmtId="4" fontId="44" fillId="0" borderId="9" xfId="0" applyNumberFormat="1" applyFont="1" applyFill="1" applyBorder="1"/>
    <xf numFmtId="0" fontId="10" fillId="4" borderId="2" xfId="0" applyFont="1" applyFill="1" applyBorder="1" applyAlignment="1">
      <alignment horizont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7" fillId="0" borderId="0" xfId="0" applyFont="1" applyFill="1" applyAlignment="1">
      <alignment vertical="center" wrapText="1"/>
    </xf>
    <xf numFmtId="14" fontId="20" fillId="10" borderId="2" xfId="0" applyNumberFormat="1" applyFont="1" applyFill="1" applyBorder="1" applyAlignment="1">
      <alignment horizontal="center" vertical="center" wrapText="1"/>
    </xf>
    <xf numFmtId="14" fontId="12" fillId="10" borderId="3" xfId="0" applyNumberFormat="1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12" fillId="10" borderId="3" xfId="0" applyFont="1" applyFill="1" applyBorder="1" applyAlignment="1">
      <alignment horizontal="center" vertical="center" wrapText="1"/>
    </xf>
    <xf numFmtId="0" fontId="21" fillId="9" borderId="2" xfId="0" applyFont="1" applyFill="1" applyBorder="1" applyAlignment="1">
      <alignment horizontal="center" vertical="center" wrapText="1"/>
    </xf>
    <xf numFmtId="0" fontId="22" fillId="9" borderId="3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0" fontId="19" fillId="9" borderId="3" xfId="0" applyFont="1" applyFill="1" applyBorder="1" applyAlignment="1">
      <alignment horizontal="center" vertical="center" wrapText="1"/>
    </xf>
    <xf numFmtId="0" fontId="25" fillId="9" borderId="6" xfId="0" applyFont="1" applyFill="1" applyBorder="1" applyAlignment="1">
      <alignment horizontal="center" vertical="center" wrapText="1"/>
    </xf>
    <xf numFmtId="14" fontId="8" fillId="10" borderId="6" xfId="0" applyNumberFormat="1" applyFont="1" applyFill="1" applyBorder="1" applyAlignment="1">
      <alignment horizontal="center" vertical="center"/>
    </xf>
    <xf numFmtId="0" fontId="16" fillId="4" borderId="6" xfId="0" applyFont="1" applyFill="1" applyBorder="1" applyAlignment="1">
      <alignment horizontal="center" vertical="center"/>
    </xf>
    <xf numFmtId="14" fontId="10" fillId="4" borderId="2" xfId="0" applyNumberFormat="1" applyFont="1" applyFill="1" applyBorder="1" applyAlignment="1">
      <alignment horizontal="center" vertical="center" wrapText="1"/>
    </xf>
    <xf numFmtId="14" fontId="11" fillId="4" borderId="3" xfId="0" applyNumberFormat="1" applyFont="1" applyFill="1" applyBorder="1" applyAlignment="1">
      <alignment horizontal="center" vertical="center" wrapText="1"/>
    </xf>
    <xf numFmtId="0" fontId="20" fillId="9" borderId="2" xfId="0" applyFont="1" applyFill="1" applyBorder="1" applyAlignment="1">
      <alignment horizontal="center" vertical="center" wrapText="1"/>
    </xf>
    <xf numFmtId="0" fontId="12" fillId="9" borderId="3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top" wrapText="1"/>
    </xf>
    <xf numFmtId="0" fontId="11" fillId="4" borderId="3" xfId="0" applyFont="1" applyFill="1" applyBorder="1" applyAlignment="1">
      <alignment horizontal="center" vertical="center" wrapText="1"/>
    </xf>
    <xf numFmtId="4" fontId="10" fillId="4" borderId="2" xfId="0" applyNumberFormat="1" applyFont="1" applyFill="1" applyBorder="1" applyAlignment="1">
      <alignment horizontal="center" vertical="center" wrapText="1"/>
    </xf>
    <xf numFmtId="4" fontId="11" fillId="4" borderId="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7" fillId="11" borderId="0" xfId="0" applyFont="1" applyFill="1" applyAlignment="1">
      <alignment vertical="center" wrapText="1"/>
    </xf>
    <xf numFmtId="4" fontId="10" fillId="4" borderId="3" xfId="0" applyNumberFormat="1" applyFont="1" applyFill="1" applyBorder="1" applyAlignment="1">
      <alignment horizontal="center" vertical="center" wrapText="1"/>
    </xf>
    <xf numFmtId="0" fontId="16" fillId="4" borderId="4" xfId="0" applyFont="1" applyFill="1" applyBorder="1" applyAlignment="1">
      <alignment horizontal="center" wrapText="1"/>
    </xf>
    <xf numFmtId="0" fontId="8" fillId="4" borderId="4" xfId="0" applyFont="1" applyFill="1" applyBorder="1" applyAlignment="1">
      <alignment horizontal="center" wrapText="1"/>
    </xf>
    <xf numFmtId="0" fontId="16" fillId="4" borderId="6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0" fontId="48" fillId="4" borderId="2" xfId="0" applyFont="1" applyFill="1" applyBorder="1" applyAlignment="1">
      <alignment horizontal="center" vertical="center" wrapText="1"/>
    </xf>
    <xf numFmtId="0" fontId="48" fillId="4" borderId="3" xfId="0" applyFont="1" applyFill="1" applyBorder="1" applyAlignment="1">
      <alignment horizontal="center" vertical="center" wrapText="1"/>
    </xf>
    <xf numFmtId="4" fontId="48" fillId="4" borderId="2" xfId="0" applyNumberFormat="1" applyFont="1" applyFill="1" applyBorder="1" applyAlignment="1">
      <alignment horizontal="center" vertical="center" wrapText="1"/>
    </xf>
    <xf numFmtId="4" fontId="48" fillId="4" borderId="3" xfId="0" applyNumberFormat="1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47" fillId="4" borderId="2" xfId="0" applyFont="1" applyFill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wrapText="1"/>
    </xf>
    <xf numFmtId="0" fontId="24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6" fillId="4" borderId="6" xfId="0" applyFont="1" applyFill="1" applyBorder="1" applyAlignment="1">
      <alignment horizontal="center" wrapText="1"/>
    </xf>
    <xf numFmtId="14" fontId="10" fillId="4" borderId="2" xfId="0" applyNumberFormat="1" applyFont="1" applyFill="1" applyBorder="1" applyAlignment="1">
      <alignment horizontal="left" vertical="center" wrapText="1"/>
    </xf>
    <xf numFmtId="14" fontId="11" fillId="4" borderId="3" xfId="0" applyNumberFormat="1" applyFont="1" applyFill="1" applyBorder="1" applyAlignment="1">
      <alignment horizontal="left" vertical="center" wrapText="1"/>
    </xf>
    <xf numFmtId="14" fontId="30" fillId="4" borderId="2" xfId="0" applyNumberFormat="1" applyFont="1" applyFill="1" applyBorder="1" applyAlignment="1">
      <alignment horizontal="center" vertical="center" wrapText="1"/>
    </xf>
    <xf numFmtId="14" fontId="28" fillId="4" borderId="3" xfId="0" applyNumberFormat="1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14" fontId="10" fillId="5" borderId="2" xfId="0" applyNumberFormat="1" applyFont="1" applyFill="1" applyBorder="1" applyAlignment="1">
      <alignment horizontal="center" vertical="center" wrapText="1"/>
    </xf>
    <xf numFmtId="14" fontId="11" fillId="5" borderId="3" xfId="0" applyNumberFormat="1" applyFont="1" applyFill="1" applyBorder="1" applyAlignment="1">
      <alignment horizontal="center" vertical="center" wrapText="1"/>
    </xf>
    <xf numFmtId="4" fontId="10" fillId="5" borderId="2" xfId="0" applyNumberFormat="1" applyFont="1" applyFill="1" applyBorder="1" applyAlignment="1">
      <alignment horizontal="center" vertical="center" wrapText="1"/>
    </xf>
    <xf numFmtId="4" fontId="11" fillId="5" borderId="3" xfId="0" applyNumberFormat="1" applyFont="1" applyFill="1" applyBorder="1" applyAlignment="1">
      <alignment horizontal="center" vertical="center" wrapText="1"/>
    </xf>
    <xf numFmtId="0" fontId="17" fillId="6" borderId="0" xfId="0" applyFont="1" applyFill="1" applyAlignment="1">
      <alignment horizontal="center" wrapText="1"/>
    </xf>
    <xf numFmtId="0" fontId="10" fillId="4" borderId="0" xfId="0" applyFont="1" applyFill="1" applyBorder="1" applyAlignment="1">
      <alignment horizontal="center" wrapText="1"/>
    </xf>
  </cellXfs>
  <cellStyles count="4">
    <cellStyle name="Moneda" xfId="2" builtinId="4"/>
    <cellStyle name="Normal" xfId="0" builtinId="0"/>
    <cellStyle name="Normal_CULTURA DEL AGUA" xfId="3"/>
    <cellStyle name="Notas" xfId="1" builtinId="10"/>
  </cellStyles>
  <dxfs count="0"/>
  <tableStyles count="0" defaultTableStyle="TableStyleMedium9" defaultPivotStyle="PivotStyleLight16"/>
  <colors>
    <mruColors>
      <color rgb="FF66FFCC"/>
      <color rgb="FFFF66FF"/>
      <color rgb="FF669900"/>
      <color rgb="FF660033"/>
      <color rgb="FFCC0099"/>
      <color rgb="FFCC9900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757914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3" name="2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3" name="2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3" name="2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3" name="2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3" name="2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3" name="2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3" name="2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757914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757914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7579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120891</xdr:rowOff>
    </xdr:from>
    <xdr:ext cx="757914" cy="810085"/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7579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120891</xdr:rowOff>
    </xdr:from>
    <xdr:ext cx="757914" cy="810085"/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7579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120891</xdr:rowOff>
    </xdr:from>
    <xdr:ext cx="757914" cy="806422"/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757914" cy="806422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oneCellAnchor>
  <xdr:oneCellAnchor>
    <xdr:from>
      <xdr:col>0</xdr:col>
      <xdr:colOff>0</xdr:colOff>
      <xdr:row>0</xdr:row>
      <xdr:rowOff>120891</xdr:rowOff>
    </xdr:from>
    <xdr:ext cx="757914" cy="806422"/>
    <xdr:pic>
      <xdr:nvPicPr>
        <xdr:cNvPr id="3" name="2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757914" cy="806422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oneCellAnchor>
  <xdr:oneCellAnchor>
    <xdr:from>
      <xdr:col>0</xdr:col>
      <xdr:colOff>0</xdr:colOff>
      <xdr:row>0</xdr:row>
      <xdr:rowOff>120891</xdr:rowOff>
    </xdr:from>
    <xdr:ext cx="757914" cy="806422"/>
    <xdr:pic>
      <xdr:nvPicPr>
        <xdr:cNvPr id="4" name="3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757914" cy="806422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oneCellAnchor>
  <xdr:oneCellAnchor>
    <xdr:from>
      <xdr:col>0</xdr:col>
      <xdr:colOff>0</xdr:colOff>
      <xdr:row>0</xdr:row>
      <xdr:rowOff>120891</xdr:rowOff>
    </xdr:from>
    <xdr:ext cx="757914" cy="806422"/>
    <xdr:pic>
      <xdr:nvPicPr>
        <xdr:cNvPr id="5" name="4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757914" cy="806422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oneCellAnchor>
  <xdr:oneCellAnchor>
    <xdr:from>
      <xdr:col>0</xdr:col>
      <xdr:colOff>0</xdr:colOff>
      <xdr:row>0</xdr:row>
      <xdr:rowOff>120891</xdr:rowOff>
    </xdr:from>
    <xdr:ext cx="757914" cy="806422"/>
    <xdr:pic>
      <xdr:nvPicPr>
        <xdr:cNvPr id="6" name="5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757914" cy="806422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oneCellAnchor>
  <xdr:oneCellAnchor>
    <xdr:from>
      <xdr:col>0</xdr:col>
      <xdr:colOff>0</xdr:colOff>
      <xdr:row>0</xdr:row>
      <xdr:rowOff>120891</xdr:rowOff>
    </xdr:from>
    <xdr:ext cx="757914" cy="806422"/>
    <xdr:pic>
      <xdr:nvPicPr>
        <xdr:cNvPr id="7" name="6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757914" cy="806422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oneCellAnchor>
  <xdr:oneCellAnchor>
    <xdr:from>
      <xdr:col>0</xdr:col>
      <xdr:colOff>0</xdr:colOff>
      <xdr:row>0</xdr:row>
      <xdr:rowOff>120891</xdr:rowOff>
    </xdr:from>
    <xdr:ext cx="757914" cy="806422"/>
    <xdr:pic>
      <xdr:nvPicPr>
        <xdr:cNvPr id="8" name="7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757914" cy="806422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oneCellAnchor>
  <xdr:oneCellAnchor>
    <xdr:from>
      <xdr:col>0</xdr:col>
      <xdr:colOff>0</xdr:colOff>
      <xdr:row>0</xdr:row>
      <xdr:rowOff>120891</xdr:rowOff>
    </xdr:from>
    <xdr:ext cx="757914" cy="806422"/>
    <xdr:pic>
      <xdr:nvPicPr>
        <xdr:cNvPr id="9" name="8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757914" cy="806422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oneCellAnchor>
  <xdr:oneCellAnchor>
    <xdr:from>
      <xdr:col>0</xdr:col>
      <xdr:colOff>0</xdr:colOff>
      <xdr:row>0</xdr:row>
      <xdr:rowOff>120891</xdr:rowOff>
    </xdr:from>
    <xdr:ext cx="757914" cy="806422"/>
    <xdr:pic>
      <xdr:nvPicPr>
        <xdr:cNvPr id="10" name="9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757914" cy="806422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oneCellAnchor>
  <xdr:oneCellAnchor>
    <xdr:from>
      <xdr:col>0</xdr:col>
      <xdr:colOff>0</xdr:colOff>
      <xdr:row>0</xdr:row>
      <xdr:rowOff>120891</xdr:rowOff>
    </xdr:from>
    <xdr:ext cx="757914" cy="806422"/>
    <xdr:pic>
      <xdr:nvPicPr>
        <xdr:cNvPr id="11" name="10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757914" cy="806422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oneCellAnchor>
  <xdr:oneCellAnchor>
    <xdr:from>
      <xdr:col>0</xdr:col>
      <xdr:colOff>0</xdr:colOff>
      <xdr:row>0</xdr:row>
      <xdr:rowOff>120891</xdr:rowOff>
    </xdr:from>
    <xdr:ext cx="757914" cy="806422"/>
    <xdr:pic>
      <xdr:nvPicPr>
        <xdr:cNvPr id="12" name="1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757914" cy="806422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oneCellAnchor>
  <xdr:oneCellAnchor>
    <xdr:from>
      <xdr:col>0</xdr:col>
      <xdr:colOff>0</xdr:colOff>
      <xdr:row>0</xdr:row>
      <xdr:rowOff>120891</xdr:rowOff>
    </xdr:from>
    <xdr:ext cx="757914" cy="806422"/>
    <xdr:pic>
      <xdr:nvPicPr>
        <xdr:cNvPr id="13" name="12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757914" cy="806422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120891</xdr:rowOff>
    </xdr:from>
    <xdr:ext cx="757914" cy="823074"/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757914" cy="823074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oneCellAnchor>
  <xdr:oneCellAnchor>
    <xdr:from>
      <xdr:col>0</xdr:col>
      <xdr:colOff>0</xdr:colOff>
      <xdr:row>0</xdr:row>
      <xdr:rowOff>120891</xdr:rowOff>
    </xdr:from>
    <xdr:ext cx="757914" cy="823074"/>
    <xdr:pic>
      <xdr:nvPicPr>
        <xdr:cNvPr id="3" name="2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757914" cy="823074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oneCellAnchor>
  <xdr:oneCellAnchor>
    <xdr:from>
      <xdr:col>0</xdr:col>
      <xdr:colOff>0</xdr:colOff>
      <xdr:row>0</xdr:row>
      <xdr:rowOff>120891</xdr:rowOff>
    </xdr:from>
    <xdr:ext cx="757914" cy="823074"/>
    <xdr:pic>
      <xdr:nvPicPr>
        <xdr:cNvPr id="4" name="3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757914" cy="823074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oneCellAnchor>
  <xdr:oneCellAnchor>
    <xdr:from>
      <xdr:col>0</xdr:col>
      <xdr:colOff>0</xdr:colOff>
      <xdr:row>0</xdr:row>
      <xdr:rowOff>120891</xdr:rowOff>
    </xdr:from>
    <xdr:ext cx="757914" cy="823074"/>
    <xdr:pic>
      <xdr:nvPicPr>
        <xdr:cNvPr id="5" name="4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757914" cy="823074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120891</xdr:rowOff>
    </xdr:from>
    <xdr:ext cx="757914" cy="810085"/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7579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oneCellAnchor>
  <xdr:oneCellAnchor>
    <xdr:from>
      <xdr:col>0</xdr:col>
      <xdr:colOff>0</xdr:colOff>
      <xdr:row>0</xdr:row>
      <xdr:rowOff>120891</xdr:rowOff>
    </xdr:from>
    <xdr:ext cx="757914" cy="810085"/>
    <xdr:pic>
      <xdr:nvPicPr>
        <xdr:cNvPr id="3" name="2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7579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3" name="2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120891</xdr:rowOff>
    </xdr:from>
    <xdr:to>
      <xdr:col>0</xdr:col>
      <xdr:colOff>910314</xdr:colOff>
      <xdr:row>5</xdr:row>
      <xdr:rowOff>121351</xdr:rowOff>
    </xdr:to>
    <xdr:pic>
      <xdr:nvPicPr>
        <xdr:cNvPr id="2" name="1 Imagen" descr="escud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891"/>
          <a:ext cx="910314" cy="81008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3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3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36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3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EB36"/>
  <sheetViews>
    <sheetView tabSelected="1" zoomScale="85" zoomScaleNormal="85" workbookViewId="0">
      <selection activeCell="DZ23" sqref="DZ23"/>
    </sheetView>
  </sheetViews>
  <sheetFormatPr baseColWidth="10" defaultRowHeight="12.75" x14ac:dyDescent="0.2"/>
  <cols>
    <col min="2" max="2" width="15.5703125" customWidth="1"/>
    <col min="3" max="3" width="11.85546875" customWidth="1"/>
    <col min="4" max="17" width="8.7109375" hidden="1" customWidth="1"/>
    <col min="18" max="20" width="9" hidden="1" customWidth="1"/>
    <col min="21" max="21" width="8.28515625" hidden="1" customWidth="1"/>
    <col min="22" max="22" width="7.140625" hidden="1" customWidth="1"/>
    <col min="23" max="23" width="7.85546875" hidden="1" customWidth="1"/>
    <col min="24" max="24" width="7.7109375" hidden="1" customWidth="1"/>
    <col min="25" max="25" width="9.140625" hidden="1" customWidth="1"/>
    <col min="26" max="26" width="8.140625" hidden="1" customWidth="1"/>
    <col min="27" max="37" width="11.42578125" hidden="1" customWidth="1"/>
    <col min="38" max="38" width="7.85546875" hidden="1" customWidth="1"/>
    <col min="39" max="39" width="10.140625" hidden="1" customWidth="1"/>
    <col min="40" max="40" width="9.85546875" hidden="1" customWidth="1"/>
    <col min="41" max="41" width="9" hidden="1" customWidth="1"/>
    <col min="42" max="42" width="7.7109375" hidden="1" customWidth="1"/>
    <col min="43" max="44" width="8.5703125" hidden="1" customWidth="1"/>
    <col min="45" max="45" width="11.42578125" hidden="1" customWidth="1"/>
    <col min="46" max="46" width="10.140625" hidden="1" customWidth="1"/>
    <col min="47" max="47" width="9.7109375" hidden="1" customWidth="1"/>
    <col min="48" max="48" width="8.140625" hidden="1" customWidth="1"/>
    <col min="49" max="49" width="7.85546875" hidden="1" customWidth="1"/>
    <col min="50" max="50" width="7.7109375" hidden="1" customWidth="1"/>
    <col min="51" max="51" width="9.140625" hidden="1" customWidth="1"/>
    <col min="52" max="52" width="8.140625" hidden="1" customWidth="1"/>
    <col min="53" max="58" width="9" hidden="1" customWidth="1"/>
    <col min="59" max="59" width="11.42578125" hidden="1" customWidth="1"/>
    <col min="60" max="60" width="9.7109375" hidden="1" customWidth="1"/>
    <col min="61" max="61" width="12.85546875" hidden="1" customWidth="1"/>
    <col min="62" max="62" width="9.7109375" hidden="1" customWidth="1"/>
    <col min="63" max="63" width="9.85546875" hidden="1" customWidth="1"/>
    <col min="64" max="65" width="9.7109375" hidden="1" customWidth="1"/>
    <col min="66" max="67" width="10.85546875" hidden="1" customWidth="1"/>
    <col min="68" max="68" width="13.28515625" hidden="1" customWidth="1"/>
    <col min="69" max="69" width="6.7109375" customWidth="1"/>
    <col min="70" max="72" width="8.7109375" customWidth="1"/>
    <col min="73" max="73" width="8.7109375" hidden="1" customWidth="1"/>
    <col min="74" max="74" width="6.7109375" hidden="1" customWidth="1"/>
    <col min="75" max="75" width="7.85546875" hidden="1" customWidth="1"/>
    <col min="76" max="78" width="8.7109375" hidden="1" customWidth="1"/>
    <col min="79" max="79" width="8.7109375" customWidth="1"/>
    <col min="80" max="81" width="8.7109375" hidden="1" customWidth="1"/>
    <col min="82" max="82" width="8.7109375" customWidth="1"/>
    <col min="83" max="85" width="9" customWidth="1"/>
    <col min="86" max="86" width="9.85546875" hidden="1" customWidth="1"/>
    <col min="87" max="87" width="9.7109375" hidden="1" customWidth="1"/>
    <col min="88" max="88" width="8.5703125" hidden="1" customWidth="1"/>
    <col min="89" max="89" width="6.85546875" hidden="1" customWidth="1"/>
    <col min="90" max="90" width="10" hidden="1" customWidth="1"/>
    <col min="91" max="93" width="9.7109375" hidden="1" customWidth="1"/>
    <col min="94" max="94" width="9.5703125" hidden="1" customWidth="1"/>
    <col min="95" max="95" width="10" hidden="1" customWidth="1"/>
    <col min="96" max="96" width="10.42578125" hidden="1" customWidth="1"/>
    <col min="97" max="97" width="11" hidden="1" customWidth="1"/>
    <col min="98" max="98" width="12" hidden="1" customWidth="1"/>
    <col min="99" max="99" width="9.28515625" hidden="1" customWidth="1"/>
    <col min="100" max="100" width="9.85546875" hidden="1" customWidth="1"/>
    <col min="101" max="101" width="8.42578125" hidden="1" customWidth="1"/>
    <col min="102" max="102" width="7.5703125" hidden="1" customWidth="1"/>
    <col min="103" max="103" width="9.5703125" hidden="1" customWidth="1"/>
    <col min="104" max="104" width="10.42578125" hidden="1" customWidth="1"/>
    <col min="105" max="105" width="10" hidden="1" customWidth="1"/>
    <col min="106" max="106" width="8.42578125" hidden="1" customWidth="1"/>
    <col min="107" max="107" width="11.85546875" customWidth="1"/>
    <col min="108" max="108" width="9.140625" customWidth="1"/>
    <col min="109" max="109" width="10.85546875" customWidth="1"/>
    <col min="110" max="110" width="14.28515625" customWidth="1"/>
    <col min="111" max="111" width="10.28515625" customWidth="1"/>
    <col min="112" max="112" width="10.5703125" customWidth="1"/>
    <col min="113" max="127" width="9" hidden="1" customWidth="1"/>
    <col min="128" max="129" width="9.28515625" hidden="1" customWidth="1"/>
    <col min="130" max="130" width="9.28515625" customWidth="1"/>
    <col min="131" max="131" width="9.7109375" customWidth="1"/>
    <col min="132" max="132" width="10.85546875" customWidth="1"/>
  </cols>
  <sheetData>
    <row r="1" spans="1:132" x14ac:dyDescent="0.2">
      <c r="A1" s="92"/>
      <c r="B1" s="97" t="s">
        <v>27</v>
      </c>
      <c r="C1" s="92"/>
      <c r="D1" s="93"/>
      <c r="E1" s="93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1"/>
      <c r="S1" s="91"/>
      <c r="T1" s="92"/>
      <c r="U1" s="92"/>
      <c r="V1" s="94"/>
      <c r="W1" s="95"/>
      <c r="X1" s="94"/>
      <c r="Y1" s="94"/>
      <c r="Z1" s="94"/>
      <c r="AA1" s="94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4"/>
      <c r="AM1" s="92"/>
      <c r="AN1" s="96"/>
      <c r="AV1" s="94"/>
      <c r="AW1" s="95"/>
      <c r="AX1" s="94"/>
      <c r="AY1" s="94"/>
      <c r="AZ1" s="94"/>
      <c r="BQ1" s="93"/>
      <c r="BR1" s="93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1"/>
      <c r="CF1" s="91"/>
      <c r="CG1" s="92"/>
      <c r="CI1" s="541"/>
      <c r="CJ1" s="542"/>
      <c r="CK1" s="541"/>
      <c r="CL1" s="541"/>
      <c r="CM1" s="541"/>
      <c r="CW1" s="985"/>
      <c r="CX1" s="985"/>
      <c r="CY1" s="985"/>
      <c r="CZ1" s="985"/>
      <c r="DA1" s="985"/>
      <c r="DB1" s="985"/>
      <c r="DC1" s="985"/>
      <c r="DD1" s="662"/>
      <c r="DE1" s="663"/>
      <c r="DF1" s="662"/>
      <c r="DG1" s="662"/>
      <c r="DH1" s="662"/>
      <c r="DI1" s="637"/>
      <c r="DJ1" s="637"/>
      <c r="DK1" s="637"/>
      <c r="DL1" s="637"/>
      <c r="DM1" s="637"/>
      <c r="DN1" s="637"/>
      <c r="DO1" s="637"/>
      <c r="DP1" s="637"/>
      <c r="DQ1" s="637"/>
      <c r="DR1" s="637"/>
      <c r="DS1" s="637"/>
      <c r="DT1" s="637"/>
      <c r="DU1" s="637"/>
      <c r="DV1" s="637"/>
      <c r="DW1" s="637"/>
      <c r="DX1" s="637"/>
      <c r="DY1" s="637"/>
      <c r="DZ1" s="637"/>
      <c r="EA1" s="637"/>
      <c r="EB1" s="637"/>
    </row>
    <row r="2" spans="1:132" x14ac:dyDescent="0.2">
      <c r="A2" s="92"/>
      <c r="B2" s="97" t="s">
        <v>1273</v>
      </c>
      <c r="C2" s="92"/>
      <c r="D2" s="93"/>
      <c r="E2" s="93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1"/>
      <c r="S2" s="91"/>
      <c r="T2" s="92"/>
      <c r="U2" s="92"/>
      <c r="V2" s="94"/>
      <c r="W2" s="95"/>
      <c r="X2" s="94"/>
      <c r="Y2" s="94"/>
      <c r="Z2" s="94"/>
      <c r="AA2" s="94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6"/>
      <c r="AV2" s="94"/>
      <c r="AW2" s="95"/>
      <c r="AX2" s="94"/>
      <c r="AY2" s="94"/>
      <c r="AZ2" s="94"/>
      <c r="BQ2" s="93"/>
      <c r="BR2" s="93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1"/>
      <c r="CF2" s="91"/>
      <c r="CG2" s="92"/>
      <c r="CI2" s="541"/>
      <c r="CJ2" s="542"/>
      <c r="CK2" s="541"/>
      <c r="CL2" s="541"/>
      <c r="CM2" s="541"/>
      <c r="CW2" s="985"/>
      <c r="CX2" s="985"/>
      <c r="CY2" s="985"/>
      <c r="CZ2" s="985"/>
      <c r="DA2" s="985"/>
      <c r="DB2" s="985"/>
      <c r="DC2" s="985"/>
      <c r="DD2" s="662"/>
      <c r="DE2" s="663"/>
      <c r="DF2" s="662"/>
      <c r="DG2" s="662"/>
      <c r="DH2" s="662"/>
      <c r="DI2" s="637"/>
      <c r="DJ2" s="637"/>
      <c r="DK2" s="637"/>
      <c r="DL2" s="637"/>
      <c r="DM2" s="637"/>
      <c r="DN2" s="637"/>
      <c r="DO2" s="637"/>
      <c r="DP2" s="637"/>
      <c r="DQ2" s="637"/>
      <c r="DR2" s="637"/>
      <c r="DS2" s="637"/>
      <c r="DT2" s="637"/>
      <c r="DU2" s="637"/>
      <c r="DV2" s="637"/>
      <c r="DW2" s="637"/>
      <c r="DX2" s="637"/>
      <c r="DY2" s="637"/>
      <c r="DZ2" s="637"/>
      <c r="EA2" s="637"/>
      <c r="EB2" s="637"/>
    </row>
    <row r="3" spans="1:132" x14ac:dyDescent="0.2">
      <c r="A3" s="92"/>
      <c r="B3" s="92"/>
      <c r="C3" s="97"/>
      <c r="D3" s="98"/>
      <c r="E3" s="93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7"/>
      <c r="S3" s="97"/>
      <c r="T3" s="99"/>
      <c r="U3" s="99"/>
      <c r="V3" s="94"/>
      <c r="W3" s="95"/>
      <c r="X3" s="94"/>
      <c r="Y3" s="94"/>
      <c r="Z3" s="94"/>
      <c r="AA3" s="94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6"/>
      <c r="AV3" s="94"/>
      <c r="AW3" s="95"/>
      <c r="AX3" s="94"/>
      <c r="AY3" s="94"/>
      <c r="AZ3" s="94"/>
      <c r="BQ3" s="98"/>
      <c r="BR3" s="93"/>
      <c r="BS3" s="99"/>
      <c r="BT3" s="99"/>
      <c r="BU3" s="99"/>
      <c r="BV3" s="99"/>
      <c r="BW3" s="99"/>
      <c r="BX3" s="99"/>
      <c r="BY3" s="99"/>
      <c r="BZ3" s="99"/>
      <c r="CA3" s="99"/>
      <c r="CB3" s="99"/>
      <c r="CC3" s="99"/>
      <c r="CD3" s="99"/>
      <c r="CE3" s="97"/>
      <c r="CF3" s="97"/>
      <c r="CG3" s="99"/>
      <c r="CI3" s="541"/>
      <c r="CJ3" s="542"/>
      <c r="CK3" s="541"/>
      <c r="CL3" s="541"/>
      <c r="CM3" s="541"/>
      <c r="CW3" s="985"/>
      <c r="CX3" s="985"/>
      <c r="CY3" s="985"/>
      <c r="CZ3" s="985"/>
      <c r="DA3" s="985"/>
      <c r="DB3" s="985"/>
      <c r="DC3" s="985"/>
      <c r="DD3" s="662"/>
      <c r="DE3" s="663"/>
      <c r="DF3" s="662"/>
      <c r="DG3" s="662"/>
      <c r="DH3" s="662"/>
      <c r="DI3" s="637"/>
      <c r="DJ3" s="637"/>
      <c r="DK3" s="637"/>
      <c r="DL3" s="637"/>
      <c r="DM3" s="637"/>
      <c r="DN3" s="637"/>
      <c r="DO3" s="637"/>
      <c r="DP3" s="637"/>
      <c r="DQ3" s="637"/>
      <c r="DR3" s="637"/>
      <c r="DS3" s="637"/>
      <c r="DT3" s="637"/>
      <c r="DU3" s="637"/>
      <c r="DV3" s="637"/>
      <c r="DW3" s="637"/>
      <c r="DX3" s="637"/>
      <c r="DY3" s="637"/>
      <c r="DZ3" s="637"/>
      <c r="EA3" s="637"/>
      <c r="EB3" s="637"/>
    </row>
    <row r="4" spans="1:132" x14ac:dyDescent="0.2">
      <c r="A4" s="92"/>
      <c r="B4" s="92" t="s">
        <v>309</v>
      </c>
      <c r="C4" s="97"/>
      <c r="D4" s="98"/>
      <c r="E4" s="93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7"/>
      <c r="S4" s="97"/>
      <c r="T4" s="99"/>
      <c r="U4" s="99"/>
      <c r="V4" s="94"/>
      <c r="W4" s="95"/>
      <c r="X4" s="94"/>
      <c r="Y4" s="94"/>
      <c r="Z4" s="94"/>
      <c r="AA4" s="94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6"/>
      <c r="AV4" s="94"/>
      <c r="AW4" s="95"/>
      <c r="AX4" s="94"/>
      <c r="AY4" s="94"/>
      <c r="AZ4" s="94"/>
      <c r="BQ4" s="98"/>
      <c r="BR4" s="93"/>
      <c r="BS4" s="99"/>
      <c r="BT4" s="99"/>
      <c r="BU4" s="99"/>
      <c r="BV4" s="99"/>
      <c r="BW4" s="99"/>
      <c r="BX4" s="99"/>
      <c r="BY4" s="99"/>
      <c r="BZ4" s="99"/>
      <c r="CA4" s="99"/>
      <c r="CB4" s="99"/>
      <c r="CC4" s="99"/>
      <c r="CD4" s="99"/>
      <c r="CE4" s="97"/>
      <c r="CF4" s="97"/>
      <c r="CG4" s="99"/>
      <c r="CI4" s="541"/>
      <c r="CJ4" s="542"/>
      <c r="CK4" s="541"/>
      <c r="CL4" s="541"/>
      <c r="CM4" s="541"/>
      <c r="CW4" s="985"/>
      <c r="CX4" s="985"/>
      <c r="CY4" s="985"/>
      <c r="CZ4" s="985"/>
      <c r="DA4" s="985"/>
      <c r="DB4" s="985"/>
      <c r="DC4" s="985"/>
      <c r="DD4" s="662"/>
      <c r="DE4" s="663"/>
      <c r="DF4" s="662"/>
      <c r="DG4" s="662"/>
      <c r="DH4" s="662"/>
      <c r="DI4" s="637"/>
      <c r="DJ4" s="637"/>
      <c r="DK4" s="637"/>
      <c r="DL4" s="637"/>
      <c r="DM4" s="637"/>
      <c r="DN4" s="637"/>
      <c r="DO4" s="637"/>
      <c r="DP4" s="637"/>
      <c r="DQ4" s="637"/>
      <c r="DR4" s="637"/>
      <c r="DS4" s="637"/>
      <c r="DT4" s="637"/>
      <c r="DU4" s="637"/>
      <c r="DV4" s="637"/>
      <c r="DW4" s="637"/>
      <c r="DX4" s="637"/>
      <c r="DY4" s="637"/>
      <c r="DZ4" s="637"/>
      <c r="EA4" s="637"/>
      <c r="EB4" s="637"/>
    </row>
    <row r="5" spans="1:132" x14ac:dyDescent="0.2">
      <c r="A5" s="92"/>
      <c r="B5" s="99" t="s">
        <v>1036</v>
      </c>
      <c r="C5" s="92"/>
      <c r="D5" s="93"/>
      <c r="E5" s="93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1"/>
      <c r="S5" s="91"/>
      <c r="T5" s="92"/>
      <c r="U5" s="92"/>
      <c r="V5" s="94"/>
      <c r="W5" s="95"/>
      <c r="X5" s="94"/>
      <c r="Y5" s="94"/>
      <c r="Z5" s="94"/>
      <c r="AA5" s="94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6"/>
      <c r="AV5" s="94"/>
      <c r="AW5" s="95"/>
      <c r="AX5" s="94"/>
      <c r="AY5" s="94"/>
      <c r="AZ5" s="94"/>
      <c r="BQ5" s="93"/>
      <c r="BR5" s="93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1"/>
      <c r="CF5" s="91"/>
      <c r="CG5" s="92"/>
      <c r="CI5" s="541"/>
      <c r="CJ5" s="542"/>
      <c r="CK5" s="541"/>
      <c r="CL5" s="541"/>
      <c r="CM5" s="541"/>
      <c r="CW5" s="985"/>
      <c r="CX5" s="985"/>
      <c r="CY5" s="985"/>
      <c r="CZ5" s="985"/>
      <c r="DA5" s="985"/>
      <c r="DB5" s="985"/>
      <c r="DC5" s="985"/>
      <c r="DD5" s="662"/>
      <c r="DE5" s="663"/>
      <c r="DF5" s="662"/>
      <c r="DG5" s="662"/>
      <c r="DH5" s="662"/>
      <c r="DI5" s="637"/>
      <c r="DJ5" s="637"/>
      <c r="DK5" s="637"/>
      <c r="DL5" s="637"/>
      <c r="DM5" s="637"/>
      <c r="DN5" s="637"/>
      <c r="DO5" s="637"/>
      <c r="DP5" s="637"/>
      <c r="DQ5" s="637"/>
      <c r="DR5" s="637"/>
      <c r="DS5" s="637"/>
      <c r="DT5" s="637"/>
      <c r="DU5" s="637"/>
      <c r="DV5" s="637"/>
      <c r="DW5" s="637"/>
      <c r="DX5" s="637"/>
      <c r="DY5" s="637"/>
      <c r="DZ5" s="637"/>
      <c r="EA5" s="637"/>
      <c r="EB5" s="637"/>
    </row>
    <row r="6" spans="1:132" x14ac:dyDescent="0.2">
      <c r="A6" s="92"/>
      <c r="B6" s="92" t="s">
        <v>1272</v>
      </c>
      <c r="C6" s="92"/>
      <c r="D6" s="93"/>
      <c r="E6" s="93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1"/>
      <c r="S6" s="91"/>
      <c r="T6" s="92"/>
      <c r="U6" s="92"/>
      <c r="V6" s="94"/>
      <c r="W6" s="95"/>
      <c r="X6" s="94"/>
      <c r="Y6" s="94"/>
      <c r="Z6" s="94"/>
      <c r="AA6" s="94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6"/>
      <c r="AV6" s="94"/>
      <c r="AW6" s="95"/>
      <c r="AX6" s="94"/>
      <c r="AY6" s="94"/>
      <c r="AZ6" s="94"/>
      <c r="BQ6" s="93"/>
      <c r="BR6" s="93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1"/>
      <c r="CF6" s="91"/>
      <c r="CG6" s="92"/>
      <c r="CI6" s="541"/>
      <c r="CJ6" s="542"/>
      <c r="CK6" s="541"/>
      <c r="CL6" s="541"/>
      <c r="CM6" s="541"/>
      <c r="CW6" s="985"/>
      <c r="CX6" s="985"/>
      <c r="CY6" s="985"/>
      <c r="CZ6" s="985"/>
      <c r="DA6" s="985"/>
      <c r="DB6" s="985"/>
      <c r="DC6" s="985"/>
      <c r="DD6" s="662"/>
      <c r="DE6" s="663"/>
      <c r="DF6" s="662"/>
      <c r="DG6" s="662"/>
      <c r="DH6" s="662"/>
      <c r="DI6" s="637"/>
      <c r="DJ6" s="637"/>
      <c r="DK6" s="637"/>
      <c r="DL6" s="637"/>
      <c r="DM6" s="637"/>
      <c r="DN6" s="637"/>
      <c r="DO6" s="637"/>
      <c r="DP6" s="637"/>
      <c r="DQ6" s="637"/>
      <c r="DR6" s="637"/>
      <c r="DS6" s="637"/>
      <c r="DT6" s="637"/>
      <c r="DU6" s="637"/>
      <c r="DV6" s="637"/>
      <c r="DW6" s="637"/>
      <c r="DX6" s="637"/>
      <c r="DY6" s="637"/>
      <c r="DZ6" s="637"/>
      <c r="EA6" s="637"/>
      <c r="EB6" s="637"/>
    </row>
    <row r="7" spans="1:132" x14ac:dyDescent="0.2">
      <c r="A7" s="92"/>
      <c r="B7" s="92"/>
      <c r="C7" s="92"/>
      <c r="D7" s="93"/>
      <c r="E7" s="93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1"/>
      <c r="S7" s="91"/>
      <c r="T7" s="92"/>
      <c r="U7" s="92"/>
      <c r="V7" s="94"/>
      <c r="W7" s="95"/>
      <c r="X7" s="94"/>
      <c r="Y7" s="94"/>
      <c r="Z7" s="94"/>
      <c r="AA7" s="94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6"/>
      <c r="AV7" s="94"/>
      <c r="AW7" s="95"/>
      <c r="AX7" s="94"/>
      <c r="AY7" s="94"/>
      <c r="AZ7" s="94"/>
      <c r="BQ7" s="93"/>
      <c r="BR7" s="93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1"/>
      <c r="CF7" s="91"/>
      <c r="CG7" s="92"/>
      <c r="CI7" s="541"/>
      <c r="CJ7" s="542"/>
      <c r="CK7" s="541"/>
      <c r="CL7" s="541"/>
      <c r="CM7" s="541"/>
      <c r="CW7" s="985"/>
      <c r="CX7" s="985"/>
      <c r="CY7" s="985"/>
      <c r="CZ7" s="985"/>
      <c r="DA7" s="985"/>
      <c r="DB7" s="985"/>
      <c r="DC7" s="985"/>
      <c r="DD7" s="662"/>
      <c r="DE7" s="663"/>
      <c r="DF7" s="662"/>
      <c r="DG7" s="662"/>
      <c r="DH7" s="662"/>
      <c r="DI7" s="637"/>
      <c r="DJ7" s="637"/>
      <c r="DK7" s="637"/>
      <c r="DL7" s="637"/>
      <c r="DM7" s="637"/>
      <c r="DN7" s="637"/>
      <c r="DO7" s="637"/>
      <c r="DP7" s="637"/>
      <c r="DQ7" s="637"/>
      <c r="DR7" s="637"/>
      <c r="DS7" s="637"/>
      <c r="DT7" s="637"/>
      <c r="DU7" s="637"/>
      <c r="DV7" s="637"/>
      <c r="DW7" s="637"/>
      <c r="DX7" s="637"/>
      <c r="DY7" s="637"/>
      <c r="DZ7" s="637"/>
      <c r="EA7" s="637"/>
      <c r="EB7" s="637"/>
    </row>
    <row r="8" spans="1:132" x14ac:dyDescent="0.2">
      <c r="A8" s="16"/>
      <c r="B8" s="16"/>
      <c r="C8" s="16"/>
      <c r="D8" s="38"/>
      <c r="E8" s="38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37"/>
      <c r="S8" s="37"/>
      <c r="T8" s="35"/>
      <c r="U8" s="35"/>
      <c r="V8" s="39"/>
      <c r="W8" s="76"/>
      <c r="X8" s="39"/>
      <c r="Y8" s="39"/>
      <c r="Z8" s="39"/>
      <c r="AA8" s="39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68"/>
      <c r="AV8" s="39"/>
      <c r="AW8" s="76"/>
      <c r="AX8" s="39"/>
      <c r="AY8" s="39"/>
      <c r="AZ8" s="39"/>
      <c r="BQ8" s="38"/>
      <c r="BR8" s="38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37"/>
      <c r="CF8" s="37"/>
      <c r="CG8" s="35"/>
      <c r="CI8" s="39"/>
      <c r="CJ8" s="76"/>
      <c r="CK8" s="39"/>
      <c r="CL8" s="39"/>
      <c r="CM8" s="39"/>
      <c r="DD8" s="39"/>
      <c r="DE8" s="76"/>
      <c r="DF8" s="39"/>
      <c r="DG8" s="39"/>
      <c r="DH8" s="39"/>
    </row>
    <row r="9" spans="1:132" x14ac:dyDescent="0.2">
      <c r="A9" s="16"/>
      <c r="B9" s="16"/>
      <c r="C9" s="16"/>
      <c r="D9" s="38"/>
      <c r="E9" s="38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37"/>
      <c r="S9" s="37"/>
      <c r="T9" s="35"/>
      <c r="U9" s="35"/>
      <c r="V9" s="39"/>
      <c r="W9" s="76"/>
      <c r="X9" s="39"/>
      <c r="Y9" s="39"/>
      <c r="Z9" s="39"/>
      <c r="AA9" s="39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68"/>
      <c r="AV9" s="39"/>
      <c r="AW9" s="76"/>
      <c r="AX9" s="39"/>
      <c r="AY9" s="39"/>
      <c r="AZ9" s="39"/>
      <c r="BQ9" s="38"/>
      <c r="BR9" s="38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37"/>
      <c r="CF9" s="37"/>
      <c r="CG9" s="35"/>
      <c r="CI9" s="39"/>
      <c r="CJ9" s="76"/>
      <c r="CK9" s="39"/>
      <c r="CL9" s="39"/>
      <c r="CM9" s="39"/>
      <c r="DD9" s="39"/>
      <c r="DE9" s="76"/>
      <c r="DF9" s="39"/>
      <c r="DG9" s="39"/>
      <c r="DH9" s="39"/>
    </row>
    <row r="10" spans="1:132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1260"/>
      <c r="V10" s="1260"/>
      <c r="W10" s="1260"/>
      <c r="X10" s="1260"/>
      <c r="Y10" s="1260"/>
      <c r="Z10" s="1260"/>
      <c r="AA10" s="1260"/>
      <c r="AB10" s="1260"/>
      <c r="AC10" s="1260"/>
      <c r="AD10" s="1260"/>
      <c r="AE10" s="1260"/>
      <c r="AF10" s="1260"/>
      <c r="AG10" s="1260"/>
      <c r="AH10" s="1260"/>
      <c r="AI10" s="1260"/>
      <c r="AJ10" s="1260"/>
      <c r="AK10" s="1260"/>
      <c r="AL10" s="1260"/>
      <c r="AM10" s="1260"/>
      <c r="AN10" s="1260"/>
      <c r="BQ10" s="1258" t="s">
        <v>532</v>
      </c>
      <c r="BR10" s="1258"/>
      <c r="BS10" s="1258"/>
      <c r="BT10" s="1258"/>
      <c r="BU10" s="1258"/>
      <c r="BV10" s="1258"/>
      <c r="BW10" s="1258"/>
      <c r="BX10" s="1258"/>
      <c r="BY10" s="1258"/>
      <c r="BZ10" s="1258"/>
      <c r="CA10" s="1258"/>
      <c r="CB10" s="1258"/>
      <c r="CC10" s="1258"/>
      <c r="CD10" s="191"/>
      <c r="CE10" s="1259" t="s">
        <v>448</v>
      </c>
      <c r="CF10" s="1259"/>
      <c r="CG10" s="1259"/>
    </row>
    <row r="11" spans="1:132" ht="39.75" customHeight="1" x14ac:dyDescent="0.25">
      <c r="A11" s="1261" t="s">
        <v>57</v>
      </c>
      <c r="B11" s="1261" t="s">
        <v>0</v>
      </c>
      <c r="C11" s="321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526</v>
      </c>
      <c r="J11" s="1254" t="s">
        <v>525</v>
      </c>
      <c r="K11" s="1254" t="s">
        <v>534</v>
      </c>
      <c r="L11" s="1254" t="s">
        <v>493</v>
      </c>
      <c r="M11" s="1254" t="s">
        <v>535</v>
      </c>
      <c r="N11" s="319" t="s">
        <v>529</v>
      </c>
      <c r="O11" s="1254" t="s">
        <v>492</v>
      </c>
      <c r="P11" s="320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317"/>
      <c r="V11" s="158" t="s">
        <v>15</v>
      </c>
      <c r="W11" s="159" t="s">
        <v>15</v>
      </c>
      <c r="X11" s="158" t="s">
        <v>16</v>
      </c>
      <c r="Y11" s="1245" t="s">
        <v>527</v>
      </c>
      <c r="Z11" s="1245" t="s">
        <v>536</v>
      </c>
      <c r="AA11" s="158" t="s">
        <v>3</v>
      </c>
      <c r="AB11" s="158" t="s">
        <v>4</v>
      </c>
      <c r="AC11" s="158" t="s">
        <v>5</v>
      </c>
      <c r="AD11" s="158" t="s">
        <v>6</v>
      </c>
      <c r="AE11" s="158" t="s">
        <v>7</v>
      </c>
      <c r="AF11" s="158" t="s">
        <v>8</v>
      </c>
      <c r="AG11" s="158" t="s">
        <v>9</v>
      </c>
      <c r="AH11" s="158" t="s">
        <v>10</v>
      </c>
      <c r="AI11" s="158" t="s">
        <v>11</v>
      </c>
      <c r="AJ11" s="158" t="s">
        <v>12</v>
      </c>
      <c r="AK11" s="158" t="s">
        <v>13</v>
      </c>
      <c r="AL11" s="158" t="s">
        <v>14</v>
      </c>
      <c r="AM11" s="196" t="s">
        <v>531</v>
      </c>
      <c r="AN11" s="196" t="s">
        <v>63</v>
      </c>
      <c r="AO11" s="1245" t="s">
        <v>976</v>
      </c>
      <c r="AP11" s="1245" t="s">
        <v>536</v>
      </c>
      <c r="AQ11" s="158" t="s">
        <v>3</v>
      </c>
      <c r="AR11" s="158" t="s">
        <v>4</v>
      </c>
      <c r="AS11" s="158" t="s">
        <v>5</v>
      </c>
      <c r="AT11" s="158" t="s">
        <v>6</v>
      </c>
      <c r="AU11" s="158" t="s">
        <v>7</v>
      </c>
      <c r="AV11" s="158" t="s">
        <v>15</v>
      </c>
      <c r="AW11" s="159" t="s">
        <v>15</v>
      </c>
      <c r="AX11" s="158" t="s">
        <v>16</v>
      </c>
      <c r="AY11" s="1245" t="s">
        <v>1068</v>
      </c>
      <c r="AZ11" s="1245" t="s">
        <v>536</v>
      </c>
      <c r="BA11" s="158" t="s">
        <v>8</v>
      </c>
      <c r="BB11" s="158" t="s">
        <v>9</v>
      </c>
      <c r="BC11" s="158" t="s">
        <v>10</v>
      </c>
      <c r="BD11" s="158" t="s">
        <v>11</v>
      </c>
      <c r="BE11" s="158" t="s">
        <v>12</v>
      </c>
      <c r="BF11" s="158" t="s">
        <v>13</v>
      </c>
      <c r="BG11" s="158" t="s">
        <v>14</v>
      </c>
      <c r="BH11" s="196" t="s">
        <v>989</v>
      </c>
      <c r="BI11" s="196" t="s">
        <v>63</v>
      </c>
      <c r="BJ11" s="158" t="s">
        <v>3</v>
      </c>
      <c r="BK11" s="158" t="s">
        <v>4</v>
      </c>
      <c r="BL11" s="158" t="s">
        <v>5</v>
      </c>
      <c r="BM11" s="158" t="s">
        <v>6</v>
      </c>
      <c r="BN11" s="158" t="s">
        <v>7</v>
      </c>
      <c r="BO11" s="1247" t="s">
        <v>1129</v>
      </c>
      <c r="BP11" s="158" t="s">
        <v>904</v>
      </c>
      <c r="BQ11" s="166" t="s">
        <v>306</v>
      </c>
      <c r="BR11" s="1263" t="s">
        <v>55</v>
      </c>
      <c r="BS11" s="1254" t="s">
        <v>56</v>
      </c>
      <c r="BT11" s="1254" t="s">
        <v>446</v>
      </c>
      <c r="BU11" s="1254" t="s">
        <v>533</v>
      </c>
      <c r="BV11" s="1254" t="s">
        <v>1126</v>
      </c>
      <c r="BW11" s="1254" t="s">
        <v>1127</v>
      </c>
      <c r="BX11" s="1254" t="s">
        <v>534</v>
      </c>
      <c r="BY11" s="1254" t="s">
        <v>493</v>
      </c>
      <c r="BZ11" s="1254" t="s">
        <v>1128</v>
      </c>
      <c r="CA11" s="712" t="s">
        <v>529</v>
      </c>
      <c r="CB11" s="1254" t="s">
        <v>492</v>
      </c>
      <c r="CC11" s="713" t="s">
        <v>530</v>
      </c>
      <c r="CD11" s="1256" t="s">
        <v>528</v>
      </c>
      <c r="CE11" s="1250" t="s">
        <v>437</v>
      </c>
      <c r="CF11" s="1250" t="s">
        <v>56</v>
      </c>
      <c r="CG11" s="1252" t="s">
        <v>449</v>
      </c>
      <c r="CH11" s="158" t="s">
        <v>904</v>
      </c>
      <c r="CI11" s="158" t="s">
        <v>15</v>
      </c>
      <c r="CJ11" s="159" t="s">
        <v>15</v>
      </c>
      <c r="CK11" s="158" t="s">
        <v>16</v>
      </c>
      <c r="CL11" s="1245" t="s">
        <v>1124</v>
      </c>
      <c r="CM11" s="1245" t="s">
        <v>1130</v>
      </c>
      <c r="CN11" s="158" t="s">
        <v>8</v>
      </c>
      <c r="CO11" s="158" t="s">
        <v>9</v>
      </c>
      <c r="CP11" s="158" t="s">
        <v>10</v>
      </c>
      <c r="CQ11" s="158" t="s">
        <v>11</v>
      </c>
      <c r="CR11" s="158" t="s">
        <v>12</v>
      </c>
      <c r="CS11" s="158" t="s">
        <v>13</v>
      </c>
      <c r="CT11" s="158" t="s">
        <v>14</v>
      </c>
      <c r="CU11" s="196" t="s">
        <v>1131</v>
      </c>
      <c r="CV11" s="196" t="s">
        <v>63</v>
      </c>
      <c r="CW11" s="158" t="s">
        <v>3</v>
      </c>
      <c r="CX11" s="158" t="s">
        <v>4</v>
      </c>
      <c r="CY11" s="158" t="s">
        <v>5</v>
      </c>
      <c r="CZ11" s="158" t="s">
        <v>6</v>
      </c>
      <c r="DA11" s="158" t="s">
        <v>7</v>
      </c>
      <c r="DB11" s="1247" t="s">
        <v>1252</v>
      </c>
      <c r="DC11" s="1247" t="s">
        <v>1253</v>
      </c>
      <c r="DD11" s="158" t="s">
        <v>15</v>
      </c>
      <c r="DE11" s="159" t="s">
        <v>15</v>
      </c>
      <c r="DF11" s="158" t="s">
        <v>16</v>
      </c>
      <c r="DG11" s="1245" t="s">
        <v>1262</v>
      </c>
      <c r="DH11" s="1245" t="s">
        <v>536</v>
      </c>
      <c r="DI11" s="158" t="s">
        <v>8</v>
      </c>
      <c r="DJ11" s="158" t="s">
        <v>9</v>
      </c>
      <c r="DK11" s="158" t="s">
        <v>10</v>
      </c>
      <c r="DL11" s="158" t="s">
        <v>11</v>
      </c>
      <c r="DM11" s="158" t="s">
        <v>12</v>
      </c>
      <c r="DN11" s="158" t="s">
        <v>13</v>
      </c>
      <c r="DO11" s="158" t="s">
        <v>14</v>
      </c>
      <c r="DP11" s="158" t="s">
        <v>3</v>
      </c>
      <c r="DQ11" s="158" t="s">
        <v>4</v>
      </c>
      <c r="DR11" s="158" t="s">
        <v>5</v>
      </c>
      <c r="DS11" s="158" t="s">
        <v>6</v>
      </c>
      <c r="DT11" s="158" t="s">
        <v>7</v>
      </c>
      <c r="DU11" s="158" t="s">
        <v>8</v>
      </c>
      <c r="DV11" s="158" t="s">
        <v>9</v>
      </c>
      <c r="DW11" s="158" t="s">
        <v>10</v>
      </c>
      <c r="DX11" s="1243" t="s">
        <v>11</v>
      </c>
      <c r="DY11" s="1244" t="s">
        <v>12</v>
      </c>
      <c r="DZ11" s="1242" t="s">
        <v>13</v>
      </c>
      <c r="EA11" s="1247" t="s">
        <v>1274</v>
      </c>
      <c r="EB11" s="1247" t="s">
        <v>1263</v>
      </c>
    </row>
    <row r="12" spans="1:132" ht="44.25" customHeight="1" x14ac:dyDescent="0.25">
      <c r="A12" s="1262"/>
      <c r="B12" s="1262"/>
      <c r="C12" s="161" t="s">
        <v>1036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318" t="s">
        <v>709</v>
      </c>
      <c r="V12" s="162" t="s">
        <v>20</v>
      </c>
      <c r="W12" s="163" t="s">
        <v>21</v>
      </c>
      <c r="X12" s="162" t="s">
        <v>22</v>
      </c>
      <c r="Y12" s="1246"/>
      <c r="Z12" s="1246"/>
      <c r="AA12" s="162">
        <v>2015</v>
      </c>
      <c r="AB12" s="162">
        <v>2015</v>
      </c>
      <c r="AC12" s="162">
        <v>2015</v>
      </c>
      <c r="AD12" s="162">
        <v>2015</v>
      </c>
      <c r="AE12" s="162">
        <v>2015</v>
      </c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 t="s">
        <v>64</v>
      </c>
      <c r="AO12" s="1246"/>
      <c r="AP12" s="1246"/>
      <c r="AQ12" s="162">
        <v>2016</v>
      </c>
      <c r="AR12" s="162">
        <v>2016</v>
      </c>
      <c r="AS12" s="162">
        <v>2016</v>
      </c>
      <c r="AT12" s="162">
        <v>2016</v>
      </c>
      <c r="AU12" s="162">
        <v>2016</v>
      </c>
      <c r="AV12" s="162" t="s">
        <v>20</v>
      </c>
      <c r="AW12" s="163" t="s">
        <v>21</v>
      </c>
      <c r="AX12" s="162" t="s">
        <v>22</v>
      </c>
      <c r="AY12" s="1246"/>
      <c r="AZ12" s="1246"/>
      <c r="BA12" s="162">
        <v>2016</v>
      </c>
      <c r="BB12" s="162">
        <v>2016</v>
      </c>
      <c r="BC12" s="162">
        <v>2016</v>
      </c>
      <c r="BD12" s="162">
        <v>2016</v>
      </c>
      <c r="BE12" s="162">
        <v>2016</v>
      </c>
      <c r="BF12" s="162">
        <v>2016</v>
      </c>
      <c r="BG12" s="162">
        <v>2016</v>
      </c>
      <c r="BH12" s="162">
        <v>2016</v>
      </c>
      <c r="BI12" s="162" t="s">
        <v>64</v>
      </c>
      <c r="BJ12" s="162">
        <v>2017</v>
      </c>
      <c r="BK12" s="162">
        <v>2017</v>
      </c>
      <c r="BL12" s="162">
        <v>2017</v>
      </c>
      <c r="BM12" s="162">
        <v>2017</v>
      </c>
      <c r="BN12" s="162">
        <v>2017</v>
      </c>
      <c r="BO12" s="1248"/>
      <c r="BP12" s="714" t="s">
        <v>1125</v>
      </c>
      <c r="BQ12" s="167"/>
      <c r="BR12" s="1264"/>
      <c r="BS12" s="1255"/>
      <c r="BT12" s="1255"/>
      <c r="BU12" s="1255"/>
      <c r="BV12" s="1255"/>
      <c r="BW12" s="1255"/>
      <c r="BX12" s="1255"/>
      <c r="BY12" s="1255"/>
      <c r="BZ12" s="1255"/>
      <c r="CA12" s="194"/>
      <c r="CB12" s="1255"/>
      <c r="CC12" s="194">
        <v>43281</v>
      </c>
      <c r="CD12" s="1257"/>
      <c r="CE12" s="1251" t="s">
        <v>18</v>
      </c>
      <c r="CF12" s="1251" t="s">
        <v>18</v>
      </c>
      <c r="CG12" s="1253"/>
      <c r="CH12" s="714" t="s">
        <v>1125</v>
      </c>
      <c r="CI12" s="162" t="s">
        <v>20</v>
      </c>
      <c r="CJ12" s="163" t="s">
        <v>21</v>
      </c>
      <c r="CK12" s="162" t="s">
        <v>22</v>
      </c>
      <c r="CL12" s="1246"/>
      <c r="CM12" s="1246"/>
      <c r="CN12" s="162">
        <v>2017</v>
      </c>
      <c r="CO12" s="162">
        <v>2017</v>
      </c>
      <c r="CP12" s="162">
        <v>2017</v>
      </c>
      <c r="CQ12" s="162">
        <v>2017</v>
      </c>
      <c r="CR12" s="162">
        <v>2017</v>
      </c>
      <c r="CS12" s="162">
        <v>2017</v>
      </c>
      <c r="CT12" s="162">
        <v>2017</v>
      </c>
      <c r="CU12" s="162">
        <v>2017</v>
      </c>
      <c r="CV12" s="162" t="s">
        <v>64</v>
      </c>
      <c r="CW12" s="162">
        <v>2018</v>
      </c>
      <c r="CX12" s="162">
        <v>2018</v>
      </c>
      <c r="CY12" s="162">
        <v>2018</v>
      </c>
      <c r="CZ12" s="162">
        <v>2018</v>
      </c>
      <c r="DA12" s="162">
        <v>2018</v>
      </c>
      <c r="DB12" s="1248"/>
      <c r="DC12" s="1248"/>
      <c r="DD12" s="162" t="s">
        <v>20</v>
      </c>
      <c r="DE12" s="163" t="s">
        <v>21</v>
      </c>
      <c r="DF12" s="162" t="s">
        <v>22</v>
      </c>
      <c r="DG12" s="1246"/>
      <c r="DH12" s="1246"/>
      <c r="DI12" s="162">
        <v>2018</v>
      </c>
      <c r="DJ12" s="162">
        <v>2018</v>
      </c>
      <c r="DK12" s="162">
        <v>2018</v>
      </c>
      <c r="DL12" s="162">
        <v>2018</v>
      </c>
      <c r="DM12" s="162">
        <v>2018</v>
      </c>
      <c r="DN12" s="162">
        <v>2018</v>
      </c>
      <c r="DO12" s="162">
        <v>2018</v>
      </c>
      <c r="DP12" s="162">
        <v>2019</v>
      </c>
      <c r="DQ12" s="162">
        <v>2019</v>
      </c>
      <c r="DR12" s="162">
        <v>2019</v>
      </c>
      <c r="DS12" s="162">
        <v>2019</v>
      </c>
      <c r="DT12" s="162">
        <v>2019</v>
      </c>
      <c r="DU12" s="162">
        <v>2019</v>
      </c>
      <c r="DV12" s="162">
        <v>2019</v>
      </c>
      <c r="DW12" s="162">
        <v>2019</v>
      </c>
      <c r="DX12" s="162">
        <v>2019</v>
      </c>
      <c r="DY12" s="162">
        <v>2019</v>
      </c>
      <c r="DZ12" s="162">
        <v>2019</v>
      </c>
      <c r="EA12" s="1248"/>
      <c r="EB12" s="1248"/>
    </row>
    <row r="13" spans="1:132" s="16" customFormat="1" x14ac:dyDescent="0.2">
      <c r="A13" s="120" t="s">
        <v>65</v>
      </c>
      <c r="B13" s="120"/>
      <c r="C13" s="45"/>
      <c r="D13" s="27"/>
      <c r="E13" s="25"/>
      <c r="F13" s="46"/>
      <c r="G13" s="17"/>
      <c r="H13" s="145"/>
      <c r="I13" s="48"/>
      <c r="J13" s="48"/>
      <c r="K13" s="48"/>
      <c r="L13" s="48"/>
      <c r="M13" s="48"/>
      <c r="N13" s="48"/>
      <c r="O13" s="48"/>
      <c r="P13" s="48"/>
      <c r="Q13" s="48"/>
      <c r="R13" s="20"/>
      <c r="S13" s="20"/>
      <c r="T13" s="14"/>
      <c r="U13" s="66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72"/>
      <c r="AL13" s="72"/>
      <c r="AM13" s="72"/>
      <c r="AN13" s="72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27"/>
      <c r="BR13" s="25"/>
      <c r="BS13" s="46"/>
      <c r="BT13" s="17"/>
      <c r="BU13" s="145"/>
      <c r="BV13" s="48"/>
      <c r="BW13" s="48"/>
      <c r="BX13" s="48"/>
      <c r="BY13" s="48"/>
      <c r="BZ13" s="48"/>
      <c r="CA13" s="48"/>
      <c r="CB13" s="48"/>
      <c r="CC13" s="48"/>
      <c r="CD13" s="48"/>
      <c r="CE13" s="20"/>
      <c r="CF13" s="20"/>
      <c r="CG13" s="14"/>
      <c r="CH13" s="505"/>
      <c r="CI13" s="505"/>
      <c r="CJ13" s="505"/>
      <c r="CK13" s="505"/>
      <c r="CL13" s="505"/>
      <c r="CM13" s="505"/>
      <c r="CN13" s="505"/>
      <c r="CO13" s="505"/>
      <c r="CP13" s="505"/>
      <c r="CQ13" s="505"/>
      <c r="CR13" s="505"/>
      <c r="CS13" s="505"/>
      <c r="CT13" s="505"/>
      <c r="CU13" s="505"/>
      <c r="CV13" s="505"/>
      <c r="CW13" s="968"/>
      <c r="CX13" s="968"/>
      <c r="CY13" s="968"/>
      <c r="CZ13" s="968"/>
      <c r="DA13" s="505"/>
      <c r="DB13" s="505"/>
      <c r="DC13" s="50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6"/>
    </row>
    <row r="14" spans="1:132" s="16" customFormat="1" x14ac:dyDescent="0.2">
      <c r="A14" s="120" t="s">
        <v>109</v>
      </c>
      <c r="B14" s="100"/>
      <c r="C14" s="45"/>
      <c r="D14" s="4"/>
      <c r="E14" s="25"/>
      <c r="F14" s="17"/>
      <c r="G14" s="17"/>
      <c r="H14" s="188"/>
      <c r="I14" s="17"/>
      <c r="J14" s="17"/>
      <c r="K14" s="17"/>
      <c r="L14" s="17"/>
      <c r="M14" s="17"/>
      <c r="N14" s="17"/>
      <c r="O14" s="17"/>
      <c r="P14" s="17"/>
      <c r="Q14" s="17"/>
      <c r="R14" s="20"/>
      <c r="S14" s="20"/>
      <c r="T14" s="14"/>
      <c r="U14" s="66"/>
      <c r="V14" s="65"/>
      <c r="W14" s="65"/>
      <c r="X14" s="6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72"/>
      <c r="AL14" s="72"/>
      <c r="AM14" s="72"/>
      <c r="AN14" s="72"/>
      <c r="AO14" s="55"/>
      <c r="AP14" s="55"/>
      <c r="AQ14" s="55"/>
      <c r="AR14" s="55"/>
      <c r="AS14" s="55"/>
      <c r="AT14" s="55"/>
      <c r="AU14" s="55"/>
      <c r="AV14" s="65"/>
      <c r="AW14" s="65"/>
      <c r="AX14" s="6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4"/>
      <c r="BR14" s="25"/>
      <c r="BS14" s="17"/>
      <c r="BT14" s="17"/>
      <c r="BU14" s="188"/>
      <c r="BV14" s="17"/>
      <c r="BW14" s="17"/>
      <c r="BX14" s="17"/>
      <c r="BY14" s="17"/>
      <c r="BZ14" s="17"/>
      <c r="CA14" s="17"/>
      <c r="CB14" s="17"/>
      <c r="CC14" s="17"/>
      <c r="CD14" s="17"/>
      <c r="CE14" s="20"/>
      <c r="CF14" s="20"/>
      <c r="CG14" s="14"/>
      <c r="CH14" s="505"/>
      <c r="CI14" s="676"/>
      <c r="CJ14" s="676"/>
      <c r="CK14" s="676"/>
      <c r="CL14" s="505"/>
      <c r="CM14" s="505"/>
      <c r="CN14" s="505"/>
      <c r="CO14" s="505"/>
      <c r="CP14" s="505"/>
      <c r="CQ14" s="505"/>
      <c r="CR14" s="505"/>
      <c r="CS14" s="505"/>
      <c r="CT14" s="505"/>
      <c r="CU14" s="505"/>
      <c r="CV14" s="505"/>
      <c r="CW14" s="968"/>
      <c r="CX14" s="968"/>
      <c r="CY14" s="968"/>
      <c r="CZ14" s="968"/>
      <c r="DA14" s="968"/>
      <c r="DB14" s="505"/>
      <c r="DC14" s="50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6"/>
    </row>
    <row r="15" spans="1:132" s="16" customFormat="1" ht="15.75" x14ac:dyDescent="0.25">
      <c r="A15" s="176" t="s">
        <v>707</v>
      </c>
      <c r="B15" s="176" t="s">
        <v>708</v>
      </c>
      <c r="C15" s="177" t="s">
        <v>705</v>
      </c>
      <c r="D15" s="358">
        <v>10</v>
      </c>
      <c r="E15" s="461">
        <v>0.1</v>
      </c>
      <c r="F15" s="462">
        <v>42334</v>
      </c>
      <c r="G15" s="463">
        <v>120</v>
      </c>
      <c r="H15" s="464">
        <f>100/G15</f>
        <v>0.83333333333333337</v>
      </c>
      <c r="I15" s="465">
        <f>H15*J15</f>
        <v>0</v>
      </c>
      <c r="J15" s="463">
        <f>(YEAR(F15)-YEAR(S15))*12+MONTH(F15)-MONTH(S15)</f>
        <v>0</v>
      </c>
      <c r="K15" s="465">
        <f>L15*H15</f>
        <v>100</v>
      </c>
      <c r="L15" s="463">
        <f>G15-J15</f>
        <v>120</v>
      </c>
      <c r="M15" s="465">
        <f>N15*H15</f>
        <v>0.83333333333333337</v>
      </c>
      <c r="N15" s="463">
        <v>1</v>
      </c>
      <c r="O15" s="465">
        <f>P15*H15</f>
        <v>99.166666666666671</v>
      </c>
      <c r="P15" s="463">
        <f>L15-N15</f>
        <v>119</v>
      </c>
      <c r="Q15" s="463">
        <v>0</v>
      </c>
      <c r="R15" s="463">
        <v>291</v>
      </c>
      <c r="S15" s="462">
        <v>42334</v>
      </c>
      <c r="T15" s="466">
        <v>1049</v>
      </c>
      <c r="U15" s="359">
        <f>H15*T15/100</f>
        <v>8.7416666666666671</v>
      </c>
      <c r="V15" s="355">
        <v>115.958</v>
      </c>
      <c r="W15" s="355">
        <v>118.051</v>
      </c>
      <c r="X15" s="355">
        <f>V15/W15</f>
        <v>0.98227037466857536</v>
      </c>
      <c r="Y15" s="355">
        <f>U15</f>
        <v>8.7416666666666671</v>
      </c>
      <c r="Z15" s="355">
        <f>Y15*X15</f>
        <v>8.5866801918944642</v>
      </c>
      <c r="AA15" s="355"/>
      <c r="AB15" s="355"/>
      <c r="AC15" s="355"/>
      <c r="AD15" s="355"/>
      <c r="AE15" s="355"/>
      <c r="AF15" s="355"/>
      <c r="AG15" s="355"/>
      <c r="AH15" s="355"/>
      <c r="AI15" s="355"/>
      <c r="AJ15" s="355"/>
      <c r="AK15" s="354"/>
      <c r="AL15" s="354">
        <f>8.59</f>
        <v>8.59</v>
      </c>
      <c r="AM15" s="354">
        <f>8.59</f>
        <v>8.59</v>
      </c>
      <c r="AN15" s="354">
        <f>T15-AM15</f>
        <v>1040.4100000000001</v>
      </c>
      <c r="AO15" s="355"/>
      <c r="AP15" s="355"/>
      <c r="AQ15" s="355">
        <f>8.59</f>
        <v>8.59</v>
      </c>
      <c r="AR15" s="355">
        <f>8.59</f>
        <v>8.59</v>
      </c>
      <c r="AS15" s="355">
        <f>8.59</f>
        <v>8.59</v>
      </c>
      <c r="AT15" s="355">
        <f>8.59</f>
        <v>8.59</v>
      </c>
      <c r="AU15" s="355">
        <f>8.59</f>
        <v>8.59</v>
      </c>
      <c r="AV15" s="356">
        <v>118.901</v>
      </c>
      <c r="AW15" s="356">
        <v>118.051</v>
      </c>
      <c r="AX15" s="356">
        <f>AV15/AW15</f>
        <v>1.0072002778460156</v>
      </c>
      <c r="AY15" s="355">
        <f>T15/(D15*12)</f>
        <v>8.7416666666666671</v>
      </c>
      <c r="AZ15" s="355">
        <f>AY15*AX15</f>
        <v>8.8046090955039205</v>
      </c>
      <c r="BA15" s="355">
        <f t="shared" ref="BA15:BG15" si="0">$AZ15</f>
        <v>8.8046090955039205</v>
      </c>
      <c r="BB15" s="355">
        <f t="shared" si="0"/>
        <v>8.8046090955039205</v>
      </c>
      <c r="BC15" s="355">
        <f t="shared" si="0"/>
        <v>8.8046090955039205</v>
      </c>
      <c r="BD15" s="355">
        <f t="shared" si="0"/>
        <v>8.8046090955039205</v>
      </c>
      <c r="BE15" s="355">
        <f t="shared" si="0"/>
        <v>8.8046090955039205</v>
      </c>
      <c r="BF15" s="355">
        <f t="shared" si="0"/>
        <v>8.8046090955039205</v>
      </c>
      <c r="BG15" s="355">
        <f t="shared" si="0"/>
        <v>8.8046090955039205</v>
      </c>
      <c r="BH15" s="355">
        <f>SUM((AQ15:AU15),(BA15:BG15))</f>
        <v>104.58226366852745</v>
      </c>
      <c r="BI15" s="527">
        <f>AN15-BH15</f>
        <v>935.82773633147258</v>
      </c>
      <c r="BJ15" s="525">
        <f>$AZ15</f>
        <v>8.8046090955039205</v>
      </c>
      <c r="BK15" s="525">
        <f>$AZ15</f>
        <v>8.8046090955039205</v>
      </c>
      <c r="BL15" s="525">
        <f>$AZ15</f>
        <v>8.8046090955039205</v>
      </c>
      <c r="BM15" s="525">
        <f>$AZ15</f>
        <v>8.8046090955039205</v>
      </c>
      <c r="BN15" s="525">
        <f>$AZ15</f>
        <v>8.8046090955039205</v>
      </c>
      <c r="BO15" s="525">
        <f>SUM(BJ15:BN15)</f>
        <v>44.023045477519602</v>
      </c>
      <c r="BP15" s="525">
        <f>BI15-BO15</f>
        <v>891.80469085395293</v>
      </c>
      <c r="BQ15" s="358">
        <v>10</v>
      </c>
      <c r="BR15" s="461">
        <v>0.1</v>
      </c>
      <c r="BS15" s="462">
        <v>43281</v>
      </c>
      <c r="BT15" s="463">
        <v>120</v>
      </c>
      <c r="BU15" s="464">
        <f>CG15/BT15</f>
        <v>8.7416666666666671</v>
      </c>
      <c r="BV15" s="465">
        <f>BU15*BW15</f>
        <v>270.99166666666667</v>
      </c>
      <c r="BW15" s="463">
        <f>(YEAR(BS15)-YEAR(CF15))*12+MONTH(BS15)-MONTH(CF15)</f>
        <v>31</v>
      </c>
      <c r="BX15" s="465">
        <f>BY15*BU15/100</f>
        <v>7.7800833333333337</v>
      </c>
      <c r="BY15" s="463">
        <f>BT15-BW15</f>
        <v>89</v>
      </c>
      <c r="BZ15" s="465">
        <f>SUM(BU15*BW15-100)</f>
        <v>170.99166666666667</v>
      </c>
      <c r="CA15" s="463">
        <f>BT15-BW15</f>
        <v>89</v>
      </c>
      <c r="CB15" s="465">
        <f>CC15*BU15</f>
        <v>0</v>
      </c>
      <c r="CC15" s="463">
        <f>BY15-CA15</f>
        <v>0</v>
      </c>
      <c r="CD15" s="462">
        <f>DATE(YEAR(CF15),MONTH(CF15)+BT15,DAY(CF15))</f>
        <v>45987</v>
      </c>
      <c r="CE15" s="463">
        <v>291</v>
      </c>
      <c r="CF15" s="462">
        <v>42334</v>
      </c>
      <c r="CG15" s="466">
        <v>1049</v>
      </c>
      <c r="CH15" s="968">
        <v>891.80469085395293</v>
      </c>
      <c r="CI15" s="969">
        <v>126.408</v>
      </c>
      <c r="CJ15" s="969">
        <v>118.051</v>
      </c>
      <c r="CK15" s="969">
        <f>CI15/CJ15</f>
        <v>1.0707914375990037</v>
      </c>
      <c r="CL15" s="968">
        <f>CH15/CA15</f>
        <v>10.020277425325315</v>
      </c>
      <c r="CM15" s="968">
        <f>CL15*CK15</f>
        <v>10.729627269404938</v>
      </c>
      <c r="CN15" s="968">
        <v>9.4548200690795969</v>
      </c>
      <c r="CO15" s="968">
        <v>9.4548200690795969</v>
      </c>
      <c r="CP15" s="968">
        <v>9.4548200690795969</v>
      </c>
      <c r="CQ15" s="968">
        <v>9.4548200690795969</v>
      </c>
      <c r="CR15" s="968">
        <v>9.4548200690795969</v>
      </c>
      <c r="CS15" s="968">
        <v>9.4548200690795969</v>
      </c>
      <c r="CT15" s="968">
        <v>9.4548200690795969</v>
      </c>
      <c r="CU15" s="968">
        <f>SUM(CN15:CT15)</f>
        <v>66.183740483557173</v>
      </c>
      <c r="CV15" s="970">
        <f>CH15-CU15</f>
        <v>825.6209503703958</v>
      </c>
      <c r="CW15" s="968">
        <v>9.4548200690795969</v>
      </c>
      <c r="CX15" s="968">
        <v>9.4548200690795969</v>
      </c>
      <c r="CY15" s="968">
        <v>9.4548200690795969</v>
      </c>
      <c r="CZ15" s="968">
        <v>9.4548200690795969</v>
      </c>
      <c r="DA15" s="968">
        <v>9.4548200690795969</v>
      </c>
      <c r="DB15" s="505">
        <f>SUM(CW15:DA15)</f>
        <v>47.274100345397983</v>
      </c>
      <c r="DC15" s="679">
        <f>CV15-DB15</f>
        <v>778.34685002499782</v>
      </c>
      <c r="DD15" s="956">
        <v>132.28200000000001</v>
      </c>
      <c r="DE15" s="957">
        <v>118.051</v>
      </c>
      <c r="DF15" s="957">
        <f>DD15/DE15</f>
        <v>1.1205495929725289</v>
      </c>
      <c r="DG15" s="511">
        <f>DC15/AY15</f>
        <v>89.038724502382962</v>
      </c>
      <c r="DH15" s="511">
        <f>DG15*DF15</f>
        <v>99.772306499938367</v>
      </c>
      <c r="DI15" s="511">
        <v>99.77</v>
      </c>
      <c r="DJ15" s="511">
        <v>99.77</v>
      </c>
      <c r="DK15" s="511">
        <v>99.77</v>
      </c>
      <c r="DL15" s="511">
        <v>99.77</v>
      </c>
      <c r="DM15" s="511">
        <v>99.77</v>
      </c>
      <c r="DN15" s="511">
        <v>99.77</v>
      </c>
      <c r="DO15" s="511">
        <v>99.77</v>
      </c>
      <c r="DP15" s="511">
        <v>78.959999999999994</v>
      </c>
      <c r="DQ15" s="511">
        <v>0</v>
      </c>
      <c r="DR15" s="511">
        <v>0</v>
      </c>
      <c r="DS15" s="511">
        <v>0</v>
      </c>
      <c r="DT15" s="511">
        <v>0</v>
      </c>
      <c r="DU15" s="511">
        <v>0</v>
      </c>
      <c r="DV15" s="511">
        <v>0</v>
      </c>
      <c r="DW15" s="511">
        <v>0</v>
      </c>
      <c r="DX15" s="511">
        <v>0</v>
      </c>
      <c r="DY15" s="511">
        <v>0</v>
      </c>
      <c r="DZ15" s="511">
        <v>0</v>
      </c>
      <c r="EA15" s="511">
        <f t="shared" ref="EA15:EA18" si="1">SUM(DI15:DZ15)</f>
        <v>777.35</v>
      </c>
      <c r="EB15" s="960">
        <f>DC15-EA15</f>
        <v>0.99685002499779785</v>
      </c>
    </row>
    <row r="16" spans="1:132" s="16" customFormat="1" ht="15.75" x14ac:dyDescent="0.25">
      <c r="A16" s="120" t="s">
        <v>383</v>
      </c>
      <c r="B16" s="176"/>
      <c r="C16" s="177"/>
      <c r="D16" s="358"/>
      <c r="E16" s="461"/>
      <c r="F16" s="462"/>
      <c r="G16" s="463"/>
      <c r="H16" s="464"/>
      <c r="I16" s="465"/>
      <c r="J16" s="463"/>
      <c r="K16" s="465"/>
      <c r="L16" s="463"/>
      <c r="M16" s="465"/>
      <c r="N16" s="463"/>
      <c r="O16" s="465"/>
      <c r="P16" s="463"/>
      <c r="Q16" s="463"/>
      <c r="R16" s="463">
        <v>0</v>
      </c>
      <c r="S16" s="462"/>
      <c r="T16" s="466"/>
      <c r="U16" s="359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4"/>
      <c r="AL16" s="354"/>
      <c r="AM16" s="354"/>
      <c r="AN16" s="354"/>
      <c r="AO16" s="355"/>
      <c r="AP16" s="355"/>
      <c r="AQ16" s="355"/>
      <c r="AR16" s="355"/>
      <c r="AS16" s="355"/>
      <c r="AT16" s="355"/>
      <c r="AU16" s="355"/>
      <c r="AV16" s="356"/>
      <c r="AW16" s="356"/>
      <c r="AX16" s="356"/>
      <c r="AY16" s="355"/>
      <c r="AZ16" s="355"/>
      <c r="BA16" s="355"/>
      <c r="BB16" s="355"/>
      <c r="BC16" s="355"/>
      <c r="BD16" s="355"/>
      <c r="BE16" s="355"/>
      <c r="BF16" s="355"/>
      <c r="BG16" s="355"/>
      <c r="BH16" s="355"/>
      <c r="BI16" s="527"/>
      <c r="BJ16" s="525"/>
      <c r="BK16" s="525"/>
      <c r="BL16" s="525"/>
      <c r="BM16" s="525"/>
      <c r="BN16" s="525"/>
      <c r="BO16" s="525"/>
      <c r="BP16" s="525"/>
      <c r="BQ16" s="358"/>
      <c r="BR16" s="461"/>
      <c r="BS16" s="462"/>
      <c r="BT16" s="463"/>
      <c r="BU16" s="464"/>
      <c r="BV16" s="465"/>
      <c r="BW16" s="463"/>
      <c r="BX16" s="465"/>
      <c r="BY16" s="463"/>
      <c r="BZ16" s="465"/>
      <c r="CA16" s="463"/>
      <c r="CB16" s="465"/>
      <c r="CC16" s="463"/>
      <c r="CD16" s="463"/>
      <c r="CE16" s="463"/>
      <c r="CF16" s="462"/>
      <c r="CG16" s="466"/>
      <c r="CH16" s="968"/>
      <c r="CI16" s="969"/>
      <c r="CJ16" s="969"/>
      <c r="CK16" s="969"/>
      <c r="CL16" s="968"/>
      <c r="CM16" s="968"/>
      <c r="CN16" s="968"/>
      <c r="CO16" s="968"/>
      <c r="CP16" s="968"/>
      <c r="CQ16" s="968"/>
      <c r="CR16" s="968"/>
      <c r="CS16" s="968"/>
      <c r="CT16" s="968"/>
      <c r="CU16" s="968"/>
      <c r="CV16" s="970"/>
      <c r="CW16" s="968"/>
      <c r="CX16" s="968"/>
      <c r="CY16" s="968"/>
      <c r="CZ16" s="968"/>
      <c r="DA16" s="968"/>
      <c r="DB16" s="505"/>
      <c r="DC16" s="681"/>
      <c r="DD16" s="511"/>
      <c r="DE16" s="957"/>
      <c r="DF16" s="957"/>
      <c r="DG16" s="511"/>
      <c r="DH16" s="511"/>
      <c r="DI16" s="511"/>
      <c r="DJ16" s="511"/>
      <c r="DK16" s="511"/>
      <c r="DL16" s="511"/>
      <c r="DM16" s="511"/>
      <c r="DN16" s="511"/>
      <c r="DO16" s="511"/>
      <c r="DP16" s="511"/>
      <c r="DQ16" s="511"/>
      <c r="DR16" s="511"/>
      <c r="DS16" s="511"/>
      <c r="DT16" s="511"/>
      <c r="DU16" s="511"/>
      <c r="DV16" s="511"/>
      <c r="DW16" s="511"/>
      <c r="DX16" s="511"/>
      <c r="DY16" s="511"/>
      <c r="DZ16" s="511"/>
      <c r="EA16" s="511">
        <f t="shared" si="1"/>
        <v>0</v>
      </c>
      <c r="EB16" s="1029"/>
    </row>
    <row r="17" spans="1:132" ht="15.75" x14ac:dyDescent="0.25">
      <c r="A17" s="176" t="s">
        <v>990</v>
      </c>
      <c r="B17" s="176" t="s">
        <v>991</v>
      </c>
      <c r="C17" s="177" t="s">
        <v>705</v>
      </c>
      <c r="D17" s="358">
        <v>10</v>
      </c>
      <c r="E17" s="461">
        <v>0.1</v>
      </c>
      <c r="F17" s="462">
        <v>42513</v>
      </c>
      <c r="G17" s="463">
        <v>120</v>
      </c>
      <c r="H17" s="464">
        <f>100/G17</f>
        <v>0.83333333333333337</v>
      </c>
      <c r="I17" s="465">
        <f>H17*J17</f>
        <v>0</v>
      </c>
      <c r="J17" s="463">
        <v>0</v>
      </c>
      <c r="K17" s="465">
        <f>L17*H17</f>
        <v>100</v>
      </c>
      <c r="L17" s="463">
        <f>G17-J17</f>
        <v>120</v>
      </c>
      <c r="M17" s="465">
        <f>N17*H17</f>
        <v>0</v>
      </c>
      <c r="N17" s="463">
        <v>0</v>
      </c>
      <c r="O17" s="465">
        <f>P17*H17</f>
        <v>100</v>
      </c>
      <c r="P17" s="463">
        <f>L17-N17</f>
        <v>120</v>
      </c>
      <c r="Q17" s="463">
        <v>0</v>
      </c>
      <c r="R17" s="463">
        <v>31446983</v>
      </c>
      <c r="S17" s="462">
        <v>42513</v>
      </c>
      <c r="T17" s="466">
        <v>1449</v>
      </c>
      <c r="U17" s="359">
        <v>0</v>
      </c>
      <c r="V17" s="355">
        <v>0</v>
      </c>
      <c r="W17" s="355">
        <v>0</v>
      </c>
      <c r="X17" s="355">
        <v>0</v>
      </c>
      <c r="Y17" s="355">
        <f>U17</f>
        <v>0</v>
      </c>
      <c r="Z17" s="355">
        <f>Y17*X17</f>
        <v>0</v>
      </c>
      <c r="AA17" s="355"/>
      <c r="AB17" s="355"/>
      <c r="AC17" s="355"/>
      <c r="AD17" s="355"/>
      <c r="AE17" s="355"/>
      <c r="AF17" s="355"/>
      <c r="AG17" s="355"/>
      <c r="AH17" s="355"/>
      <c r="AI17" s="355"/>
      <c r="AJ17" s="355"/>
      <c r="AK17" s="354"/>
      <c r="AL17" s="354">
        <v>0</v>
      </c>
      <c r="AM17" s="354">
        <v>0</v>
      </c>
      <c r="AN17" s="354">
        <f>T17-AM17</f>
        <v>1449</v>
      </c>
      <c r="AO17" s="355"/>
      <c r="AP17" s="355"/>
      <c r="AQ17" s="355">
        <v>0</v>
      </c>
      <c r="AR17" s="355">
        <v>0</v>
      </c>
      <c r="AS17" s="355">
        <v>0</v>
      </c>
      <c r="AT17" s="355"/>
      <c r="AU17" s="355"/>
      <c r="AV17" s="356">
        <v>118.901</v>
      </c>
      <c r="AW17" s="356">
        <v>118.77</v>
      </c>
      <c r="AX17" s="356">
        <f>AV17/AW17</f>
        <v>1.0011029721310094</v>
      </c>
      <c r="AY17" s="355">
        <f>T17/(D17*12)</f>
        <v>12.074999999999999</v>
      </c>
      <c r="AZ17" s="355">
        <f>AY17*AX17</f>
        <v>12.088318388481937</v>
      </c>
      <c r="BA17" s="355">
        <f t="shared" ref="BA17:BG17" si="2">$AZ17</f>
        <v>12.088318388481937</v>
      </c>
      <c r="BB17" s="355">
        <f t="shared" si="2"/>
        <v>12.088318388481937</v>
      </c>
      <c r="BC17" s="355">
        <f t="shared" si="2"/>
        <v>12.088318388481937</v>
      </c>
      <c r="BD17" s="355">
        <f t="shared" si="2"/>
        <v>12.088318388481937</v>
      </c>
      <c r="BE17" s="355">
        <f t="shared" si="2"/>
        <v>12.088318388481937</v>
      </c>
      <c r="BF17" s="355">
        <f t="shared" si="2"/>
        <v>12.088318388481937</v>
      </c>
      <c r="BG17" s="355">
        <f t="shared" si="2"/>
        <v>12.088318388481937</v>
      </c>
      <c r="BH17" s="355">
        <f>SUM((AQ17:AU17),(BA17:BG17))</f>
        <v>84.618228719373562</v>
      </c>
      <c r="BI17" s="527">
        <f>AN17-BH17</f>
        <v>1364.3817712806265</v>
      </c>
      <c r="BJ17" s="525">
        <f>$AZ17</f>
        <v>12.088318388481937</v>
      </c>
      <c r="BK17" s="525">
        <f>$AZ17</f>
        <v>12.088318388481937</v>
      </c>
      <c r="BL17" s="525">
        <f>$AZ17</f>
        <v>12.088318388481937</v>
      </c>
      <c r="BM17" s="525">
        <f>$AZ17</f>
        <v>12.088318388481937</v>
      </c>
      <c r="BN17" s="525">
        <f>$AZ17</f>
        <v>12.088318388481937</v>
      </c>
      <c r="BO17" s="525">
        <f>SUM(BJ17:BN17)</f>
        <v>60.441591942409687</v>
      </c>
      <c r="BP17" s="525">
        <f>BI17-BO17</f>
        <v>1303.9401793382167</v>
      </c>
      <c r="BQ17" s="358">
        <v>10</v>
      </c>
      <c r="BR17" s="461">
        <v>0.1</v>
      </c>
      <c r="BS17" s="462">
        <v>42916</v>
      </c>
      <c r="BT17" s="463">
        <v>120</v>
      </c>
      <c r="BU17" s="464">
        <f>CG17/BT17</f>
        <v>12.074999999999999</v>
      </c>
      <c r="BV17" s="465">
        <f>BU17*BW17</f>
        <v>156.97499999999999</v>
      </c>
      <c r="BW17" s="463">
        <f>(YEAR(BS17)-YEAR(CF17))*12+MONTH(BS17)-MONTH(CF17)</f>
        <v>13</v>
      </c>
      <c r="BX17" s="465">
        <f>BY17*BU17</f>
        <v>1292.0249999999999</v>
      </c>
      <c r="BY17" s="463">
        <f>BT17-BW17</f>
        <v>107</v>
      </c>
      <c r="BZ17" s="465">
        <f>SUM(BU17*BW17-100)</f>
        <v>56.974999999999994</v>
      </c>
      <c r="CA17" s="463">
        <f>BT17-BW17</f>
        <v>107</v>
      </c>
      <c r="CB17" s="465">
        <f>CC17*BU17</f>
        <v>0</v>
      </c>
      <c r="CC17" s="463">
        <f>BY17-CA17</f>
        <v>0</v>
      </c>
      <c r="CD17" s="462">
        <f>DATE(YEAR(CF17),MONTH(CF17)+BT17,DAY(CF17))</f>
        <v>46165</v>
      </c>
      <c r="CE17" s="463">
        <v>31446983</v>
      </c>
      <c r="CF17" s="462">
        <v>42513</v>
      </c>
      <c r="CG17" s="466">
        <v>1449</v>
      </c>
      <c r="CH17" s="968">
        <v>1303.9401793382201</v>
      </c>
      <c r="CI17" s="969">
        <v>126.408</v>
      </c>
      <c r="CJ17" s="969">
        <v>118.77</v>
      </c>
      <c r="CK17" s="969">
        <f>CI17/CJ17</f>
        <v>1.0643091689820663</v>
      </c>
      <c r="CL17" s="968">
        <f>CH17/CA17</f>
        <v>12.186356816245048</v>
      </c>
      <c r="CM17" s="968">
        <f>CL17*CK17</f>
        <v>12.970051296016706</v>
      </c>
      <c r="CN17" s="968">
        <v>12.970051296016706</v>
      </c>
      <c r="CO17" s="968">
        <v>12.970051296016706</v>
      </c>
      <c r="CP17" s="968">
        <v>12.970051296016706</v>
      </c>
      <c r="CQ17" s="968">
        <v>12.970051296016706</v>
      </c>
      <c r="CR17" s="968">
        <v>12.970051296016706</v>
      </c>
      <c r="CS17" s="968">
        <v>12.970051296016706</v>
      </c>
      <c r="CT17" s="968">
        <v>12.970051296016706</v>
      </c>
      <c r="CU17" s="968">
        <f>SUM(CN17:CT17)</f>
        <v>90.790359072116942</v>
      </c>
      <c r="CV17" s="970">
        <f>CH17-CU17</f>
        <v>1213.1498202661032</v>
      </c>
      <c r="CW17" s="968">
        <v>12.970051296016706</v>
      </c>
      <c r="CX17" s="968">
        <v>12.970051296016706</v>
      </c>
      <c r="CY17" s="968">
        <v>12.970051296016706</v>
      </c>
      <c r="CZ17" s="968">
        <v>12.970051296016706</v>
      </c>
      <c r="DA17" s="968">
        <v>12.970051296016706</v>
      </c>
      <c r="DB17" s="505">
        <f>SUM(CW17:DA17)</f>
        <v>64.85025648008353</v>
      </c>
      <c r="DC17" s="679">
        <f>CV17-DB17</f>
        <v>1148.2995637860197</v>
      </c>
      <c r="DD17" s="956">
        <v>132.28200000000001</v>
      </c>
      <c r="DE17" s="957">
        <v>118.77</v>
      </c>
      <c r="DF17" s="957">
        <f>DD17/DE17</f>
        <v>1.1137661025511494</v>
      </c>
      <c r="DG17" s="511">
        <f>DC17/AY17</f>
        <v>95.097272363231454</v>
      </c>
      <c r="DH17" s="511">
        <f>DG17*DF17</f>
        <v>105.91611840324143</v>
      </c>
      <c r="DI17" s="511">
        <v>105.92</v>
      </c>
      <c r="DJ17" s="511">
        <v>105.92</v>
      </c>
      <c r="DK17" s="511">
        <v>105.92</v>
      </c>
      <c r="DL17" s="511">
        <v>105.92</v>
      </c>
      <c r="DM17" s="511">
        <v>105.92</v>
      </c>
      <c r="DN17" s="511">
        <v>105.92</v>
      </c>
      <c r="DO17" s="511">
        <v>105.92</v>
      </c>
      <c r="DP17" s="511">
        <v>105.92</v>
      </c>
      <c r="DQ17" s="511">
        <v>105.92</v>
      </c>
      <c r="DR17" s="511">
        <v>105.92</v>
      </c>
      <c r="DS17" s="511">
        <v>88.1</v>
      </c>
      <c r="DT17" s="511">
        <v>0</v>
      </c>
      <c r="DU17" s="511">
        <v>0</v>
      </c>
      <c r="DV17" s="511">
        <v>0</v>
      </c>
      <c r="DW17" s="511">
        <v>0</v>
      </c>
      <c r="DX17" s="511">
        <v>0</v>
      </c>
      <c r="DY17" s="511">
        <v>0</v>
      </c>
      <c r="DZ17" s="511">
        <v>0</v>
      </c>
      <c r="EA17" s="511">
        <f t="shared" si="1"/>
        <v>1147.2999999999997</v>
      </c>
      <c r="EB17" s="960">
        <f>DC17-EA17</f>
        <v>0.99956378601996221</v>
      </c>
    </row>
    <row r="18" spans="1:132" s="16" customFormat="1" ht="15.75" x14ac:dyDescent="0.25">
      <c r="A18" s="120" t="s">
        <v>1008</v>
      </c>
      <c r="B18" s="176"/>
      <c r="C18" s="177"/>
      <c r="D18" s="358"/>
      <c r="E18" s="461"/>
      <c r="F18" s="462"/>
      <c r="G18" s="463"/>
      <c r="H18" s="464"/>
      <c r="I18" s="465"/>
      <c r="J18" s="463"/>
      <c r="K18" s="465"/>
      <c r="L18" s="463"/>
      <c r="M18" s="465"/>
      <c r="N18" s="463"/>
      <c r="O18" s="465"/>
      <c r="P18" s="463"/>
      <c r="Q18" s="463"/>
      <c r="R18" s="463"/>
      <c r="S18" s="462"/>
      <c r="T18" s="466"/>
      <c r="U18" s="359"/>
      <c r="V18" s="355"/>
      <c r="W18" s="355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4"/>
      <c r="AL18" s="354"/>
      <c r="AM18" s="354"/>
      <c r="AN18" s="354"/>
      <c r="AO18" s="355"/>
      <c r="AP18" s="355"/>
      <c r="AQ18" s="355"/>
      <c r="AR18" s="355"/>
      <c r="AS18" s="355"/>
      <c r="AT18" s="355"/>
      <c r="AU18" s="355"/>
      <c r="AV18" s="356"/>
      <c r="AW18" s="356"/>
      <c r="AX18" s="356"/>
      <c r="AY18" s="355"/>
      <c r="AZ18" s="355"/>
      <c r="BA18" s="355"/>
      <c r="BB18" s="355"/>
      <c r="BC18" s="355"/>
      <c r="BD18" s="355"/>
      <c r="BE18" s="355"/>
      <c r="BF18" s="355"/>
      <c r="BG18" s="355"/>
      <c r="BH18" s="355"/>
      <c r="BI18" s="527"/>
      <c r="BJ18" s="525"/>
      <c r="BK18" s="525"/>
      <c r="BL18" s="525"/>
      <c r="BM18" s="525"/>
      <c r="BN18" s="525"/>
      <c r="BO18" s="525"/>
      <c r="BP18" s="525"/>
      <c r="BQ18" s="358"/>
      <c r="BR18" s="461"/>
      <c r="BS18" s="462"/>
      <c r="BT18" s="463"/>
      <c r="BU18" s="464"/>
      <c r="BV18" s="465"/>
      <c r="BW18" s="463"/>
      <c r="BX18" s="465"/>
      <c r="BY18" s="463"/>
      <c r="BZ18" s="465"/>
      <c r="CA18" s="463"/>
      <c r="CB18" s="465"/>
      <c r="CC18" s="463"/>
      <c r="CD18" s="463"/>
      <c r="CE18" s="463"/>
      <c r="CF18" s="462"/>
      <c r="CG18" s="466"/>
      <c r="CH18" s="968"/>
      <c r="CI18" s="969"/>
      <c r="CJ18" s="969"/>
      <c r="CK18" s="969"/>
      <c r="CL18" s="968"/>
      <c r="CM18" s="968"/>
      <c r="CN18" s="968"/>
      <c r="CO18" s="968"/>
      <c r="CP18" s="968"/>
      <c r="CQ18" s="968"/>
      <c r="CR18" s="968"/>
      <c r="CS18" s="968"/>
      <c r="CT18" s="968"/>
      <c r="CU18" s="968"/>
      <c r="CV18" s="970"/>
      <c r="CW18" s="968"/>
      <c r="CX18" s="968"/>
      <c r="CY18" s="968"/>
      <c r="CZ18" s="968"/>
      <c r="DA18" s="968"/>
      <c r="DB18" s="505"/>
      <c r="DC18" s="681"/>
      <c r="DD18" s="656"/>
      <c r="DE18" s="957"/>
      <c r="DF18" s="957"/>
      <c r="DG18" s="511"/>
      <c r="DH18" s="511"/>
      <c r="DI18" s="511"/>
      <c r="DJ18" s="511"/>
      <c r="DK18" s="511"/>
      <c r="DL18" s="511"/>
      <c r="DM18" s="511"/>
      <c r="DN18" s="511"/>
      <c r="DO18" s="511"/>
      <c r="DP18" s="511"/>
      <c r="DQ18" s="511"/>
      <c r="DR18" s="511"/>
      <c r="DS18" s="511"/>
      <c r="DT18" s="511"/>
      <c r="DU18" s="511"/>
      <c r="DV18" s="511"/>
      <c r="DW18" s="511"/>
      <c r="DX18" s="511"/>
      <c r="DY18" s="511"/>
      <c r="DZ18" s="511"/>
      <c r="EA18" s="511">
        <f t="shared" si="1"/>
        <v>0</v>
      </c>
      <c r="EB18" s="1029"/>
    </row>
    <row r="19" spans="1:132" ht="15.75" x14ac:dyDescent="0.25">
      <c r="A19" s="176" t="s">
        <v>1009</v>
      </c>
      <c r="B19" s="176" t="s">
        <v>1010</v>
      </c>
      <c r="C19" s="177" t="s">
        <v>705</v>
      </c>
      <c r="D19" s="358">
        <v>10</v>
      </c>
      <c r="E19" s="461">
        <v>0.1</v>
      </c>
      <c r="F19" s="462"/>
      <c r="G19" s="463">
        <v>120</v>
      </c>
      <c r="H19" s="464"/>
      <c r="I19" s="465">
        <f>H19*J19</f>
        <v>0</v>
      </c>
      <c r="J19" s="463">
        <v>0</v>
      </c>
      <c r="K19" s="465">
        <f>L19*H19</f>
        <v>0</v>
      </c>
      <c r="L19" s="463">
        <f>G19-J19</f>
        <v>120</v>
      </c>
      <c r="M19" s="465">
        <f>N19*H19</f>
        <v>0</v>
      </c>
      <c r="N19" s="463">
        <v>0</v>
      </c>
      <c r="O19" s="465">
        <f>P19*H19</f>
        <v>0</v>
      </c>
      <c r="P19" s="463">
        <f>L19-N19</f>
        <v>120</v>
      </c>
      <c r="Q19" s="463">
        <v>0</v>
      </c>
      <c r="R19" s="463" t="s">
        <v>1011</v>
      </c>
      <c r="S19" s="462">
        <v>42543</v>
      </c>
      <c r="T19" s="466">
        <v>10143</v>
      </c>
      <c r="U19" s="359">
        <v>0</v>
      </c>
      <c r="V19" s="355">
        <v>0</v>
      </c>
      <c r="W19" s="355">
        <v>0</v>
      </c>
      <c r="X19" s="355">
        <v>0</v>
      </c>
      <c r="Y19" s="355">
        <f>U19</f>
        <v>0</v>
      </c>
      <c r="Z19" s="355">
        <f>Y19*X19</f>
        <v>0</v>
      </c>
      <c r="AA19" s="355"/>
      <c r="AB19" s="355"/>
      <c r="AC19" s="355"/>
      <c r="AD19" s="355"/>
      <c r="AE19" s="355"/>
      <c r="AF19" s="355"/>
      <c r="AG19" s="355"/>
      <c r="AH19" s="355"/>
      <c r="AI19" s="355"/>
      <c r="AJ19" s="355"/>
      <c r="AK19" s="354"/>
      <c r="AL19" s="354">
        <v>0</v>
      </c>
      <c r="AM19" s="354">
        <v>0</v>
      </c>
      <c r="AN19" s="354">
        <f>T19-AM19</f>
        <v>10143</v>
      </c>
      <c r="AO19" s="355"/>
      <c r="AP19" s="355"/>
      <c r="AQ19" s="355">
        <v>0</v>
      </c>
      <c r="AR19" s="355">
        <v>0</v>
      </c>
      <c r="AS19" s="355">
        <v>0</v>
      </c>
      <c r="AT19" s="355"/>
      <c r="AU19" s="355"/>
      <c r="AV19" s="356">
        <v>118.901</v>
      </c>
      <c r="AW19" s="356">
        <v>118.901</v>
      </c>
      <c r="AX19" s="356">
        <f>AV19/AW19</f>
        <v>1</v>
      </c>
      <c r="AY19" s="355">
        <f>T19/(D19*12)</f>
        <v>84.525000000000006</v>
      </c>
      <c r="AZ19" s="355">
        <f>AY19*AX19</f>
        <v>84.525000000000006</v>
      </c>
      <c r="BA19" s="355"/>
      <c r="BB19" s="355">
        <f t="shared" ref="BB19:BG19" si="3">$AZ19</f>
        <v>84.525000000000006</v>
      </c>
      <c r="BC19" s="355">
        <f t="shared" si="3"/>
        <v>84.525000000000006</v>
      </c>
      <c r="BD19" s="355">
        <f t="shared" si="3"/>
        <v>84.525000000000006</v>
      </c>
      <c r="BE19" s="355">
        <f t="shared" si="3"/>
        <v>84.525000000000006</v>
      </c>
      <c r="BF19" s="355">
        <f t="shared" si="3"/>
        <v>84.525000000000006</v>
      </c>
      <c r="BG19" s="355">
        <f t="shared" si="3"/>
        <v>84.525000000000006</v>
      </c>
      <c r="BH19" s="355">
        <f>SUM((AQ19:AU19),(BA19:BG19))</f>
        <v>507.15</v>
      </c>
      <c r="BI19" s="527">
        <f>AN19-BH19</f>
        <v>9635.85</v>
      </c>
      <c r="BJ19" s="525">
        <f>$AZ19</f>
        <v>84.525000000000006</v>
      </c>
      <c r="BK19" s="525">
        <f>$AZ19</f>
        <v>84.525000000000006</v>
      </c>
      <c r="BL19" s="525">
        <f>$AZ19</f>
        <v>84.525000000000006</v>
      </c>
      <c r="BM19" s="525">
        <f>$AZ19</f>
        <v>84.525000000000006</v>
      </c>
      <c r="BN19" s="525">
        <f>$AZ19</f>
        <v>84.525000000000006</v>
      </c>
      <c r="BO19" s="525">
        <f>SUM(BJ19:BN19)</f>
        <v>422.625</v>
      </c>
      <c r="BP19" s="525">
        <f>BI19-BO19</f>
        <v>9213.2250000000004</v>
      </c>
      <c r="BQ19" s="358">
        <v>10</v>
      </c>
      <c r="BR19" s="461">
        <v>0.1</v>
      </c>
      <c r="BS19" s="462">
        <v>42916</v>
      </c>
      <c r="BT19" s="463">
        <v>120</v>
      </c>
      <c r="BU19" s="464">
        <f>CG19/BT19</f>
        <v>84.525000000000006</v>
      </c>
      <c r="BV19" s="465">
        <f>BU19*BW19</f>
        <v>1014.3000000000001</v>
      </c>
      <c r="BW19" s="463">
        <f>(YEAR(BS19)-YEAR(CF19))*12+MONTH(BS19)-MONTH(CF19)</f>
        <v>12</v>
      </c>
      <c r="BX19" s="465">
        <f>BY19*BU19</f>
        <v>9128.7000000000007</v>
      </c>
      <c r="BY19" s="463">
        <f>BT19-BW19</f>
        <v>108</v>
      </c>
      <c r="BZ19" s="465">
        <f>SUM(BU19*BW19-100)</f>
        <v>914.30000000000007</v>
      </c>
      <c r="CA19" s="463">
        <f>BT19-BW19</f>
        <v>108</v>
      </c>
      <c r="CB19" s="465">
        <f>CC19*BU19</f>
        <v>0</v>
      </c>
      <c r="CC19" s="463">
        <f>BY19-CA19</f>
        <v>0</v>
      </c>
      <c r="CD19" s="462">
        <f>DATE(YEAR(CF19),MONTH(CF19)+BT19,DAY(CF19))</f>
        <v>46195</v>
      </c>
      <c r="CE19" s="463" t="s">
        <v>1011</v>
      </c>
      <c r="CF19" s="462">
        <v>42543</v>
      </c>
      <c r="CG19" s="466">
        <v>10143</v>
      </c>
      <c r="CH19" s="968">
        <v>9213.2250000000004</v>
      </c>
      <c r="CI19" s="969">
        <v>126.408</v>
      </c>
      <c r="CJ19" s="969">
        <v>118.901</v>
      </c>
      <c r="CK19" s="969">
        <f>CI19/CJ19</f>
        <v>1.0631365589860473</v>
      </c>
      <c r="CL19" s="968">
        <f>CH19/CA19</f>
        <v>85.307638888888889</v>
      </c>
      <c r="CM19" s="968">
        <f>CL19*CK19</f>
        <v>90.693669663557642</v>
      </c>
      <c r="CN19" s="968">
        <v>90.693669663557642</v>
      </c>
      <c r="CO19" s="968">
        <v>90.693669663557642</v>
      </c>
      <c r="CP19" s="968">
        <v>90.693669663557642</v>
      </c>
      <c r="CQ19" s="968">
        <v>90.693669663557642</v>
      </c>
      <c r="CR19" s="968">
        <v>90.693669663557642</v>
      </c>
      <c r="CS19" s="968">
        <v>90.693669663557642</v>
      </c>
      <c r="CT19" s="968">
        <v>90.693669663557642</v>
      </c>
      <c r="CU19" s="968">
        <f>SUM(CN19:CT19)</f>
        <v>634.85568764490358</v>
      </c>
      <c r="CV19" s="970">
        <f>CH19-CU19</f>
        <v>8578.3693123550966</v>
      </c>
      <c r="CW19" s="968">
        <v>90.693669663557642</v>
      </c>
      <c r="CX19" s="968">
        <v>90.693669663557642</v>
      </c>
      <c r="CY19" s="968">
        <v>90.693669663557642</v>
      </c>
      <c r="CZ19" s="968">
        <v>90.693669663557642</v>
      </c>
      <c r="DA19" s="968">
        <v>90.693669663557642</v>
      </c>
      <c r="DB19" s="505">
        <f>SUM(CW19:DA19)</f>
        <v>453.46834831778824</v>
      </c>
      <c r="DC19" s="679">
        <f>CV19-DB19</f>
        <v>8124.9009640373079</v>
      </c>
      <c r="DD19" s="956">
        <v>132.28200000000001</v>
      </c>
      <c r="DE19" s="957">
        <v>118.901</v>
      </c>
      <c r="DF19" s="957">
        <f>DD19/DE19</f>
        <v>1.1125390030361395</v>
      </c>
      <c r="DG19" s="511">
        <f>DC19/AY19</f>
        <v>96.124235007835637</v>
      </c>
      <c r="DH19" s="511">
        <f>DG19*DF19</f>
        <v>106.94196058322903</v>
      </c>
      <c r="DI19" s="511">
        <v>106.94</v>
      </c>
      <c r="DJ19" s="511">
        <v>106.94</v>
      </c>
      <c r="DK19" s="511">
        <v>106.94</v>
      </c>
      <c r="DL19" s="511">
        <v>106.94</v>
      </c>
      <c r="DM19" s="511">
        <v>106.94</v>
      </c>
      <c r="DN19" s="511">
        <v>106.94</v>
      </c>
      <c r="DO19" s="511">
        <v>106.94</v>
      </c>
      <c r="DP19" s="511">
        <v>106.94</v>
      </c>
      <c r="DQ19" s="511">
        <v>106.94</v>
      </c>
      <c r="DR19" s="511">
        <v>106.94</v>
      </c>
      <c r="DS19" s="511">
        <v>106.94</v>
      </c>
      <c r="DT19" s="511">
        <v>106.94</v>
      </c>
      <c r="DU19" s="511">
        <v>106.94</v>
      </c>
      <c r="DV19" s="511">
        <v>106.94</v>
      </c>
      <c r="DW19" s="511">
        <v>106.94</v>
      </c>
      <c r="DX19" s="511">
        <v>106.94</v>
      </c>
      <c r="DY19" s="511">
        <v>106.94</v>
      </c>
      <c r="DZ19" s="511">
        <v>106.94</v>
      </c>
      <c r="EA19" s="511">
        <f>SUM(DI19:DZ19)</f>
        <v>1924.9200000000008</v>
      </c>
      <c r="EB19" s="960">
        <f>DC19-EA19</f>
        <v>6199.9809640373069</v>
      </c>
    </row>
    <row r="20" spans="1:132" ht="15" x14ac:dyDescent="0.2">
      <c r="A20" s="110" t="s">
        <v>315</v>
      </c>
      <c r="B20" s="87"/>
      <c r="C20" s="87"/>
      <c r="D20" s="88"/>
      <c r="E20" s="88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9"/>
      <c r="S20" s="89"/>
      <c r="T20" s="90"/>
      <c r="U20" s="90"/>
      <c r="W20" s="77"/>
      <c r="AM20" s="16"/>
      <c r="AN20" s="536">
        <f>SUM(AN13:AN19)</f>
        <v>12632.41</v>
      </c>
      <c r="AW20" s="77"/>
      <c r="BA20" s="13">
        <f>SUM(BA14:BA19)</f>
        <v>20.892927483985858</v>
      </c>
      <c r="BB20" s="13">
        <f>SUM(BB14:BB19)</f>
        <v>105.41792748398586</v>
      </c>
      <c r="BC20" s="13">
        <f>SUM(BC14:BC19)</f>
        <v>105.41792748398586</v>
      </c>
      <c r="BD20" s="13">
        <f>SUM(BD13:BD19)</f>
        <v>105.41792748398586</v>
      </c>
      <c r="BE20" s="13">
        <f>SUM(BE13:BE19)</f>
        <v>105.41792748398586</v>
      </c>
      <c r="BF20" s="13">
        <f>SUM(BF13:BF19)</f>
        <v>105.41792748398586</v>
      </c>
      <c r="BG20" s="13">
        <f>SUM(BG13:BG19)</f>
        <v>105.41792748398586</v>
      </c>
      <c r="BH20" s="13">
        <f>SUM(BH13:BH19)</f>
        <v>696.350492387901</v>
      </c>
      <c r="BI20" s="524">
        <f>SUM(BI14:BI19)</f>
        <v>11936.059507612099</v>
      </c>
      <c r="BJ20" s="524">
        <f t="shared" ref="BJ20:BP20" si="4">SUM(BJ13:BJ19)</f>
        <v>105.41792748398586</v>
      </c>
      <c r="BK20" s="524">
        <f t="shared" si="4"/>
        <v>105.41792748398586</v>
      </c>
      <c r="BL20" s="524">
        <f t="shared" si="4"/>
        <v>105.41792748398586</v>
      </c>
      <c r="BM20" s="524">
        <f t="shared" si="4"/>
        <v>105.41792748398586</v>
      </c>
      <c r="BN20" s="524">
        <f t="shared" si="4"/>
        <v>105.41792748398586</v>
      </c>
      <c r="BO20" s="524">
        <f t="shared" si="4"/>
        <v>527.08963741992932</v>
      </c>
      <c r="BP20" s="524">
        <f t="shared" si="4"/>
        <v>11408.96987019217</v>
      </c>
      <c r="BQ20" s="88"/>
      <c r="BR20" s="88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9"/>
      <c r="CF20" s="89"/>
      <c r="CG20" s="90"/>
      <c r="CH20" s="290">
        <v>11408.96987019217</v>
      </c>
      <c r="CI20" s="685"/>
      <c r="CJ20" s="686"/>
      <c r="CK20" s="685"/>
      <c r="CL20" s="685"/>
      <c r="CM20" s="685"/>
      <c r="CN20" s="290">
        <f>SUM(CN14:CN19)</f>
        <v>113.11854102865394</v>
      </c>
      <c r="CO20" s="290">
        <f>SUM(CO14:CO19)</f>
        <v>113.11854102865394</v>
      </c>
      <c r="CP20" s="290">
        <f>SUM(CP14:CP19)</f>
        <v>113.11854102865394</v>
      </c>
      <c r="CQ20" s="290">
        <f>SUM(CQ14:CQ19)</f>
        <v>113.11854102865394</v>
      </c>
      <c r="CR20" s="290">
        <f t="shared" ref="CR20:CW20" si="5">SUM(CR13:CR19)</f>
        <v>113.11854102865394</v>
      </c>
      <c r="CS20" s="290">
        <f t="shared" si="5"/>
        <v>113.11854102865394</v>
      </c>
      <c r="CT20" s="290">
        <f t="shared" si="5"/>
        <v>113.11854102865394</v>
      </c>
      <c r="CU20" s="290">
        <f t="shared" si="5"/>
        <v>791.8297872005777</v>
      </c>
      <c r="CV20" s="290">
        <f t="shared" si="5"/>
        <v>10617.140082991595</v>
      </c>
      <c r="CW20" s="290">
        <f t="shared" si="5"/>
        <v>113.11854102865394</v>
      </c>
      <c r="CX20" s="290">
        <f>SUM(CX13:CX19)</f>
        <v>113.11854102865394</v>
      </c>
      <c r="CY20" s="524">
        <f>SUM(CY13:CY19)</f>
        <v>113.11854102865394</v>
      </c>
      <c r="CZ20" s="524">
        <f>SUM(CZ13:CZ19)</f>
        <v>113.11854102865394</v>
      </c>
      <c r="DA20" s="524">
        <f>SUM(DA13:DA19)</f>
        <v>113.11854102865394</v>
      </c>
      <c r="DB20" s="971">
        <f>SUM(DB14:DB19)</f>
        <v>565.59270514326977</v>
      </c>
      <c r="DC20" s="971">
        <f t="shared" ref="DC20:EB20" si="6">SUM(DC14:DC19)</f>
        <v>10051.547377848325</v>
      </c>
      <c r="DD20" s="958">
        <f t="shared" si="6"/>
        <v>396.846</v>
      </c>
      <c r="DE20" s="958">
        <f t="shared" si="6"/>
        <v>355.72199999999998</v>
      </c>
      <c r="DF20" s="958">
        <f t="shared" si="6"/>
        <v>3.3468546985598175</v>
      </c>
      <c r="DG20" s="958">
        <f t="shared" si="6"/>
        <v>280.26023187345004</v>
      </c>
      <c r="DH20" s="958">
        <f t="shared" si="6"/>
        <v>312.63038548640884</v>
      </c>
      <c r="DI20" s="958">
        <f t="shared" si="6"/>
        <v>312.63</v>
      </c>
      <c r="DJ20" s="958">
        <f t="shared" si="6"/>
        <v>312.63</v>
      </c>
      <c r="DK20" s="958">
        <f t="shared" si="6"/>
        <v>312.63</v>
      </c>
      <c r="DL20" s="958">
        <f t="shared" si="6"/>
        <v>312.63</v>
      </c>
      <c r="DM20" s="958">
        <f t="shared" si="6"/>
        <v>312.63</v>
      </c>
      <c r="DN20" s="958">
        <f t="shared" si="6"/>
        <v>312.63</v>
      </c>
      <c r="DO20" s="958">
        <f t="shared" si="6"/>
        <v>312.63</v>
      </c>
      <c r="DP20" s="958">
        <f t="shared" ref="DP20:DQ20" si="7">SUM(DP14:DP19)</f>
        <v>291.82</v>
      </c>
      <c r="DQ20" s="958">
        <f t="shared" si="7"/>
        <v>212.86</v>
      </c>
      <c r="DR20" s="958">
        <f t="shared" ref="DR20:DS20" si="8">SUM(DR14:DR19)</f>
        <v>212.86</v>
      </c>
      <c r="DS20" s="958">
        <f t="shared" si="8"/>
        <v>195.04</v>
      </c>
      <c r="DT20" s="958">
        <f t="shared" ref="DT20:DZ20" si="9">SUM(DT14:DT19)</f>
        <v>106.94</v>
      </c>
      <c r="DU20" s="958">
        <f t="shared" ref="DU20:DY20" si="10">SUM(DU14:DU19)</f>
        <v>106.94</v>
      </c>
      <c r="DV20" s="958">
        <f t="shared" si="10"/>
        <v>106.94</v>
      </c>
      <c r="DW20" s="958">
        <f t="shared" si="10"/>
        <v>106.94</v>
      </c>
      <c r="DX20" s="958">
        <f t="shared" si="10"/>
        <v>106.94</v>
      </c>
      <c r="DY20" s="958">
        <f t="shared" si="10"/>
        <v>106.94</v>
      </c>
      <c r="DZ20" s="958">
        <f t="shared" si="9"/>
        <v>106.94</v>
      </c>
      <c r="EA20" s="958">
        <f t="shared" si="6"/>
        <v>3849.5700000000006</v>
      </c>
      <c r="EB20" s="1030">
        <f t="shared" si="6"/>
        <v>6201.977377848325</v>
      </c>
    </row>
    <row r="21" spans="1:132" ht="15" x14ac:dyDescent="0.2">
      <c r="A21" s="349"/>
      <c r="B21" s="16"/>
      <c r="C21" s="16"/>
      <c r="D21" s="38"/>
      <c r="E21" s="38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37"/>
      <c r="S21" s="37"/>
      <c r="T21" s="35"/>
      <c r="U21" s="35"/>
      <c r="V21" s="16"/>
      <c r="W21" s="85"/>
      <c r="Z21" s="12"/>
      <c r="AM21" s="386"/>
      <c r="AN21" s="537">
        <f>AN20-BH20</f>
        <v>11936.059507612099</v>
      </c>
      <c r="AV21" s="16"/>
      <c r="AW21" s="85"/>
      <c r="AZ21" s="12"/>
      <c r="BI21" s="535">
        <f>BI20-BJ20-BK20</f>
        <v>11725.223652644127</v>
      </c>
      <c r="BJ21" s="521"/>
      <c r="BK21" s="521"/>
      <c r="BL21" s="521"/>
      <c r="BM21" s="521"/>
      <c r="BN21" s="521"/>
      <c r="BO21" s="521"/>
      <c r="BP21" s="521"/>
      <c r="BQ21" s="38"/>
      <c r="BR21" s="38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37"/>
      <c r="CF21" s="37"/>
      <c r="CG21" s="35"/>
      <c r="CH21" s="685"/>
      <c r="CI21" s="972"/>
      <c r="CJ21" s="686"/>
      <c r="CK21" s="685"/>
      <c r="CL21" s="685"/>
      <c r="CM21" s="685"/>
      <c r="CN21" s="685"/>
      <c r="CO21" s="685"/>
      <c r="CP21" s="685"/>
      <c r="CQ21" s="685"/>
      <c r="CR21" s="685"/>
      <c r="CS21" s="685"/>
      <c r="CT21" s="685"/>
      <c r="CU21" s="685"/>
      <c r="CV21" s="291">
        <f>CH20-CU20</f>
        <v>10617.140082991593</v>
      </c>
      <c r="CW21" s="971"/>
      <c r="CX21" s="971"/>
      <c r="CY21" s="971"/>
      <c r="CZ21" s="971"/>
      <c r="DA21" s="971"/>
      <c r="DB21" s="971"/>
      <c r="DC21" s="971">
        <f>CV20-DB20</f>
        <v>10051.547377848325</v>
      </c>
      <c r="DD21" s="477"/>
      <c r="DE21" s="479"/>
      <c r="DF21" s="951"/>
      <c r="DG21" s="479"/>
      <c r="DH21" s="479"/>
      <c r="DI21" s="479"/>
      <c r="DJ21" s="479"/>
      <c r="DK21" s="479"/>
      <c r="DL21" s="479"/>
      <c r="DM21" s="479"/>
      <c r="DN21" s="479"/>
      <c r="DO21" s="479"/>
      <c r="DP21" s="479"/>
      <c r="DQ21" s="479"/>
      <c r="DR21" s="479"/>
      <c r="DS21" s="479"/>
      <c r="DT21" s="479"/>
      <c r="DU21" s="479"/>
      <c r="DV21" s="479"/>
      <c r="DW21" s="479"/>
      <c r="DX21" s="479"/>
      <c r="DY21" s="479"/>
      <c r="DZ21" s="479"/>
      <c r="EA21" s="479"/>
      <c r="EB21" s="479">
        <f>DC21-EA20</f>
        <v>6201.9773778483241</v>
      </c>
    </row>
    <row r="22" spans="1:132" x14ac:dyDescent="0.2">
      <c r="A22" s="1249"/>
      <c r="B22" s="1249"/>
      <c r="C22" s="1249"/>
      <c r="D22" s="1249"/>
      <c r="E22" s="1249"/>
      <c r="F22" s="1249"/>
      <c r="G22" s="1249"/>
      <c r="H22" s="1249"/>
      <c r="I22" s="1249"/>
      <c r="J22" s="1249"/>
      <c r="K22" s="1249"/>
      <c r="L22" s="1249"/>
      <c r="M22" s="1249"/>
      <c r="N22" s="1249"/>
      <c r="O22" s="1249"/>
      <c r="P22" s="1249"/>
      <c r="Q22" s="1249"/>
      <c r="R22" s="1249"/>
      <c r="S22" s="1249"/>
      <c r="T22" s="1249"/>
      <c r="U22" s="1249"/>
      <c r="V22" s="1249"/>
      <c r="W22" s="171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W22" s="171"/>
      <c r="AX22" s="170"/>
      <c r="AY22" s="170"/>
      <c r="AZ22" s="170"/>
      <c r="CH22" s="685"/>
      <c r="CI22" s="685"/>
      <c r="CJ22" s="973"/>
      <c r="CK22" s="974"/>
      <c r="CL22" s="974"/>
      <c r="CM22" s="974"/>
      <c r="CN22" s="685"/>
      <c r="CO22" s="685"/>
      <c r="CP22" s="685"/>
      <c r="CQ22" s="685"/>
      <c r="CR22" s="685"/>
      <c r="CS22" s="685"/>
      <c r="CT22" s="685"/>
      <c r="CU22" s="685"/>
      <c r="CV22" s="685"/>
      <c r="CW22" s="971"/>
      <c r="CX22" s="971"/>
      <c r="CY22" s="971"/>
      <c r="CZ22" s="971"/>
      <c r="DA22" s="971"/>
      <c r="DB22" s="971"/>
      <c r="DC22" s="971"/>
      <c r="DD22" s="322"/>
      <c r="DE22" s="479"/>
      <c r="DF22" s="479"/>
      <c r="DG22" s="479"/>
      <c r="DH22" s="479"/>
      <c r="DI22" s="479"/>
      <c r="DJ22" s="479"/>
      <c r="DK22" s="479"/>
      <c r="DL22" s="479"/>
      <c r="DM22" s="479"/>
      <c r="DN22" s="479"/>
      <c r="DO22" s="479"/>
      <c r="DP22" s="479"/>
      <c r="DQ22" s="479"/>
      <c r="DR22" s="479"/>
      <c r="DS22" s="479"/>
      <c r="DT22" s="479"/>
      <c r="DU22" s="479"/>
      <c r="DV22" s="479"/>
      <c r="DW22" s="479"/>
      <c r="DX22" s="479"/>
      <c r="DY22" s="479"/>
      <c r="DZ22" s="479"/>
      <c r="EA22" s="479"/>
      <c r="EB22" s="479"/>
    </row>
    <row r="23" spans="1:132" x14ac:dyDescent="0.2">
      <c r="A23" s="1249"/>
      <c r="B23" s="1249"/>
      <c r="C23" s="1249"/>
      <c r="D23" s="1249"/>
      <c r="E23" s="1249"/>
      <c r="F23" s="1249"/>
      <c r="G23" s="1249"/>
      <c r="H23" s="1249"/>
      <c r="I23" s="1249"/>
      <c r="J23" s="1249"/>
      <c r="K23" s="1249"/>
      <c r="L23" s="1249"/>
      <c r="M23" s="1249"/>
      <c r="N23" s="1249"/>
      <c r="O23" s="1249"/>
      <c r="P23" s="1249"/>
      <c r="Q23" s="1249"/>
      <c r="R23" s="1249"/>
      <c r="S23" s="1249"/>
      <c r="T23" s="1249"/>
      <c r="U23" s="1249"/>
      <c r="V23" s="1249"/>
      <c r="W23" s="77"/>
      <c r="AN23" s="69"/>
      <c r="AW23" s="77"/>
      <c r="CH23" s="685"/>
      <c r="CI23" s="685"/>
      <c r="CJ23" s="686"/>
      <c r="CK23" s="685"/>
      <c r="CL23" s="685"/>
      <c r="CM23" s="685"/>
      <c r="CN23" s="685"/>
      <c r="CO23" s="685"/>
      <c r="CP23" s="685"/>
      <c r="CQ23" s="685"/>
      <c r="CR23" s="685"/>
      <c r="CS23" s="685"/>
      <c r="CT23" s="685"/>
      <c r="CU23" s="685"/>
      <c r="CW23" s="971"/>
      <c r="CX23" s="971"/>
      <c r="CY23" s="971"/>
      <c r="CZ23" s="971"/>
      <c r="DA23" s="971"/>
      <c r="DB23" s="971"/>
      <c r="DC23" s="971"/>
      <c r="DD23" s="477"/>
      <c r="DE23" s="479"/>
      <c r="DF23" s="951"/>
      <c r="DG23" s="479"/>
      <c r="DH23" s="479"/>
      <c r="DI23" s="479"/>
      <c r="DJ23" s="479"/>
      <c r="DK23" s="479"/>
      <c r="DL23" s="479"/>
      <c r="DM23" s="479"/>
      <c r="DN23" s="479"/>
      <c r="DO23" s="479"/>
      <c r="DP23" s="479"/>
      <c r="DQ23" s="479"/>
      <c r="DR23" s="479"/>
      <c r="DS23" s="479"/>
      <c r="DT23" s="479"/>
      <c r="DU23" s="479"/>
      <c r="DV23" s="479"/>
      <c r="DW23" s="479"/>
      <c r="DX23" s="479"/>
      <c r="DY23" s="479"/>
      <c r="DZ23" s="479"/>
      <c r="EA23" s="479"/>
      <c r="EB23" s="479"/>
    </row>
    <row r="24" spans="1:132" x14ac:dyDescent="0.2">
      <c r="D24" s="18"/>
      <c r="E24" s="18"/>
      <c r="R24" s="19"/>
      <c r="S24" s="19"/>
      <c r="T24" s="12"/>
      <c r="U24" s="12"/>
      <c r="W24" s="77"/>
      <c r="AN24" s="69"/>
      <c r="AW24" s="77"/>
      <c r="BQ24" s="18"/>
      <c r="BR24" s="18"/>
      <c r="CE24" s="19"/>
      <c r="CF24" s="19"/>
      <c r="CG24" s="12"/>
      <c r="CJ24" s="77"/>
      <c r="CW24" s="479"/>
      <c r="CX24" s="479"/>
      <c r="CY24" s="479"/>
      <c r="CZ24" s="479"/>
      <c r="DA24" s="479"/>
      <c r="DB24" s="479"/>
      <c r="DC24" s="479"/>
      <c r="DD24" s="477"/>
      <c r="DE24" s="479"/>
      <c r="DF24" s="951"/>
      <c r="DG24" s="479"/>
      <c r="DH24" s="479"/>
      <c r="DI24" s="479"/>
      <c r="DJ24" s="479"/>
      <c r="DK24" s="479"/>
      <c r="DL24" s="479"/>
      <c r="DM24" s="479"/>
      <c r="DN24" s="479"/>
      <c r="DO24" s="479"/>
      <c r="DP24" s="479"/>
      <c r="DQ24" s="479"/>
      <c r="DR24" s="479"/>
      <c r="DS24" s="479"/>
      <c r="DT24" s="479"/>
      <c r="DU24" s="479"/>
      <c r="DV24" s="479"/>
      <c r="DW24" s="479"/>
      <c r="DX24" s="479"/>
      <c r="DY24" s="479"/>
      <c r="DZ24" s="479"/>
      <c r="EA24" s="479"/>
      <c r="EB24" s="479"/>
    </row>
    <row r="25" spans="1:132" x14ac:dyDescent="0.2">
      <c r="CW25" s="479"/>
      <c r="CX25" s="479"/>
      <c r="CY25" s="479"/>
      <c r="CZ25" s="479"/>
      <c r="DA25" s="479"/>
      <c r="DB25" s="479"/>
      <c r="DC25" s="479"/>
      <c r="DD25" s="477"/>
      <c r="DE25" s="479"/>
      <c r="DF25" s="951"/>
      <c r="DG25" s="479"/>
      <c r="DH25" s="479"/>
      <c r="DI25" s="479"/>
      <c r="DJ25" s="479"/>
      <c r="DK25" s="479"/>
      <c r="DL25" s="479"/>
      <c r="DM25" s="479"/>
      <c r="DN25" s="479"/>
      <c r="DO25" s="479"/>
      <c r="DP25" s="479"/>
      <c r="DQ25" s="479"/>
      <c r="DR25" s="479"/>
      <c r="DS25" s="479"/>
      <c r="DT25" s="479"/>
      <c r="DU25" s="479"/>
      <c r="DV25" s="479"/>
      <c r="DW25" s="479"/>
      <c r="DX25" s="479"/>
      <c r="DY25" s="479"/>
      <c r="DZ25" s="479"/>
      <c r="EA25" s="479"/>
      <c r="EB25" s="479"/>
    </row>
    <row r="26" spans="1:132" x14ac:dyDescent="0.2">
      <c r="CW26" s="479"/>
      <c r="CX26" s="479"/>
      <c r="CY26" s="479"/>
      <c r="CZ26" s="479"/>
      <c r="DA26" s="479"/>
      <c r="DB26" s="479"/>
      <c r="DC26" s="479"/>
      <c r="DD26" s="477"/>
      <c r="DE26" s="479"/>
      <c r="DF26" s="951"/>
      <c r="DG26" s="479"/>
      <c r="DH26" s="479"/>
      <c r="DI26" s="479"/>
      <c r="DJ26" s="479"/>
      <c r="DK26" s="479"/>
      <c r="DL26" s="479"/>
      <c r="DM26" s="479"/>
      <c r="DN26" s="479"/>
      <c r="DO26" s="479"/>
      <c r="DP26" s="479"/>
      <c r="DQ26" s="479"/>
      <c r="DR26" s="479"/>
      <c r="DS26" s="479"/>
      <c r="DT26" s="479"/>
      <c r="DU26" s="479"/>
      <c r="DV26" s="479"/>
      <c r="DW26" s="479"/>
      <c r="DX26" s="479"/>
      <c r="DY26" s="479"/>
      <c r="DZ26" s="479"/>
      <c r="EA26" s="479"/>
      <c r="EB26" s="479"/>
    </row>
    <row r="27" spans="1:132" x14ac:dyDescent="0.2">
      <c r="CW27" s="479"/>
      <c r="CX27" s="479"/>
      <c r="CY27" s="479"/>
      <c r="CZ27" s="479"/>
      <c r="DA27" s="479"/>
      <c r="DB27" s="479"/>
      <c r="DC27" s="479"/>
      <c r="DD27" s="477"/>
      <c r="DE27" s="479"/>
      <c r="DF27" s="951"/>
      <c r="DG27" s="479"/>
      <c r="DH27" s="479"/>
      <c r="DI27" s="479"/>
      <c r="DJ27" s="479"/>
      <c r="DK27" s="479"/>
      <c r="DL27" s="479"/>
      <c r="DM27" s="479"/>
      <c r="DN27" s="479"/>
      <c r="DO27" s="479"/>
      <c r="DP27" s="479"/>
      <c r="DQ27" s="479"/>
      <c r="DR27" s="479"/>
      <c r="DS27" s="479"/>
      <c r="DT27" s="479"/>
      <c r="DU27" s="479"/>
      <c r="DV27" s="479"/>
      <c r="DW27" s="479"/>
      <c r="DX27" s="479"/>
      <c r="DY27" s="479"/>
      <c r="DZ27" s="479"/>
      <c r="EA27" s="479"/>
      <c r="EB27" s="479"/>
    </row>
    <row r="28" spans="1:132" x14ac:dyDescent="0.2">
      <c r="CX28" s="479"/>
      <c r="CY28" s="479"/>
      <c r="CZ28" s="479"/>
      <c r="DA28" s="479"/>
      <c r="DB28" s="479"/>
      <c r="DC28" s="479"/>
      <c r="DD28" s="477"/>
      <c r="DE28" s="479"/>
      <c r="DF28" s="951"/>
      <c r="DG28" s="479"/>
      <c r="DH28" s="479"/>
      <c r="DI28" s="479"/>
      <c r="DJ28" s="479"/>
      <c r="DK28" s="479"/>
      <c r="DL28" s="479"/>
      <c r="DM28" s="479"/>
      <c r="DN28" s="479"/>
      <c r="DO28" s="479"/>
      <c r="DP28" s="479"/>
      <c r="DQ28" s="479"/>
      <c r="DR28" s="479"/>
      <c r="DS28" s="479"/>
      <c r="DT28" s="479"/>
      <c r="DU28" s="479"/>
      <c r="DV28" s="479"/>
      <c r="DW28" s="479"/>
      <c r="DX28" s="479"/>
      <c r="DY28" s="479"/>
      <c r="DZ28" s="479"/>
      <c r="EA28" s="479"/>
      <c r="EB28" s="479"/>
    </row>
    <row r="31" spans="1:132" x14ac:dyDescent="0.2">
      <c r="CW31" s="479"/>
      <c r="CX31" s="479"/>
    </row>
    <row r="32" spans="1:132" x14ac:dyDescent="0.2">
      <c r="CW32" s="479"/>
      <c r="CX32" s="479"/>
    </row>
    <row r="33" spans="101:102" x14ac:dyDescent="0.2">
      <c r="CX33" s="479"/>
    </row>
    <row r="34" spans="101:102" x14ac:dyDescent="0.2">
      <c r="CW34" s="479"/>
      <c r="CX34" s="479"/>
    </row>
    <row r="35" spans="101:102" x14ac:dyDescent="0.2">
      <c r="CW35" s="479"/>
      <c r="CX35" s="479"/>
    </row>
    <row r="36" spans="101:102" x14ac:dyDescent="0.2">
      <c r="CX36" s="479"/>
    </row>
  </sheetData>
  <mergeCells count="51">
    <mergeCell ref="EB11:EB12"/>
    <mergeCell ref="DB11:DB12"/>
    <mergeCell ref="DC11:DC12"/>
    <mergeCell ref="DG11:DG12"/>
    <mergeCell ref="DH11:DH12"/>
    <mergeCell ref="EA11:EA12"/>
    <mergeCell ref="BQ10:CC10"/>
    <mergeCell ref="CE10:CG10"/>
    <mergeCell ref="BR11:BR12"/>
    <mergeCell ref="BS11:BS12"/>
    <mergeCell ref="BT11:BT12"/>
    <mergeCell ref="BU11:BU12"/>
    <mergeCell ref="BV11:BV12"/>
    <mergeCell ref="BW11:BW12"/>
    <mergeCell ref="BX11:BX12"/>
    <mergeCell ref="BY11:BY12"/>
    <mergeCell ref="BZ11:BZ12"/>
    <mergeCell ref="CB11:CB12"/>
    <mergeCell ref="CD11:CD12"/>
    <mergeCell ref="CE11:CE12"/>
    <mergeCell ref="CF11:CF12"/>
    <mergeCell ref="CG11:CG12"/>
    <mergeCell ref="D10:P10"/>
    <mergeCell ref="R10:T10"/>
    <mergeCell ref="U10:AN10"/>
    <mergeCell ref="A11:A12"/>
    <mergeCell ref="B11:B12"/>
    <mergeCell ref="E11:E12"/>
    <mergeCell ref="F11:F12"/>
    <mergeCell ref="G11:G12"/>
    <mergeCell ref="H11:H12"/>
    <mergeCell ref="I11:I12"/>
    <mergeCell ref="Y11:Y12"/>
    <mergeCell ref="Z11:Z12"/>
    <mergeCell ref="A22:V23"/>
    <mergeCell ref="R11:R12"/>
    <mergeCell ref="S11:S12"/>
    <mergeCell ref="T11:T12"/>
    <mergeCell ref="J11:J12"/>
    <mergeCell ref="K11:K12"/>
    <mergeCell ref="L11:L12"/>
    <mergeCell ref="M11:M12"/>
    <mergeCell ref="O11:O12"/>
    <mergeCell ref="Q11:Q12"/>
    <mergeCell ref="CL11:CL12"/>
    <mergeCell ref="CM11:CM12"/>
    <mergeCell ref="AY11:AY12"/>
    <mergeCell ref="AZ11:AZ12"/>
    <mergeCell ref="AO11:AO12"/>
    <mergeCell ref="AP11:AP12"/>
    <mergeCell ref="BO11:BO12"/>
  </mergeCells>
  <pageMargins left="0.39370078740157483" right="0.19685039370078741" top="0.39370078740157483" bottom="0.39370078740157483" header="0.31496062992125984" footer="0.31496062992125984"/>
  <pageSetup scale="50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EQ37"/>
  <sheetViews>
    <sheetView topLeftCell="CG11" zoomScaleNormal="100" workbookViewId="0">
      <selection activeCell="EN34" sqref="EN34"/>
    </sheetView>
  </sheetViews>
  <sheetFormatPr baseColWidth="10" defaultRowHeight="12.75" x14ac:dyDescent="0.2"/>
  <cols>
    <col min="1" max="1" width="15.5703125" customWidth="1"/>
    <col min="2" max="2" width="17.85546875" customWidth="1"/>
    <col min="3" max="3" width="15.85546875" customWidth="1"/>
    <col min="4" max="5" width="8.28515625" style="18" hidden="1" customWidth="1"/>
    <col min="6" max="6" width="8.7109375" hidden="1" customWidth="1"/>
    <col min="7" max="16" width="8.28515625" hidden="1" customWidth="1"/>
    <col min="17" max="17" width="11" hidden="1" customWidth="1"/>
    <col min="18" max="18" width="8.28515625" style="19" hidden="1" customWidth="1"/>
    <col min="19" max="19" width="10.42578125" style="19" hidden="1" customWidth="1"/>
    <col min="20" max="21" width="8.42578125" style="12" hidden="1" customWidth="1"/>
    <col min="22" max="22" width="7.28515625" style="104" hidden="1" customWidth="1"/>
    <col min="23" max="24" width="8.7109375" hidden="1" customWidth="1"/>
    <col min="25" max="25" width="8.7109375" style="77" hidden="1" customWidth="1"/>
    <col min="26" max="26" width="7.42578125" hidden="1" customWidth="1"/>
    <col min="27" max="27" width="7.140625" hidden="1" customWidth="1"/>
    <col min="28" max="28" width="6.85546875" hidden="1" customWidth="1"/>
    <col min="29" max="33" width="7.7109375" hidden="1" customWidth="1"/>
    <col min="34" max="34" width="11.28515625" hidden="1" customWidth="1"/>
    <col min="35" max="36" width="7.7109375" hidden="1" customWidth="1"/>
    <col min="37" max="37" width="8.5703125" hidden="1" customWidth="1"/>
    <col min="38" max="40" width="7.7109375" hidden="1" customWidth="1"/>
    <col min="41" max="41" width="8.28515625" hidden="1" customWidth="1"/>
    <col min="42" max="42" width="9.42578125" style="69" hidden="1" customWidth="1"/>
    <col min="43" max="44" width="8.7109375" hidden="1" customWidth="1"/>
    <col min="45" max="45" width="8.5703125" hidden="1" customWidth="1"/>
    <col min="46" max="46" width="9.7109375" hidden="1" customWidth="1"/>
    <col min="47" max="47" width="11.42578125" hidden="1" customWidth="1"/>
    <col min="48" max="48" width="9.140625" hidden="1" customWidth="1"/>
    <col min="49" max="49" width="10.42578125" hidden="1" customWidth="1"/>
    <col min="50" max="50" width="8.7109375" hidden="1" customWidth="1"/>
    <col min="51" max="51" width="8.7109375" style="77" hidden="1" customWidth="1"/>
    <col min="52" max="52" width="7.42578125" hidden="1" customWidth="1"/>
    <col min="53" max="53" width="9" hidden="1" customWidth="1"/>
    <col min="54" max="54" width="8.140625" hidden="1" customWidth="1"/>
    <col min="55" max="60" width="9" hidden="1" customWidth="1"/>
    <col min="61" max="61" width="8.5703125" hidden="1" customWidth="1"/>
    <col min="62" max="62" width="9.42578125" hidden="1" customWidth="1"/>
    <col min="63" max="63" width="10.140625" hidden="1" customWidth="1"/>
    <col min="64" max="64" width="8.5703125" hidden="1" customWidth="1"/>
    <col min="65" max="65" width="9.7109375" hidden="1" customWidth="1"/>
    <col min="66" max="67" width="11.42578125" hidden="1" customWidth="1"/>
    <col min="68" max="68" width="10.42578125" hidden="1" customWidth="1"/>
    <col min="69" max="69" width="9.5703125" hidden="1" customWidth="1"/>
    <col min="70" max="70" width="8.7109375" style="77" hidden="1" customWidth="1"/>
    <col min="71" max="71" width="7.42578125" hidden="1" customWidth="1"/>
    <col min="72" max="72" width="9" hidden="1" customWidth="1"/>
    <col min="73" max="73" width="8.140625" hidden="1" customWidth="1"/>
    <col min="74" max="79" width="9" hidden="1" customWidth="1"/>
    <col min="80" max="80" width="8.5703125" hidden="1" customWidth="1"/>
    <col min="81" max="81" width="9.42578125" hidden="1" customWidth="1"/>
    <col min="82" max="82" width="10.140625" hidden="1" customWidth="1"/>
    <col min="83" max="84" width="8.28515625" style="18" customWidth="1"/>
    <col min="85" max="85" width="8.7109375" customWidth="1"/>
    <col min="86" max="91" width="8.28515625" customWidth="1"/>
    <col min="92" max="95" width="8.28515625" hidden="1" customWidth="1"/>
    <col min="96" max="96" width="11" hidden="1" customWidth="1"/>
    <col min="97" max="97" width="8.28515625" style="19" customWidth="1"/>
    <col min="98" max="98" width="10.42578125" style="19" customWidth="1"/>
    <col min="99" max="99" width="8.42578125" style="12" customWidth="1"/>
    <col min="100" max="100" width="10.140625" hidden="1" customWidth="1"/>
    <col min="101" max="101" width="9.5703125" hidden="1" customWidth="1"/>
    <col min="102" max="102" width="8.7109375" style="77" hidden="1" customWidth="1"/>
    <col min="103" max="103" width="7.42578125" hidden="1" customWidth="1"/>
    <col min="104" max="104" width="10.28515625" hidden="1" customWidth="1"/>
    <col min="105" max="105" width="8.140625" hidden="1" customWidth="1"/>
    <col min="106" max="110" width="9" hidden="1" customWidth="1"/>
    <col min="111" max="111" width="10.5703125" hidden="1" customWidth="1"/>
    <col min="112" max="112" width="8.5703125" hidden="1" customWidth="1"/>
    <col min="113" max="113" width="9.42578125" hidden="1" customWidth="1"/>
    <col min="114" max="114" width="10.140625" hidden="1" customWidth="1"/>
    <col min="115" max="119" width="11.42578125" hidden="1" customWidth="1"/>
    <col min="120" max="120" width="0" hidden="1" customWidth="1"/>
    <col min="122" max="126" width="11.42578125" customWidth="1"/>
    <col min="127" max="143" width="11.42578125" hidden="1" customWidth="1"/>
    <col min="144" max="146" width="11.42578125" customWidth="1"/>
  </cols>
  <sheetData>
    <row r="1" spans="1:146" x14ac:dyDescent="0.2">
      <c r="A1" s="637"/>
      <c r="B1" s="638" t="s">
        <v>27</v>
      </c>
      <c r="C1" s="637"/>
      <c r="D1" s="639"/>
      <c r="E1" s="639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40"/>
      <c r="S1" s="640"/>
      <c r="T1" s="637"/>
      <c r="U1" s="637"/>
      <c r="V1" s="661"/>
      <c r="W1" s="662"/>
      <c r="X1" s="662"/>
      <c r="Y1" s="663"/>
      <c r="Z1" s="662"/>
      <c r="AA1" s="662"/>
      <c r="AB1" s="662"/>
      <c r="AC1" s="662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62" t="s">
        <v>1072</v>
      </c>
      <c r="AO1" s="637"/>
      <c r="AP1" s="664"/>
      <c r="AQ1" s="637"/>
      <c r="AR1" s="637"/>
      <c r="AS1" s="637"/>
      <c r="AT1" s="637"/>
      <c r="AU1" s="637"/>
      <c r="AV1" s="637"/>
      <c r="AW1" s="637"/>
      <c r="AX1" s="662"/>
      <c r="AY1" s="663"/>
      <c r="AZ1" s="662"/>
      <c r="BA1" s="662"/>
      <c r="BB1" s="662"/>
      <c r="BQ1" s="94"/>
      <c r="BR1" s="95"/>
      <c r="BS1" s="94"/>
      <c r="BT1" s="94"/>
      <c r="BU1" s="94"/>
      <c r="CE1" s="639"/>
      <c r="CF1" s="639"/>
      <c r="CG1" s="637"/>
      <c r="CH1" s="637"/>
      <c r="CI1" s="637"/>
      <c r="CJ1" s="637"/>
      <c r="CK1" s="637"/>
      <c r="CL1" s="637"/>
      <c r="CM1" s="637"/>
      <c r="CN1" s="637"/>
      <c r="CO1" s="637"/>
      <c r="CP1" s="637"/>
      <c r="CQ1" s="637"/>
      <c r="CR1" s="637"/>
      <c r="CS1" s="640"/>
      <c r="CT1" s="640"/>
      <c r="CU1" s="637"/>
      <c r="CW1" s="541"/>
      <c r="CX1" s="542"/>
      <c r="CY1" s="541"/>
      <c r="CZ1" s="541"/>
      <c r="DA1" s="541"/>
    </row>
    <row r="2" spans="1:146" x14ac:dyDescent="0.2">
      <c r="A2" s="637"/>
      <c r="B2" s="638" t="s">
        <v>1273</v>
      </c>
      <c r="C2" s="637"/>
      <c r="D2" s="639"/>
      <c r="E2" s="639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40"/>
      <c r="S2" s="640"/>
      <c r="T2" s="637"/>
      <c r="U2" s="637"/>
      <c r="V2" s="661"/>
      <c r="W2" s="662"/>
      <c r="X2" s="662"/>
      <c r="Y2" s="663"/>
      <c r="Z2" s="662"/>
      <c r="AA2" s="662"/>
      <c r="AB2" s="662"/>
      <c r="AC2" s="662"/>
      <c r="AD2" s="637"/>
      <c r="AE2" s="637"/>
      <c r="AF2" s="637"/>
      <c r="AG2" s="637"/>
      <c r="AH2" s="637"/>
      <c r="AI2" s="637"/>
      <c r="AJ2" s="637"/>
      <c r="AK2" s="637"/>
      <c r="AL2" s="637"/>
      <c r="AM2" s="637"/>
      <c r="AN2" s="637"/>
      <c r="AO2" s="637"/>
      <c r="AP2" s="664"/>
      <c r="AQ2" s="637"/>
      <c r="AR2" s="637"/>
      <c r="AS2" s="637"/>
      <c r="AT2" s="637"/>
      <c r="AU2" s="637"/>
      <c r="AV2" s="637"/>
      <c r="AW2" s="637"/>
      <c r="AX2" s="662"/>
      <c r="AY2" s="663"/>
      <c r="AZ2" s="662"/>
      <c r="BA2" s="662"/>
      <c r="BB2" s="662"/>
      <c r="BQ2" s="541"/>
      <c r="BR2" s="542"/>
      <c r="BS2" s="541"/>
      <c r="BT2" s="94"/>
      <c r="BU2" s="94"/>
      <c r="CE2" s="639"/>
      <c r="CF2" s="639"/>
      <c r="CG2" s="637"/>
      <c r="CH2" s="637"/>
      <c r="CI2" s="637"/>
      <c r="CJ2" s="637"/>
      <c r="CK2" s="637"/>
      <c r="CL2" s="637"/>
      <c r="CM2" s="637"/>
      <c r="CN2" s="637"/>
      <c r="CO2" s="637"/>
      <c r="CP2" s="637"/>
      <c r="CQ2" s="637"/>
      <c r="CR2" s="637"/>
      <c r="CS2" s="640"/>
      <c r="CT2" s="640"/>
      <c r="CU2" s="637"/>
      <c r="CW2" s="541"/>
      <c r="CX2" s="542"/>
      <c r="CY2" s="541"/>
      <c r="CZ2" s="541"/>
      <c r="DA2" s="541"/>
    </row>
    <row r="3" spans="1:146" x14ac:dyDescent="0.2">
      <c r="A3" s="637"/>
      <c r="B3" s="637"/>
      <c r="C3" s="638"/>
      <c r="D3" s="641"/>
      <c r="E3" s="639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38"/>
      <c r="S3" s="638"/>
      <c r="T3" s="642"/>
      <c r="U3" s="642"/>
      <c r="V3" s="665"/>
      <c r="W3" s="662"/>
      <c r="X3" s="662"/>
      <c r="Y3" s="663"/>
      <c r="Z3" s="662"/>
      <c r="AA3" s="662"/>
      <c r="AB3" s="662"/>
      <c r="AC3" s="662"/>
      <c r="AD3" s="637"/>
      <c r="AE3" s="637"/>
      <c r="AF3" s="637"/>
      <c r="AG3" s="637"/>
      <c r="AH3" s="637"/>
      <c r="AI3" s="637"/>
      <c r="AJ3" s="637"/>
      <c r="AK3" s="637"/>
      <c r="AL3" s="637"/>
      <c r="AM3" s="637"/>
      <c r="AN3" s="637"/>
      <c r="AO3" s="637"/>
      <c r="AP3" s="664"/>
      <c r="AQ3" s="637"/>
      <c r="AR3" s="637"/>
      <c r="AS3" s="637"/>
      <c r="AT3" s="637"/>
      <c r="AU3" s="637"/>
      <c r="AV3" s="637"/>
      <c r="AW3" s="637"/>
      <c r="AX3" s="662"/>
      <c r="AY3" s="663"/>
      <c r="AZ3" s="662"/>
      <c r="BA3" s="662"/>
      <c r="BB3" s="662"/>
      <c r="BQ3" s="541"/>
      <c r="BR3" s="542"/>
      <c r="BS3" s="541"/>
      <c r="BT3" s="94"/>
      <c r="BU3" s="94"/>
      <c r="CE3" s="641"/>
      <c r="CF3" s="639"/>
      <c r="CG3" s="642"/>
      <c r="CH3" s="642"/>
      <c r="CI3" s="642"/>
      <c r="CJ3" s="642"/>
      <c r="CK3" s="642"/>
      <c r="CL3" s="642"/>
      <c r="CM3" s="642"/>
      <c r="CN3" s="642"/>
      <c r="CO3" s="642"/>
      <c r="CP3" s="642"/>
      <c r="CQ3" s="642"/>
      <c r="CR3" s="642"/>
      <c r="CS3" s="638"/>
      <c r="CT3" s="638"/>
      <c r="CU3" s="642"/>
      <c r="CW3" s="541"/>
      <c r="CX3" s="542"/>
      <c r="CY3" s="541"/>
      <c r="CZ3" s="541"/>
      <c r="DA3" s="541"/>
    </row>
    <row r="4" spans="1:146" x14ac:dyDescent="0.2">
      <c r="A4" s="637"/>
      <c r="B4" s="637" t="s">
        <v>309</v>
      </c>
      <c r="C4" s="638"/>
      <c r="D4" s="641"/>
      <c r="E4" s="639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38"/>
      <c r="S4" s="638"/>
      <c r="T4" s="642"/>
      <c r="U4" s="642"/>
      <c r="V4" s="665"/>
      <c r="W4" s="662"/>
      <c r="X4" s="662"/>
      <c r="Y4" s="663"/>
      <c r="Z4" s="662"/>
      <c r="AA4" s="662"/>
      <c r="AB4" s="662"/>
      <c r="AC4" s="662"/>
      <c r="AD4" s="637"/>
      <c r="AE4" s="637"/>
      <c r="AF4" s="637"/>
      <c r="AG4" s="637"/>
      <c r="AH4" s="637"/>
      <c r="AI4" s="637"/>
      <c r="AJ4" s="637"/>
      <c r="AK4" s="637"/>
      <c r="AL4" s="637"/>
      <c r="AM4" s="637"/>
      <c r="AN4" s="637"/>
      <c r="AO4" s="637"/>
      <c r="AP4" s="664"/>
      <c r="AQ4" s="637"/>
      <c r="AR4" s="637"/>
      <c r="AS4" s="637"/>
      <c r="AT4" s="637"/>
      <c r="AU4" s="637"/>
      <c r="AV4" s="637"/>
      <c r="AW4" s="637"/>
      <c r="AX4" s="662"/>
      <c r="AY4" s="663"/>
      <c r="AZ4" s="662"/>
      <c r="BA4" s="662"/>
      <c r="BB4" s="662"/>
      <c r="BQ4" s="541"/>
      <c r="BR4" s="542"/>
      <c r="BS4" s="541"/>
      <c r="BT4" s="94"/>
      <c r="BU4" s="94"/>
      <c r="CE4" s="641"/>
      <c r="CF4" s="639"/>
      <c r="CG4" s="642"/>
      <c r="CH4" s="642"/>
      <c r="CI4" s="642"/>
      <c r="CJ4" s="642"/>
      <c r="CK4" s="642"/>
      <c r="CL4" s="642"/>
      <c r="CM4" s="642"/>
      <c r="CN4" s="642"/>
      <c r="CO4" s="642"/>
      <c r="CP4" s="642"/>
      <c r="CQ4" s="642"/>
      <c r="CR4" s="642"/>
      <c r="CS4" s="638"/>
      <c r="CT4" s="638"/>
      <c r="CU4" s="642"/>
      <c r="CW4" s="541"/>
      <c r="CX4" s="542"/>
      <c r="CY4" s="541"/>
      <c r="CZ4" s="541"/>
      <c r="DA4" s="541"/>
    </row>
    <row r="5" spans="1:146" x14ac:dyDescent="0.2">
      <c r="A5" s="637"/>
      <c r="B5" s="642" t="s">
        <v>339</v>
      </c>
      <c r="C5" s="637"/>
      <c r="D5" s="639"/>
      <c r="E5" s="639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40"/>
      <c r="S5" s="640"/>
      <c r="T5" s="637"/>
      <c r="U5" s="637"/>
      <c r="V5" s="661"/>
      <c r="W5" s="662"/>
      <c r="X5" s="662"/>
      <c r="Y5" s="663"/>
      <c r="Z5" s="662"/>
      <c r="AA5" s="662"/>
      <c r="AB5" s="662"/>
      <c r="AC5" s="662"/>
      <c r="AD5" s="637"/>
      <c r="AE5" s="637"/>
      <c r="AF5" s="637"/>
      <c r="AG5" s="637"/>
      <c r="AH5" s="637"/>
      <c r="AI5" s="637"/>
      <c r="AJ5" s="637"/>
      <c r="AK5" s="637"/>
      <c r="AL5" s="637"/>
      <c r="AM5" s="637"/>
      <c r="AN5" s="637"/>
      <c r="AO5" s="637"/>
      <c r="AP5" s="664"/>
      <c r="AQ5" s="637"/>
      <c r="AR5" s="637"/>
      <c r="AS5" s="637"/>
      <c r="AT5" s="637"/>
      <c r="AU5" s="637"/>
      <c r="AV5" s="637"/>
      <c r="AW5" s="637"/>
      <c r="AX5" s="662"/>
      <c r="AY5" s="663"/>
      <c r="AZ5" s="662"/>
      <c r="BA5" s="662"/>
      <c r="BB5" s="662"/>
      <c r="BQ5" s="541"/>
      <c r="BR5" s="542"/>
      <c r="BS5" s="541"/>
      <c r="BT5" s="94"/>
      <c r="BU5" s="94"/>
      <c r="CE5" s="639"/>
      <c r="CF5" s="639"/>
      <c r="CG5" s="637"/>
      <c r="CH5" s="637"/>
      <c r="CI5" s="637"/>
      <c r="CJ5" s="637"/>
      <c r="CK5" s="637"/>
      <c r="CL5" s="637"/>
      <c r="CM5" s="637"/>
      <c r="CN5" s="637"/>
      <c r="CO5" s="637"/>
      <c r="CP5" s="637"/>
      <c r="CQ5" s="637"/>
      <c r="CR5" s="637"/>
      <c r="CS5" s="640"/>
      <c r="CT5" s="640"/>
      <c r="CU5" s="637"/>
      <c r="CW5" s="541"/>
      <c r="CX5" s="542"/>
      <c r="CY5" s="541"/>
      <c r="CZ5" s="541"/>
      <c r="DA5" s="541"/>
    </row>
    <row r="6" spans="1:146" x14ac:dyDescent="0.2">
      <c r="A6" s="637"/>
      <c r="B6" s="637" t="s">
        <v>1272</v>
      </c>
      <c r="C6" s="637"/>
      <c r="D6" s="639"/>
      <c r="E6" s="639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40"/>
      <c r="S6" s="640"/>
      <c r="T6" s="637"/>
      <c r="U6" s="637"/>
      <c r="V6" s="661"/>
      <c r="W6" s="662"/>
      <c r="X6" s="662"/>
      <c r="Y6" s="663"/>
      <c r="Z6" s="662"/>
      <c r="AA6" s="662"/>
      <c r="AB6" s="662"/>
      <c r="AC6" s="662"/>
      <c r="AD6" s="637"/>
      <c r="AE6" s="637"/>
      <c r="AF6" s="637"/>
      <c r="AG6" s="637"/>
      <c r="AH6" s="637"/>
      <c r="AI6" s="637"/>
      <c r="AJ6" s="637"/>
      <c r="AK6" s="637"/>
      <c r="AL6" s="637"/>
      <c r="AM6" s="637"/>
      <c r="AN6" s="637"/>
      <c r="AO6" s="637"/>
      <c r="AP6" s="664"/>
      <c r="AQ6" s="637"/>
      <c r="AR6" s="637"/>
      <c r="AS6" s="637"/>
      <c r="AT6" s="637"/>
      <c r="AU6" s="637"/>
      <c r="AV6" s="637"/>
      <c r="AW6" s="637"/>
      <c r="AX6" s="662"/>
      <c r="AY6" s="663"/>
      <c r="AZ6" s="662"/>
      <c r="BA6" s="662"/>
      <c r="BB6" s="662"/>
      <c r="BQ6" s="541"/>
      <c r="BR6" s="542"/>
      <c r="BS6" s="541"/>
      <c r="BT6" s="94"/>
      <c r="BU6" s="94"/>
      <c r="CE6" s="639"/>
      <c r="CF6" s="639"/>
      <c r="CG6" s="637"/>
      <c r="CH6" s="637"/>
      <c r="CI6" s="637"/>
      <c r="CJ6" s="637"/>
      <c r="CK6" s="637"/>
      <c r="CL6" s="637"/>
      <c r="CM6" s="637"/>
      <c r="CN6" s="637"/>
      <c r="CO6" s="637"/>
      <c r="CP6" s="637"/>
      <c r="CQ6" s="637"/>
      <c r="CR6" s="637"/>
      <c r="CS6" s="640"/>
      <c r="CT6" s="640"/>
      <c r="CU6" s="637"/>
      <c r="CW6" s="541"/>
      <c r="CX6" s="542"/>
      <c r="CY6" s="541"/>
      <c r="CZ6" s="541"/>
      <c r="DA6" s="541"/>
    </row>
    <row r="7" spans="1:146" x14ac:dyDescent="0.2">
      <c r="A7" s="637"/>
      <c r="B7" s="637"/>
      <c r="C7" s="637"/>
      <c r="D7" s="639"/>
      <c r="E7" s="639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40"/>
      <c r="S7" s="640"/>
      <c r="T7" s="637"/>
      <c r="U7" s="637"/>
      <c r="V7" s="661"/>
      <c r="W7" s="662"/>
      <c r="X7" s="662"/>
      <c r="Y7" s="663"/>
      <c r="Z7" s="662"/>
      <c r="AA7" s="662"/>
      <c r="AB7" s="662"/>
      <c r="AC7" s="662"/>
      <c r="AD7" s="637"/>
      <c r="AE7" s="637"/>
      <c r="AF7" s="637"/>
      <c r="AG7" s="637"/>
      <c r="AH7" s="637"/>
      <c r="AI7" s="637"/>
      <c r="AJ7" s="637"/>
      <c r="AK7" s="637"/>
      <c r="AL7" s="637"/>
      <c r="AM7" s="637"/>
      <c r="AN7" s="637"/>
      <c r="AO7" s="637"/>
      <c r="AP7" s="664"/>
      <c r="AQ7" s="637"/>
      <c r="AR7" s="637"/>
      <c r="AS7" s="637"/>
      <c r="AT7" s="637"/>
      <c r="AU7" s="637"/>
      <c r="AV7" s="637"/>
      <c r="AW7" s="637"/>
      <c r="AX7" s="662"/>
      <c r="AY7" s="663"/>
      <c r="AZ7" s="662"/>
      <c r="BA7" s="662"/>
      <c r="BB7" s="662"/>
      <c r="BQ7" s="541"/>
      <c r="BR7" s="542"/>
      <c r="BS7" s="541"/>
      <c r="BT7" s="94"/>
      <c r="BU7" s="94"/>
      <c r="CE7" s="639"/>
      <c r="CF7" s="639"/>
      <c r="CG7" s="637"/>
      <c r="CH7" s="637"/>
      <c r="CI7" s="637"/>
      <c r="CJ7" s="637"/>
      <c r="CK7" s="637"/>
      <c r="CL7" s="637"/>
      <c r="CM7" s="637"/>
      <c r="CN7" s="637"/>
      <c r="CO7" s="637"/>
      <c r="CP7" s="637"/>
      <c r="CQ7" s="637"/>
      <c r="CR7" s="637"/>
      <c r="CS7" s="640"/>
      <c r="CT7" s="640"/>
      <c r="CU7" s="637"/>
      <c r="CW7" s="541"/>
      <c r="CX7" s="542"/>
      <c r="CY7" s="541"/>
      <c r="CZ7" s="541"/>
      <c r="DA7" s="541"/>
    </row>
    <row r="8" spans="1:146" s="16" customFormat="1" x14ac:dyDescent="0.2">
      <c r="D8" s="38"/>
      <c r="E8" s="38"/>
      <c r="R8" s="37"/>
      <c r="S8" s="37"/>
      <c r="T8" s="35"/>
      <c r="U8" s="35"/>
      <c r="V8" s="103"/>
      <c r="W8" s="39"/>
      <c r="X8" s="39"/>
      <c r="Y8" s="76"/>
      <c r="Z8" s="39"/>
      <c r="AA8" s="39"/>
      <c r="AB8" s="39"/>
      <c r="AC8" s="39"/>
      <c r="AP8" s="68"/>
      <c r="AX8" s="39"/>
      <c r="AY8" s="76"/>
      <c r="AZ8" s="39"/>
      <c r="BA8" s="39"/>
      <c r="BB8" s="39"/>
      <c r="BQ8" s="39"/>
      <c r="BR8" s="76"/>
      <c r="BS8" s="39"/>
      <c r="BT8" s="39"/>
      <c r="BU8" s="39"/>
      <c r="CE8" s="38"/>
      <c r="CF8" s="38"/>
      <c r="CS8" s="37"/>
      <c r="CT8" s="37"/>
      <c r="CU8" s="35"/>
      <c r="CW8" s="39"/>
      <c r="CX8" s="76"/>
      <c r="CY8" s="39"/>
      <c r="CZ8" s="39"/>
      <c r="DA8" s="39"/>
    </row>
    <row r="9" spans="1:146" s="16" customFormat="1" ht="20.25" customHeight="1" x14ac:dyDescent="0.2">
      <c r="D9" s="38"/>
      <c r="E9" s="38"/>
      <c r="R9" s="37"/>
      <c r="S9" s="37"/>
      <c r="T9" s="35"/>
      <c r="U9" s="35"/>
      <c r="V9" s="103"/>
      <c r="W9" s="39"/>
      <c r="X9" s="39"/>
      <c r="Y9" s="76"/>
      <c r="Z9" s="39"/>
      <c r="AA9" s="39"/>
      <c r="AB9" s="39"/>
      <c r="AC9" s="39"/>
      <c r="AP9" s="68"/>
      <c r="AX9" s="39"/>
      <c r="AY9" s="76"/>
      <c r="AZ9" s="39"/>
      <c r="BA9" s="39"/>
      <c r="BB9" s="39"/>
      <c r="BQ9" s="39"/>
      <c r="BR9" s="76"/>
      <c r="BS9" s="39"/>
      <c r="BT9" s="39"/>
      <c r="BU9" s="39"/>
      <c r="CE9" s="38"/>
      <c r="CF9" s="38"/>
      <c r="CS9" s="37"/>
      <c r="CT9" s="37"/>
      <c r="CU9" s="35"/>
      <c r="CW9" s="39"/>
      <c r="CX9" s="76"/>
      <c r="CY9" s="39"/>
      <c r="CZ9" s="39"/>
      <c r="DA9" s="39"/>
    </row>
    <row r="10" spans="1:146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1260" t="s">
        <v>450</v>
      </c>
      <c r="V10" s="1260"/>
      <c r="W10" s="1260"/>
      <c r="X10" s="1260"/>
      <c r="Y10" s="1260"/>
      <c r="Z10" s="1260"/>
      <c r="AA10" s="1260"/>
      <c r="AB10" s="1260"/>
      <c r="AC10" s="1260"/>
      <c r="AD10" s="1260"/>
      <c r="AE10" s="1260"/>
      <c r="AF10" s="1260"/>
      <c r="AG10" s="1260"/>
      <c r="AH10" s="1260"/>
      <c r="AI10" s="1260"/>
      <c r="AJ10" s="1260"/>
      <c r="AK10" s="1260"/>
      <c r="AL10" s="1260"/>
      <c r="AM10" s="1260"/>
      <c r="AN10" s="1260"/>
      <c r="AO10" s="1260"/>
      <c r="AP10" s="1260"/>
      <c r="AQ10" s="1260"/>
      <c r="AR10" s="1260"/>
      <c r="AS10" s="1260"/>
      <c r="AT10" s="1260"/>
      <c r="AU10" s="1260"/>
      <c r="AV10" s="1260"/>
      <c r="AW10" s="1260"/>
      <c r="AX10" s="1260"/>
      <c r="AY10" s="1260"/>
      <c r="AZ10" s="1260"/>
      <c r="BA10" s="1260"/>
      <c r="BB10" s="1260"/>
      <c r="BR10"/>
      <c r="CE10" s="1258" t="s">
        <v>532</v>
      </c>
      <c r="CF10" s="1258"/>
      <c r="CG10" s="1258"/>
      <c r="CH10" s="1258"/>
      <c r="CI10" s="1258"/>
      <c r="CJ10" s="1258"/>
      <c r="CK10" s="1258"/>
      <c r="CL10" s="1258"/>
      <c r="CM10" s="1258"/>
      <c r="CN10" s="1258"/>
      <c r="CO10" s="1258"/>
      <c r="CP10" s="1258"/>
      <c r="CQ10" s="1258"/>
      <c r="CR10" s="191"/>
      <c r="CS10" s="1259" t="s">
        <v>448</v>
      </c>
      <c r="CT10" s="1259"/>
      <c r="CU10" s="1259"/>
      <c r="CX10"/>
    </row>
    <row r="11" spans="1:146" ht="54" customHeight="1" x14ac:dyDescent="0.25">
      <c r="A11" s="1261" t="s">
        <v>57</v>
      </c>
      <c r="B11" s="1261" t="s">
        <v>0</v>
      </c>
      <c r="C11" s="201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526</v>
      </c>
      <c r="J11" s="1254" t="s">
        <v>525</v>
      </c>
      <c r="K11" s="1254" t="s">
        <v>534</v>
      </c>
      <c r="L11" s="1254" t="s">
        <v>493</v>
      </c>
      <c r="M11" s="1254" t="s">
        <v>535</v>
      </c>
      <c r="N11" s="200" t="s">
        <v>529</v>
      </c>
      <c r="O11" s="1254" t="s">
        <v>492</v>
      </c>
      <c r="P11" s="202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1245" t="s">
        <v>447</v>
      </c>
      <c r="V11" s="1268" t="s">
        <v>452</v>
      </c>
      <c r="W11" s="1245" t="s">
        <v>439</v>
      </c>
      <c r="X11" s="158" t="s">
        <v>15</v>
      </c>
      <c r="Y11" s="159" t="s">
        <v>15</v>
      </c>
      <c r="Z11" s="158" t="s">
        <v>16</v>
      </c>
      <c r="AA11" s="1245" t="s">
        <v>527</v>
      </c>
      <c r="AB11" s="1245" t="s">
        <v>536</v>
      </c>
      <c r="AC11" s="158" t="s">
        <v>3</v>
      </c>
      <c r="AD11" s="158" t="s">
        <v>4</v>
      </c>
      <c r="AE11" s="158" t="s">
        <v>5</v>
      </c>
      <c r="AF11" s="158" t="s">
        <v>6</v>
      </c>
      <c r="AG11" s="158" t="s">
        <v>7</v>
      </c>
      <c r="AH11" s="158" t="s">
        <v>8</v>
      </c>
      <c r="AI11" s="158" t="s">
        <v>9</v>
      </c>
      <c r="AJ11" s="158" t="s">
        <v>10</v>
      </c>
      <c r="AK11" s="158" t="s">
        <v>11</v>
      </c>
      <c r="AL11" s="158" t="s">
        <v>12</v>
      </c>
      <c r="AM11" s="158" t="s">
        <v>13</v>
      </c>
      <c r="AN11" s="158" t="s">
        <v>14</v>
      </c>
      <c r="AO11" s="196" t="s">
        <v>531</v>
      </c>
      <c r="AP11" s="196" t="s">
        <v>63</v>
      </c>
      <c r="AQ11" s="1245" t="s">
        <v>976</v>
      </c>
      <c r="AR11" s="1245" t="s">
        <v>536</v>
      </c>
      <c r="AS11" s="158" t="s">
        <v>3</v>
      </c>
      <c r="AT11" s="158" t="s">
        <v>4</v>
      </c>
      <c r="AU11" s="158" t="s">
        <v>5</v>
      </c>
      <c r="AV11" s="158" t="s">
        <v>6</v>
      </c>
      <c r="AW11" s="158" t="s">
        <v>7</v>
      </c>
      <c r="AX11" s="158" t="s">
        <v>15</v>
      </c>
      <c r="AY11" s="159" t="s">
        <v>15</v>
      </c>
      <c r="AZ11" s="158" t="s">
        <v>16</v>
      </c>
      <c r="BA11" s="1245" t="s">
        <v>1059</v>
      </c>
      <c r="BB11" s="1245" t="s">
        <v>536</v>
      </c>
      <c r="BC11" s="158" t="s">
        <v>8</v>
      </c>
      <c r="BD11" s="158" t="s">
        <v>9</v>
      </c>
      <c r="BE11" s="158" t="s">
        <v>10</v>
      </c>
      <c r="BF11" s="158" t="s">
        <v>11</v>
      </c>
      <c r="BG11" s="158" t="s">
        <v>12</v>
      </c>
      <c r="BH11" s="158" t="s">
        <v>13</v>
      </c>
      <c r="BI11" s="158" t="s">
        <v>14</v>
      </c>
      <c r="BJ11" s="196" t="s">
        <v>989</v>
      </c>
      <c r="BK11" s="594" t="s">
        <v>63</v>
      </c>
      <c r="BL11" s="158" t="s">
        <v>3</v>
      </c>
      <c r="BM11" s="158" t="s">
        <v>4</v>
      </c>
      <c r="BN11" s="158" t="s">
        <v>5</v>
      </c>
      <c r="BO11" s="158" t="s">
        <v>6</v>
      </c>
      <c r="BP11" s="158" t="s">
        <v>7</v>
      </c>
      <c r="BQ11" s="158" t="s">
        <v>15</v>
      </c>
      <c r="BR11" s="159" t="s">
        <v>15</v>
      </c>
      <c r="BS11" s="158" t="s">
        <v>16</v>
      </c>
      <c r="BT11" s="1245" t="s">
        <v>1004</v>
      </c>
      <c r="BU11" s="1245" t="s">
        <v>536</v>
      </c>
      <c r="BV11" s="158" t="s">
        <v>8</v>
      </c>
      <c r="BW11" s="158" t="s">
        <v>9</v>
      </c>
      <c r="BX11" s="158" t="s">
        <v>10</v>
      </c>
      <c r="BY11" s="158" t="s">
        <v>11</v>
      </c>
      <c r="BZ11" s="158" t="s">
        <v>12</v>
      </c>
      <c r="CA11" s="158" t="s">
        <v>13</v>
      </c>
      <c r="CB11" s="158" t="s">
        <v>14</v>
      </c>
      <c r="CC11" s="196" t="s">
        <v>1058</v>
      </c>
      <c r="CD11" s="196" t="s">
        <v>63</v>
      </c>
      <c r="CE11" s="166" t="s">
        <v>306</v>
      </c>
      <c r="CF11" s="1263" t="s">
        <v>55</v>
      </c>
      <c r="CG11" s="1254" t="s">
        <v>564</v>
      </c>
      <c r="CH11" s="1254" t="s">
        <v>446</v>
      </c>
      <c r="CI11" s="1254" t="s">
        <v>533</v>
      </c>
      <c r="CJ11" s="1254" t="s">
        <v>1126</v>
      </c>
      <c r="CK11" s="1254" t="s">
        <v>1127</v>
      </c>
      <c r="CL11" s="1254" t="s">
        <v>534</v>
      </c>
      <c r="CM11" s="1254" t="s">
        <v>493</v>
      </c>
      <c r="CN11" s="1254" t="s">
        <v>1145</v>
      </c>
      <c r="CO11" s="730" t="s">
        <v>529</v>
      </c>
      <c r="CP11" s="1254" t="s">
        <v>492</v>
      </c>
      <c r="CQ11" s="731" t="s">
        <v>530</v>
      </c>
      <c r="CR11" s="1256" t="s">
        <v>528</v>
      </c>
      <c r="CS11" s="1250" t="s">
        <v>437</v>
      </c>
      <c r="CT11" s="1250" t="s">
        <v>56</v>
      </c>
      <c r="CU11" s="1252" t="s">
        <v>449</v>
      </c>
      <c r="CV11" s="732" t="s">
        <v>63</v>
      </c>
      <c r="CW11" s="158" t="s">
        <v>15</v>
      </c>
      <c r="CX11" s="159" t="s">
        <v>15</v>
      </c>
      <c r="CY11" s="158" t="s">
        <v>16</v>
      </c>
      <c r="CZ11" s="1247" t="s">
        <v>1146</v>
      </c>
      <c r="DA11" s="1245" t="s">
        <v>536</v>
      </c>
      <c r="DB11" s="158" t="s">
        <v>8</v>
      </c>
      <c r="DC11" s="158" t="s">
        <v>9</v>
      </c>
      <c r="DD11" s="158" t="s">
        <v>10</v>
      </c>
      <c r="DE11" s="158" t="s">
        <v>11</v>
      </c>
      <c r="DF11" s="158" t="s">
        <v>12</v>
      </c>
      <c r="DG11" s="158" t="s">
        <v>13</v>
      </c>
      <c r="DH11" s="158" t="s">
        <v>14</v>
      </c>
      <c r="DI11" s="732" t="s">
        <v>1131</v>
      </c>
      <c r="DJ11" s="732" t="s">
        <v>63</v>
      </c>
      <c r="DK11" s="158" t="s">
        <v>3</v>
      </c>
      <c r="DL11" s="158" t="s">
        <v>4</v>
      </c>
      <c r="DM11" s="158" t="s">
        <v>5</v>
      </c>
      <c r="DN11" s="158" t="s">
        <v>6</v>
      </c>
      <c r="DO11" s="158" t="s">
        <v>7</v>
      </c>
      <c r="DP11" s="1247" t="s">
        <v>1252</v>
      </c>
      <c r="DQ11" s="1247" t="s">
        <v>1253</v>
      </c>
      <c r="DR11" s="158" t="s">
        <v>15</v>
      </c>
      <c r="DS11" s="159" t="s">
        <v>15</v>
      </c>
      <c r="DT11" s="158" t="s">
        <v>16</v>
      </c>
      <c r="DU11" s="1245" t="s">
        <v>1262</v>
      </c>
      <c r="DV11" s="1245" t="s">
        <v>536</v>
      </c>
      <c r="DW11" s="158" t="s">
        <v>8</v>
      </c>
      <c r="DX11" s="158" t="s">
        <v>9</v>
      </c>
      <c r="DY11" s="158" t="s">
        <v>10</v>
      </c>
      <c r="DZ11" s="158" t="s">
        <v>11</v>
      </c>
      <c r="EA11" s="158" t="s">
        <v>12</v>
      </c>
      <c r="EB11" s="158" t="s">
        <v>13</v>
      </c>
      <c r="EC11" s="158" t="s">
        <v>14</v>
      </c>
      <c r="ED11" s="158" t="s">
        <v>3</v>
      </c>
      <c r="EE11" s="158" t="s">
        <v>4</v>
      </c>
      <c r="EF11" s="158" t="s">
        <v>5</v>
      </c>
      <c r="EG11" s="158" t="s">
        <v>6</v>
      </c>
      <c r="EH11" s="158" t="s">
        <v>7</v>
      </c>
      <c r="EI11" s="158" t="s">
        <v>8</v>
      </c>
      <c r="EJ11" s="158" t="s">
        <v>9</v>
      </c>
      <c r="EK11" s="158" t="s">
        <v>10</v>
      </c>
      <c r="EL11" s="158" t="s">
        <v>11</v>
      </c>
      <c r="EM11" s="158" t="s">
        <v>12</v>
      </c>
      <c r="EN11" s="158" t="s">
        <v>13</v>
      </c>
      <c r="EO11" s="1247" t="s">
        <v>1274</v>
      </c>
      <c r="EP11" s="1247" t="s">
        <v>1263</v>
      </c>
    </row>
    <row r="12" spans="1:146" ht="32.25" customHeight="1" x14ac:dyDescent="0.25">
      <c r="A12" s="1262"/>
      <c r="B12" s="1262"/>
      <c r="C12" s="161" t="s">
        <v>340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1267"/>
      <c r="V12" s="1269">
        <v>41639</v>
      </c>
      <c r="W12" s="1246"/>
      <c r="X12" s="162" t="s">
        <v>20</v>
      </c>
      <c r="Y12" s="163" t="s">
        <v>21</v>
      </c>
      <c r="Z12" s="162" t="s">
        <v>22</v>
      </c>
      <c r="AA12" s="1246"/>
      <c r="AB12" s="1246"/>
      <c r="AC12" s="162">
        <v>2015</v>
      </c>
      <c r="AD12" s="162">
        <v>2015</v>
      </c>
      <c r="AE12" s="162">
        <v>2015</v>
      </c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 t="s">
        <v>64</v>
      </c>
      <c r="AQ12" s="1265"/>
      <c r="AR12" s="1265"/>
      <c r="AS12" s="430">
        <v>2016</v>
      </c>
      <c r="AT12" s="430">
        <v>2016</v>
      </c>
      <c r="AU12" s="430">
        <v>2016</v>
      </c>
      <c r="AV12" s="430">
        <v>2016</v>
      </c>
      <c r="AW12" s="430">
        <v>2016</v>
      </c>
      <c r="AX12" s="162" t="s">
        <v>20</v>
      </c>
      <c r="AY12" s="163" t="s">
        <v>21</v>
      </c>
      <c r="AZ12" s="162" t="s">
        <v>22</v>
      </c>
      <c r="BA12" s="1246"/>
      <c r="BB12" s="1246"/>
      <c r="BC12" s="430">
        <v>2016</v>
      </c>
      <c r="BD12" s="430">
        <v>2016</v>
      </c>
      <c r="BE12" s="430">
        <v>2016</v>
      </c>
      <c r="BF12" s="430">
        <v>2016</v>
      </c>
      <c r="BG12" s="430">
        <v>2016</v>
      </c>
      <c r="BH12" s="430">
        <v>2016</v>
      </c>
      <c r="BI12" s="430">
        <v>2016</v>
      </c>
      <c r="BJ12" s="162">
        <v>2016</v>
      </c>
      <c r="BK12" s="162" t="s">
        <v>64</v>
      </c>
      <c r="BL12" s="430">
        <v>2017</v>
      </c>
      <c r="BM12" s="430">
        <v>2017</v>
      </c>
      <c r="BN12" s="430">
        <v>2017</v>
      </c>
      <c r="BO12" s="430">
        <v>2017</v>
      </c>
      <c r="BP12" s="430">
        <v>2017</v>
      </c>
      <c r="BQ12" s="162" t="s">
        <v>20</v>
      </c>
      <c r="BR12" s="163" t="s">
        <v>21</v>
      </c>
      <c r="BS12" s="162" t="s">
        <v>22</v>
      </c>
      <c r="BT12" s="1246"/>
      <c r="BU12" s="1246"/>
      <c r="BV12" s="430">
        <v>2017</v>
      </c>
      <c r="BW12" s="430">
        <v>2017</v>
      </c>
      <c r="BX12" s="430">
        <v>2017</v>
      </c>
      <c r="BY12" s="430">
        <v>2017</v>
      </c>
      <c r="BZ12" s="430">
        <v>2017</v>
      </c>
      <c r="CA12" s="430">
        <v>2017</v>
      </c>
      <c r="CB12" s="430">
        <v>2017</v>
      </c>
      <c r="CC12" s="162">
        <v>2017</v>
      </c>
      <c r="CD12" s="162" t="s">
        <v>64</v>
      </c>
      <c r="CE12" s="167"/>
      <c r="CF12" s="1264"/>
      <c r="CG12" s="1255"/>
      <c r="CH12" s="1255"/>
      <c r="CI12" s="1255"/>
      <c r="CJ12" s="1255"/>
      <c r="CK12" s="1255"/>
      <c r="CL12" s="1255"/>
      <c r="CM12" s="1255"/>
      <c r="CN12" s="1255"/>
      <c r="CO12" s="194">
        <v>42369</v>
      </c>
      <c r="CP12" s="1255"/>
      <c r="CQ12" s="193">
        <v>42736</v>
      </c>
      <c r="CR12" s="1257"/>
      <c r="CS12" s="1251" t="s">
        <v>18</v>
      </c>
      <c r="CT12" s="1251" t="s">
        <v>18</v>
      </c>
      <c r="CU12" s="1253"/>
      <c r="CV12" s="162" t="s">
        <v>64</v>
      </c>
      <c r="CW12" s="162" t="s">
        <v>20</v>
      </c>
      <c r="CX12" s="163" t="s">
        <v>21</v>
      </c>
      <c r="CY12" s="162" t="s">
        <v>22</v>
      </c>
      <c r="CZ12" s="1248"/>
      <c r="DA12" s="1246"/>
      <c r="DB12" s="430">
        <v>2017</v>
      </c>
      <c r="DC12" s="430">
        <v>2017</v>
      </c>
      <c r="DD12" s="430">
        <v>2017</v>
      </c>
      <c r="DE12" s="430">
        <v>2017</v>
      </c>
      <c r="DF12" s="430">
        <v>2017</v>
      </c>
      <c r="DG12" s="430">
        <v>2017</v>
      </c>
      <c r="DH12" s="430">
        <v>2017</v>
      </c>
      <c r="DI12" s="162">
        <v>2017</v>
      </c>
      <c r="DJ12" s="162" t="s">
        <v>64</v>
      </c>
      <c r="DK12" s="162">
        <v>2018</v>
      </c>
      <c r="DL12" s="162">
        <v>2018</v>
      </c>
      <c r="DM12" s="162">
        <v>2018</v>
      </c>
      <c r="DN12" s="162">
        <v>2018</v>
      </c>
      <c r="DO12" s="162">
        <v>2018</v>
      </c>
      <c r="DP12" s="1248"/>
      <c r="DQ12" s="1248"/>
      <c r="DR12" s="162" t="s">
        <v>20</v>
      </c>
      <c r="DS12" s="163" t="s">
        <v>21</v>
      </c>
      <c r="DT12" s="162" t="s">
        <v>22</v>
      </c>
      <c r="DU12" s="1246"/>
      <c r="DV12" s="1246"/>
      <c r="DW12" s="162">
        <v>2018</v>
      </c>
      <c r="DX12" s="162">
        <v>2018</v>
      </c>
      <c r="DY12" s="162">
        <v>2018</v>
      </c>
      <c r="DZ12" s="162">
        <v>2018</v>
      </c>
      <c r="EA12" s="162">
        <v>2018</v>
      </c>
      <c r="EB12" s="162">
        <v>2018</v>
      </c>
      <c r="EC12" s="162">
        <v>2018</v>
      </c>
      <c r="ED12" s="162">
        <v>2019</v>
      </c>
      <c r="EE12" s="162">
        <v>2019</v>
      </c>
      <c r="EF12" s="162">
        <v>2019</v>
      </c>
      <c r="EG12" s="162">
        <v>2019</v>
      </c>
      <c r="EH12" s="162">
        <v>2019</v>
      </c>
      <c r="EI12" s="162">
        <v>2019</v>
      </c>
      <c r="EJ12" s="162">
        <v>2019</v>
      </c>
      <c r="EK12" s="162">
        <v>2019</v>
      </c>
      <c r="EL12" s="162">
        <v>2019</v>
      </c>
      <c r="EM12" s="162">
        <v>2019</v>
      </c>
      <c r="EN12" s="162">
        <v>2019</v>
      </c>
      <c r="EO12" s="1248"/>
      <c r="EP12" s="1248"/>
    </row>
    <row r="13" spans="1:146" s="16" customFormat="1" ht="15" x14ac:dyDescent="0.2">
      <c r="A13" s="120" t="s">
        <v>65</v>
      </c>
      <c r="B13" s="120" t="s">
        <v>24</v>
      </c>
      <c r="C13" s="124"/>
      <c r="D13" s="27"/>
      <c r="E13" s="25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20"/>
      <c r="S13" s="20"/>
      <c r="T13" s="14"/>
      <c r="U13" s="14"/>
      <c r="V13" s="108"/>
      <c r="W13" s="66"/>
      <c r="X13" s="66"/>
      <c r="Y13" s="81"/>
      <c r="Z13" s="66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73"/>
      <c r="AQ13" s="55"/>
      <c r="AR13" s="55"/>
      <c r="AS13" s="55"/>
      <c r="AT13" s="55"/>
      <c r="AU13" s="55"/>
      <c r="AV13" s="55"/>
      <c r="AW13" s="55"/>
      <c r="AX13" s="66"/>
      <c r="AY13" s="81"/>
      <c r="AZ13" s="66"/>
      <c r="BA13" s="65"/>
      <c r="BB13" s="65"/>
      <c r="BC13" s="55"/>
      <c r="BD13" s="55"/>
      <c r="BE13" s="55"/>
      <c r="BF13" s="55"/>
      <c r="BG13" s="55"/>
      <c r="BH13" s="55"/>
      <c r="BI13" s="55"/>
      <c r="BJ13" s="55"/>
      <c r="BK13" s="598"/>
      <c r="BL13" s="598"/>
      <c r="BM13" s="598"/>
      <c r="BN13" s="598"/>
      <c r="BO13" s="598"/>
      <c r="BP13" s="598"/>
      <c r="BQ13" s="595"/>
      <c r="BR13" s="604"/>
      <c r="BS13" s="595"/>
      <c r="BT13" s="597"/>
      <c r="BU13" s="597"/>
      <c r="BV13" s="598"/>
      <c r="BW13" s="598"/>
      <c r="BX13" s="598"/>
      <c r="BY13" s="598"/>
      <c r="BZ13" s="598"/>
      <c r="CA13" s="598"/>
      <c r="CB13" s="598"/>
      <c r="CC13" s="598"/>
      <c r="CD13" s="598"/>
      <c r="CE13" s="27"/>
      <c r="CF13" s="25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20"/>
      <c r="CT13" s="20"/>
      <c r="CU13" s="14"/>
      <c r="CV13" s="598"/>
      <c r="CW13" s="595"/>
      <c r="CX13" s="604"/>
      <c r="CY13" s="595"/>
      <c r="CZ13" s="595"/>
      <c r="DA13" s="597"/>
      <c r="DB13" s="598"/>
      <c r="DC13" s="598"/>
      <c r="DD13" s="598"/>
      <c r="DE13" s="598"/>
      <c r="DF13" s="598"/>
      <c r="DG13" s="598"/>
      <c r="DH13" s="598"/>
      <c r="DI13" s="598"/>
      <c r="DJ13" s="598"/>
      <c r="DK13" s="598"/>
      <c r="DL13" s="598"/>
      <c r="DM13" s="598"/>
      <c r="DN13" s="598"/>
      <c r="DO13" s="505"/>
      <c r="DP13" s="505"/>
      <c r="DQ13" s="516"/>
      <c r="DR13" s="516"/>
      <c r="DS13" s="516"/>
      <c r="DT13" s="516"/>
      <c r="DU13" s="516"/>
      <c r="DV13" s="516"/>
      <c r="DW13" s="516"/>
      <c r="DX13" s="516"/>
      <c r="DY13" s="516"/>
      <c r="DZ13" s="516"/>
      <c r="EA13" s="516"/>
      <c r="EB13" s="516"/>
      <c r="EC13" s="516"/>
      <c r="ED13" s="516"/>
      <c r="EE13" s="516"/>
      <c r="EF13" s="516"/>
      <c r="EG13" s="516"/>
      <c r="EH13" s="516"/>
      <c r="EI13" s="516"/>
      <c r="EJ13" s="516"/>
      <c r="EK13" s="516"/>
      <c r="EL13" s="516"/>
      <c r="EM13" s="516"/>
      <c r="EN13" s="516"/>
      <c r="EO13" s="516"/>
      <c r="EP13" s="516"/>
    </row>
    <row r="14" spans="1:146" s="16" customFormat="1" ht="15.75" x14ac:dyDescent="0.25">
      <c r="A14" s="120" t="s">
        <v>66</v>
      </c>
      <c r="B14" s="126"/>
      <c r="C14" s="45"/>
      <c r="D14" s="4"/>
      <c r="E14" s="25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20"/>
      <c r="S14" s="20"/>
      <c r="T14" s="14"/>
      <c r="U14" s="14"/>
      <c r="V14" s="108"/>
      <c r="W14" s="66"/>
      <c r="X14" s="66"/>
      <c r="Y14" s="112"/>
      <c r="Z14" s="66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73"/>
      <c r="AQ14" s="55"/>
      <c r="AR14" s="55"/>
      <c r="AS14" s="55"/>
      <c r="AT14" s="55"/>
      <c r="AU14" s="55"/>
      <c r="AV14" s="55"/>
      <c r="AW14" s="55"/>
      <c r="AX14" s="66"/>
      <c r="AY14" s="112"/>
      <c r="AZ14" s="66"/>
      <c r="BA14" s="65"/>
      <c r="BB14" s="65"/>
      <c r="BC14" s="55"/>
      <c r="BD14" s="55"/>
      <c r="BE14" s="55"/>
      <c r="BF14" s="55"/>
      <c r="BG14" s="55"/>
      <c r="BH14" s="55"/>
      <c r="BI14" s="55"/>
      <c r="BJ14" s="55"/>
      <c r="BK14" s="598"/>
      <c r="BL14" s="598"/>
      <c r="BM14" s="598"/>
      <c r="BN14" s="598"/>
      <c r="BO14" s="598"/>
      <c r="BP14" s="598"/>
      <c r="BQ14" s="595"/>
      <c r="BR14" s="596"/>
      <c r="BS14" s="595"/>
      <c r="BT14" s="597"/>
      <c r="BU14" s="597"/>
      <c r="BV14" s="598"/>
      <c r="BW14" s="598"/>
      <c r="BX14" s="598"/>
      <c r="BY14" s="598"/>
      <c r="BZ14" s="598"/>
      <c r="CA14" s="598"/>
      <c r="CB14" s="598"/>
      <c r="CC14" s="598"/>
      <c r="CD14" s="598"/>
      <c r="CE14" s="4"/>
      <c r="CF14" s="25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20"/>
      <c r="CT14" s="20"/>
      <c r="CU14" s="14"/>
      <c r="CV14" s="598"/>
      <c r="CW14" s="595"/>
      <c r="CX14" s="596"/>
      <c r="CY14" s="595"/>
      <c r="CZ14" s="595"/>
      <c r="DA14" s="597"/>
      <c r="DB14" s="598"/>
      <c r="DC14" s="598"/>
      <c r="DD14" s="598"/>
      <c r="DE14" s="598"/>
      <c r="DF14" s="598"/>
      <c r="DG14" s="598"/>
      <c r="DH14" s="598"/>
      <c r="DI14" s="598"/>
      <c r="DJ14" s="598"/>
      <c r="DK14" s="598"/>
      <c r="DL14" s="598"/>
      <c r="DM14" s="598"/>
      <c r="DN14" s="598"/>
      <c r="DO14" s="598"/>
      <c r="DP14" s="505"/>
      <c r="DQ14" s="516"/>
      <c r="DR14" s="516"/>
      <c r="DS14" s="516"/>
      <c r="DT14" s="516"/>
      <c r="DU14" s="516"/>
      <c r="DV14" s="516"/>
      <c r="DW14" s="516"/>
      <c r="DX14" s="516"/>
      <c r="DY14" s="516"/>
      <c r="DZ14" s="516"/>
      <c r="EA14" s="516"/>
      <c r="EB14" s="516"/>
      <c r="EC14" s="516"/>
      <c r="ED14" s="516"/>
      <c r="EE14" s="516"/>
      <c r="EF14" s="516"/>
      <c r="EG14" s="516"/>
      <c r="EH14" s="516"/>
      <c r="EI14" s="516"/>
      <c r="EJ14" s="516"/>
      <c r="EK14" s="516"/>
      <c r="EL14" s="516"/>
      <c r="EM14" s="516"/>
      <c r="EN14" s="516"/>
      <c r="EO14" s="516"/>
      <c r="EP14" s="516"/>
    </row>
    <row r="15" spans="1:146" s="16" customFormat="1" ht="15.75" x14ac:dyDescent="0.25">
      <c r="A15" s="119" t="s">
        <v>151</v>
      </c>
      <c r="B15" s="100" t="s">
        <v>552</v>
      </c>
      <c r="C15" s="45" t="s">
        <v>340</v>
      </c>
      <c r="D15" s="58">
        <v>10</v>
      </c>
      <c r="E15" s="130">
        <v>0.1</v>
      </c>
      <c r="F15" s="46">
        <v>42185</v>
      </c>
      <c r="G15" s="48">
        <v>120</v>
      </c>
      <c r="H15" s="145">
        <f>100/G15</f>
        <v>0.83333333333333337</v>
      </c>
      <c r="I15" s="165">
        <f>H15*J15</f>
        <v>33.333333333333336</v>
      </c>
      <c r="J15" s="48">
        <f>(YEAR(F15)-YEAR(S15))*12+MONTH(F15)-MONTH(S15)</f>
        <v>40</v>
      </c>
      <c r="K15" s="165">
        <f>L15*H15</f>
        <v>66.666666666666671</v>
      </c>
      <c r="L15" s="48">
        <f>G15-J15</f>
        <v>80</v>
      </c>
      <c r="M15" s="165">
        <f>N15*H15</f>
        <v>5.8333333333333339</v>
      </c>
      <c r="N15" s="48">
        <v>7</v>
      </c>
      <c r="O15" s="165">
        <f>P15*H15</f>
        <v>60.833333333333336</v>
      </c>
      <c r="P15" s="48">
        <f>L15-N15</f>
        <v>73</v>
      </c>
      <c r="Q15" s="46">
        <v>42428</v>
      </c>
      <c r="R15" s="46" t="s">
        <v>445</v>
      </c>
      <c r="S15" s="128">
        <v>40940</v>
      </c>
      <c r="T15" s="129">
        <v>3866.87</v>
      </c>
      <c r="U15" s="47">
        <v>2610.1799999999998</v>
      </c>
      <c r="V15" s="106">
        <v>161.1</v>
      </c>
      <c r="W15" s="165">
        <v>0</v>
      </c>
      <c r="X15" s="57">
        <v>115.958</v>
      </c>
      <c r="Y15" s="80">
        <v>104.496</v>
      </c>
      <c r="Z15" s="57">
        <f>X15/Y15</f>
        <v>1.1096884091257082</v>
      </c>
      <c r="AA15" s="55">
        <f>U15*M15/100/K15*100/7</f>
        <v>32.627249999999997</v>
      </c>
      <c r="AB15" s="55">
        <f>AA15*Z15</f>
        <v>36.20608114664676</v>
      </c>
      <c r="AC15" s="55"/>
      <c r="AD15" s="55"/>
      <c r="AE15" s="55"/>
      <c r="AF15" s="55"/>
      <c r="AG15" s="55"/>
      <c r="AH15" s="55">
        <v>36.21</v>
      </c>
      <c r="AI15" s="55">
        <v>36.21</v>
      </c>
      <c r="AJ15" s="55">
        <v>36.21</v>
      </c>
      <c r="AK15" s="55">
        <v>36.21</v>
      </c>
      <c r="AL15" s="55">
        <v>36.21</v>
      </c>
      <c r="AM15" s="55">
        <v>36.21</v>
      </c>
      <c r="AN15" s="55">
        <v>36.21</v>
      </c>
      <c r="AO15" s="55">
        <f>SUM(AC15:AN15)</f>
        <v>253.47000000000003</v>
      </c>
      <c r="AP15" s="72">
        <f>U15-AO15</f>
        <v>2356.71</v>
      </c>
      <c r="AQ15" s="55"/>
      <c r="AR15" s="55"/>
      <c r="AS15" s="55">
        <f>$AN15</f>
        <v>36.21</v>
      </c>
      <c r="AT15" s="55">
        <f>$AN15</f>
        <v>36.21</v>
      </c>
      <c r="AU15" s="55">
        <f>$AN15</f>
        <v>36.21</v>
      </c>
      <c r="AV15" s="55">
        <f>$AN15</f>
        <v>36.21</v>
      </c>
      <c r="AW15" s="55">
        <f>$AN15</f>
        <v>36.21</v>
      </c>
      <c r="AX15" s="57">
        <v>118.901</v>
      </c>
      <c r="AY15" s="80">
        <v>104.496</v>
      </c>
      <c r="AZ15" s="57">
        <f>AX15/AY15</f>
        <v>1.1378521665901087</v>
      </c>
      <c r="BA15" s="55">
        <f>T15/(D15*12)</f>
        <v>32.223916666666668</v>
      </c>
      <c r="BB15" s="55">
        <f>BA15*AZ15</f>
        <v>36.666053395185784</v>
      </c>
      <c r="BC15" s="55">
        <f t="shared" ref="BC15:BF17" si="0">$BB15</f>
        <v>36.666053395185784</v>
      </c>
      <c r="BD15" s="55">
        <f t="shared" si="0"/>
        <v>36.666053395185784</v>
      </c>
      <c r="BE15" s="55">
        <f t="shared" si="0"/>
        <v>36.666053395185784</v>
      </c>
      <c r="BF15" s="55">
        <f t="shared" si="0"/>
        <v>36.666053395185784</v>
      </c>
      <c r="BG15" s="55">
        <v>36.67</v>
      </c>
      <c r="BH15" s="55">
        <v>36.67</v>
      </c>
      <c r="BI15" s="55">
        <v>36.67</v>
      </c>
      <c r="BJ15" s="55">
        <f>SUM((AS15:AW15),(BC15:BI15))</f>
        <v>437.72421358074314</v>
      </c>
      <c r="BK15" s="601">
        <f>(AP15-BJ15)</f>
        <v>1918.9857864192568</v>
      </c>
      <c r="BL15" s="598">
        <v>36.67</v>
      </c>
      <c r="BM15" s="598">
        <v>36.67</v>
      </c>
      <c r="BN15" s="598">
        <v>36.67</v>
      </c>
      <c r="BO15" s="598">
        <v>36.67</v>
      </c>
      <c r="BP15" s="598">
        <v>36.67</v>
      </c>
      <c r="BQ15" s="599">
        <v>118.901</v>
      </c>
      <c r="BR15" s="600">
        <v>104.496</v>
      </c>
      <c r="BS15" s="599">
        <f>BQ15/BR15</f>
        <v>1.1378521665901087</v>
      </c>
      <c r="BT15" s="598"/>
      <c r="BU15" s="598"/>
      <c r="BV15" s="598"/>
      <c r="BW15" s="598"/>
      <c r="BX15" s="598"/>
      <c r="BY15" s="598"/>
      <c r="BZ15" s="598"/>
      <c r="CA15" s="598"/>
      <c r="CB15" s="598"/>
      <c r="CC15" s="598">
        <f>SUM((BL15:BP15),(BV15:CB15))</f>
        <v>183.35000000000002</v>
      </c>
      <c r="CD15" s="601">
        <f>BK15-CC15</f>
        <v>1735.6357864192569</v>
      </c>
      <c r="CE15" s="58">
        <v>10</v>
      </c>
      <c r="CF15" s="130">
        <v>0.1</v>
      </c>
      <c r="CG15" s="46">
        <v>43281</v>
      </c>
      <c r="CH15" s="48">
        <v>120</v>
      </c>
      <c r="CI15" s="145">
        <f>100/CH15</f>
        <v>0.83333333333333337</v>
      </c>
      <c r="CJ15" s="165">
        <f>CI15*CK15</f>
        <v>63.333333333333336</v>
      </c>
      <c r="CK15" s="48">
        <f>(YEAR(CG15)-YEAR(CT15))*12+MONTH(CG15)-MONTH(CT15)</f>
        <v>76</v>
      </c>
      <c r="CL15" s="165">
        <f>CM15*CI15</f>
        <v>36.666666666666671</v>
      </c>
      <c r="CM15" s="48">
        <f>CH15-CK15</f>
        <v>44</v>
      </c>
      <c r="CN15" s="165">
        <f>CO15*CI15</f>
        <v>5.8333333333333339</v>
      </c>
      <c r="CO15" s="48">
        <v>7</v>
      </c>
      <c r="CP15" s="165">
        <f>CQ15*CI15</f>
        <v>30.833333333333336</v>
      </c>
      <c r="CQ15" s="48">
        <f>CM15-CO15</f>
        <v>37</v>
      </c>
      <c r="CR15" s="46">
        <v>42428</v>
      </c>
      <c r="CS15" s="46" t="s">
        <v>445</v>
      </c>
      <c r="CT15" s="128">
        <v>40940</v>
      </c>
      <c r="CU15" s="129">
        <v>3866.87</v>
      </c>
      <c r="CV15" s="601">
        <v>1735.6357864192569</v>
      </c>
      <c r="CW15" s="599">
        <v>126.408</v>
      </c>
      <c r="CX15" s="600">
        <v>104.496</v>
      </c>
      <c r="CY15" s="599">
        <f>CW15/CX15</f>
        <v>1.2096922370234269</v>
      </c>
      <c r="CZ15" s="599">
        <f>CV15/CQ15</f>
        <v>46.909075308628566</v>
      </c>
      <c r="DA15" s="598">
        <f>CZ15*CY15</f>
        <v>56.745544246795291</v>
      </c>
      <c r="DB15" s="598">
        <v>28.76</v>
      </c>
      <c r="DC15" s="598">
        <v>28.76</v>
      </c>
      <c r="DD15" s="598">
        <v>28.76</v>
      </c>
      <c r="DE15" s="598">
        <v>28.76</v>
      </c>
      <c r="DF15" s="598">
        <v>28.76</v>
      </c>
      <c r="DG15" s="598">
        <v>28.76</v>
      </c>
      <c r="DH15" s="598">
        <v>28.76</v>
      </c>
      <c r="DI15" s="598">
        <f>SUM(DB15:DH15)</f>
        <v>201.32</v>
      </c>
      <c r="DJ15" s="601">
        <f>CV15-DI15</f>
        <v>1534.3157864192569</v>
      </c>
      <c r="DK15" s="598">
        <v>28.76</v>
      </c>
      <c r="DL15" s="598">
        <v>28.76</v>
      </c>
      <c r="DM15" s="598">
        <v>28.76</v>
      </c>
      <c r="DN15" s="598">
        <v>28.76</v>
      </c>
      <c r="DO15" s="598">
        <v>28.76</v>
      </c>
      <c r="DP15" s="505">
        <f>SUM(DK15:DO15)</f>
        <v>143.80000000000001</v>
      </c>
      <c r="DQ15" s="1085">
        <f>DJ15-DP15</f>
        <v>1390.515786419257</v>
      </c>
      <c r="DR15" s="1086">
        <v>132.28200000000001</v>
      </c>
      <c r="DS15" s="515">
        <v>104.496</v>
      </c>
      <c r="DT15" s="1087">
        <f>DR15/DS15</f>
        <v>1.2659049150206707</v>
      </c>
      <c r="DU15" s="516">
        <f>DQ15/BN15</f>
        <v>37.91971056501928</v>
      </c>
      <c r="DV15" s="516">
        <f>DU15*DT15</f>
        <v>48.002747980419159</v>
      </c>
      <c r="DW15" s="516">
        <v>48.002747980419159</v>
      </c>
      <c r="DX15" s="516">
        <v>48.002747980419159</v>
      </c>
      <c r="DY15" s="516">
        <v>48.002747980419159</v>
      </c>
      <c r="DZ15" s="516">
        <v>48.002747980419159</v>
      </c>
      <c r="EA15" s="516">
        <v>48.002747980419159</v>
      </c>
      <c r="EB15" s="516">
        <v>48.002747980419159</v>
      </c>
      <c r="EC15" s="516">
        <v>48.002747980419159</v>
      </c>
      <c r="ED15" s="516">
        <v>48.002747980419159</v>
      </c>
      <c r="EE15" s="516">
        <v>48.002747980419159</v>
      </c>
      <c r="EF15" s="516">
        <v>48.002747980419159</v>
      </c>
      <c r="EG15" s="516">
        <v>48.002747980419159</v>
      </c>
      <c r="EH15" s="516">
        <v>48.002747980419159</v>
      </c>
      <c r="EI15" s="516">
        <v>48.002747980419159</v>
      </c>
      <c r="EJ15" s="516">
        <v>48.002747980419159</v>
      </c>
      <c r="EK15" s="516">
        <v>48.002747980419159</v>
      </c>
      <c r="EL15" s="516">
        <v>48.002747980419159</v>
      </c>
      <c r="EM15" s="516">
        <v>48.002747980419159</v>
      </c>
      <c r="EN15" s="516">
        <v>48.002747980419159</v>
      </c>
      <c r="EO15" s="516">
        <f>SUM(DW15:EN15)</f>
        <v>864.04946364754471</v>
      </c>
      <c r="EP15" s="1088">
        <f>DQ15-EO15</f>
        <v>526.46632277171227</v>
      </c>
    </row>
    <row r="16" spans="1:146" s="16" customFormat="1" ht="15.75" x14ac:dyDescent="0.25">
      <c r="A16" s="119" t="s">
        <v>151</v>
      </c>
      <c r="B16" s="100" t="s">
        <v>434</v>
      </c>
      <c r="C16" s="45" t="s">
        <v>340</v>
      </c>
      <c r="D16" s="58">
        <v>10</v>
      </c>
      <c r="E16" s="130">
        <v>0.1</v>
      </c>
      <c r="F16" s="46">
        <v>42185</v>
      </c>
      <c r="G16" s="48">
        <v>120</v>
      </c>
      <c r="H16" s="145">
        <f>100/G16</f>
        <v>0.83333333333333337</v>
      </c>
      <c r="I16" s="165">
        <f>H16*J16</f>
        <v>0</v>
      </c>
      <c r="J16" s="48">
        <v>0</v>
      </c>
      <c r="K16" s="165">
        <f>L16*H16</f>
        <v>100</v>
      </c>
      <c r="L16" s="48">
        <f>G16-J16</f>
        <v>120</v>
      </c>
      <c r="M16" s="165">
        <f>N16*H16</f>
        <v>5.8333333333333339</v>
      </c>
      <c r="N16" s="48">
        <v>7</v>
      </c>
      <c r="O16" s="165">
        <f>P16*H16</f>
        <v>94.166666666666671</v>
      </c>
      <c r="P16" s="48">
        <f>L16-N16</f>
        <v>113</v>
      </c>
      <c r="Q16" s="46">
        <v>42428</v>
      </c>
      <c r="R16" s="46" t="s">
        <v>560</v>
      </c>
      <c r="S16" s="128">
        <v>42181</v>
      </c>
      <c r="T16" s="129">
        <v>2320</v>
      </c>
      <c r="U16" s="47">
        <v>2320</v>
      </c>
      <c r="V16" s="106">
        <v>0</v>
      </c>
      <c r="W16" s="165">
        <v>0</v>
      </c>
      <c r="X16" s="57">
        <v>115.958</v>
      </c>
      <c r="Y16" s="80">
        <v>104.496</v>
      </c>
      <c r="Z16" s="57">
        <f>X16/Y16</f>
        <v>1.1096884091257082</v>
      </c>
      <c r="AA16" s="55">
        <f>U16*M16/100/K16*100/7</f>
        <v>19.333333333333336</v>
      </c>
      <c r="AB16" s="55">
        <f>AA16*Z16</f>
        <v>21.453975909763695</v>
      </c>
      <c r="AC16" s="55"/>
      <c r="AD16" s="55"/>
      <c r="AE16" s="55"/>
      <c r="AF16" s="55"/>
      <c r="AG16" s="55"/>
      <c r="AH16" s="55">
        <v>21.45</v>
      </c>
      <c r="AI16" s="55">
        <v>21.45</v>
      </c>
      <c r="AJ16" s="55">
        <v>21.45</v>
      </c>
      <c r="AK16" s="55">
        <v>21.45</v>
      </c>
      <c r="AL16" s="55">
        <v>21.45</v>
      </c>
      <c r="AM16" s="55">
        <v>21.45</v>
      </c>
      <c r="AN16" s="55">
        <v>21.45</v>
      </c>
      <c r="AO16" s="55">
        <f>SUM(AC16:AN16)</f>
        <v>150.14999999999998</v>
      </c>
      <c r="AP16" s="72">
        <f>U16-AO16</f>
        <v>2169.85</v>
      </c>
      <c r="AQ16" s="55"/>
      <c r="AR16" s="55"/>
      <c r="AS16" s="55">
        <f t="shared" ref="AS16:AW21" si="1">$AN16</f>
        <v>21.45</v>
      </c>
      <c r="AT16" s="55">
        <f t="shared" si="1"/>
        <v>21.45</v>
      </c>
      <c r="AU16" s="55">
        <f t="shared" si="1"/>
        <v>21.45</v>
      </c>
      <c r="AV16" s="55">
        <f t="shared" si="1"/>
        <v>21.45</v>
      </c>
      <c r="AW16" s="55">
        <f t="shared" si="1"/>
        <v>21.45</v>
      </c>
      <c r="AX16" s="57">
        <v>118.901</v>
      </c>
      <c r="AY16" s="80">
        <v>104.496</v>
      </c>
      <c r="AZ16" s="57">
        <f>AX16/AY16</f>
        <v>1.1378521665901087</v>
      </c>
      <c r="BA16" s="55">
        <f>T16/(D16*12)</f>
        <v>19.333333333333332</v>
      </c>
      <c r="BB16" s="55">
        <f>BA16*AZ16</f>
        <v>21.998475220742101</v>
      </c>
      <c r="BC16" s="55">
        <f t="shared" si="0"/>
        <v>21.998475220742101</v>
      </c>
      <c r="BD16" s="55">
        <f t="shared" si="0"/>
        <v>21.998475220742101</v>
      </c>
      <c r="BE16" s="55">
        <f t="shared" si="0"/>
        <v>21.998475220742101</v>
      </c>
      <c r="BF16" s="55">
        <f t="shared" si="0"/>
        <v>21.998475220742101</v>
      </c>
      <c r="BG16" s="55">
        <v>22</v>
      </c>
      <c r="BH16" s="55">
        <v>22</v>
      </c>
      <c r="BI16" s="55">
        <v>22</v>
      </c>
      <c r="BJ16" s="55">
        <f>SUM((AS16:AW16),(BC16:BI16))</f>
        <v>261.24390088296843</v>
      </c>
      <c r="BK16" s="601">
        <f>(AP16-BJ16)</f>
        <v>1908.6060991170316</v>
      </c>
      <c r="BL16" s="598">
        <v>22</v>
      </c>
      <c r="BM16" s="598">
        <v>22</v>
      </c>
      <c r="BN16" s="598">
        <v>22</v>
      </c>
      <c r="BO16" s="598">
        <v>22</v>
      </c>
      <c r="BP16" s="598">
        <v>22</v>
      </c>
      <c r="BQ16" s="599">
        <v>118.901</v>
      </c>
      <c r="BR16" s="600">
        <v>104.496</v>
      </c>
      <c r="BS16" s="599">
        <f>BQ16/BR16</f>
        <v>1.1378521665901087</v>
      </c>
      <c r="BT16" s="598"/>
      <c r="BU16" s="598"/>
      <c r="BV16" s="598"/>
      <c r="BW16" s="598"/>
      <c r="BX16" s="598"/>
      <c r="BY16" s="598"/>
      <c r="BZ16" s="598"/>
      <c r="CA16" s="598"/>
      <c r="CB16" s="598"/>
      <c r="CC16" s="598">
        <f>SUM((BL16:BP16),(BV16:CB16))</f>
        <v>110</v>
      </c>
      <c r="CD16" s="601">
        <f>BK16-CC16</f>
        <v>1798.6060991170316</v>
      </c>
      <c r="CE16" s="58">
        <v>10</v>
      </c>
      <c r="CF16" s="130">
        <v>0.1</v>
      </c>
      <c r="CG16" s="46">
        <v>43281</v>
      </c>
      <c r="CH16" s="48">
        <v>120</v>
      </c>
      <c r="CI16" s="145">
        <f>100/CH16</f>
        <v>0.83333333333333337</v>
      </c>
      <c r="CJ16" s="165">
        <f>CI16*CK16</f>
        <v>30</v>
      </c>
      <c r="CK16" s="48">
        <f>(YEAR(CG16)-YEAR(CT16))*12+MONTH(CG16)-MONTH(CT16)</f>
        <v>36</v>
      </c>
      <c r="CL16" s="165">
        <f>CM16*CI16</f>
        <v>70</v>
      </c>
      <c r="CM16" s="48">
        <f>CH16-CK16</f>
        <v>84</v>
      </c>
      <c r="CN16" s="165">
        <f>CO16*CI16</f>
        <v>5.8333333333333339</v>
      </c>
      <c r="CO16" s="48">
        <v>7</v>
      </c>
      <c r="CP16" s="165">
        <f>CQ16*CI16</f>
        <v>64.166666666666671</v>
      </c>
      <c r="CQ16" s="48">
        <f>CM16-CO16</f>
        <v>77</v>
      </c>
      <c r="CR16" s="46">
        <v>42428</v>
      </c>
      <c r="CS16" s="46" t="s">
        <v>560</v>
      </c>
      <c r="CT16" s="128">
        <v>42181</v>
      </c>
      <c r="CU16" s="129">
        <v>2320</v>
      </c>
      <c r="CV16" s="601">
        <v>1798.6060991170316</v>
      </c>
      <c r="CW16" s="599">
        <v>126.408</v>
      </c>
      <c r="CX16" s="600">
        <v>115.958</v>
      </c>
      <c r="CY16" s="599">
        <f>CW16/CX16</f>
        <v>1.0901188361303231</v>
      </c>
      <c r="CZ16" s="599">
        <f>CV16/CQ16</f>
        <v>23.358520767753657</v>
      </c>
      <c r="DA16" s="598">
        <f>CZ16*CY16</f>
        <v>25.463563473069598</v>
      </c>
      <c r="DB16" s="598">
        <v>19.25</v>
      </c>
      <c r="DC16" s="598">
        <v>19.25</v>
      </c>
      <c r="DD16" s="598">
        <v>19.25</v>
      </c>
      <c r="DE16" s="598">
        <v>19.25</v>
      </c>
      <c r="DF16" s="598">
        <v>19.25</v>
      </c>
      <c r="DG16" s="598">
        <v>19.25</v>
      </c>
      <c r="DH16" s="598">
        <v>19.25</v>
      </c>
      <c r="DI16" s="598">
        <f>SUM(DB16:DH16)</f>
        <v>134.75</v>
      </c>
      <c r="DJ16" s="601">
        <f>CV16-DI16</f>
        <v>1663.8560991170316</v>
      </c>
      <c r="DK16" s="598">
        <v>19.25</v>
      </c>
      <c r="DL16" s="598">
        <v>19.25</v>
      </c>
      <c r="DM16" s="598">
        <v>19.25</v>
      </c>
      <c r="DN16" s="598">
        <v>19.25</v>
      </c>
      <c r="DO16" s="598">
        <v>19.25</v>
      </c>
      <c r="DP16" s="505">
        <f t="shared" ref="DP16:DP31" si="2">SUM(DK16:DO16)</f>
        <v>96.25</v>
      </c>
      <c r="DQ16" s="1085">
        <f t="shared" ref="DQ16:DQ31" si="3">DJ16-DP16</f>
        <v>1567.6060991170316</v>
      </c>
      <c r="DR16" s="1086">
        <v>132.28200000000001</v>
      </c>
      <c r="DS16" s="515">
        <v>115.958</v>
      </c>
      <c r="DT16" s="1087">
        <f>DR16/DS16</f>
        <v>1.1407751082288415</v>
      </c>
      <c r="DU16" s="516">
        <f>DQ16/BN16</f>
        <v>71.254822687137803</v>
      </c>
      <c r="DV16" s="516">
        <f>DU16*DT16</f>
        <v>81.285728062746543</v>
      </c>
      <c r="DW16" s="516">
        <v>81.285728062746543</v>
      </c>
      <c r="DX16" s="516">
        <v>81.285728062746543</v>
      </c>
      <c r="DY16" s="516">
        <v>81.285728062746543</v>
      </c>
      <c r="DZ16" s="516">
        <v>81.285728062746543</v>
      </c>
      <c r="EA16" s="516">
        <v>81.285728062746543</v>
      </c>
      <c r="EB16" s="516">
        <v>81.285728062746543</v>
      </c>
      <c r="EC16" s="516">
        <v>81.285728062746543</v>
      </c>
      <c r="ED16" s="516">
        <v>81.285728062746543</v>
      </c>
      <c r="EE16" s="516">
        <v>81.285728062746543</v>
      </c>
      <c r="EF16" s="516">
        <v>81.285728062746543</v>
      </c>
      <c r="EG16" s="516">
        <v>81.285728062746543</v>
      </c>
      <c r="EH16" s="516">
        <v>81.285728062746543</v>
      </c>
      <c r="EI16" s="516">
        <v>81.285728062746543</v>
      </c>
      <c r="EJ16" s="516">
        <v>81.285728062746543</v>
      </c>
      <c r="EK16" s="516">
        <v>81.285728062746543</v>
      </c>
      <c r="EL16" s="516">
        <v>81.285728062746543</v>
      </c>
      <c r="EM16" s="516">
        <v>81.285728062746543</v>
      </c>
      <c r="EN16" s="516">
        <v>81.285728062746543</v>
      </c>
      <c r="EO16" s="516">
        <f t="shared" ref="EO16:EO31" si="4">SUM(DW16:EN16)</f>
        <v>1463.1431051294378</v>
      </c>
      <c r="EP16" s="1088">
        <f>DQ16-EO16</f>
        <v>104.46299398759379</v>
      </c>
    </row>
    <row r="17" spans="1:147" s="16" customFormat="1" ht="15.75" x14ac:dyDescent="0.25">
      <c r="A17" s="119" t="s">
        <v>151</v>
      </c>
      <c r="B17" s="100" t="s">
        <v>563</v>
      </c>
      <c r="C17" s="45" t="s">
        <v>340</v>
      </c>
      <c r="D17" s="58">
        <v>10</v>
      </c>
      <c r="E17" s="130">
        <v>0.1</v>
      </c>
      <c r="F17" s="46">
        <v>42185</v>
      </c>
      <c r="G17" s="48">
        <v>120</v>
      </c>
      <c r="H17" s="145">
        <f>100/G17</f>
        <v>0.83333333333333337</v>
      </c>
      <c r="I17" s="165">
        <f>H17*J17</f>
        <v>0</v>
      </c>
      <c r="J17" s="48">
        <v>0</v>
      </c>
      <c r="K17" s="165">
        <f>L17*H17</f>
        <v>100</v>
      </c>
      <c r="L17" s="48">
        <f>G17-J17</f>
        <v>120</v>
      </c>
      <c r="M17" s="165">
        <f>N17*H17</f>
        <v>5.8333333333333339</v>
      </c>
      <c r="N17" s="48">
        <v>7</v>
      </c>
      <c r="O17" s="165">
        <f>P17*H17</f>
        <v>94.166666666666671</v>
      </c>
      <c r="P17" s="48">
        <f>L17-N17</f>
        <v>113</v>
      </c>
      <c r="Q17" s="46">
        <v>42428</v>
      </c>
      <c r="R17" s="46" t="s">
        <v>491</v>
      </c>
      <c r="S17" s="128">
        <v>42058</v>
      </c>
      <c r="T17" s="129">
        <v>2088</v>
      </c>
      <c r="U17" s="47">
        <v>2088</v>
      </c>
      <c r="V17" s="106">
        <v>0</v>
      </c>
      <c r="W17" s="165">
        <v>0</v>
      </c>
      <c r="X17" s="57">
        <v>115.958</v>
      </c>
      <c r="Y17" s="80">
        <v>104.496</v>
      </c>
      <c r="Z17" s="57">
        <f>X17/Y17</f>
        <v>1.1096884091257082</v>
      </c>
      <c r="AA17" s="55">
        <f>U17*M17/100/K17*100/7</f>
        <v>17.400000000000002</v>
      </c>
      <c r="AB17" s="55">
        <f>AA17*Z17</f>
        <v>19.308578318787326</v>
      </c>
      <c r="AC17" s="55"/>
      <c r="AD17" s="55"/>
      <c r="AE17" s="55"/>
      <c r="AF17" s="55"/>
      <c r="AG17" s="55"/>
      <c r="AH17" s="55">
        <v>19.309999999999999</v>
      </c>
      <c r="AI17" s="55">
        <v>19.309999999999999</v>
      </c>
      <c r="AJ17" s="55">
        <v>19.309999999999999</v>
      </c>
      <c r="AK17" s="55">
        <v>19.309999999999999</v>
      </c>
      <c r="AL17" s="55">
        <v>19.309999999999999</v>
      </c>
      <c r="AM17" s="55">
        <v>19.309999999999999</v>
      </c>
      <c r="AN17" s="55">
        <v>19.309999999999999</v>
      </c>
      <c r="AO17" s="55">
        <f>SUM(AC17:AN17)</f>
        <v>135.16999999999999</v>
      </c>
      <c r="AP17" s="72">
        <f>U17-AO17</f>
        <v>1952.83</v>
      </c>
      <c r="AQ17" s="55"/>
      <c r="AR17" s="55"/>
      <c r="AS17" s="55">
        <f t="shared" si="1"/>
        <v>19.309999999999999</v>
      </c>
      <c r="AT17" s="55">
        <f t="shared" si="1"/>
        <v>19.309999999999999</v>
      </c>
      <c r="AU17" s="55">
        <f t="shared" si="1"/>
        <v>19.309999999999999</v>
      </c>
      <c r="AV17" s="55">
        <f t="shared" si="1"/>
        <v>19.309999999999999</v>
      </c>
      <c r="AW17" s="55">
        <f t="shared" si="1"/>
        <v>19.309999999999999</v>
      </c>
      <c r="AX17" s="57">
        <v>118.901</v>
      </c>
      <c r="AY17" s="80">
        <v>104.496</v>
      </c>
      <c r="AZ17" s="57">
        <f>AX17/AY17</f>
        <v>1.1378521665901087</v>
      </c>
      <c r="BA17" s="55">
        <f>T17/(D17*12)</f>
        <v>17.399999999999999</v>
      </c>
      <c r="BB17" s="55">
        <f>BA17*AZ17</f>
        <v>19.79862769866789</v>
      </c>
      <c r="BC17" s="55">
        <f t="shared" si="0"/>
        <v>19.79862769866789</v>
      </c>
      <c r="BD17" s="55">
        <f t="shared" si="0"/>
        <v>19.79862769866789</v>
      </c>
      <c r="BE17" s="55">
        <f t="shared" si="0"/>
        <v>19.79862769866789</v>
      </c>
      <c r="BF17" s="55">
        <f t="shared" si="0"/>
        <v>19.79862769866789</v>
      </c>
      <c r="BG17" s="55">
        <v>19.8</v>
      </c>
      <c r="BH17" s="55">
        <v>19.8</v>
      </c>
      <c r="BI17" s="55">
        <v>19.8</v>
      </c>
      <c r="BJ17" s="55">
        <f>SUM((AS17:AW17),(BC17:BI17))</f>
        <v>235.14451079467162</v>
      </c>
      <c r="BK17" s="601">
        <f>(AP17-BJ17)</f>
        <v>1717.6854892053284</v>
      </c>
      <c r="BL17" s="598">
        <v>19.8</v>
      </c>
      <c r="BM17" s="598">
        <v>19.8</v>
      </c>
      <c r="BN17" s="598">
        <v>19.8</v>
      </c>
      <c r="BO17" s="598">
        <v>19.8</v>
      </c>
      <c r="BP17" s="598">
        <v>19.8</v>
      </c>
      <c r="BQ17" s="599">
        <v>118.901</v>
      </c>
      <c r="BR17" s="600">
        <v>104.496</v>
      </c>
      <c r="BS17" s="599">
        <f>BQ17/BR17</f>
        <v>1.1378521665901087</v>
      </c>
      <c r="BT17" s="598"/>
      <c r="BU17" s="598"/>
      <c r="BV17" s="598"/>
      <c r="BW17" s="598"/>
      <c r="BX17" s="598"/>
      <c r="BY17" s="598"/>
      <c r="BZ17" s="598"/>
      <c r="CA17" s="598"/>
      <c r="CB17" s="598"/>
      <c r="CC17" s="598">
        <f>SUM((BL17:BP17),(BV17:CB17))</f>
        <v>99</v>
      </c>
      <c r="CD17" s="601">
        <f>BK17-CC17</f>
        <v>1618.6854892053284</v>
      </c>
      <c r="CE17" s="58">
        <v>10</v>
      </c>
      <c r="CF17" s="130">
        <v>0.1</v>
      </c>
      <c r="CG17" s="46">
        <v>43281</v>
      </c>
      <c r="CH17" s="48">
        <v>120</v>
      </c>
      <c r="CI17" s="145">
        <f>100/CH17</f>
        <v>0.83333333333333337</v>
      </c>
      <c r="CJ17" s="165">
        <f>CI17*CK17</f>
        <v>33.333333333333336</v>
      </c>
      <c r="CK17" s="48">
        <f>(YEAR(CG17)-YEAR(CT17))*12+MONTH(CG17)-MONTH(CT17)</f>
        <v>40</v>
      </c>
      <c r="CL17" s="165">
        <f>CM17*CI17</f>
        <v>66.666666666666671</v>
      </c>
      <c r="CM17" s="48">
        <f>CH17-CK17</f>
        <v>80</v>
      </c>
      <c r="CN17" s="165">
        <f>CO17*CI17</f>
        <v>5.8333333333333339</v>
      </c>
      <c r="CO17" s="48">
        <v>7</v>
      </c>
      <c r="CP17" s="165">
        <f>CQ17*CI17</f>
        <v>60.833333333333336</v>
      </c>
      <c r="CQ17" s="48">
        <f>CM17-CO17</f>
        <v>73</v>
      </c>
      <c r="CR17" s="46">
        <v>42428</v>
      </c>
      <c r="CS17" s="46" t="s">
        <v>491</v>
      </c>
      <c r="CT17" s="128">
        <v>42058</v>
      </c>
      <c r="CU17" s="129">
        <v>2088</v>
      </c>
      <c r="CV17" s="601">
        <v>1618.6854892053284</v>
      </c>
      <c r="CW17" s="599">
        <v>126.408</v>
      </c>
      <c r="CX17" s="600">
        <v>116.345</v>
      </c>
      <c r="CY17" s="599">
        <f>CW17/CX17</f>
        <v>1.0864927586058706</v>
      </c>
      <c r="CZ17" s="599">
        <f>CV17/CQ17</f>
        <v>22.173773824730524</v>
      </c>
      <c r="DA17" s="598">
        <f>CZ17*CY17</f>
        <v>24.091644691534114</v>
      </c>
      <c r="DB17" s="598">
        <v>17.329999999999998</v>
      </c>
      <c r="DC17" s="598">
        <v>17.329999999999998</v>
      </c>
      <c r="DD17" s="598">
        <v>17.329999999999998</v>
      </c>
      <c r="DE17" s="598">
        <v>17.329999999999998</v>
      </c>
      <c r="DF17" s="598">
        <v>17.329999999999998</v>
      </c>
      <c r="DG17" s="598">
        <v>17.329999999999998</v>
      </c>
      <c r="DH17" s="598">
        <v>17.329999999999998</v>
      </c>
      <c r="DI17" s="598">
        <f>SUM(DB17:DH17)</f>
        <v>121.30999999999999</v>
      </c>
      <c r="DJ17" s="601">
        <f>CV17-DI17</f>
        <v>1497.3754892053284</v>
      </c>
      <c r="DK17" s="598">
        <v>17.329999999999998</v>
      </c>
      <c r="DL17" s="598">
        <v>17.329999999999998</v>
      </c>
      <c r="DM17" s="598">
        <v>17.329999999999998</v>
      </c>
      <c r="DN17" s="598">
        <v>17.329999999999998</v>
      </c>
      <c r="DO17" s="598">
        <v>17.329999999999998</v>
      </c>
      <c r="DP17" s="505">
        <f t="shared" si="2"/>
        <v>86.649999999999991</v>
      </c>
      <c r="DQ17" s="1085">
        <f t="shared" si="3"/>
        <v>1410.7254892053284</v>
      </c>
      <c r="DR17" s="1086">
        <v>132.28200000000001</v>
      </c>
      <c r="DS17" s="515">
        <v>116.345</v>
      </c>
      <c r="DT17" s="1087">
        <f>DR17/DS17</f>
        <v>1.1369805320383344</v>
      </c>
      <c r="DU17" s="516">
        <f>DQ17/BN17</f>
        <v>71.248762081077189</v>
      </c>
      <c r="DV17" s="516">
        <f>DU17*DT17</f>
        <v>81.008455418015842</v>
      </c>
      <c r="DW17" s="516">
        <v>81.008455418015842</v>
      </c>
      <c r="DX17" s="516">
        <v>81.008455418015842</v>
      </c>
      <c r="DY17" s="516">
        <v>81.008455418015842</v>
      </c>
      <c r="DZ17" s="516">
        <v>81.008455418015842</v>
      </c>
      <c r="EA17" s="516">
        <v>81.008455418015842</v>
      </c>
      <c r="EB17" s="516">
        <v>81.008455418015842</v>
      </c>
      <c r="EC17" s="516">
        <v>81.008455418015842</v>
      </c>
      <c r="ED17" s="516">
        <v>81.008455418015842</v>
      </c>
      <c r="EE17" s="516">
        <v>81.008455418015842</v>
      </c>
      <c r="EF17" s="516">
        <v>81.008455418015842</v>
      </c>
      <c r="EG17" s="516">
        <v>81.008455418015842</v>
      </c>
      <c r="EH17" s="516">
        <v>81.008455418015842</v>
      </c>
      <c r="EI17" s="516">
        <v>81.008455418015842</v>
      </c>
      <c r="EJ17" s="516">
        <v>81.008455418015842</v>
      </c>
      <c r="EK17" s="516">
        <v>81.008455418015842</v>
      </c>
      <c r="EL17" s="516">
        <v>81.008455418015842</v>
      </c>
      <c r="EM17" s="516">
        <v>81.008455418015842</v>
      </c>
      <c r="EN17" s="516">
        <v>32.58</v>
      </c>
      <c r="EO17" s="516">
        <f t="shared" si="4"/>
        <v>1409.7237421062687</v>
      </c>
      <c r="EP17" s="1088">
        <f>DQ17-EO17</f>
        <v>1.0017470990596848</v>
      </c>
    </row>
    <row r="18" spans="1:147" s="16" customFormat="1" ht="15.75" x14ac:dyDescent="0.25">
      <c r="A18" s="120" t="s">
        <v>71</v>
      </c>
      <c r="B18" s="120"/>
      <c r="C18" s="124"/>
      <c r="D18" s="111"/>
      <c r="E18" s="130"/>
      <c r="F18" s="46"/>
      <c r="G18" s="48"/>
      <c r="H18" s="145"/>
      <c r="I18" s="165"/>
      <c r="J18" s="48"/>
      <c r="K18" s="165"/>
      <c r="L18" s="48"/>
      <c r="M18" s="165"/>
      <c r="N18" s="48"/>
      <c r="O18" s="165"/>
      <c r="P18" s="48"/>
      <c r="Q18" s="46"/>
      <c r="R18" s="46"/>
      <c r="S18" s="119"/>
      <c r="T18" s="7"/>
      <c r="U18" s="47"/>
      <c r="V18" s="106"/>
      <c r="W18" s="165"/>
      <c r="X18" s="57"/>
      <c r="Y18" s="83"/>
      <c r="Z18" s="57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72"/>
      <c r="AQ18" s="55"/>
      <c r="AR18" s="55"/>
      <c r="AS18" s="55">
        <f t="shared" si="1"/>
        <v>0</v>
      </c>
      <c r="AT18" s="55">
        <f t="shared" si="1"/>
        <v>0</v>
      </c>
      <c r="AU18" s="55">
        <f t="shared" si="1"/>
        <v>0</v>
      </c>
      <c r="AV18" s="55">
        <f t="shared" si="1"/>
        <v>0</v>
      </c>
      <c r="AW18" s="55">
        <f t="shared" si="1"/>
        <v>0</v>
      </c>
      <c r="AX18" s="57"/>
      <c r="AY18" s="83"/>
      <c r="AZ18" s="57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601"/>
      <c r="BL18" s="598"/>
      <c r="BM18" s="598"/>
      <c r="BN18" s="598"/>
      <c r="BO18" s="598"/>
      <c r="BP18" s="598"/>
      <c r="BQ18" s="599"/>
      <c r="BR18" s="605"/>
      <c r="BS18" s="599"/>
      <c r="BT18" s="598"/>
      <c r="BU18" s="598"/>
      <c r="BV18" s="598"/>
      <c r="BW18" s="598"/>
      <c r="BX18" s="598"/>
      <c r="BY18" s="598"/>
      <c r="BZ18" s="598"/>
      <c r="CA18" s="598"/>
      <c r="CB18" s="598"/>
      <c r="CC18" s="598"/>
      <c r="CD18" s="601"/>
      <c r="CE18" s="111"/>
      <c r="CF18" s="130"/>
      <c r="CG18" s="46"/>
      <c r="CH18" s="48"/>
      <c r="CI18" s="145"/>
      <c r="CJ18" s="165"/>
      <c r="CK18" s="48"/>
      <c r="CL18" s="165"/>
      <c r="CM18" s="48"/>
      <c r="CN18" s="165"/>
      <c r="CO18" s="48"/>
      <c r="CP18" s="165"/>
      <c r="CQ18" s="48"/>
      <c r="CR18" s="46"/>
      <c r="CS18" s="46"/>
      <c r="CT18" s="119"/>
      <c r="CU18" s="7"/>
      <c r="CV18" s="601"/>
      <c r="CW18" s="599"/>
      <c r="CX18" s="605"/>
      <c r="CY18" s="599"/>
      <c r="CZ18" s="599"/>
      <c r="DA18" s="598"/>
      <c r="DB18" s="598"/>
      <c r="DC18" s="598"/>
      <c r="DD18" s="598"/>
      <c r="DE18" s="598"/>
      <c r="DF18" s="598"/>
      <c r="DG18" s="598"/>
      <c r="DH18" s="598"/>
      <c r="DI18" s="598"/>
      <c r="DJ18" s="601"/>
      <c r="DK18" s="598"/>
      <c r="DL18" s="598"/>
      <c r="DM18" s="598"/>
      <c r="DN18" s="598"/>
      <c r="DO18" s="598"/>
      <c r="DP18" s="505"/>
      <c r="DQ18" s="1085"/>
      <c r="DR18" s="514"/>
      <c r="DS18" s="518"/>
      <c r="DT18" s="1087"/>
      <c r="DU18" s="516"/>
      <c r="DV18" s="516"/>
      <c r="DW18" s="516"/>
      <c r="DX18" s="516"/>
      <c r="DY18" s="516"/>
      <c r="DZ18" s="516"/>
      <c r="EA18" s="516"/>
      <c r="EB18" s="516"/>
      <c r="EC18" s="516"/>
      <c r="ED18" s="516"/>
      <c r="EE18" s="516"/>
      <c r="EF18" s="516"/>
      <c r="EG18" s="516"/>
      <c r="EH18" s="516"/>
      <c r="EI18" s="516"/>
      <c r="EJ18" s="516"/>
      <c r="EK18" s="516"/>
      <c r="EL18" s="516"/>
      <c r="EM18" s="516"/>
      <c r="EN18" s="516"/>
      <c r="EO18" s="516">
        <f t="shared" si="4"/>
        <v>0</v>
      </c>
      <c r="EP18" s="516"/>
    </row>
    <row r="19" spans="1:147" s="16" customFormat="1" ht="15.75" x14ac:dyDescent="0.25">
      <c r="A19" s="120" t="s">
        <v>561</v>
      </c>
      <c r="B19" s="100"/>
      <c r="C19" s="45"/>
      <c r="D19" s="58"/>
      <c r="E19" s="130"/>
      <c r="F19" s="46"/>
      <c r="G19" s="48"/>
      <c r="H19" s="145"/>
      <c r="I19" s="165"/>
      <c r="J19" s="48"/>
      <c r="K19" s="165"/>
      <c r="L19" s="48"/>
      <c r="M19" s="165"/>
      <c r="N19" s="48"/>
      <c r="O19" s="165"/>
      <c r="P19" s="48"/>
      <c r="Q19" s="48"/>
      <c r="R19" s="119"/>
      <c r="S19" s="128"/>
      <c r="T19" s="129"/>
      <c r="U19" s="14"/>
      <c r="V19" s="106"/>
      <c r="W19" s="66"/>
      <c r="X19" s="57"/>
      <c r="Y19" s="80"/>
      <c r="Z19" s="57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72"/>
      <c r="AQ19" s="55"/>
      <c r="AR19" s="55"/>
      <c r="AS19" s="55">
        <f t="shared" si="1"/>
        <v>0</v>
      </c>
      <c r="AT19" s="55">
        <f t="shared" si="1"/>
        <v>0</v>
      </c>
      <c r="AU19" s="55">
        <f t="shared" si="1"/>
        <v>0</v>
      </c>
      <c r="AV19" s="55">
        <f t="shared" si="1"/>
        <v>0</v>
      </c>
      <c r="AW19" s="55">
        <f t="shared" si="1"/>
        <v>0</v>
      </c>
      <c r="AX19" s="57"/>
      <c r="AY19" s="80"/>
      <c r="AZ19" s="57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601"/>
      <c r="BL19" s="598"/>
      <c r="BM19" s="598"/>
      <c r="BN19" s="598"/>
      <c r="BO19" s="598"/>
      <c r="BP19" s="598"/>
      <c r="BQ19" s="599"/>
      <c r="BR19" s="600"/>
      <c r="BS19" s="599"/>
      <c r="BT19" s="598"/>
      <c r="BU19" s="598"/>
      <c r="BV19" s="598"/>
      <c r="BW19" s="598"/>
      <c r="BX19" s="598"/>
      <c r="BY19" s="598"/>
      <c r="BZ19" s="598"/>
      <c r="CA19" s="598"/>
      <c r="CB19" s="598"/>
      <c r="CC19" s="598"/>
      <c r="CD19" s="601"/>
      <c r="CE19" s="58"/>
      <c r="CF19" s="130"/>
      <c r="CG19" s="46"/>
      <c r="CH19" s="48"/>
      <c r="CI19" s="145"/>
      <c r="CJ19" s="165"/>
      <c r="CK19" s="48"/>
      <c r="CL19" s="165"/>
      <c r="CM19" s="48"/>
      <c r="CN19" s="165"/>
      <c r="CO19" s="48"/>
      <c r="CP19" s="165"/>
      <c r="CQ19" s="48"/>
      <c r="CR19" s="48"/>
      <c r="CS19" s="119"/>
      <c r="CT19" s="128"/>
      <c r="CU19" s="129"/>
      <c r="CV19" s="601"/>
      <c r="CW19" s="599"/>
      <c r="CX19" s="600"/>
      <c r="CY19" s="599"/>
      <c r="CZ19" s="599"/>
      <c r="DA19" s="598"/>
      <c r="DB19" s="598"/>
      <c r="DC19" s="598"/>
      <c r="DD19" s="598"/>
      <c r="DE19" s="598"/>
      <c r="DF19" s="598"/>
      <c r="DG19" s="598"/>
      <c r="DH19" s="598"/>
      <c r="DI19" s="598"/>
      <c r="DJ19" s="601"/>
      <c r="DK19" s="598"/>
      <c r="DL19" s="598"/>
      <c r="DM19" s="598"/>
      <c r="DN19" s="598"/>
      <c r="DO19" s="598"/>
      <c r="DP19" s="505"/>
      <c r="DQ19" s="1085"/>
      <c r="DR19" s="520"/>
      <c r="DS19" s="515"/>
      <c r="DT19" s="1087"/>
      <c r="DU19" s="516"/>
      <c r="DV19" s="516"/>
      <c r="DW19" s="516"/>
      <c r="DX19" s="516"/>
      <c r="DY19" s="516"/>
      <c r="DZ19" s="516"/>
      <c r="EA19" s="516"/>
      <c r="EB19" s="516"/>
      <c r="EC19" s="516"/>
      <c r="ED19" s="516"/>
      <c r="EE19" s="516"/>
      <c r="EF19" s="516"/>
      <c r="EG19" s="516"/>
      <c r="EH19" s="516"/>
      <c r="EI19" s="516"/>
      <c r="EJ19" s="516"/>
      <c r="EK19" s="516"/>
      <c r="EL19" s="516"/>
      <c r="EM19" s="516"/>
      <c r="EN19" s="516"/>
      <c r="EO19" s="516">
        <f t="shared" si="4"/>
        <v>0</v>
      </c>
      <c r="EP19" s="516"/>
    </row>
    <row r="20" spans="1:147" s="16" customFormat="1" ht="15.75" x14ac:dyDescent="0.25">
      <c r="A20" s="119" t="s">
        <v>435</v>
      </c>
      <c r="B20" s="100" t="s">
        <v>562</v>
      </c>
      <c r="C20" s="45" t="s">
        <v>340</v>
      </c>
      <c r="D20" s="58">
        <v>10</v>
      </c>
      <c r="E20" s="130">
        <v>0.1</v>
      </c>
      <c r="F20" s="46">
        <v>42185</v>
      </c>
      <c r="G20" s="48">
        <v>120</v>
      </c>
      <c r="H20" s="145">
        <f>100/G20</f>
        <v>0.83333333333333337</v>
      </c>
      <c r="I20" s="165">
        <f>H20*J20</f>
        <v>4.166666666666667</v>
      </c>
      <c r="J20" s="48">
        <f>(YEAR(F20)-YEAR(S20))*12+MONTH(F20)-MONTH(S20)</f>
        <v>5</v>
      </c>
      <c r="K20" s="165">
        <f>L20*H20</f>
        <v>95.833333333333343</v>
      </c>
      <c r="L20" s="48">
        <f>G20-J20</f>
        <v>115</v>
      </c>
      <c r="M20" s="165">
        <f>N20*H20</f>
        <v>5.8333333333333339</v>
      </c>
      <c r="N20" s="48">
        <v>7</v>
      </c>
      <c r="O20" s="165">
        <f>P20*H20</f>
        <v>90</v>
      </c>
      <c r="P20" s="48">
        <f>L20-N20</f>
        <v>108</v>
      </c>
      <c r="Q20" s="48"/>
      <c r="R20" s="119" t="s">
        <v>454</v>
      </c>
      <c r="S20" s="128">
        <v>42016</v>
      </c>
      <c r="T20" s="129">
        <v>1276</v>
      </c>
      <c r="U20" s="47">
        <v>1276</v>
      </c>
      <c r="V20" s="106">
        <v>0</v>
      </c>
      <c r="W20" s="165">
        <v>0</v>
      </c>
      <c r="X20" s="57">
        <v>115.958</v>
      </c>
      <c r="Y20" s="80">
        <v>117.16200000000001</v>
      </c>
      <c r="Z20" s="57">
        <f>X20/Y20</f>
        <v>0.98972363052866963</v>
      </c>
      <c r="AA20" s="55">
        <f>U20*M20/100/K20*100/7</f>
        <v>11.095652173913042</v>
      </c>
      <c r="AB20" s="55">
        <f>AA20*Z20</f>
        <v>10.981629152648541</v>
      </c>
      <c r="AC20" s="55"/>
      <c r="AD20" s="55"/>
      <c r="AE20" s="55"/>
      <c r="AF20" s="55"/>
      <c r="AG20" s="55"/>
      <c r="AH20" s="55">
        <v>10.98</v>
      </c>
      <c r="AI20" s="55">
        <v>10.98</v>
      </c>
      <c r="AJ20" s="55">
        <v>10.98</v>
      </c>
      <c r="AK20" s="55">
        <v>10.98</v>
      </c>
      <c r="AL20" s="55">
        <v>10.98</v>
      </c>
      <c r="AM20" s="55">
        <v>10.98</v>
      </c>
      <c r="AN20" s="55">
        <v>10.98</v>
      </c>
      <c r="AO20" s="55">
        <f>SUM(AC20:AN20)</f>
        <v>76.860000000000014</v>
      </c>
      <c r="AP20" s="72">
        <f>U20-AO20</f>
        <v>1199.1399999999999</v>
      </c>
      <c r="AQ20" s="55"/>
      <c r="AR20" s="55"/>
      <c r="AS20" s="55">
        <f t="shared" si="1"/>
        <v>10.98</v>
      </c>
      <c r="AT20" s="55">
        <f t="shared" si="1"/>
        <v>10.98</v>
      </c>
      <c r="AU20" s="55">
        <f t="shared" si="1"/>
        <v>10.98</v>
      </c>
      <c r="AV20" s="55">
        <f t="shared" si="1"/>
        <v>10.98</v>
      </c>
      <c r="AW20" s="55">
        <f t="shared" si="1"/>
        <v>10.98</v>
      </c>
      <c r="AX20" s="57">
        <v>118.901</v>
      </c>
      <c r="AY20" s="80">
        <v>117.16200000000001</v>
      </c>
      <c r="AZ20" s="57">
        <f>AX20/AY20</f>
        <v>1.0148426964374113</v>
      </c>
      <c r="BA20" s="55">
        <f>T20/(D20*12)</f>
        <v>10.633333333333333</v>
      </c>
      <c r="BB20" s="55">
        <f>BA20*AZ20</f>
        <v>10.791160672117806</v>
      </c>
      <c r="BC20" s="55">
        <f t="shared" ref="BC20:BF21" si="5">$BB20</f>
        <v>10.791160672117806</v>
      </c>
      <c r="BD20" s="55">
        <f t="shared" si="5"/>
        <v>10.791160672117806</v>
      </c>
      <c r="BE20" s="55">
        <f t="shared" si="5"/>
        <v>10.791160672117806</v>
      </c>
      <c r="BF20" s="55">
        <f t="shared" si="5"/>
        <v>10.791160672117806</v>
      </c>
      <c r="BG20" s="55">
        <v>10.79</v>
      </c>
      <c r="BH20" s="55">
        <v>10.79</v>
      </c>
      <c r="BI20" s="55">
        <v>10.79</v>
      </c>
      <c r="BJ20" s="55">
        <f>SUM((AS20:AW20),(BC20:BI20))</f>
        <v>130.43464268847123</v>
      </c>
      <c r="BK20" s="601">
        <f>(AP20-BJ20)</f>
        <v>1068.7053573115286</v>
      </c>
      <c r="BL20" s="598">
        <v>10.79</v>
      </c>
      <c r="BM20" s="598">
        <v>10.79</v>
      </c>
      <c r="BN20" s="598">
        <v>10.79</v>
      </c>
      <c r="BO20" s="598">
        <v>10.79</v>
      </c>
      <c r="BP20" s="598">
        <v>10.79</v>
      </c>
      <c r="BQ20" s="599">
        <v>118.901</v>
      </c>
      <c r="BR20" s="600">
        <v>117.16200000000001</v>
      </c>
      <c r="BS20" s="599">
        <f>BQ20/BR20</f>
        <v>1.0148426964374113</v>
      </c>
      <c r="BT20" s="598"/>
      <c r="BU20" s="598"/>
      <c r="BV20" s="598"/>
      <c r="BW20" s="598"/>
      <c r="BX20" s="598"/>
      <c r="BY20" s="598"/>
      <c r="BZ20" s="598"/>
      <c r="CA20" s="598"/>
      <c r="CB20" s="598"/>
      <c r="CC20" s="598">
        <f>SUM((BL20:BP20),(BV20:CB20))</f>
        <v>53.949999999999996</v>
      </c>
      <c r="CD20" s="601">
        <f>BK20-CC20</f>
        <v>1014.7553573115285</v>
      </c>
      <c r="CE20" s="58">
        <v>10</v>
      </c>
      <c r="CF20" s="130">
        <v>0.1</v>
      </c>
      <c r="CG20" s="46">
        <v>43281</v>
      </c>
      <c r="CH20" s="48">
        <v>120</v>
      </c>
      <c r="CI20" s="145">
        <f>100/CH20</f>
        <v>0.83333333333333337</v>
      </c>
      <c r="CJ20" s="165">
        <f>CI20*CK20</f>
        <v>34.166666666666671</v>
      </c>
      <c r="CK20" s="48">
        <f>(YEAR(CG20)-YEAR(CT20))*12+MONTH(CG20)-MONTH(CT20)</f>
        <v>41</v>
      </c>
      <c r="CL20" s="165">
        <f>CM20*CI20</f>
        <v>65.833333333333343</v>
      </c>
      <c r="CM20" s="48">
        <f>CH20-CK20</f>
        <v>79</v>
      </c>
      <c r="CN20" s="165">
        <f>CO20*CI20</f>
        <v>5.8333333333333339</v>
      </c>
      <c r="CO20" s="48">
        <v>7</v>
      </c>
      <c r="CP20" s="165">
        <f>CQ20*CI20</f>
        <v>60</v>
      </c>
      <c r="CQ20" s="48">
        <f>CM20-CO20</f>
        <v>72</v>
      </c>
      <c r="CR20" s="48"/>
      <c r="CS20" s="119" t="s">
        <v>454</v>
      </c>
      <c r="CT20" s="128">
        <v>42016</v>
      </c>
      <c r="CU20" s="129">
        <v>1276</v>
      </c>
      <c r="CV20" s="601">
        <v>1014.7553573115285</v>
      </c>
      <c r="CW20" s="599">
        <v>126.408</v>
      </c>
      <c r="CX20" s="600">
        <v>115.95399999999999</v>
      </c>
      <c r="CY20" s="599">
        <f>CW20/CX20</f>
        <v>1.0901564413474309</v>
      </c>
      <c r="CZ20" s="599">
        <f>CV20/CQ20</f>
        <v>14.093824407104563</v>
      </c>
      <c r="DA20" s="598">
        <f>CZ20*CY20</f>
        <v>15.364473460624676</v>
      </c>
      <c r="DB20" s="598">
        <v>10.029999999999999</v>
      </c>
      <c r="DC20" s="598">
        <v>10.029999999999999</v>
      </c>
      <c r="DD20" s="598">
        <v>10.029999999999999</v>
      </c>
      <c r="DE20" s="598">
        <v>10.029999999999999</v>
      </c>
      <c r="DF20" s="598">
        <v>10.029999999999999</v>
      </c>
      <c r="DG20" s="598">
        <v>10.029999999999999</v>
      </c>
      <c r="DH20" s="598">
        <v>10.029999999999999</v>
      </c>
      <c r="DI20" s="598">
        <f>SUM(DB20:DH20)</f>
        <v>70.209999999999994</v>
      </c>
      <c r="DJ20" s="601">
        <f>CV20-DI20</f>
        <v>944.54535731152851</v>
      </c>
      <c r="DK20" s="598">
        <v>10.029999999999999</v>
      </c>
      <c r="DL20" s="598">
        <v>10.029999999999999</v>
      </c>
      <c r="DM20" s="598">
        <v>10.029999999999999</v>
      </c>
      <c r="DN20" s="598">
        <v>10.029999999999999</v>
      </c>
      <c r="DO20" s="598">
        <v>10.029999999999999</v>
      </c>
      <c r="DP20" s="505">
        <f t="shared" si="2"/>
        <v>50.15</v>
      </c>
      <c r="DQ20" s="1085">
        <f t="shared" si="3"/>
        <v>894.39535731152853</v>
      </c>
      <c r="DR20" s="1086">
        <v>132.28200000000001</v>
      </c>
      <c r="DS20" s="515">
        <v>115.95399999999999</v>
      </c>
      <c r="DT20" s="1087">
        <f>DR20/DS20</f>
        <v>1.1408144609069115</v>
      </c>
      <c r="DU20" s="516">
        <f>DQ20/BN20</f>
        <v>82.891135988093481</v>
      </c>
      <c r="DV20" s="516">
        <f>DU20*DT20</f>
        <v>94.563406616218359</v>
      </c>
      <c r="DW20" s="516">
        <v>94.563406616218359</v>
      </c>
      <c r="DX20" s="516">
        <v>94.563406616218359</v>
      </c>
      <c r="DY20" s="516">
        <v>94.563406616218359</v>
      </c>
      <c r="DZ20" s="516">
        <v>94.563406616218359</v>
      </c>
      <c r="EA20" s="516">
        <v>94.563406616218359</v>
      </c>
      <c r="EB20" s="516">
        <v>94.563406616218359</v>
      </c>
      <c r="EC20" s="516">
        <v>94.563406616218359</v>
      </c>
      <c r="ED20" s="516">
        <v>94.563406616218359</v>
      </c>
      <c r="EE20" s="516">
        <v>94.563406616218359</v>
      </c>
      <c r="EF20" s="516">
        <v>42.32</v>
      </c>
      <c r="EG20" s="516">
        <v>0</v>
      </c>
      <c r="EH20" s="516">
        <v>0</v>
      </c>
      <c r="EI20" s="516">
        <v>0</v>
      </c>
      <c r="EJ20" s="516">
        <v>0</v>
      </c>
      <c r="EK20" s="516">
        <v>0</v>
      </c>
      <c r="EL20" s="516">
        <v>0</v>
      </c>
      <c r="EM20" s="516">
        <v>0</v>
      </c>
      <c r="EN20" s="516">
        <v>0</v>
      </c>
      <c r="EO20" s="516">
        <f t="shared" si="4"/>
        <v>893.39065954596526</v>
      </c>
      <c r="EP20" s="1088">
        <f>DQ20-EO20</f>
        <v>1.0046977655632645</v>
      </c>
    </row>
    <row r="21" spans="1:147" s="16" customFormat="1" ht="15.75" x14ac:dyDescent="0.25">
      <c r="A21" s="119" t="s">
        <v>435</v>
      </c>
      <c r="B21" s="100" t="s">
        <v>1103</v>
      </c>
      <c r="C21" s="45" t="s">
        <v>340</v>
      </c>
      <c r="D21" s="58">
        <v>10</v>
      </c>
      <c r="E21" s="130">
        <v>0.1</v>
      </c>
      <c r="F21" s="46">
        <v>42778</v>
      </c>
      <c r="G21" s="48">
        <v>120</v>
      </c>
      <c r="H21" s="145">
        <f>100/G21</f>
        <v>0.83333333333333337</v>
      </c>
      <c r="I21" s="165">
        <v>0</v>
      </c>
      <c r="J21" s="48">
        <v>0</v>
      </c>
      <c r="K21" s="165">
        <f>L21*H21</f>
        <v>100</v>
      </c>
      <c r="L21" s="48">
        <f>G21-J21</f>
        <v>120</v>
      </c>
      <c r="M21" s="165">
        <v>0</v>
      </c>
      <c r="N21" s="48">
        <v>0</v>
      </c>
      <c r="O21" s="165">
        <f>P21*H21</f>
        <v>100</v>
      </c>
      <c r="P21" s="48">
        <f>L21-N21</f>
        <v>120</v>
      </c>
      <c r="Q21" s="48"/>
      <c r="R21" s="119" t="s">
        <v>1104</v>
      </c>
      <c r="S21" s="128">
        <v>42778</v>
      </c>
      <c r="T21" s="129">
        <v>1392</v>
      </c>
      <c r="U21" s="47">
        <v>1276</v>
      </c>
      <c r="V21" s="106">
        <v>0</v>
      </c>
      <c r="W21" s="165">
        <v>0</v>
      </c>
      <c r="X21" s="57">
        <v>115.958</v>
      </c>
      <c r="Y21" s="80">
        <v>117.16200000000001</v>
      </c>
      <c r="Z21" s="57">
        <f>X21/Y21</f>
        <v>0.98972363052866963</v>
      </c>
      <c r="AA21" s="55">
        <f>U21*M21/100/K21*100/7</f>
        <v>0</v>
      </c>
      <c r="AB21" s="55">
        <f>AA21*Z21</f>
        <v>0</v>
      </c>
      <c r="AC21" s="55"/>
      <c r="AD21" s="55"/>
      <c r="AE21" s="55"/>
      <c r="AF21" s="55"/>
      <c r="AG21" s="55"/>
      <c r="AH21" s="55">
        <v>10.98</v>
      </c>
      <c r="AI21" s="55">
        <v>10.98</v>
      </c>
      <c r="AJ21" s="55">
        <v>10.98</v>
      </c>
      <c r="AK21" s="55">
        <v>10.98</v>
      </c>
      <c r="AL21" s="55">
        <v>10.98</v>
      </c>
      <c r="AM21" s="55">
        <v>10.98</v>
      </c>
      <c r="AN21" s="55">
        <v>10.98</v>
      </c>
      <c r="AO21" s="55">
        <f>SUM(AC21:AN21)</f>
        <v>76.860000000000014</v>
      </c>
      <c r="AP21" s="72">
        <f>U21-AO21</f>
        <v>1199.1399999999999</v>
      </c>
      <c r="AQ21" s="55"/>
      <c r="AR21" s="55"/>
      <c r="AS21" s="55">
        <f t="shared" si="1"/>
        <v>10.98</v>
      </c>
      <c r="AT21" s="55">
        <f t="shared" si="1"/>
        <v>10.98</v>
      </c>
      <c r="AU21" s="55">
        <f t="shared" si="1"/>
        <v>10.98</v>
      </c>
      <c r="AV21" s="55">
        <f t="shared" si="1"/>
        <v>10.98</v>
      </c>
      <c r="AW21" s="55">
        <f t="shared" si="1"/>
        <v>10.98</v>
      </c>
      <c r="AX21" s="57">
        <v>118.901</v>
      </c>
      <c r="AY21" s="80">
        <v>125.318</v>
      </c>
      <c r="AZ21" s="57">
        <f>AX21/AY21</f>
        <v>0.9487942673837757</v>
      </c>
      <c r="BA21" s="55">
        <f>T21/(D21*12)</f>
        <v>11.6</v>
      </c>
      <c r="BB21" s="55">
        <f>BA21*AZ21</f>
        <v>11.006013501651799</v>
      </c>
      <c r="BC21" s="55">
        <f t="shared" si="5"/>
        <v>11.006013501651799</v>
      </c>
      <c r="BD21" s="55">
        <f t="shared" si="5"/>
        <v>11.006013501651799</v>
      </c>
      <c r="BE21" s="55">
        <f t="shared" si="5"/>
        <v>11.006013501651799</v>
      </c>
      <c r="BF21" s="55">
        <f t="shared" si="5"/>
        <v>11.006013501651799</v>
      </c>
      <c r="BG21" s="55">
        <v>10.79</v>
      </c>
      <c r="BH21" s="55">
        <v>10.79</v>
      </c>
      <c r="BI21" s="55">
        <v>10.79</v>
      </c>
      <c r="BJ21" s="55">
        <v>0</v>
      </c>
      <c r="BK21" s="601">
        <v>1392</v>
      </c>
      <c r="BL21" s="598">
        <v>0</v>
      </c>
      <c r="BM21" s="598">
        <v>0</v>
      </c>
      <c r="BN21" s="598">
        <v>11.01</v>
      </c>
      <c r="BO21" s="598">
        <v>11.01</v>
      </c>
      <c r="BP21" s="598">
        <v>11.01</v>
      </c>
      <c r="BQ21" s="599">
        <v>118.901</v>
      </c>
      <c r="BR21" s="600">
        <v>117.16200000000001</v>
      </c>
      <c r="BS21" s="599">
        <f>BQ21/BR21</f>
        <v>1.0148426964374113</v>
      </c>
      <c r="BT21" s="598"/>
      <c r="BU21" s="598"/>
      <c r="BV21" s="598"/>
      <c r="BW21" s="598"/>
      <c r="BX21" s="598"/>
      <c r="BY21" s="598"/>
      <c r="BZ21" s="598"/>
      <c r="CA21" s="598"/>
      <c r="CB21" s="598"/>
      <c r="CC21" s="598">
        <f>SUM((BL21:BP21),(BV21:CB21))</f>
        <v>33.03</v>
      </c>
      <c r="CD21" s="601">
        <f>BK21-CC21</f>
        <v>1358.97</v>
      </c>
      <c r="CE21" s="58">
        <v>10</v>
      </c>
      <c r="CF21" s="130">
        <v>0.1</v>
      </c>
      <c r="CG21" s="46">
        <v>43281</v>
      </c>
      <c r="CH21" s="48">
        <v>120</v>
      </c>
      <c r="CI21" s="145">
        <f>100/CH21</f>
        <v>0.83333333333333337</v>
      </c>
      <c r="CJ21" s="165">
        <v>0</v>
      </c>
      <c r="CK21" s="48">
        <f>(YEAR(CG21)-YEAR(CT21))*12+MONTH(CG21)-MONTH(CT21)</f>
        <v>16</v>
      </c>
      <c r="CL21" s="165">
        <f>CM21*CI21</f>
        <v>86.666666666666671</v>
      </c>
      <c r="CM21" s="48">
        <f>CH21-CK21</f>
        <v>104</v>
      </c>
      <c r="CN21" s="165">
        <v>0</v>
      </c>
      <c r="CO21" s="48">
        <v>0</v>
      </c>
      <c r="CP21" s="165">
        <f>CQ21*CI21</f>
        <v>86.666666666666671</v>
      </c>
      <c r="CQ21" s="48">
        <f>CM21-CO21</f>
        <v>104</v>
      </c>
      <c r="CR21" s="48"/>
      <c r="CS21" s="119" t="s">
        <v>1104</v>
      </c>
      <c r="CT21" s="128">
        <v>42778</v>
      </c>
      <c r="CU21" s="129">
        <v>1392</v>
      </c>
      <c r="CV21" s="601">
        <v>1358.97</v>
      </c>
      <c r="CW21" s="599">
        <v>126.408</v>
      </c>
      <c r="CX21" s="600">
        <v>125.318</v>
      </c>
      <c r="CY21" s="599">
        <f>CW21/CX21</f>
        <v>1.008697872612075</v>
      </c>
      <c r="CZ21" s="599">
        <f>CV21/CQ21</f>
        <v>13.067019230769231</v>
      </c>
      <c r="DA21" s="598">
        <f>CZ21*CY21</f>
        <v>13.180674499457997</v>
      </c>
      <c r="DB21" s="598">
        <v>12.22</v>
      </c>
      <c r="DC21" s="598">
        <v>12.22</v>
      </c>
      <c r="DD21" s="598">
        <v>12.22</v>
      </c>
      <c r="DE21" s="598">
        <v>12.22</v>
      </c>
      <c r="DF21" s="598">
        <v>12.22</v>
      </c>
      <c r="DG21" s="598">
        <v>12.22</v>
      </c>
      <c r="DH21" s="598">
        <v>12.22</v>
      </c>
      <c r="DI21" s="598">
        <f>SUM(DB21:DH21)</f>
        <v>85.54</v>
      </c>
      <c r="DJ21" s="601">
        <f>CV21-DI21</f>
        <v>1273.43</v>
      </c>
      <c r="DK21" s="598">
        <v>12.22</v>
      </c>
      <c r="DL21" s="598">
        <v>12.22</v>
      </c>
      <c r="DM21" s="598">
        <v>12.22</v>
      </c>
      <c r="DN21" s="598">
        <v>12.22</v>
      </c>
      <c r="DO21" s="598">
        <v>12.22</v>
      </c>
      <c r="DP21" s="505">
        <f t="shared" si="2"/>
        <v>61.1</v>
      </c>
      <c r="DQ21" s="1085">
        <f t="shared" si="3"/>
        <v>1212.3300000000002</v>
      </c>
      <c r="DR21" s="1086">
        <v>132.28200000000001</v>
      </c>
      <c r="DS21" s="515">
        <v>125.318</v>
      </c>
      <c r="DT21" s="1087">
        <f>DR21/DS21</f>
        <v>1.05557062832155</v>
      </c>
      <c r="DU21" s="516">
        <f>DQ21/BN21</f>
        <v>110.11171662125342</v>
      </c>
      <c r="DV21" s="516">
        <f>DU21*DT21</f>
        <v>116.23069389946093</v>
      </c>
      <c r="DW21" s="516">
        <v>116.23069389946093</v>
      </c>
      <c r="DX21" s="516">
        <v>116.23069389946093</v>
      </c>
      <c r="DY21" s="516">
        <v>116.23069389946093</v>
      </c>
      <c r="DZ21" s="516">
        <v>116.23069389946093</v>
      </c>
      <c r="EA21" s="516">
        <v>116.23069389946093</v>
      </c>
      <c r="EB21" s="516">
        <v>116.23069389946093</v>
      </c>
      <c r="EC21" s="516">
        <v>116.23069389946093</v>
      </c>
      <c r="ED21" s="516">
        <v>116.23069389946093</v>
      </c>
      <c r="EE21" s="516">
        <v>116.23069389946093</v>
      </c>
      <c r="EF21" s="516">
        <v>116.23069389946093</v>
      </c>
      <c r="EG21" s="516">
        <v>49.02</v>
      </c>
      <c r="EH21" s="516">
        <v>0</v>
      </c>
      <c r="EI21" s="516">
        <v>0</v>
      </c>
      <c r="EJ21" s="516">
        <v>0</v>
      </c>
      <c r="EK21" s="516">
        <v>0</v>
      </c>
      <c r="EL21" s="516">
        <v>0</v>
      </c>
      <c r="EM21" s="516">
        <v>0</v>
      </c>
      <c r="EN21" s="516">
        <v>0</v>
      </c>
      <c r="EO21" s="516">
        <f t="shared" si="4"/>
        <v>1211.3269389946092</v>
      </c>
      <c r="EP21" s="1088">
        <f>DQ21-EO21</f>
        <v>1.0030610053909186</v>
      </c>
    </row>
    <row r="22" spans="1:147" s="16" customFormat="1" ht="15.75" x14ac:dyDescent="0.25">
      <c r="A22" s="120" t="s">
        <v>71</v>
      </c>
      <c r="B22" s="120" t="s">
        <v>553</v>
      </c>
      <c r="C22" s="124"/>
      <c r="D22" s="111"/>
      <c r="E22" s="130"/>
      <c r="F22" s="46"/>
      <c r="G22" s="48"/>
      <c r="H22" s="145"/>
      <c r="I22" s="165"/>
      <c r="J22" s="48"/>
      <c r="K22" s="165"/>
      <c r="L22" s="48"/>
      <c r="M22" s="165"/>
      <c r="N22" s="48"/>
      <c r="O22" s="165"/>
      <c r="P22" s="48"/>
      <c r="Q22" s="46"/>
      <c r="R22" s="46"/>
      <c r="S22" s="119"/>
      <c r="T22" s="7"/>
      <c r="U22" s="47"/>
      <c r="V22" s="106"/>
      <c r="W22" s="165"/>
      <c r="X22" s="57"/>
      <c r="Y22" s="83"/>
      <c r="Z22" s="57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72"/>
      <c r="AQ22" s="55"/>
      <c r="AR22" s="55"/>
      <c r="AS22" s="55"/>
      <c r="AT22" s="55"/>
      <c r="AU22" s="55"/>
      <c r="AV22" s="55"/>
      <c r="AW22" s="55"/>
      <c r="AX22" s="57"/>
      <c r="AY22" s="83"/>
      <c r="AZ22" s="57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601"/>
      <c r="BL22" s="598"/>
      <c r="BM22" s="598"/>
      <c r="BN22" s="598"/>
      <c r="BO22" s="598"/>
      <c r="BP22" s="598"/>
      <c r="BQ22" s="599"/>
      <c r="BR22" s="605"/>
      <c r="BS22" s="599"/>
      <c r="BT22" s="598"/>
      <c r="BU22" s="598"/>
      <c r="BV22" s="598"/>
      <c r="BW22" s="598"/>
      <c r="BX22" s="598"/>
      <c r="BY22" s="598"/>
      <c r="BZ22" s="598"/>
      <c r="CA22" s="598"/>
      <c r="CB22" s="598"/>
      <c r="CC22" s="598"/>
      <c r="CD22" s="601"/>
      <c r="CE22" s="111"/>
      <c r="CF22" s="130"/>
      <c r="CG22" s="46"/>
      <c r="CH22" s="48"/>
      <c r="CI22" s="145"/>
      <c r="CJ22" s="165"/>
      <c r="CK22" s="48"/>
      <c r="CL22" s="165"/>
      <c r="CM22" s="48"/>
      <c r="CN22" s="165"/>
      <c r="CO22" s="48"/>
      <c r="CP22" s="165"/>
      <c r="CQ22" s="48"/>
      <c r="CR22" s="46"/>
      <c r="CS22" s="46"/>
      <c r="CT22" s="119"/>
      <c r="CU22" s="7"/>
      <c r="CV22" s="601"/>
      <c r="CW22" s="599"/>
      <c r="CX22" s="605"/>
      <c r="CY22" s="599"/>
      <c r="CZ22" s="599"/>
      <c r="DA22" s="598"/>
      <c r="DB22" s="598"/>
      <c r="DC22" s="598"/>
      <c r="DD22" s="598"/>
      <c r="DE22" s="598"/>
      <c r="DF22" s="598"/>
      <c r="DG22" s="598"/>
      <c r="DH22" s="598"/>
      <c r="DI22" s="598"/>
      <c r="DJ22" s="601"/>
      <c r="DK22" s="598"/>
      <c r="DL22" s="598"/>
      <c r="DM22" s="598"/>
      <c r="DN22" s="598"/>
      <c r="DO22" s="598"/>
      <c r="DP22" s="505"/>
      <c r="DQ22" s="1085"/>
      <c r="DR22" s="520"/>
      <c r="DS22" s="518"/>
      <c r="DT22" s="1087"/>
      <c r="DU22" s="516"/>
      <c r="DV22" s="516"/>
      <c r="DW22" s="516"/>
      <c r="DX22" s="516"/>
      <c r="DY22" s="516"/>
      <c r="DZ22" s="516"/>
      <c r="EA22" s="516"/>
      <c r="EB22" s="516"/>
      <c r="EC22" s="516"/>
      <c r="ED22" s="516"/>
      <c r="EE22" s="516"/>
      <c r="EF22" s="516"/>
      <c r="EG22" s="516"/>
      <c r="EH22" s="516"/>
      <c r="EI22" s="516"/>
      <c r="EJ22" s="516"/>
      <c r="EK22" s="516"/>
      <c r="EL22" s="516"/>
      <c r="EM22" s="516"/>
      <c r="EN22" s="516"/>
      <c r="EO22" s="516">
        <f t="shared" si="4"/>
        <v>0</v>
      </c>
      <c r="EP22" s="516"/>
    </row>
    <row r="23" spans="1:147" s="16" customFormat="1" ht="15.75" x14ac:dyDescent="0.25">
      <c r="A23" s="120" t="s">
        <v>124</v>
      </c>
      <c r="B23" s="100"/>
      <c r="C23" s="45"/>
      <c r="D23" s="58"/>
      <c r="E23" s="130"/>
      <c r="F23" s="46"/>
      <c r="G23" s="48"/>
      <c r="H23" s="145"/>
      <c r="I23" s="165"/>
      <c r="J23" s="48"/>
      <c r="K23" s="165"/>
      <c r="L23" s="48"/>
      <c r="M23" s="165"/>
      <c r="N23" s="48"/>
      <c r="O23" s="165"/>
      <c r="P23" s="48"/>
      <c r="Q23" s="48"/>
      <c r="R23" s="119"/>
      <c r="S23" s="128"/>
      <c r="T23" s="129"/>
      <c r="U23" s="14"/>
      <c r="V23" s="106"/>
      <c r="W23" s="66"/>
      <c r="X23" s="57"/>
      <c r="Y23" s="80"/>
      <c r="Z23" s="57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72"/>
      <c r="AQ23" s="55"/>
      <c r="AR23" s="55"/>
      <c r="AS23" s="55"/>
      <c r="AT23" s="55"/>
      <c r="AU23" s="55"/>
      <c r="AV23" s="55"/>
      <c r="AW23" s="55"/>
      <c r="AX23" s="57"/>
      <c r="AY23" s="80"/>
      <c r="AZ23" s="57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601"/>
      <c r="BL23" s="598"/>
      <c r="BM23" s="598"/>
      <c r="BN23" s="598"/>
      <c r="BO23" s="598"/>
      <c r="BP23" s="598"/>
      <c r="BQ23" s="599"/>
      <c r="BR23" s="600"/>
      <c r="BS23" s="599"/>
      <c r="BT23" s="598"/>
      <c r="BU23" s="598"/>
      <c r="BV23" s="598"/>
      <c r="BW23" s="598"/>
      <c r="BX23" s="598"/>
      <c r="BY23" s="598"/>
      <c r="BZ23" s="598"/>
      <c r="CA23" s="598"/>
      <c r="CB23" s="598"/>
      <c r="CC23" s="598"/>
      <c r="CD23" s="601"/>
      <c r="CE23" s="58"/>
      <c r="CF23" s="130"/>
      <c r="CG23" s="46"/>
      <c r="CH23" s="48"/>
      <c r="CI23" s="145"/>
      <c r="CJ23" s="165"/>
      <c r="CK23" s="48"/>
      <c r="CL23" s="165"/>
      <c r="CM23" s="48"/>
      <c r="CN23" s="165"/>
      <c r="CO23" s="48"/>
      <c r="CP23" s="165"/>
      <c r="CQ23" s="48"/>
      <c r="CR23" s="48"/>
      <c r="CS23" s="119"/>
      <c r="CT23" s="128"/>
      <c r="CU23" s="129"/>
      <c r="CV23" s="601"/>
      <c r="CW23" s="599"/>
      <c r="CX23" s="600"/>
      <c r="CY23" s="599"/>
      <c r="CZ23" s="599"/>
      <c r="DA23" s="598"/>
      <c r="DB23" s="598"/>
      <c r="DC23" s="598"/>
      <c r="DD23" s="598"/>
      <c r="DE23" s="598"/>
      <c r="DF23" s="598"/>
      <c r="DG23" s="598"/>
      <c r="DH23" s="598"/>
      <c r="DI23" s="598"/>
      <c r="DJ23" s="601"/>
      <c r="DK23" s="598"/>
      <c r="DL23" s="598"/>
      <c r="DM23" s="598"/>
      <c r="DN23" s="598"/>
      <c r="DO23" s="598"/>
      <c r="DP23" s="505"/>
      <c r="DQ23" s="1085"/>
      <c r="DR23" s="514"/>
      <c r="DS23" s="515"/>
      <c r="DT23" s="1087"/>
      <c r="DU23" s="516"/>
      <c r="DV23" s="516"/>
      <c r="DW23" s="516"/>
      <c r="DX23" s="516"/>
      <c r="DY23" s="516"/>
      <c r="DZ23" s="516"/>
      <c r="EA23" s="516"/>
      <c r="EB23" s="516"/>
      <c r="EC23" s="516"/>
      <c r="ED23" s="516"/>
      <c r="EE23" s="516"/>
      <c r="EF23" s="516"/>
      <c r="EG23" s="516"/>
      <c r="EH23" s="516"/>
      <c r="EI23" s="516"/>
      <c r="EJ23" s="516"/>
      <c r="EK23" s="516"/>
      <c r="EL23" s="516"/>
      <c r="EM23" s="516"/>
      <c r="EN23" s="516"/>
      <c r="EO23" s="516">
        <f t="shared" si="4"/>
        <v>0</v>
      </c>
      <c r="EP23" s="516"/>
    </row>
    <row r="24" spans="1:147" s="16" customFormat="1" ht="15.75" x14ac:dyDescent="0.25">
      <c r="A24" s="119" t="s">
        <v>554</v>
      </c>
      <c r="B24" s="100" t="s">
        <v>555</v>
      </c>
      <c r="C24" s="45" t="s">
        <v>340</v>
      </c>
      <c r="D24" s="58">
        <v>10</v>
      </c>
      <c r="E24" s="130">
        <v>0.1</v>
      </c>
      <c r="F24" s="46">
        <v>42185</v>
      </c>
      <c r="G24" s="48">
        <v>120</v>
      </c>
      <c r="H24" s="145">
        <f>100/G24</f>
        <v>0.83333333333333337</v>
      </c>
      <c r="I24" s="165">
        <f>H24*J24</f>
        <v>93.333333333333343</v>
      </c>
      <c r="J24" s="48">
        <f>(YEAR(F24)-YEAR(S24))*12+MONTH(F24)-MONTH(S24)</f>
        <v>112</v>
      </c>
      <c r="K24" s="165">
        <f>L24*H24</f>
        <v>6.666666666666667</v>
      </c>
      <c r="L24" s="48">
        <f>G24-J24</f>
        <v>8</v>
      </c>
      <c r="M24" s="165">
        <f>N24*H24</f>
        <v>5.8333333333333339</v>
      </c>
      <c r="N24" s="48">
        <v>7</v>
      </c>
      <c r="O24" s="165">
        <f>P24*H24</f>
        <v>0.83333333333333337</v>
      </c>
      <c r="P24" s="48">
        <f>L24-N24</f>
        <v>1</v>
      </c>
      <c r="Q24" s="48"/>
      <c r="R24" s="119" t="s">
        <v>445</v>
      </c>
      <c r="S24" s="128">
        <v>38749</v>
      </c>
      <c r="T24" s="129">
        <v>700</v>
      </c>
      <c r="U24" s="47">
        <v>52.54</v>
      </c>
      <c r="V24" s="106">
        <v>29.15</v>
      </c>
      <c r="W24" s="165">
        <v>0</v>
      </c>
      <c r="X24" s="57">
        <v>115.958</v>
      </c>
      <c r="Y24" s="80">
        <v>117.16200000000001</v>
      </c>
      <c r="Z24" s="57">
        <f>X24/Y24</f>
        <v>0.98972363052866963</v>
      </c>
      <c r="AA24" s="55">
        <f>U24*M24/100/K24*100/7</f>
        <v>6.5674999999999999</v>
      </c>
      <c r="AB24" s="55">
        <f>AA24*Z24</f>
        <v>6.5000099434970373</v>
      </c>
      <c r="AC24" s="55"/>
      <c r="AD24" s="55"/>
      <c r="AE24" s="55"/>
      <c r="AF24" s="55"/>
      <c r="AG24" s="55"/>
      <c r="AH24" s="55">
        <v>6.5</v>
      </c>
      <c r="AI24" s="55">
        <v>6.5</v>
      </c>
      <c r="AJ24" s="55">
        <v>6.5</v>
      </c>
      <c r="AK24" s="55">
        <v>6.5</v>
      </c>
      <c r="AL24" s="55">
        <v>6.5</v>
      </c>
      <c r="AM24" s="55">
        <v>6.5</v>
      </c>
      <c r="AN24" s="55">
        <v>12.54</v>
      </c>
      <c r="AO24" s="55">
        <f>SUM(AC24:AN24)</f>
        <v>51.54</v>
      </c>
      <c r="AP24" s="72">
        <f>U24-AO24</f>
        <v>1</v>
      </c>
      <c r="AQ24" s="55"/>
      <c r="AR24" s="55"/>
      <c r="AS24" s="55"/>
      <c r="AT24" s="55"/>
      <c r="AU24" s="55"/>
      <c r="AV24" s="55"/>
      <c r="AW24" s="55"/>
      <c r="AX24" s="57">
        <v>118.901</v>
      </c>
      <c r="AY24" s="80">
        <v>117.16200000000001</v>
      </c>
      <c r="AZ24" s="57">
        <f>AX24/AY24</f>
        <v>1.0148426964374113</v>
      </c>
      <c r="BA24" s="55">
        <f>T24/(D24*12)</f>
        <v>5.833333333333333</v>
      </c>
      <c r="BB24" s="55">
        <f>BA24*AZ24</f>
        <v>5.9199157292182321</v>
      </c>
      <c r="BC24" s="55"/>
      <c r="BD24" s="55"/>
      <c r="BE24" s="55"/>
      <c r="BF24" s="55"/>
      <c r="BG24" s="55"/>
      <c r="BH24" s="55"/>
      <c r="BI24" s="55"/>
      <c r="BJ24" s="55">
        <f>SUM((AS24:AW24),(BC24:BI24))</f>
        <v>0</v>
      </c>
      <c r="BK24" s="601">
        <f>(AP24-BJ24)</f>
        <v>1</v>
      </c>
      <c r="BL24" s="598"/>
      <c r="BM24" s="598"/>
      <c r="BN24" s="598"/>
      <c r="BO24" s="598"/>
      <c r="BP24" s="598"/>
      <c r="BQ24" s="599">
        <v>118.901</v>
      </c>
      <c r="BR24" s="600">
        <v>117.16200000000001</v>
      </c>
      <c r="BS24" s="599">
        <f>BQ24/BR24</f>
        <v>1.0148426964374113</v>
      </c>
      <c r="BT24" s="598"/>
      <c r="BU24" s="598"/>
      <c r="BV24" s="598"/>
      <c r="BW24" s="598"/>
      <c r="BX24" s="598"/>
      <c r="BY24" s="598"/>
      <c r="BZ24" s="598"/>
      <c r="CA24" s="598"/>
      <c r="CB24" s="598"/>
      <c r="CC24" s="598">
        <f>SUM((BL24:BP24),(BV24:CB24))</f>
        <v>0</v>
      </c>
      <c r="CD24" s="601">
        <f>BK24-CC24</f>
        <v>1</v>
      </c>
      <c r="CE24" s="58">
        <v>10</v>
      </c>
      <c r="CF24" s="130">
        <v>0.1</v>
      </c>
      <c r="CG24" s="46">
        <v>43281</v>
      </c>
      <c r="CH24" s="48">
        <v>120</v>
      </c>
      <c r="CI24" s="145">
        <f>100/CH24</f>
        <v>0.83333333333333337</v>
      </c>
      <c r="CJ24" s="165">
        <f>CI24*CK24</f>
        <v>123.33333333333334</v>
      </c>
      <c r="CK24" s="48">
        <f>(YEAR(CG24)-YEAR(CT24))*12+MONTH(CG24)-MONTH(CT24)</f>
        <v>148</v>
      </c>
      <c r="CL24" s="165">
        <f>CM24*CI24</f>
        <v>-23.333333333333336</v>
      </c>
      <c r="CM24" s="48">
        <f>CH24-CK24</f>
        <v>-28</v>
      </c>
      <c r="CN24" s="165">
        <f>CO24*CI24</f>
        <v>5.8333333333333339</v>
      </c>
      <c r="CO24" s="48">
        <v>7</v>
      </c>
      <c r="CP24" s="165">
        <f>CQ24*CI24</f>
        <v>-29.166666666666668</v>
      </c>
      <c r="CQ24" s="48">
        <f>CM24-CO24</f>
        <v>-35</v>
      </c>
      <c r="CR24" s="462">
        <f>DATE(YEAR(CT24),MONTH(CT24)+CH24,DAY(CT24))</f>
        <v>42401</v>
      </c>
      <c r="CS24" s="119" t="s">
        <v>445</v>
      </c>
      <c r="CT24" s="128">
        <v>38749</v>
      </c>
      <c r="CU24" s="129">
        <v>700</v>
      </c>
      <c r="CV24" s="601">
        <v>1</v>
      </c>
      <c r="CW24" s="599"/>
      <c r="CX24" s="600">
        <v>119.505</v>
      </c>
      <c r="CY24" s="599">
        <f>CW24/CX24</f>
        <v>0</v>
      </c>
      <c r="CZ24" s="599"/>
      <c r="DA24" s="598"/>
      <c r="DB24" s="598"/>
      <c r="DC24" s="598"/>
      <c r="DD24" s="598"/>
      <c r="DE24" s="598"/>
      <c r="DF24" s="598"/>
      <c r="DG24" s="598"/>
      <c r="DH24" s="598"/>
      <c r="DI24" s="598"/>
      <c r="DJ24" s="601">
        <f>CV24-DI24</f>
        <v>1</v>
      </c>
      <c r="DK24" s="598"/>
      <c r="DL24" s="598"/>
      <c r="DM24" s="598"/>
      <c r="DN24" s="598"/>
      <c r="DO24" s="598"/>
      <c r="DP24" s="505">
        <f t="shared" si="2"/>
        <v>0</v>
      </c>
      <c r="DQ24" s="1085">
        <f t="shared" si="3"/>
        <v>1</v>
      </c>
      <c r="DR24" s="1086"/>
      <c r="DS24" s="515">
        <v>119.505</v>
      </c>
      <c r="DT24" s="1087">
        <f>DR24/DS24</f>
        <v>0</v>
      </c>
      <c r="DU24" s="516">
        <v>0</v>
      </c>
      <c r="DV24" s="516">
        <f>DU24*DT24</f>
        <v>0</v>
      </c>
      <c r="DW24" s="516">
        <v>0</v>
      </c>
      <c r="DX24" s="516">
        <v>0</v>
      </c>
      <c r="DY24" s="516">
        <v>0</v>
      </c>
      <c r="DZ24" s="516">
        <v>0</v>
      </c>
      <c r="EA24" s="516">
        <v>0</v>
      </c>
      <c r="EB24" s="516">
        <v>0</v>
      </c>
      <c r="EC24" s="516">
        <v>0</v>
      </c>
      <c r="ED24" s="516">
        <v>0</v>
      </c>
      <c r="EE24" s="516">
        <v>0</v>
      </c>
      <c r="EF24" s="516">
        <v>0</v>
      </c>
      <c r="EG24" s="516">
        <v>0</v>
      </c>
      <c r="EH24" s="516">
        <v>0</v>
      </c>
      <c r="EI24" s="516">
        <v>0</v>
      </c>
      <c r="EJ24" s="516">
        <v>0</v>
      </c>
      <c r="EK24" s="516">
        <v>0</v>
      </c>
      <c r="EL24" s="516">
        <v>0</v>
      </c>
      <c r="EM24" s="516">
        <v>0</v>
      </c>
      <c r="EN24" s="516">
        <v>0</v>
      </c>
      <c r="EO24" s="516">
        <f t="shared" si="4"/>
        <v>0</v>
      </c>
      <c r="EP24" s="1088">
        <f>DQ24-EO24</f>
        <v>1</v>
      </c>
    </row>
    <row r="25" spans="1:147" s="16" customFormat="1" ht="15.75" x14ac:dyDescent="0.25">
      <c r="A25" s="120" t="s">
        <v>71</v>
      </c>
      <c r="B25" s="120" t="s">
        <v>85</v>
      </c>
      <c r="C25" s="124"/>
      <c r="D25" s="111"/>
      <c r="E25" s="130"/>
      <c r="F25" s="46"/>
      <c r="G25" s="48"/>
      <c r="H25" s="145"/>
      <c r="I25" s="165"/>
      <c r="J25" s="48"/>
      <c r="K25" s="165"/>
      <c r="L25" s="48"/>
      <c r="M25" s="165"/>
      <c r="N25" s="48"/>
      <c r="O25" s="165"/>
      <c r="P25" s="48"/>
      <c r="Q25" s="48"/>
      <c r="R25" s="119"/>
      <c r="S25" s="119"/>
      <c r="T25" s="7"/>
      <c r="U25" s="47"/>
      <c r="V25" s="106"/>
      <c r="W25" s="165"/>
      <c r="X25" s="57"/>
      <c r="Y25" s="83"/>
      <c r="Z25" s="57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72"/>
      <c r="AQ25" s="55"/>
      <c r="AR25" s="55"/>
      <c r="AS25" s="55"/>
      <c r="AT25" s="55"/>
      <c r="AU25" s="55"/>
      <c r="AV25" s="55"/>
      <c r="AW25" s="55"/>
      <c r="AX25" s="57"/>
      <c r="AY25" s="83"/>
      <c r="AZ25" s="57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601"/>
      <c r="BL25" s="598"/>
      <c r="BM25" s="598"/>
      <c r="BN25" s="598"/>
      <c r="BO25" s="598"/>
      <c r="BP25" s="598"/>
      <c r="BQ25" s="599"/>
      <c r="BR25" s="605"/>
      <c r="BS25" s="599"/>
      <c r="BT25" s="598"/>
      <c r="BU25" s="598"/>
      <c r="BV25" s="598"/>
      <c r="BW25" s="598"/>
      <c r="BX25" s="598"/>
      <c r="BY25" s="598"/>
      <c r="BZ25" s="598"/>
      <c r="CA25" s="598"/>
      <c r="CB25" s="598"/>
      <c r="CC25" s="598"/>
      <c r="CD25" s="601"/>
      <c r="CE25" s="111"/>
      <c r="CF25" s="130"/>
      <c r="CG25" s="46"/>
      <c r="CH25" s="48"/>
      <c r="CI25" s="145"/>
      <c r="CJ25" s="165"/>
      <c r="CK25" s="48"/>
      <c r="CL25" s="165"/>
      <c r="CM25" s="48"/>
      <c r="CN25" s="165"/>
      <c r="CO25" s="48"/>
      <c r="CP25" s="165"/>
      <c r="CQ25" s="48"/>
      <c r="CR25" s="48"/>
      <c r="CS25" s="119"/>
      <c r="CT25" s="119"/>
      <c r="CU25" s="7"/>
      <c r="CV25" s="601"/>
      <c r="CW25" s="599"/>
      <c r="CX25" s="605"/>
      <c r="CY25" s="599"/>
      <c r="CZ25" s="599"/>
      <c r="DA25" s="598"/>
      <c r="DB25" s="598"/>
      <c r="DC25" s="598"/>
      <c r="DD25" s="598"/>
      <c r="DE25" s="598"/>
      <c r="DF25" s="598"/>
      <c r="DG25" s="598"/>
      <c r="DH25" s="598"/>
      <c r="DI25" s="598"/>
      <c r="DJ25" s="601"/>
      <c r="DK25" s="598"/>
      <c r="DL25" s="598"/>
      <c r="DM25" s="598"/>
      <c r="DN25" s="598"/>
      <c r="DO25" s="598"/>
      <c r="DP25" s="505"/>
      <c r="DQ25" s="1085"/>
      <c r="DR25" s="1086"/>
      <c r="DS25" s="518"/>
      <c r="DT25" s="1087"/>
      <c r="DU25" s="516"/>
      <c r="DV25" s="516"/>
      <c r="DW25" s="516"/>
      <c r="DX25" s="516"/>
      <c r="DY25" s="516"/>
      <c r="DZ25" s="516"/>
      <c r="EA25" s="516"/>
      <c r="EB25" s="516"/>
      <c r="EC25" s="516"/>
      <c r="ED25" s="516"/>
      <c r="EE25" s="516"/>
      <c r="EF25" s="516"/>
      <c r="EG25" s="516"/>
      <c r="EH25" s="516"/>
      <c r="EI25" s="516"/>
      <c r="EJ25" s="516"/>
      <c r="EK25" s="516"/>
      <c r="EL25" s="516"/>
      <c r="EM25" s="516"/>
      <c r="EN25" s="516"/>
      <c r="EO25" s="516">
        <f t="shared" si="4"/>
        <v>0</v>
      </c>
      <c r="EP25" s="1088"/>
    </row>
    <row r="26" spans="1:147" s="16" customFormat="1" ht="15.75" x14ac:dyDescent="0.25">
      <c r="A26" s="120" t="s">
        <v>105</v>
      </c>
      <c r="B26" s="100"/>
      <c r="C26" s="45"/>
      <c r="D26" s="58"/>
      <c r="E26" s="130"/>
      <c r="F26" s="46"/>
      <c r="G26" s="48"/>
      <c r="H26" s="145"/>
      <c r="I26" s="165"/>
      <c r="J26" s="48"/>
      <c r="K26" s="165"/>
      <c r="L26" s="48"/>
      <c r="M26" s="165"/>
      <c r="N26" s="48"/>
      <c r="O26" s="165"/>
      <c r="P26" s="48"/>
      <c r="Q26" s="48"/>
      <c r="R26" s="119"/>
      <c r="S26" s="128"/>
      <c r="T26" s="129"/>
      <c r="U26" s="47"/>
      <c r="V26" s="106"/>
      <c r="W26" s="165"/>
      <c r="X26" s="57"/>
      <c r="Y26" s="80"/>
      <c r="Z26" s="57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72"/>
      <c r="AQ26" s="55"/>
      <c r="AR26" s="55"/>
      <c r="AS26" s="55"/>
      <c r="AT26" s="55"/>
      <c r="AU26" s="55"/>
      <c r="AV26" s="55"/>
      <c r="AW26" s="55"/>
      <c r="AX26" s="57"/>
      <c r="AY26" s="80"/>
      <c r="AZ26" s="57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601"/>
      <c r="BL26" s="598"/>
      <c r="BM26" s="598"/>
      <c r="BN26" s="598"/>
      <c r="BO26" s="598"/>
      <c r="BP26" s="598"/>
      <c r="BQ26" s="599"/>
      <c r="BR26" s="600"/>
      <c r="BS26" s="599"/>
      <c r="BT26" s="598"/>
      <c r="BU26" s="598"/>
      <c r="BV26" s="598"/>
      <c r="BW26" s="598"/>
      <c r="BX26" s="598"/>
      <c r="BY26" s="598"/>
      <c r="BZ26" s="598"/>
      <c r="CA26" s="598"/>
      <c r="CB26" s="598"/>
      <c r="CC26" s="598"/>
      <c r="CD26" s="601"/>
      <c r="CE26" s="58"/>
      <c r="CF26" s="130"/>
      <c r="CG26" s="46"/>
      <c r="CH26" s="48"/>
      <c r="CI26" s="145"/>
      <c r="CJ26" s="165"/>
      <c r="CK26" s="48"/>
      <c r="CL26" s="165"/>
      <c r="CM26" s="48"/>
      <c r="CN26" s="165"/>
      <c r="CO26" s="48"/>
      <c r="CP26" s="165"/>
      <c r="CQ26" s="48"/>
      <c r="CR26" s="48"/>
      <c r="CS26" s="119"/>
      <c r="CT26" s="128"/>
      <c r="CU26" s="129"/>
      <c r="CV26" s="601"/>
      <c r="CW26" s="599"/>
      <c r="CX26" s="600"/>
      <c r="CY26" s="599"/>
      <c r="CZ26" s="599"/>
      <c r="DA26" s="598"/>
      <c r="DB26" s="598"/>
      <c r="DC26" s="598"/>
      <c r="DD26" s="598"/>
      <c r="DE26" s="598"/>
      <c r="DF26" s="598"/>
      <c r="DG26" s="598"/>
      <c r="DH26" s="598"/>
      <c r="DI26" s="598"/>
      <c r="DJ26" s="601"/>
      <c r="DK26" s="598"/>
      <c r="DL26" s="598"/>
      <c r="DM26" s="598"/>
      <c r="DN26" s="598"/>
      <c r="DO26" s="598"/>
      <c r="DP26" s="505"/>
      <c r="DQ26" s="1085"/>
      <c r="DR26" s="516"/>
      <c r="DS26" s="515"/>
      <c r="DT26" s="1087"/>
      <c r="DU26" s="516"/>
      <c r="DV26" s="516"/>
      <c r="DW26" s="516"/>
      <c r="DX26" s="516"/>
      <c r="DY26" s="516"/>
      <c r="DZ26" s="516"/>
      <c r="EA26" s="516"/>
      <c r="EB26" s="516"/>
      <c r="EC26" s="516"/>
      <c r="ED26" s="516"/>
      <c r="EE26" s="516"/>
      <c r="EF26" s="516"/>
      <c r="EG26" s="516"/>
      <c r="EH26" s="516"/>
      <c r="EI26" s="516"/>
      <c r="EJ26" s="516"/>
      <c r="EK26" s="516"/>
      <c r="EL26" s="516"/>
      <c r="EM26" s="516"/>
      <c r="EN26" s="516"/>
      <c r="EO26" s="516">
        <f t="shared" si="4"/>
        <v>0</v>
      </c>
      <c r="EP26" s="516"/>
    </row>
    <row r="27" spans="1:147" s="16" customFormat="1" ht="15.75" x14ac:dyDescent="0.25">
      <c r="A27" s="119" t="s">
        <v>152</v>
      </c>
      <c r="B27" s="100" t="s">
        <v>556</v>
      </c>
      <c r="C27" s="45" t="s">
        <v>340</v>
      </c>
      <c r="D27" s="58">
        <v>10</v>
      </c>
      <c r="E27" s="130">
        <v>0.1</v>
      </c>
      <c r="F27" s="46">
        <v>42185</v>
      </c>
      <c r="G27" s="48">
        <v>120</v>
      </c>
      <c r="H27" s="145">
        <f>100/G27</f>
        <v>0.83333333333333337</v>
      </c>
      <c r="I27" s="165">
        <f>H27*J27</f>
        <v>33.333333333333336</v>
      </c>
      <c r="J27" s="48">
        <f>(YEAR(F27)-YEAR(S27))*12+MONTH(F27)-MONTH(S27)</f>
        <v>40</v>
      </c>
      <c r="K27" s="165">
        <f>L27*H27</f>
        <v>66.666666666666671</v>
      </c>
      <c r="L27" s="48">
        <f>G27-J27</f>
        <v>80</v>
      </c>
      <c r="M27" s="165">
        <f>N27*H27</f>
        <v>5.8333333333333339</v>
      </c>
      <c r="N27" s="48">
        <v>7</v>
      </c>
      <c r="O27" s="165">
        <f>P27*H27</f>
        <v>60.833333333333336</v>
      </c>
      <c r="P27" s="48">
        <f>L27-N27</f>
        <v>73</v>
      </c>
      <c r="Q27" s="48"/>
      <c r="R27" s="119" t="s">
        <v>445</v>
      </c>
      <c r="S27" s="128">
        <v>40940</v>
      </c>
      <c r="T27" s="129">
        <v>560</v>
      </c>
      <c r="U27" s="47">
        <v>377.96</v>
      </c>
      <c r="V27" s="106">
        <v>23.35</v>
      </c>
      <c r="W27" s="165">
        <v>0</v>
      </c>
      <c r="X27" s="57">
        <v>115.958</v>
      </c>
      <c r="Y27" s="80">
        <v>104.496</v>
      </c>
      <c r="Z27" s="57">
        <f>X27/Y27</f>
        <v>1.1096884091257082</v>
      </c>
      <c r="AA27" s="55">
        <f>U27*M27/100/K27*100/7</f>
        <v>4.7244999999999999</v>
      </c>
      <c r="AB27" s="55">
        <f>AA27*Z27</f>
        <v>5.2427228889144084</v>
      </c>
      <c r="AC27" s="55"/>
      <c r="AD27" s="55"/>
      <c r="AE27" s="55"/>
      <c r="AF27" s="55"/>
      <c r="AG27" s="55"/>
      <c r="AH27" s="55">
        <v>5.24</v>
      </c>
      <c r="AI27" s="55">
        <v>5.24</v>
      </c>
      <c r="AJ27" s="55">
        <v>5.24</v>
      </c>
      <c r="AK27" s="55">
        <v>5.24</v>
      </c>
      <c r="AL27" s="55">
        <v>5.24</v>
      </c>
      <c r="AM27" s="55">
        <v>5.24</v>
      </c>
      <c r="AN27" s="55">
        <v>5.24</v>
      </c>
      <c r="AO27" s="55">
        <f>SUM(AC27:AN27)</f>
        <v>36.680000000000007</v>
      </c>
      <c r="AP27" s="72">
        <f>U27-AO27</f>
        <v>341.28</v>
      </c>
      <c r="AQ27" s="55"/>
      <c r="AR27" s="55"/>
      <c r="AS27" s="55">
        <f>$AN27</f>
        <v>5.24</v>
      </c>
      <c r="AT27" s="55">
        <f t="shared" ref="AT27:AW28" si="6">$AN27</f>
        <v>5.24</v>
      </c>
      <c r="AU27" s="55">
        <f t="shared" si="6"/>
        <v>5.24</v>
      </c>
      <c r="AV27" s="55">
        <f t="shared" si="6"/>
        <v>5.24</v>
      </c>
      <c r="AW27" s="55">
        <f t="shared" si="6"/>
        <v>5.24</v>
      </c>
      <c r="AX27" s="57">
        <v>118.901</v>
      </c>
      <c r="AY27" s="80">
        <v>104.496</v>
      </c>
      <c r="AZ27" s="57">
        <f>AX27/AY27</f>
        <v>1.1378521665901087</v>
      </c>
      <c r="BA27" s="55">
        <f>T27/(D27*12)</f>
        <v>4.666666666666667</v>
      </c>
      <c r="BB27" s="55">
        <f>BA27*AZ27</f>
        <v>5.3099767774205073</v>
      </c>
      <c r="BC27" s="55">
        <f t="shared" ref="BC27:BF28" si="7">$BB27</f>
        <v>5.3099767774205073</v>
      </c>
      <c r="BD27" s="55">
        <f t="shared" si="7"/>
        <v>5.3099767774205073</v>
      </c>
      <c r="BE27" s="55">
        <f t="shared" si="7"/>
        <v>5.3099767774205073</v>
      </c>
      <c r="BF27" s="55">
        <f t="shared" si="7"/>
        <v>5.3099767774205073</v>
      </c>
      <c r="BG27" s="55">
        <v>5.31</v>
      </c>
      <c r="BH27" s="55">
        <v>5.31</v>
      </c>
      <c r="BI27" s="55">
        <v>5.31</v>
      </c>
      <c r="BJ27" s="55">
        <f>SUM((AS27:AW27),(BC27:BI27))</f>
        <v>63.369907109682046</v>
      </c>
      <c r="BK27" s="601">
        <f>(AP27-BJ27)</f>
        <v>277.91009289031791</v>
      </c>
      <c r="BL27" s="598">
        <v>5.31</v>
      </c>
      <c r="BM27" s="598">
        <v>5.31</v>
      </c>
      <c r="BN27" s="598">
        <v>5.31</v>
      </c>
      <c r="BO27" s="598">
        <v>5.31</v>
      </c>
      <c r="BP27" s="598">
        <v>5.31</v>
      </c>
      <c r="BQ27" s="599">
        <v>118.901</v>
      </c>
      <c r="BR27" s="600">
        <v>104.496</v>
      </c>
      <c r="BS27" s="599">
        <f>BQ27/BR27</f>
        <v>1.1378521665901087</v>
      </c>
      <c r="BT27" s="598"/>
      <c r="BU27" s="598"/>
      <c r="BV27" s="598"/>
      <c r="BW27" s="598"/>
      <c r="BX27" s="598"/>
      <c r="BY27" s="598"/>
      <c r="BZ27" s="598"/>
      <c r="CA27" s="598"/>
      <c r="CB27" s="598"/>
      <c r="CC27" s="598">
        <f>SUM((BL27:BP27),(BV27:CB27))</f>
        <v>26.549999999999997</v>
      </c>
      <c r="CD27" s="601">
        <f>BK27-CC27</f>
        <v>251.3600928903179</v>
      </c>
      <c r="CE27" s="58">
        <v>10</v>
      </c>
      <c r="CF27" s="130">
        <v>0.1</v>
      </c>
      <c r="CG27" s="46">
        <v>43281</v>
      </c>
      <c r="CH27" s="48">
        <v>120</v>
      </c>
      <c r="CI27" s="145">
        <f>100/CH27</f>
        <v>0.83333333333333337</v>
      </c>
      <c r="CJ27" s="165">
        <f>CI27*CK27</f>
        <v>63.333333333333336</v>
      </c>
      <c r="CK27" s="48">
        <f>(YEAR(CG27)-YEAR(CT27))*12+MONTH(CG27)-MONTH(CT27)</f>
        <v>76</v>
      </c>
      <c r="CL27" s="165">
        <f>CM27*CI27</f>
        <v>36.666666666666671</v>
      </c>
      <c r="CM27" s="48">
        <f>CH27-CK27</f>
        <v>44</v>
      </c>
      <c r="CN27" s="165">
        <f>CO27*CI27</f>
        <v>5.8333333333333339</v>
      </c>
      <c r="CO27" s="48">
        <v>7</v>
      </c>
      <c r="CP27" s="165">
        <f>CQ27*CI27</f>
        <v>30.833333333333336</v>
      </c>
      <c r="CQ27" s="48">
        <f>CM27-CO27</f>
        <v>37</v>
      </c>
      <c r="CR27" s="462">
        <f>DATE(YEAR(CT27),MONTH(CT27)+CH27,DAY(CT27))</f>
        <v>44593</v>
      </c>
      <c r="CS27" s="119" t="s">
        <v>445</v>
      </c>
      <c r="CT27" s="128">
        <v>40940</v>
      </c>
      <c r="CU27" s="129">
        <v>560</v>
      </c>
      <c r="CV27" s="601">
        <v>251.3600928903179</v>
      </c>
      <c r="CW27" s="599">
        <v>126.408</v>
      </c>
      <c r="CX27" s="600">
        <v>104.496</v>
      </c>
      <c r="CY27" s="599">
        <f>CW27/CX27</f>
        <v>1.2096922370234269</v>
      </c>
      <c r="CZ27" s="599">
        <f>CV27/CQ27</f>
        <v>6.7935160240626455</v>
      </c>
      <c r="DA27" s="598">
        <f>CZ27*CY27</f>
        <v>8.218063596402839</v>
      </c>
      <c r="DB27" s="598">
        <v>6.21</v>
      </c>
      <c r="DC27" s="598">
        <v>6.21</v>
      </c>
      <c r="DD27" s="598">
        <v>6.21</v>
      </c>
      <c r="DE27" s="598">
        <v>6.21</v>
      </c>
      <c r="DF27" s="598">
        <v>6.21</v>
      </c>
      <c r="DG27" s="598">
        <v>6.21</v>
      </c>
      <c r="DH27" s="598">
        <v>6.21</v>
      </c>
      <c r="DI27" s="598">
        <f>SUM(DB27:DH27)</f>
        <v>43.47</v>
      </c>
      <c r="DJ27" s="601">
        <f>CV27-DI27</f>
        <v>207.8900928903179</v>
      </c>
      <c r="DK27" s="598">
        <v>6.21</v>
      </c>
      <c r="DL27" s="598">
        <v>6.21</v>
      </c>
      <c r="DM27" s="598">
        <v>6.21</v>
      </c>
      <c r="DN27" s="598">
        <v>6.21</v>
      </c>
      <c r="DO27" s="598">
        <v>6.21</v>
      </c>
      <c r="DP27" s="505">
        <f t="shared" si="2"/>
        <v>31.05</v>
      </c>
      <c r="DQ27" s="1085">
        <f t="shared" si="3"/>
        <v>176.84009289031789</v>
      </c>
      <c r="DR27" s="1086">
        <v>132.28200000000001</v>
      </c>
      <c r="DS27" s="515">
        <v>104.496</v>
      </c>
      <c r="DT27" s="1087">
        <f>DR27/DS27</f>
        <v>1.2659049150206707</v>
      </c>
      <c r="DU27" s="516">
        <f>DQ27/BN27</f>
        <v>33.303219000059869</v>
      </c>
      <c r="DV27" s="516">
        <f>DU27*DT27</f>
        <v>42.158708618185571</v>
      </c>
      <c r="DW27" s="516">
        <v>42.158708618185571</v>
      </c>
      <c r="DX27" s="516">
        <v>42.158708618185571</v>
      </c>
      <c r="DY27" s="516">
        <v>42.158708618185571</v>
      </c>
      <c r="DZ27" s="516">
        <v>42.158708618185571</v>
      </c>
      <c r="EA27" s="516">
        <v>7.21</v>
      </c>
      <c r="EB27" s="516">
        <v>0</v>
      </c>
      <c r="EC27" s="516">
        <v>0</v>
      </c>
      <c r="ED27" s="516">
        <v>0</v>
      </c>
      <c r="EE27" s="516">
        <v>0</v>
      </c>
      <c r="EF27" s="516">
        <v>0</v>
      </c>
      <c r="EG27" s="516">
        <v>0</v>
      </c>
      <c r="EH27" s="516">
        <v>0</v>
      </c>
      <c r="EI27" s="516">
        <v>0</v>
      </c>
      <c r="EJ27" s="516">
        <v>0</v>
      </c>
      <c r="EK27" s="516">
        <v>0</v>
      </c>
      <c r="EL27" s="516">
        <v>0</v>
      </c>
      <c r="EM27" s="516">
        <v>0</v>
      </c>
      <c r="EN27" s="516">
        <v>0</v>
      </c>
      <c r="EO27" s="516">
        <f t="shared" si="4"/>
        <v>175.84483447274229</v>
      </c>
      <c r="EP27" s="1088">
        <f>DQ27-EO27</f>
        <v>0.99525841757559874</v>
      </c>
    </row>
    <row r="28" spans="1:147" s="16" customFormat="1" ht="15.75" x14ac:dyDescent="0.25">
      <c r="A28" s="119" t="s">
        <v>152</v>
      </c>
      <c r="B28" s="100" t="s">
        <v>557</v>
      </c>
      <c r="C28" s="45" t="s">
        <v>340</v>
      </c>
      <c r="D28" s="58">
        <v>10</v>
      </c>
      <c r="E28" s="130">
        <v>0.1</v>
      </c>
      <c r="F28" s="46">
        <v>42185</v>
      </c>
      <c r="G28" s="48">
        <v>120</v>
      </c>
      <c r="H28" s="145">
        <f>100/G28</f>
        <v>0.83333333333333337</v>
      </c>
      <c r="I28" s="165">
        <f>H28*J28</f>
        <v>17.5</v>
      </c>
      <c r="J28" s="48">
        <f>(YEAR(F28)-YEAR(S28))*12+MONTH(F28)-MONTH(S28)</f>
        <v>21</v>
      </c>
      <c r="K28" s="165">
        <f>L28*H28</f>
        <v>82.5</v>
      </c>
      <c r="L28" s="48">
        <f>G28-J28</f>
        <v>99</v>
      </c>
      <c r="M28" s="165">
        <f>N28*H28</f>
        <v>5.8333333333333339</v>
      </c>
      <c r="N28" s="48">
        <v>7</v>
      </c>
      <c r="O28" s="165">
        <f>P28*H28</f>
        <v>76.666666666666671</v>
      </c>
      <c r="P28" s="48">
        <f>L28-N28</f>
        <v>92</v>
      </c>
      <c r="Q28" s="48"/>
      <c r="R28" s="119" t="s">
        <v>559</v>
      </c>
      <c r="S28" s="128">
        <v>41518</v>
      </c>
      <c r="T28" s="129">
        <v>629</v>
      </c>
      <c r="U28" s="47">
        <v>524.19000000000005</v>
      </c>
      <c r="V28" s="106">
        <v>26.2</v>
      </c>
      <c r="W28" s="165">
        <v>0</v>
      </c>
      <c r="X28" s="57">
        <v>115.958</v>
      </c>
      <c r="Y28" s="80">
        <v>109.328</v>
      </c>
      <c r="Z28" s="57">
        <f>X28/Y28</f>
        <v>1.0606432021074199</v>
      </c>
      <c r="AA28" s="55">
        <f>U28*M28/100/K28*100/7</f>
        <v>5.2948484848484858</v>
      </c>
      <c r="AB28" s="55">
        <f>AA28*Z28</f>
        <v>5.6159450516433189</v>
      </c>
      <c r="AC28" s="55"/>
      <c r="AD28" s="55"/>
      <c r="AE28" s="55"/>
      <c r="AF28" s="55"/>
      <c r="AG28" s="55"/>
      <c r="AH28" s="55">
        <v>5.37</v>
      </c>
      <c r="AI28" s="55">
        <v>5.37</v>
      </c>
      <c r="AJ28" s="55">
        <v>5.37</v>
      </c>
      <c r="AK28" s="55">
        <v>5.37</v>
      </c>
      <c r="AL28" s="55">
        <v>5.37</v>
      </c>
      <c r="AM28" s="55">
        <v>5.37</v>
      </c>
      <c r="AN28" s="55">
        <v>5.37</v>
      </c>
      <c r="AO28" s="55">
        <f>SUM(AC28:AN28)</f>
        <v>37.589999999999996</v>
      </c>
      <c r="AP28" s="72">
        <f>U28-AO28</f>
        <v>486.60000000000008</v>
      </c>
      <c r="AQ28" s="55"/>
      <c r="AR28" s="55"/>
      <c r="AS28" s="55">
        <f>$AN28</f>
        <v>5.37</v>
      </c>
      <c r="AT28" s="55">
        <f t="shared" si="6"/>
        <v>5.37</v>
      </c>
      <c r="AU28" s="55">
        <f t="shared" si="6"/>
        <v>5.37</v>
      </c>
      <c r="AV28" s="55">
        <f t="shared" si="6"/>
        <v>5.37</v>
      </c>
      <c r="AW28" s="55">
        <f t="shared" si="6"/>
        <v>5.37</v>
      </c>
      <c r="AX28" s="57">
        <v>118.901</v>
      </c>
      <c r="AY28" s="80">
        <v>109.328</v>
      </c>
      <c r="AZ28" s="57">
        <f>AX28/AY28</f>
        <v>1.0875621981560075</v>
      </c>
      <c r="BA28" s="55">
        <f>T28/(D28*12)</f>
        <v>5.2416666666666663</v>
      </c>
      <c r="BB28" s="55">
        <f>BA28*AZ28</f>
        <v>5.7006385220010722</v>
      </c>
      <c r="BC28" s="55">
        <f t="shared" si="7"/>
        <v>5.7006385220010722</v>
      </c>
      <c r="BD28" s="55">
        <f t="shared" si="7"/>
        <v>5.7006385220010722</v>
      </c>
      <c r="BE28" s="55">
        <f t="shared" si="7"/>
        <v>5.7006385220010722</v>
      </c>
      <c r="BF28" s="55">
        <f t="shared" si="7"/>
        <v>5.7006385220010722</v>
      </c>
      <c r="BG28" s="55">
        <v>5.7</v>
      </c>
      <c r="BH28" s="55">
        <v>5.7</v>
      </c>
      <c r="BI28" s="55">
        <v>5.7</v>
      </c>
      <c r="BJ28" s="55">
        <f>SUM((AS28:AW28),(BC28:BI28))</f>
        <v>66.752554088004288</v>
      </c>
      <c r="BK28" s="601">
        <f>(AP28-BJ28)</f>
        <v>419.84744591199581</v>
      </c>
      <c r="BL28" s="598">
        <v>5.7</v>
      </c>
      <c r="BM28" s="598">
        <v>5.7</v>
      </c>
      <c r="BN28" s="598">
        <v>5.7</v>
      </c>
      <c r="BO28" s="598">
        <v>5.7</v>
      </c>
      <c r="BP28" s="598">
        <v>5.7</v>
      </c>
      <c r="BQ28" s="599">
        <v>118.901</v>
      </c>
      <c r="BR28" s="600">
        <v>109.328</v>
      </c>
      <c r="BS28" s="599">
        <f>BQ28/BR28</f>
        <v>1.0875621981560075</v>
      </c>
      <c r="BT28" s="598"/>
      <c r="BU28" s="598"/>
      <c r="BV28" s="598"/>
      <c r="BW28" s="598"/>
      <c r="BX28" s="598"/>
      <c r="BY28" s="598"/>
      <c r="BZ28" s="598"/>
      <c r="CA28" s="598"/>
      <c r="CB28" s="598"/>
      <c r="CC28" s="598">
        <f>SUM((BL28:BP28),(BV28:CB28))</f>
        <v>28.5</v>
      </c>
      <c r="CD28" s="601">
        <f>BK28-CC28</f>
        <v>391.34744591199581</v>
      </c>
      <c r="CE28" s="58">
        <v>10</v>
      </c>
      <c r="CF28" s="130">
        <v>0.1</v>
      </c>
      <c r="CG28" s="46">
        <v>43281</v>
      </c>
      <c r="CH28" s="48">
        <v>120</v>
      </c>
      <c r="CI28" s="145">
        <f>100/CH28</f>
        <v>0.83333333333333337</v>
      </c>
      <c r="CJ28" s="165">
        <f>CI28*CK28</f>
        <v>47.5</v>
      </c>
      <c r="CK28" s="48">
        <f>(YEAR(CG28)-YEAR(CT28))*12+MONTH(CG28)-MONTH(CT28)</f>
        <v>57</v>
      </c>
      <c r="CL28" s="165">
        <f>CM28*CI28</f>
        <v>52.5</v>
      </c>
      <c r="CM28" s="48">
        <f>CH28-CK28</f>
        <v>63</v>
      </c>
      <c r="CN28" s="165">
        <f>CO28*CI28</f>
        <v>5.8333333333333339</v>
      </c>
      <c r="CO28" s="48">
        <v>7</v>
      </c>
      <c r="CP28" s="165">
        <f>CQ28*CI28</f>
        <v>46.666666666666671</v>
      </c>
      <c r="CQ28" s="48">
        <f>CM28-CO28</f>
        <v>56</v>
      </c>
      <c r="CR28" s="462">
        <f>DATE(YEAR(CT28),MONTH(CT28)+CH28,DAY(CT28))</f>
        <v>45170</v>
      </c>
      <c r="CS28" s="119" t="s">
        <v>559</v>
      </c>
      <c r="CT28" s="128">
        <v>41518</v>
      </c>
      <c r="CU28" s="129">
        <v>629</v>
      </c>
      <c r="CV28" s="601">
        <v>391.34744591199581</v>
      </c>
      <c r="CW28" s="599">
        <v>126.408</v>
      </c>
      <c r="CX28" s="600">
        <v>109.328</v>
      </c>
      <c r="CY28" s="599">
        <f>CW28/CX28</f>
        <v>1.1562271330308795</v>
      </c>
      <c r="CZ28" s="599">
        <f>CV28/CQ28</f>
        <v>6.9883472484284965</v>
      </c>
      <c r="DA28" s="598">
        <f>CZ28*CY28</f>
        <v>8.080116703674717</v>
      </c>
      <c r="DB28" s="598">
        <v>6.65</v>
      </c>
      <c r="DC28" s="598">
        <v>6.65</v>
      </c>
      <c r="DD28" s="598">
        <v>6.65</v>
      </c>
      <c r="DE28" s="598">
        <v>6.65</v>
      </c>
      <c r="DF28" s="598">
        <v>6.65</v>
      </c>
      <c r="DG28" s="598">
        <v>6.65</v>
      </c>
      <c r="DH28" s="598">
        <v>6.65</v>
      </c>
      <c r="DI28" s="598">
        <f>SUM(DB28:DH28)</f>
        <v>46.55</v>
      </c>
      <c r="DJ28" s="601">
        <f>CV28-DI28</f>
        <v>344.79744591199579</v>
      </c>
      <c r="DK28" s="598">
        <v>6.65</v>
      </c>
      <c r="DL28" s="598">
        <v>6.65</v>
      </c>
      <c r="DM28" s="598">
        <v>6.65</v>
      </c>
      <c r="DN28" s="598">
        <v>6.65</v>
      </c>
      <c r="DO28" s="598">
        <v>6.65</v>
      </c>
      <c r="DP28" s="505">
        <f t="shared" si="2"/>
        <v>33.25</v>
      </c>
      <c r="DQ28" s="1085">
        <f t="shared" si="3"/>
        <v>311.54744591199579</v>
      </c>
      <c r="DR28" s="1086">
        <v>132.28200000000001</v>
      </c>
      <c r="DS28" s="515">
        <v>109.328</v>
      </c>
      <c r="DT28" s="1087">
        <f>DR28/DS28</f>
        <v>1.209955363676277</v>
      </c>
      <c r="DU28" s="516">
        <f>DQ28/BN28</f>
        <v>54.657446651227332</v>
      </c>
      <c r="DV28" s="516">
        <f>DU28*DT28</f>
        <v>66.133070740502475</v>
      </c>
      <c r="DW28" s="516">
        <v>66.133070740502475</v>
      </c>
      <c r="DX28" s="516">
        <v>66.133070740502475</v>
      </c>
      <c r="DY28" s="516">
        <v>66.133070740502475</v>
      </c>
      <c r="DZ28" s="516">
        <v>66.133070740502475</v>
      </c>
      <c r="EA28" s="516">
        <v>46.02</v>
      </c>
      <c r="EB28" s="516">
        <v>0</v>
      </c>
      <c r="EC28" s="516">
        <v>0</v>
      </c>
      <c r="ED28" s="516">
        <v>0</v>
      </c>
      <c r="EE28" s="516">
        <v>0</v>
      </c>
      <c r="EF28" s="516">
        <v>0</v>
      </c>
      <c r="EG28" s="516">
        <v>0</v>
      </c>
      <c r="EH28" s="516">
        <v>0</v>
      </c>
      <c r="EI28" s="516">
        <v>0</v>
      </c>
      <c r="EJ28" s="516">
        <v>0</v>
      </c>
      <c r="EK28" s="516">
        <v>0</v>
      </c>
      <c r="EL28" s="516">
        <v>0</v>
      </c>
      <c r="EM28" s="516">
        <v>0</v>
      </c>
      <c r="EN28" s="516">
        <v>0</v>
      </c>
      <c r="EO28" s="516">
        <f t="shared" si="4"/>
        <v>310.55228296200988</v>
      </c>
      <c r="EP28" s="1088">
        <f>DQ28-EO28</f>
        <v>0.99516294998591093</v>
      </c>
    </row>
    <row r="29" spans="1:147" s="16" customFormat="1" ht="15.75" x14ac:dyDescent="0.25">
      <c r="A29" s="120" t="s">
        <v>70</v>
      </c>
      <c r="B29" s="120" t="s">
        <v>154</v>
      </c>
      <c r="C29" s="45"/>
      <c r="D29" s="58"/>
      <c r="E29" s="130"/>
      <c r="F29" s="46"/>
      <c r="G29" s="48"/>
      <c r="H29" s="145"/>
      <c r="I29" s="165"/>
      <c r="J29" s="48"/>
      <c r="K29" s="165"/>
      <c r="L29" s="48"/>
      <c r="M29" s="165"/>
      <c r="N29" s="48"/>
      <c r="O29" s="165"/>
      <c r="P29" s="48"/>
      <c r="Q29" s="48"/>
      <c r="R29" s="119"/>
      <c r="S29" s="128"/>
      <c r="T29" s="129"/>
      <c r="U29" s="47"/>
      <c r="V29" s="106"/>
      <c r="W29" s="165"/>
      <c r="X29" s="57"/>
      <c r="Y29" s="80"/>
      <c r="Z29" s="57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72"/>
      <c r="AQ29" s="55"/>
      <c r="AR29" s="55"/>
      <c r="AS29" s="55"/>
      <c r="AT29" s="55"/>
      <c r="AU29" s="55"/>
      <c r="AV29" s="55"/>
      <c r="AW29" s="55"/>
      <c r="AX29" s="57"/>
      <c r="AY29" s="80"/>
      <c r="AZ29" s="57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601"/>
      <c r="BL29" s="598"/>
      <c r="BM29" s="598"/>
      <c r="BN29" s="598"/>
      <c r="BO29" s="598"/>
      <c r="BP29" s="598"/>
      <c r="BQ29" s="599"/>
      <c r="BR29" s="600"/>
      <c r="BS29" s="599"/>
      <c r="BT29" s="598"/>
      <c r="BU29" s="598"/>
      <c r="BV29" s="598"/>
      <c r="BW29" s="598"/>
      <c r="BX29" s="598"/>
      <c r="BY29" s="598"/>
      <c r="BZ29" s="598"/>
      <c r="CA29" s="598"/>
      <c r="CB29" s="598"/>
      <c r="CC29" s="598"/>
      <c r="CD29" s="601"/>
      <c r="CE29" s="58"/>
      <c r="CF29" s="130"/>
      <c r="CG29" s="46"/>
      <c r="CH29" s="48"/>
      <c r="CI29" s="145"/>
      <c r="CJ29" s="165"/>
      <c r="CK29" s="48"/>
      <c r="CL29" s="165"/>
      <c r="CM29" s="48"/>
      <c r="CN29" s="165"/>
      <c r="CO29" s="48"/>
      <c r="CP29" s="165"/>
      <c r="CQ29" s="48"/>
      <c r="CR29" s="48"/>
      <c r="CS29" s="119"/>
      <c r="CT29" s="128"/>
      <c r="CU29" s="129"/>
      <c r="CV29" s="601"/>
      <c r="CW29" s="599"/>
      <c r="CX29" s="600"/>
      <c r="CY29" s="599"/>
      <c r="CZ29" s="599"/>
      <c r="DA29" s="598"/>
      <c r="DB29" s="598"/>
      <c r="DC29" s="598"/>
      <c r="DD29" s="598"/>
      <c r="DE29" s="598"/>
      <c r="DF29" s="598"/>
      <c r="DG29" s="598"/>
      <c r="DH29" s="598"/>
      <c r="DI29" s="598"/>
      <c r="DJ29" s="601"/>
      <c r="DK29" s="598"/>
      <c r="DL29" s="598"/>
      <c r="DM29" s="598"/>
      <c r="DN29" s="598"/>
      <c r="DO29" s="598"/>
      <c r="DP29" s="505"/>
      <c r="DQ29" s="1085"/>
      <c r="DR29" s="520"/>
      <c r="DS29" s="515"/>
      <c r="DT29" s="1087"/>
      <c r="DU29" s="516"/>
      <c r="DV29" s="516"/>
      <c r="DW29" s="516"/>
      <c r="DX29" s="516"/>
      <c r="DY29" s="516"/>
      <c r="DZ29" s="516"/>
      <c r="EA29" s="516"/>
      <c r="EB29" s="516"/>
      <c r="EC29" s="516"/>
      <c r="ED29" s="516"/>
      <c r="EE29" s="516"/>
      <c r="EF29" s="516"/>
      <c r="EG29" s="516"/>
      <c r="EH29" s="516"/>
      <c r="EI29" s="516"/>
      <c r="EJ29" s="516"/>
      <c r="EK29" s="516"/>
      <c r="EL29" s="516"/>
      <c r="EM29" s="516"/>
      <c r="EN29" s="516"/>
      <c r="EO29" s="516">
        <f t="shared" si="4"/>
        <v>0</v>
      </c>
      <c r="EP29" s="516"/>
    </row>
    <row r="30" spans="1:147" s="16" customFormat="1" ht="15.75" x14ac:dyDescent="0.25">
      <c r="A30" s="120" t="s">
        <v>153</v>
      </c>
      <c r="B30" s="124"/>
      <c r="C30" s="45"/>
      <c r="D30" s="58"/>
      <c r="E30" s="130"/>
      <c r="F30" s="46"/>
      <c r="G30" s="48"/>
      <c r="H30" s="145"/>
      <c r="I30" s="165"/>
      <c r="J30" s="48"/>
      <c r="K30" s="165"/>
      <c r="L30" s="48"/>
      <c r="M30" s="165"/>
      <c r="N30" s="48"/>
      <c r="O30" s="165"/>
      <c r="P30" s="48"/>
      <c r="Q30" s="48"/>
      <c r="R30" s="119"/>
      <c r="S30" s="128"/>
      <c r="T30" s="129"/>
      <c r="U30" s="47"/>
      <c r="V30" s="106"/>
      <c r="W30" s="165"/>
      <c r="X30" s="57"/>
      <c r="Y30" s="80"/>
      <c r="Z30" s="57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72"/>
      <c r="AQ30" s="55"/>
      <c r="AR30" s="55"/>
      <c r="AS30" s="55"/>
      <c r="AT30" s="55"/>
      <c r="AU30" s="55"/>
      <c r="AV30" s="55"/>
      <c r="AW30" s="55"/>
      <c r="AX30" s="57"/>
      <c r="AY30" s="80"/>
      <c r="AZ30" s="57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601"/>
      <c r="BL30" s="598"/>
      <c r="BM30" s="598"/>
      <c r="BN30" s="598"/>
      <c r="BO30" s="598"/>
      <c r="BP30" s="598"/>
      <c r="BQ30" s="599"/>
      <c r="BR30" s="600"/>
      <c r="BS30" s="599"/>
      <c r="BT30" s="598"/>
      <c r="BU30" s="598"/>
      <c r="BV30" s="598"/>
      <c r="BW30" s="598"/>
      <c r="BX30" s="598"/>
      <c r="BY30" s="598"/>
      <c r="BZ30" s="598"/>
      <c r="CA30" s="598"/>
      <c r="CB30" s="598"/>
      <c r="CC30" s="598"/>
      <c r="CD30" s="601"/>
      <c r="CE30" s="58"/>
      <c r="CF30" s="130"/>
      <c r="CG30" s="46"/>
      <c r="CH30" s="48"/>
      <c r="CI30" s="145"/>
      <c r="CJ30" s="165"/>
      <c r="CK30" s="48"/>
      <c r="CL30" s="165"/>
      <c r="CM30" s="48"/>
      <c r="CN30" s="165"/>
      <c r="CO30" s="48"/>
      <c r="CP30" s="165"/>
      <c r="CQ30" s="48"/>
      <c r="CR30" s="48"/>
      <c r="CS30" s="119"/>
      <c r="CT30" s="128"/>
      <c r="CU30" s="129"/>
      <c r="CV30" s="601"/>
      <c r="CW30" s="599"/>
      <c r="CX30" s="600"/>
      <c r="CY30" s="599"/>
      <c r="CZ30" s="599"/>
      <c r="DA30" s="598"/>
      <c r="DB30" s="598"/>
      <c r="DC30" s="598"/>
      <c r="DD30" s="598"/>
      <c r="DE30" s="598"/>
      <c r="DF30" s="598"/>
      <c r="DG30" s="598"/>
      <c r="DH30" s="598"/>
      <c r="DI30" s="598"/>
      <c r="DJ30" s="601"/>
      <c r="DK30" s="598"/>
      <c r="DL30" s="598"/>
      <c r="DM30" s="598"/>
      <c r="DN30" s="598"/>
      <c r="DO30" s="598"/>
      <c r="DP30" s="505"/>
      <c r="DQ30" s="1085"/>
      <c r="DR30" s="520"/>
      <c r="DS30" s="515"/>
      <c r="DT30" s="1087"/>
      <c r="DU30" s="516"/>
      <c r="DV30" s="516"/>
      <c r="DW30" s="516"/>
      <c r="DX30" s="516"/>
      <c r="DY30" s="516"/>
      <c r="DZ30" s="516"/>
      <c r="EA30" s="516"/>
      <c r="EB30" s="516"/>
      <c r="EC30" s="516"/>
      <c r="ED30" s="516"/>
      <c r="EE30" s="516"/>
      <c r="EF30" s="516"/>
      <c r="EG30" s="516"/>
      <c r="EH30" s="516"/>
      <c r="EI30" s="516"/>
      <c r="EJ30" s="516"/>
      <c r="EK30" s="516"/>
      <c r="EL30" s="516"/>
      <c r="EM30" s="516"/>
      <c r="EN30" s="516"/>
      <c r="EO30" s="516">
        <f t="shared" si="4"/>
        <v>0</v>
      </c>
      <c r="EP30" s="516"/>
    </row>
    <row r="31" spans="1:147" s="16" customFormat="1" ht="15.75" x14ac:dyDescent="0.25">
      <c r="A31" s="119" t="s">
        <v>342</v>
      </c>
      <c r="B31" s="100" t="s">
        <v>558</v>
      </c>
      <c r="C31" s="45" t="s">
        <v>340</v>
      </c>
      <c r="D31" s="58">
        <v>10</v>
      </c>
      <c r="E31" s="130">
        <v>0.1</v>
      </c>
      <c r="F31" s="46">
        <v>42185</v>
      </c>
      <c r="G31" s="48">
        <v>36</v>
      </c>
      <c r="H31" s="145">
        <f>100/G31</f>
        <v>2.7777777777777777</v>
      </c>
      <c r="I31" s="165">
        <f>H31*J31</f>
        <v>0</v>
      </c>
      <c r="J31" s="48">
        <v>0</v>
      </c>
      <c r="K31" s="165">
        <f>L31*H31</f>
        <v>0</v>
      </c>
      <c r="L31" s="48">
        <v>0</v>
      </c>
      <c r="M31" s="165">
        <f>N31*H31</f>
        <v>0</v>
      </c>
      <c r="N31" s="48">
        <v>0</v>
      </c>
      <c r="O31" s="165">
        <f>P31*H31</f>
        <v>0</v>
      </c>
      <c r="P31" s="48">
        <f>L31-N31</f>
        <v>0</v>
      </c>
      <c r="Q31" s="48"/>
      <c r="R31" s="119" t="s">
        <v>445</v>
      </c>
      <c r="S31" s="128">
        <v>40940</v>
      </c>
      <c r="T31" s="7">
        <v>400</v>
      </c>
      <c r="U31" s="47">
        <v>270.04000000000002</v>
      </c>
      <c r="V31" s="106">
        <v>16.649999999999999</v>
      </c>
      <c r="W31" s="165">
        <v>0</v>
      </c>
      <c r="X31" s="57">
        <v>115.958</v>
      </c>
      <c r="Y31" s="80">
        <v>104.496</v>
      </c>
      <c r="Z31" s="57">
        <f>X31/Y31</f>
        <v>1.1096884091257082</v>
      </c>
      <c r="AA31" s="55">
        <f>U31/7</f>
        <v>38.57714285714286</v>
      </c>
      <c r="AB31" s="55">
        <f>AA31*Z31</f>
        <v>42.808608285758041</v>
      </c>
      <c r="AC31" s="55"/>
      <c r="AD31" s="55"/>
      <c r="AE31" s="55"/>
      <c r="AF31" s="55"/>
      <c r="AG31" s="55"/>
      <c r="AH31" s="55">
        <v>42.81</v>
      </c>
      <c r="AI31" s="55">
        <v>42.81</v>
      </c>
      <c r="AJ31" s="55">
        <v>42.81</v>
      </c>
      <c r="AK31" s="55">
        <v>42.81</v>
      </c>
      <c r="AL31" s="55">
        <v>42.81</v>
      </c>
      <c r="AM31" s="55">
        <v>42.81</v>
      </c>
      <c r="AN31" s="55">
        <v>12.18</v>
      </c>
      <c r="AO31" s="55">
        <f>SUM(AC31:AN31)</f>
        <v>269.04000000000002</v>
      </c>
      <c r="AP31" s="72">
        <f>U31-AO31</f>
        <v>1</v>
      </c>
      <c r="AQ31" s="55"/>
      <c r="AR31" s="55"/>
      <c r="AS31" s="55"/>
      <c r="AT31" s="55"/>
      <c r="AU31" s="55"/>
      <c r="AV31" s="55"/>
      <c r="AW31" s="55"/>
      <c r="AX31" s="57">
        <v>118.901</v>
      </c>
      <c r="AY31" s="80">
        <v>104.496</v>
      </c>
      <c r="AZ31" s="57">
        <f>AX31/AY31</f>
        <v>1.1378521665901087</v>
      </c>
      <c r="BA31" s="55">
        <f>T31/(D31*12)</f>
        <v>3.3333333333333335</v>
      </c>
      <c r="BB31" s="55">
        <f>BA31*AZ31</f>
        <v>3.7928405553003626</v>
      </c>
      <c r="BC31" s="55"/>
      <c r="BD31" s="55"/>
      <c r="BE31" s="55"/>
      <c r="BF31" s="55"/>
      <c r="BG31" s="55"/>
      <c r="BH31" s="55"/>
      <c r="BI31" s="55"/>
      <c r="BJ31" s="55">
        <f>SUM((AS31:AW31),(BC31:BI31))</f>
        <v>0</v>
      </c>
      <c r="BK31" s="601">
        <f>(AP31-BJ31)</f>
        <v>1</v>
      </c>
      <c r="BL31" s="598"/>
      <c r="BM31" s="598"/>
      <c r="BN31" s="598"/>
      <c r="BO31" s="598"/>
      <c r="BP31" s="598"/>
      <c r="BQ31" s="599">
        <v>118.901</v>
      </c>
      <c r="BR31" s="600">
        <v>104.496</v>
      </c>
      <c r="BS31" s="599">
        <f>BQ31/BR31</f>
        <v>1.1378521665901087</v>
      </c>
      <c r="BT31" s="598"/>
      <c r="BU31" s="598"/>
      <c r="BV31" s="598"/>
      <c r="BW31" s="598"/>
      <c r="BX31" s="598"/>
      <c r="BY31" s="598"/>
      <c r="BZ31" s="598"/>
      <c r="CA31" s="598"/>
      <c r="CB31" s="598"/>
      <c r="CC31" s="598">
        <f>SUM((BL31:BP31),(BV31:CB31))</f>
        <v>0</v>
      </c>
      <c r="CD31" s="601">
        <f>BK31-CC31</f>
        <v>1</v>
      </c>
      <c r="CE31" s="58">
        <v>10</v>
      </c>
      <c r="CF31" s="130">
        <v>0.1</v>
      </c>
      <c r="CG31" s="46">
        <v>43281</v>
      </c>
      <c r="CH31" s="48">
        <v>36</v>
      </c>
      <c r="CI31" s="145">
        <f>100/CH31</f>
        <v>2.7777777777777777</v>
      </c>
      <c r="CJ31" s="165">
        <f>CI31*CK31</f>
        <v>211.11111111111111</v>
      </c>
      <c r="CK31" s="48">
        <f>(YEAR(CG31)-YEAR(CT31))*12+MONTH(CG31)-MONTH(CT31)</f>
        <v>76</v>
      </c>
      <c r="CL31" s="165">
        <f>CM31*CI31</f>
        <v>-111.11111111111111</v>
      </c>
      <c r="CM31" s="48">
        <f>CH31-CK31</f>
        <v>-40</v>
      </c>
      <c r="CN31" s="165">
        <f>CO31*CI31</f>
        <v>0</v>
      </c>
      <c r="CO31" s="48">
        <v>0</v>
      </c>
      <c r="CP31" s="165">
        <f>CQ31*CI31</f>
        <v>-111.11111111111111</v>
      </c>
      <c r="CQ31" s="48">
        <f>CM31-CO31</f>
        <v>-40</v>
      </c>
      <c r="CR31" s="462">
        <f>DATE(YEAR(CT31),MONTH(CT31)+CH31,DAY(CT31))</f>
        <v>42036</v>
      </c>
      <c r="CS31" s="119" t="s">
        <v>445</v>
      </c>
      <c r="CT31" s="128">
        <v>40940</v>
      </c>
      <c r="CU31" s="7">
        <v>400</v>
      </c>
      <c r="CV31" s="601">
        <v>1</v>
      </c>
      <c r="CW31" s="599"/>
      <c r="CX31" s="600">
        <v>104.496</v>
      </c>
      <c r="CY31" s="599">
        <f>CW31/CX31</f>
        <v>0</v>
      </c>
      <c r="CZ31" s="599"/>
      <c r="DA31" s="598"/>
      <c r="DB31" s="598"/>
      <c r="DC31" s="598"/>
      <c r="DD31" s="598"/>
      <c r="DE31" s="598"/>
      <c r="DF31" s="598"/>
      <c r="DG31" s="598"/>
      <c r="DH31" s="598"/>
      <c r="DI31" s="598"/>
      <c r="DJ31" s="601">
        <f>CV31-DI31</f>
        <v>1</v>
      </c>
      <c r="DK31" s="598"/>
      <c r="DL31" s="598"/>
      <c r="DM31" s="598"/>
      <c r="DN31" s="598"/>
      <c r="DO31" s="598"/>
      <c r="DP31" s="505">
        <f t="shared" si="2"/>
        <v>0</v>
      </c>
      <c r="DQ31" s="1085">
        <f t="shared" si="3"/>
        <v>1</v>
      </c>
      <c r="DR31" s="514"/>
      <c r="DS31" s="515">
        <v>104.496</v>
      </c>
      <c r="DT31" s="1087">
        <f>DR31/DS31</f>
        <v>0</v>
      </c>
      <c r="DU31" s="516">
        <v>0</v>
      </c>
      <c r="DV31" s="516">
        <f>DU31*DT31</f>
        <v>0</v>
      </c>
      <c r="DW31" s="516">
        <v>0</v>
      </c>
      <c r="DX31" s="516">
        <v>0</v>
      </c>
      <c r="DY31" s="516">
        <v>0</v>
      </c>
      <c r="DZ31" s="516">
        <v>0</v>
      </c>
      <c r="EA31" s="516">
        <v>0</v>
      </c>
      <c r="EB31" s="516">
        <v>0</v>
      </c>
      <c r="EC31" s="516">
        <v>0</v>
      </c>
      <c r="ED31" s="516">
        <v>0</v>
      </c>
      <c r="EE31" s="516">
        <v>0</v>
      </c>
      <c r="EF31" s="516">
        <v>0</v>
      </c>
      <c r="EG31" s="516">
        <v>0</v>
      </c>
      <c r="EH31" s="516">
        <v>0</v>
      </c>
      <c r="EI31" s="516">
        <v>0</v>
      </c>
      <c r="EJ31" s="516">
        <v>0</v>
      </c>
      <c r="EK31" s="516">
        <v>0</v>
      </c>
      <c r="EL31" s="516">
        <v>0</v>
      </c>
      <c r="EM31" s="516">
        <v>0</v>
      </c>
      <c r="EN31" s="516">
        <v>0</v>
      </c>
      <c r="EO31" s="516">
        <f t="shared" si="4"/>
        <v>0</v>
      </c>
      <c r="EP31" s="1088">
        <f>DQ31-EO31</f>
        <v>1</v>
      </c>
    </row>
    <row r="32" spans="1:147" ht="15" x14ac:dyDescent="0.2">
      <c r="R32" s="175"/>
      <c r="V32" s="195"/>
      <c r="W32" s="195">
        <f>SUM(W14:W31)</f>
        <v>0</v>
      </c>
      <c r="X32" s="195"/>
      <c r="Y32" s="195"/>
      <c r="Z32" s="195"/>
      <c r="AA32" s="195"/>
      <c r="AB32" s="195"/>
      <c r="AC32" s="195">
        <f t="shared" ref="AC32:AH32" si="8">SUM(AC14:AC31)</f>
        <v>0</v>
      </c>
      <c r="AD32" s="195">
        <f t="shared" si="8"/>
        <v>0</v>
      </c>
      <c r="AE32" s="195">
        <f t="shared" si="8"/>
        <v>0</v>
      </c>
      <c r="AF32" s="195">
        <f t="shared" si="8"/>
        <v>0</v>
      </c>
      <c r="AG32" s="195">
        <f t="shared" si="8"/>
        <v>0</v>
      </c>
      <c r="AH32" s="195">
        <f t="shared" si="8"/>
        <v>158.85000000000002</v>
      </c>
      <c r="AI32" s="195"/>
      <c r="AJ32" s="195"/>
      <c r="AK32" s="195"/>
      <c r="AL32" s="195"/>
      <c r="AM32" s="195"/>
      <c r="AN32" s="290">
        <f>SUM(AN14:AN31)</f>
        <v>134.26</v>
      </c>
      <c r="AO32" s="195">
        <f>SUM(AO14:AO31)</f>
        <v>1087.3600000000001</v>
      </c>
      <c r="AP32" s="195">
        <f>SUM(AP14:AP31)</f>
        <v>9707.5499999999993</v>
      </c>
      <c r="AS32" s="13">
        <f>SUM(AS14:AS31)</f>
        <v>109.54</v>
      </c>
      <c r="AT32" s="13">
        <f>SUM(AT14:AT31)</f>
        <v>109.54</v>
      </c>
      <c r="AU32" s="13">
        <f>SUM(AU14:AU31)</f>
        <v>109.54</v>
      </c>
      <c r="AV32" s="13">
        <f>SUM(AV14:AV31)</f>
        <v>109.54</v>
      </c>
      <c r="AW32" s="13">
        <f>SUM(AW14:AW31)</f>
        <v>109.54</v>
      </c>
      <c r="AX32" s="195"/>
      <c r="AY32" s="195"/>
      <c r="AZ32" s="195"/>
      <c r="BA32" s="195"/>
      <c r="BB32" s="195"/>
      <c r="BC32" s="13">
        <f t="shared" ref="BC32:BP32" si="9">SUM(BC14:BC31)</f>
        <v>111.27094578778696</v>
      </c>
      <c r="BD32" s="13">
        <f t="shared" si="9"/>
        <v>111.27094578778696</v>
      </c>
      <c r="BE32" s="13">
        <f t="shared" si="9"/>
        <v>111.27094578778696</v>
      </c>
      <c r="BF32" s="13">
        <f t="shared" si="9"/>
        <v>111.27094578778696</v>
      </c>
      <c r="BG32" s="13">
        <f t="shared" si="9"/>
        <v>111.05999999999999</v>
      </c>
      <c r="BH32" s="13">
        <f t="shared" si="9"/>
        <v>111.05999999999999</v>
      </c>
      <c r="BI32" s="13">
        <f t="shared" si="9"/>
        <v>111.05999999999999</v>
      </c>
      <c r="BJ32" s="290">
        <f t="shared" si="9"/>
        <v>1194.6697291445407</v>
      </c>
      <c r="BK32" s="603">
        <f t="shared" si="9"/>
        <v>8705.7402708554582</v>
      </c>
      <c r="BL32" s="603">
        <f t="shared" si="9"/>
        <v>100.27</v>
      </c>
      <c r="BM32" s="603">
        <f t="shared" si="9"/>
        <v>100.27</v>
      </c>
      <c r="BN32" s="603">
        <f t="shared" si="9"/>
        <v>111.28</v>
      </c>
      <c r="BO32" s="603">
        <f>SUM(BO14:BO31)</f>
        <v>111.28</v>
      </c>
      <c r="BP32" s="603">
        <f t="shared" si="9"/>
        <v>111.28</v>
      </c>
      <c r="BQ32" s="603"/>
      <c r="BR32" s="603"/>
      <c r="BS32" s="603"/>
      <c r="BT32" s="603"/>
      <c r="BU32" s="603"/>
      <c r="BV32" s="603">
        <f t="shared" ref="BV32:CD32" si="10">SUM(BV14:BV31)</f>
        <v>0</v>
      </c>
      <c r="BW32" s="603">
        <f t="shared" si="10"/>
        <v>0</v>
      </c>
      <c r="BX32" s="603">
        <f t="shared" si="10"/>
        <v>0</v>
      </c>
      <c r="BY32" s="603">
        <f t="shared" si="10"/>
        <v>0</v>
      </c>
      <c r="BZ32" s="603">
        <f t="shared" si="10"/>
        <v>0</v>
      </c>
      <c r="CA32" s="603">
        <f t="shared" si="10"/>
        <v>0</v>
      </c>
      <c r="CB32" s="603">
        <f t="shared" si="10"/>
        <v>0</v>
      </c>
      <c r="CC32" s="603">
        <f t="shared" si="10"/>
        <v>534.38000000000011</v>
      </c>
      <c r="CD32" s="603">
        <f t="shared" si="10"/>
        <v>8171.3602708554599</v>
      </c>
      <c r="CS32" s="175"/>
      <c r="CV32" s="603">
        <v>8171.3602708554599</v>
      </c>
      <c r="CW32" s="603"/>
      <c r="CX32" s="603"/>
      <c r="CY32" s="603"/>
      <c r="CZ32" s="603"/>
      <c r="DA32" s="603"/>
      <c r="DB32" s="603">
        <f t="shared" ref="DB32:DJ32" si="11">SUM(DB14:DB31)</f>
        <v>100.45</v>
      </c>
      <c r="DC32" s="603">
        <f>SUM(DC14:DC31)</f>
        <v>100.45</v>
      </c>
      <c r="DD32" s="603">
        <f t="shared" si="11"/>
        <v>100.45</v>
      </c>
      <c r="DE32" s="603">
        <f>SUM(DE13:DE31)</f>
        <v>100.45</v>
      </c>
      <c r="DF32" s="603">
        <f t="shared" si="11"/>
        <v>100.45</v>
      </c>
      <c r="DG32" s="524">
        <f t="shared" si="11"/>
        <v>100.45</v>
      </c>
      <c r="DH32" s="603">
        <f t="shared" si="11"/>
        <v>100.45</v>
      </c>
      <c r="DI32" s="603">
        <f t="shared" si="11"/>
        <v>703.15</v>
      </c>
      <c r="DJ32" s="603">
        <f t="shared" si="11"/>
        <v>7468.2102708554594</v>
      </c>
      <c r="DK32" s="603">
        <f t="shared" ref="DK32:EO32" si="12">SUM(DK14:DK31)</f>
        <v>100.45</v>
      </c>
      <c r="DL32" s="603">
        <f>SUM(DL14:DL31)</f>
        <v>100.45</v>
      </c>
      <c r="DM32" s="524">
        <f>SUM(DM14:DM31)</f>
        <v>100.45</v>
      </c>
      <c r="DN32" s="524">
        <f>SUM(DN14:DN31)</f>
        <v>100.45</v>
      </c>
      <c r="DO32" s="524">
        <f>SUM(DO14:DO31)</f>
        <v>100.45</v>
      </c>
      <c r="DP32" s="603">
        <f t="shared" si="12"/>
        <v>502.25</v>
      </c>
      <c r="DQ32" s="524">
        <f>SUM(DQ14:DQ31)</f>
        <v>6965.9602708554594</v>
      </c>
      <c r="DR32" s="524">
        <f t="shared" si="12"/>
        <v>925.97400000000016</v>
      </c>
      <c r="DS32" s="524">
        <f t="shared" si="12"/>
        <v>1015.896</v>
      </c>
      <c r="DT32" s="524">
        <f t="shared" si="12"/>
        <v>8.2159059232132563</v>
      </c>
      <c r="DU32" s="524">
        <f t="shared" si="12"/>
        <v>461.3868135938684</v>
      </c>
      <c r="DV32" s="524">
        <f t="shared" si="12"/>
        <v>529.38281133554881</v>
      </c>
      <c r="DW32" s="524">
        <f t="shared" si="12"/>
        <v>529.38281133554881</v>
      </c>
      <c r="DX32" s="524">
        <f t="shared" si="12"/>
        <v>529.38281133554881</v>
      </c>
      <c r="DY32" s="524">
        <f t="shared" si="12"/>
        <v>529.38281133554881</v>
      </c>
      <c r="DZ32" s="524">
        <f t="shared" si="12"/>
        <v>529.38281133554881</v>
      </c>
      <c r="EA32" s="524">
        <f t="shared" si="12"/>
        <v>474.32103197686075</v>
      </c>
      <c r="EB32" s="524">
        <f t="shared" si="12"/>
        <v>421.09103197686079</v>
      </c>
      <c r="EC32" s="524">
        <f t="shared" si="12"/>
        <v>421.09103197686079</v>
      </c>
      <c r="ED32" s="524">
        <f t="shared" ref="ED32:EE32" si="13">SUM(ED14:ED31)</f>
        <v>421.09103197686079</v>
      </c>
      <c r="EE32" s="524">
        <f t="shared" si="13"/>
        <v>421.09103197686079</v>
      </c>
      <c r="EF32" s="524">
        <f t="shared" ref="EF32:EG32" si="14">SUM(EF14:EF31)</f>
        <v>368.8476253606425</v>
      </c>
      <c r="EG32" s="524">
        <f t="shared" si="14"/>
        <v>259.31693146118153</v>
      </c>
      <c r="EH32" s="524">
        <f t="shared" ref="EH32:EN32" si="15">SUM(EH14:EH31)</f>
        <v>210.29693146118154</v>
      </c>
      <c r="EI32" s="524">
        <f t="shared" ref="EI32:EM32" si="16">SUM(EI14:EI31)</f>
        <v>210.29693146118154</v>
      </c>
      <c r="EJ32" s="524">
        <f t="shared" si="16"/>
        <v>210.29693146118154</v>
      </c>
      <c r="EK32" s="524">
        <f t="shared" si="16"/>
        <v>210.29693146118154</v>
      </c>
      <c r="EL32" s="524">
        <f t="shared" si="16"/>
        <v>210.29693146118154</v>
      </c>
      <c r="EM32" s="524">
        <f t="shared" si="16"/>
        <v>210.29693146118154</v>
      </c>
      <c r="EN32" s="524">
        <f t="shared" si="15"/>
        <v>161.86847604316569</v>
      </c>
      <c r="EO32" s="524">
        <f t="shared" si="12"/>
        <v>6328.0310268585772</v>
      </c>
      <c r="EP32" s="524">
        <f>SUM(EP13:EP31)</f>
        <v>637.92924399688138</v>
      </c>
      <c r="EQ32" s="434"/>
    </row>
    <row r="33" spans="1:147" s="104" customFormat="1" ht="15" x14ac:dyDescent="0.2">
      <c r="A33" s="110" t="s">
        <v>315</v>
      </c>
      <c r="B33" s="87"/>
      <c r="C33" s="87"/>
      <c r="D33" s="88"/>
      <c r="E33" s="88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9"/>
      <c r="S33" s="89"/>
      <c r="T33" s="90"/>
      <c r="U33" s="90"/>
      <c r="W33"/>
      <c r="X33"/>
      <c r="Y33" s="77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 s="69"/>
      <c r="AX33"/>
      <c r="AY33" s="77"/>
      <c r="AZ33"/>
      <c r="BA33"/>
      <c r="BB33"/>
      <c r="BK33" s="545">
        <f>BK32-BL32-BM32</f>
        <v>8505.2002708554573</v>
      </c>
      <c r="BL33" s="545"/>
      <c r="BM33" s="545"/>
      <c r="BN33" s="545"/>
      <c r="BO33" s="545"/>
      <c r="BP33" s="545"/>
      <c r="BQ33" s="546"/>
      <c r="BR33" s="547"/>
      <c r="BS33" s="546"/>
      <c r="BT33" s="546"/>
      <c r="BU33" s="546"/>
      <c r="BV33" s="545"/>
      <c r="BW33" s="545"/>
      <c r="BX33" s="545"/>
      <c r="BY33" s="545"/>
      <c r="BZ33" s="545"/>
      <c r="CA33" s="545"/>
      <c r="CB33" s="545"/>
      <c r="CC33" s="545"/>
      <c r="CD33" s="545"/>
      <c r="CE33" s="88"/>
      <c r="CF33" s="88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9"/>
      <c r="CT33" s="89"/>
      <c r="CU33" s="90"/>
      <c r="CV33" s="545"/>
      <c r="CW33" s="546"/>
      <c r="CX33" s="547"/>
      <c r="CY33" s="546"/>
      <c r="CZ33" s="546"/>
      <c r="DA33" s="546"/>
      <c r="DB33" s="545"/>
      <c r="DC33" s="545"/>
      <c r="DD33" s="545"/>
      <c r="DE33" s="545"/>
      <c r="DF33" s="545"/>
      <c r="DG33" s="545"/>
      <c r="DH33" s="545"/>
      <c r="DI33" s="545"/>
      <c r="DJ33" s="545"/>
      <c r="DK33" s="435"/>
      <c r="DL33" s="435"/>
      <c r="DM33" s="435"/>
      <c r="DN33" s="435"/>
      <c r="DO33" s="435"/>
      <c r="DP33" s="435"/>
      <c r="DQ33" s="540">
        <f>DJ32-DP32</f>
        <v>6965.9602708554594</v>
      </c>
      <c r="DR33" s="540"/>
      <c r="DS33" s="540"/>
      <c r="DT33" s="540"/>
      <c r="DU33" s="540"/>
      <c r="DV33" s="540"/>
      <c r="DW33" s="540"/>
      <c r="DX33" s="540"/>
      <c r="DY33" s="540"/>
      <c r="DZ33" s="540"/>
      <c r="EA33" s="540"/>
      <c r="EB33" s="540"/>
      <c r="EC33" s="540"/>
      <c r="ED33" s="540"/>
      <c r="EE33" s="540"/>
      <c r="EF33" s="540"/>
      <c r="EG33" s="540"/>
      <c r="EH33" s="540"/>
      <c r="EI33" s="540"/>
      <c r="EJ33" s="540"/>
      <c r="EK33" s="540"/>
      <c r="EL33" s="540"/>
      <c r="EM33" s="540"/>
      <c r="EN33" s="540"/>
      <c r="EO33" s="540"/>
      <c r="EP33" s="540">
        <f>DQ33-EO32</f>
        <v>637.92924399688218</v>
      </c>
      <c r="EQ33" s="435"/>
    </row>
    <row r="34" spans="1:147" s="104" customFormat="1" ht="14.25" x14ac:dyDescent="0.2">
      <c r="A34" s="10"/>
      <c r="B34"/>
      <c r="C34"/>
      <c r="D34" s="18"/>
      <c r="E34" s="18"/>
      <c r="F34"/>
      <c r="G34"/>
      <c r="H34"/>
      <c r="I34"/>
      <c r="J34"/>
      <c r="K34"/>
      <c r="L34"/>
      <c r="M34"/>
      <c r="N34"/>
      <c r="O34"/>
      <c r="P34"/>
      <c r="Q34"/>
      <c r="R34" s="19"/>
      <c r="S34" s="19"/>
      <c r="T34" s="12"/>
      <c r="U34" s="12"/>
      <c r="W34"/>
      <c r="X34"/>
      <c r="Y34" s="77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 s="69"/>
      <c r="AX34"/>
      <c r="AY34" s="77"/>
      <c r="AZ34"/>
      <c r="BA34"/>
      <c r="BB34"/>
      <c r="BK34" s="545"/>
      <c r="BL34" s="545"/>
      <c r="BM34" s="545"/>
      <c r="BN34" s="545"/>
      <c r="BO34" s="545"/>
      <c r="BP34" s="545"/>
      <c r="BQ34" s="546"/>
      <c r="BR34" s="547"/>
      <c r="BS34" s="546"/>
      <c r="BT34" s="546"/>
      <c r="BU34" s="546"/>
      <c r="BV34" s="545"/>
      <c r="BW34" s="545"/>
      <c r="BX34" s="545"/>
      <c r="BY34" s="545"/>
      <c r="BZ34" s="545"/>
      <c r="CA34" s="545"/>
      <c r="CB34" s="545"/>
      <c r="CC34" s="545"/>
      <c r="CD34" s="545"/>
      <c r="CE34" s="18"/>
      <c r="CF34" s="18"/>
      <c r="CG34"/>
      <c r="CH34"/>
      <c r="CI34"/>
      <c r="CJ34"/>
      <c r="CK34"/>
      <c r="CL34"/>
      <c r="CM34"/>
      <c r="CN34"/>
      <c r="CO34"/>
      <c r="CP34"/>
      <c r="CQ34"/>
      <c r="CR34"/>
      <c r="CS34" s="19"/>
      <c r="CT34" s="19"/>
      <c r="CU34" s="12"/>
      <c r="CV34" s="545"/>
      <c r="CW34" s="546"/>
      <c r="CX34" s="547"/>
      <c r="CY34" s="546"/>
      <c r="CZ34" s="546"/>
      <c r="DA34" s="546"/>
      <c r="DB34" s="545"/>
      <c r="DC34" s="545"/>
      <c r="DD34" s="545"/>
      <c r="DE34" s="545"/>
      <c r="DF34" s="545"/>
      <c r="DG34" s="545"/>
      <c r="DH34" s="545"/>
      <c r="DI34" s="545"/>
      <c r="DJ34" s="545">
        <f>CV32-DI32</f>
        <v>7468.2102708554603</v>
      </c>
    </row>
    <row r="35" spans="1:147" ht="30.75" hidden="1" customHeight="1" x14ac:dyDescent="0.2">
      <c r="A35" s="1271" t="s">
        <v>462</v>
      </c>
      <c r="B35" s="1271"/>
      <c r="C35" s="1271"/>
      <c r="D35" s="1271"/>
      <c r="E35" s="1271"/>
      <c r="F35" s="1271"/>
      <c r="G35" s="1271"/>
      <c r="H35" s="1271"/>
      <c r="I35" s="1271"/>
      <c r="J35" s="1271"/>
      <c r="K35" s="1271"/>
      <c r="L35" s="1271"/>
      <c r="M35" s="1271"/>
      <c r="N35" s="1271"/>
      <c r="O35" s="1271"/>
      <c r="P35" s="1271"/>
      <c r="Q35" s="1271"/>
      <c r="R35" s="1271"/>
      <c r="S35" s="1271"/>
      <c r="T35" s="1271"/>
      <c r="U35" s="1271"/>
      <c r="V35" s="1271"/>
      <c r="W35" s="1271"/>
      <c r="X35" s="1271"/>
      <c r="Y35" s="171"/>
      <c r="Z35" s="170"/>
      <c r="AA35" s="170"/>
      <c r="AB35" s="170"/>
      <c r="AC35" s="170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Y35" s="171"/>
      <c r="AZ35" s="170"/>
      <c r="BA35" s="170"/>
      <c r="BB35" s="170"/>
      <c r="BR35" s="171"/>
      <c r="BS35" s="170"/>
      <c r="BT35" s="170"/>
      <c r="BU35" s="170"/>
      <c r="CE35"/>
      <c r="CF35"/>
      <c r="CS35"/>
      <c r="CT35"/>
      <c r="CU35"/>
      <c r="CX35" s="171"/>
      <c r="CY35" s="170"/>
      <c r="CZ35" s="170"/>
      <c r="DA35" s="170"/>
    </row>
    <row r="36" spans="1:147" s="77" customFormat="1" hidden="1" x14ac:dyDescent="0.2">
      <c r="A36" s="1271"/>
      <c r="B36" s="1271"/>
      <c r="C36" s="1271"/>
      <c r="D36" s="1271"/>
      <c r="E36" s="1271"/>
      <c r="F36" s="1271"/>
      <c r="G36" s="1271"/>
      <c r="H36" s="1271"/>
      <c r="I36" s="1271"/>
      <c r="J36" s="1271"/>
      <c r="K36" s="1271"/>
      <c r="L36" s="1271"/>
      <c r="M36" s="1271"/>
      <c r="N36" s="1271"/>
      <c r="O36" s="1271"/>
      <c r="P36" s="1271"/>
      <c r="Q36" s="1271"/>
      <c r="R36" s="1271"/>
      <c r="S36" s="1271"/>
      <c r="T36" s="1271"/>
      <c r="U36" s="1271"/>
      <c r="V36" s="1271"/>
      <c r="W36" s="1271"/>
      <c r="X36" s="1271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 s="69"/>
      <c r="AQ36"/>
      <c r="AZ36"/>
      <c r="BA36"/>
      <c r="BB36"/>
      <c r="BS36"/>
      <c r="BT36"/>
      <c r="BU36"/>
      <c r="CY36"/>
      <c r="CZ36"/>
      <c r="DA36"/>
    </row>
    <row r="37" spans="1:147" x14ac:dyDescent="0.2">
      <c r="AO37" s="289"/>
    </row>
  </sheetData>
  <mergeCells count="55">
    <mergeCell ref="CZ11:CZ12"/>
    <mergeCell ref="DA11:DA12"/>
    <mergeCell ref="CE10:CQ10"/>
    <mergeCell ref="CS10:CU10"/>
    <mergeCell ref="CF11:CF12"/>
    <mergeCell ref="CG11:CG12"/>
    <mergeCell ref="CH11:CH12"/>
    <mergeCell ref="CI11:CI12"/>
    <mergeCell ref="CJ11:CJ12"/>
    <mergeCell ref="CK11:CK12"/>
    <mergeCell ref="CL11:CL12"/>
    <mergeCell ref="CM11:CM12"/>
    <mergeCell ref="CN11:CN12"/>
    <mergeCell ref="CP11:CP12"/>
    <mergeCell ref="CR11:CR12"/>
    <mergeCell ref="CS11:CS12"/>
    <mergeCell ref="CT11:CT12"/>
    <mergeCell ref="CU11:CU12"/>
    <mergeCell ref="BT11:BT12"/>
    <mergeCell ref="BU11:BU12"/>
    <mergeCell ref="A35:X36"/>
    <mergeCell ref="R11:R12"/>
    <mergeCell ref="S11:S12"/>
    <mergeCell ref="T11:T12"/>
    <mergeCell ref="U11:U12"/>
    <mergeCell ref="V11:V12"/>
    <mergeCell ref="W11:W12"/>
    <mergeCell ref="J11:J12"/>
    <mergeCell ref="K11:K12"/>
    <mergeCell ref="L11:L12"/>
    <mergeCell ref="M11:M12"/>
    <mergeCell ref="O11:O12"/>
    <mergeCell ref="A11:A12"/>
    <mergeCell ref="B11:B12"/>
    <mergeCell ref="E11:E12"/>
    <mergeCell ref="F11:F12"/>
    <mergeCell ref="G11:G12"/>
    <mergeCell ref="AQ11:AQ12"/>
    <mergeCell ref="AR11:AR12"/>
    <mergeCell ref="D10:P10"/>
    <mergeCell ref="R10:T10"/>
    <mergeCell ref="H11:H12"/>
    <mergeCell ref="I11:I12"/>
    <mergeCell ref="AA11:AA12"/>
    <mergeCell ref="AB11:AB12"/>
    <mergeCell ref="U10:BB10"/>
    <mergeCell ref="BA11:BA12"/>
    <mergeCell ref="BB11:BB12"/>
    <mergeCell ref="Q11:Q12"/>
    <mergeCell ref="EP11:EP12"/>
    <mergeCell ref="DP11:DP12"/>
    <mergeCell ref="DQ11:DQ12"/>
    <mergeCell ref="DU11:DU12"/>
    <mergeCell ref="DV11:DV12"/>
    <mergeCell ref="EO11:EO12"/>
  </mergeCells>
  <printOptions horizontalCentered="1"/>
  <pageMargins left="0.19685039370078741" right="0.19685039370078741" top="0.39370078740157483" bottom="0.39370078740157483" header="0" footer="0"/>
  <pageSetup scale="45" orientation="landscape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BK23"/>
  <sheetViews>
    <sheetView topLeftCell="AP1" workbookViewId="0">
      <selection activeCell="BU21" sqref="BU21"/>
    </sheetView>
  </sheetViews>
  <sheetFormatPr baseColWidth="10" defaultRowHeight="12.75" x14ac:dyDescent="0.2"/>
  <cols>
    <col min="1" max="1" width="21.7109375" customWidth="1"/>
    <col min="2" max="2" width="22.28515625" customWidth="1"/>
    <col min="3" max="3" width="15.42578125" customWidth="1"/>
    <col min="4" max="4" width="6.7109375" style="18" customWidth="1"/>
    <col min="5" max="5" width="7.42578125" style="18" customWidth="1"/>
    <col min="6" max="6" width="9.7109375" customWidth="1"/>
    <col min="7" max="14" width="8.5703125" customWidth="1"/>
    <col min="15" max="15" width="8.42578125" customWidth="1"/>
    <col min="16" max="16" width="8.5703125" customWidth="1"/>
    <col min="17" max="17" width="11" hidden="1" customWidth="1"/>
    <col min="18" max="18" width="11.5703125" style="19" customWidth="1"/>
    <col min="19" max="19" width="9.5703125" style="19" customWidth="1"/>
    <col min="20" max="20" width="8.42578125" style="12" customWidth="1"/>
    <col min="21" max="21" width="8.42578125" style="12" hidden="1" customWidth="1"/>
    <col min="22" max="22" width="8.5703125" style="104" hidden="1" customWidth="1"/>
    <col min="23" max="23" width="8.7109375" hidden="1" customWidth="1"/>
    <col min="24" max="24" width="8.7109375" customWidth="1"/>
    <col min="25" max="25" width="8.7109375" style="77" customWidth="1"/>
    <col min="26" max="26" width="7.42578125" customWidth="1"/>
    <col min="27" max="27" width="8.42578125" customWidth="1"/>
    <col min="28" max="28" width="8" hidden="1" customWidth="1"/>
    <col min="29" max="33" width="7.7109375" hidden="1" customWidth="1"/>
    <col min="34" max="34" width="11.28515625" hidden="1" customWidth="1"/>
    <col min="35" max="40" width="7.7109375" hidden="1" customWidth="1"/>
    <col min="41" max="41" width="9.28515625" customWidth="1"/>
    <col min="42" max="42" width="8.85546875" style="69" customWidth="1"/>
    <col min="43" max="43" width="9.140625" hidden="1" customWidth="1"/>
    <col min="44" max="44" width="9.5703125" hidden="1" customWidth="1"/>
    <col min="45" max="45" width="8.140625" hidden="1" customWidth="1"/>
    <col min="46" max="46" width="10" hidden="1" customWidth="1"/>
    <col min="47" max="47" width="9.42578125" hidden="1" customWidth="1"/>
    <col min="48" max="48" width="8.5703125" hidden="1" customWidth="1"/>
    <col min="49" max="49" width="10.140625" hidden="1" customWidth="1"/>
    <col min="50" max="50" width="8.7109375" customWidth="1"/>
    <col min="51" max="51" width="8.7109375" style="77" customWidth="1"/>
    <col min="52" max="52" width="7.42578125" customWidth="1"/>
    <col min="53" max="53" width="9.5703125" customWidth="1"/>
    <col min="54" max="54" width="9.140625" customWidth="1"/>
    <col min="55" max="55" width="7.7109375" customWidth="1"/>
    <col min="56" max="56" width="8.42578125" customWidth="1"/>
    <col min="57" max="57" width="7.85546875" customWidth="1"/>
    <col min="58" max="58" width="9.5703125" customWidth="1"/>
    <col min="59" max="61" width="11.42578125" customWidth="1"/>
    <col min="62" max="62" width="9" customWidth="1"/>
    <col min="63" max="63" width="9.85546875" customWidth="1"/>
  </cols>
  <sheetData>
    <row r="1" spans="1:63" x14ac:dyDescent="0.2">
      <c r="A1" s="92"/>
      <c r="B1" s="97" t="s">
        <v>27</v>
      </c>
      <c r="C1" s="92"/>
      <c r="D1" s="93"/>
      <c r="E1" s="93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1"/>
      <c r="S1" s="91"/>
      <c r="T1" s="92"/>
      <c r="U1" s="92"/>
      <c r="V1" s="101"/>
      <c r="W1" s="94"/>
      <c r="X1" s="94"/>
      <c r="Y1" s="95"/>
      <c r="Z1" s="94"/>
      <c r="AA1" s="94"/>
      <c r="AB1" s="94"/>
      <c r="AC1" s="94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4" t="s">
        <v>310</v>
      </c>
      <c r="AO1" s="92"/>
      <c r="AP1" s="96"/>
      <c r="AX1" s="94"/>
      <c r="AY1" s="95"/>
      <c r="AZ1" s="94"/>
      <c r="BA1" s="94"/>
      <c r="BB1" s="94"/>
    </row>
    <row r="2" spans="1:63" x14ac:dyDescent="0.2">
      <c r="A2" s="92"/>
      <c r="B2" s="97" t="s">
        <v>1031</v>
      </c>
      <c r="C2" s="92"/>
      <c r="D2" s="93"/>
      <c r="E2" s="93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1"/>
      <c r="S2" s="91"/>
      <c r="T2" s="92"/>
      <c r="U2" s="92"/>
      <c r="V2" s="101"/>
      <c r="W2" s="94"/>
      <c r="X2" s="94"/>
      <c r="Y2" s="95"/>
      <c r="Z2" s="94"/>
      <c r="AA2" s="94"/>
      <c r="AB2" s="94"/>
      <c r="AC2" s="94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6"/>
      <c r="AX2" s="94"/>
      <c r="AY2" s="95"/>
      <c r="AZ2" s="94"/>
      <c r="BA2" s="94"/>
      <c r="BB2" s="94"/>
    </row>
    <row r="3" spans="1:63" x14ac:dyDescent="0.2">
      <c r="A3" s="92"/>
      <c r="B3" s="92"/>
      <c r="C3" s="97"/>
      <c r="D3" s="98"/>
      <c r="E3" s="93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7"/>
      <c r="S3" s="97"/>
      <c r="T3" s="99"/>
      <c r="U3" s="99"/>
      <c r="V3" s="102"/>
      <c r="W3" s="94"/>
      <c r="X3" s="94"/>
      <c r="Y3" s="95"/>
      <c r="Z3" s="94"/>
      <c r="AA3" s="94"/>
      <c r="AB3" s="94"/>
      <c r="AC3" s="94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6"/>
      <c r="AX3" s="94"/>
      <c r="AY3" s="95"/>
      <c r="AZ3" s="94"/>
      <c r="BA3" s="94"/>
      <c r="BB3" s="94"/>
    </row>
    <row r="4" spans="1:63" x14ac:dyDescent="0.2">
      <c r="A4" s="92"/>
      <c r="B4" s="92" t="s">
        <v>309</v>
      </c>
      <c r="C4" s="97"/>
      <c r="D4" s="98"/>
      <c r="E4" s="93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7"/>
      <c r="S4" s="97"/>
      <c r="T4" s="99"/>
      <c r="U4" s="99"/>
      <c r="V4" s="102"/>
      <c r="W4" s="94"/>
      <c r="X4" s="94"/>
      <c r="Y4" s="95"/>
      <c r="Z4" s="94"/>
      <c r="AA4" s="94"/>
      <c r="AB4" s="94"/>
      <c r="AC4" s="94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6"/>
      <c r="AX4" s="94"/>
      <c r="AY4" s="95"/>
      <c r="AZ4" s="94"/>
      <c r="BA4" s="94"/>
      <c r="BB4" s="94"/>
    </row>
    <row r="5" spans="1:63" x14ac:dyDescent="0.2">
      <c r="A5" s="92"/>
      <c r="B5" s="99" t="s">
        <v>337</v>
      </c>
      <c r="C5" s="92"/>
      <c r="D5" s="93"/>
      <c r="E5" s="93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1"/>
      <c r="S5" s="91"/>
      <c r="T5" s="92"/>
      <c r="U5" s="92"/>
      <c r="V5" s="101"/>
      <c r="W5" s="94"/>
      <c r="X5" s="94"/>
      <c r="Y5" s="95"/>
      <c r="Z5" s="94"/>
      <c r="AA5" s="94"/>
      <c r="AB5" s="94"/>
      <c r="AC5" s="94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6"/>
      <c r="AX5" s="94"/>
      <c r="AY5" s="95"/>
      <c r="AZ5" s="94"/>
      <c r="BA5" s="94"/>
      <c r="BB5" s="94"/>
    </row>
    <row r="6" spans="1:63" x14ac:dyDescent="0.2">
      <c r="A6" s="92"/>
      <c r="B6" s="92" t="s">
        <v>706</v>
      </c>
      <c r="C6" s="92"/>
      <c r="D6" s="93"/>
      <c r="E6" s="93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1"/>
      <c r="S6" s="91"/>
      <c r="T6" s="92"/>
      <c r="U6" s="92"/>
      <c r="V6" s="101"/>
      <c r="W6" s="94"/>
      <c r="X6" s="94"/>
      <c r="Y6" s="95"/>
      <c r="Z6" s="94"/>
      <c r="AA6" s="94"/>
      <c r="AB6" s="94"/>
      <c r="AC6" s="94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6"/>
      <c r="AX6" s="94"/>
      <c r="AY6" s="95"/>
      <c r="AZ6" s="94"/>
      <c r="BA6" s="94"/>
      <c r="BB6" s="94"/>
    </row>
    <row r="7" spans="1:63" x14ac:dyDescent="0.2">
      <c r="A7" s="92"/>
      <c r="B7" s="92"/>
      <c r="C7" s="92"/>
      <c r="D7" s="93"/>
      <c r="E7" s="93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1"/>
      <c r="S7" s="91"/>
      <c r="T7" s="92"/>
      <c r="U7" s="92"/>
      <c r="V7" s="101"/>
      <c r="W7" s="94"/>
      <c r="X7" s="94"/>
      <c r="Y7" s="95"/>
      <c r="Z7" s="94"/>
      <c r="AA7" s="94"/>
      <c r="AB7" s="94"/>
      <c r="AC7" s="94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6"/>
      <c r="AX7" s="94"/>
      <c r="AY7" s="95"/>
      <c r="AZ7" s="94"/>
      <c r="BA7" s="94"/>
      <c r="BB7" s="94"/>
    </row>
    <row r="8" spans="1:63" s="16" customFormat="1" x14ac:dyDescent="0.2">
      <c r="D8" s="38"/>
      <c r="E8" s="38"/>
      <c r="R8" s="37"/>
      <c r="S8" s="37"/>
      <c r="T8" s="35"/>
      <c r="U8" s="35"/>
      <c r="V8" s="103"/>
      <c r="W8" s="39"/>
      <c r="X8" s="39"/>
      <c r="Y8" s="76"/>
      <c r="Z8" s="39"/>
      <c r="AA8" s="39"/>
      <c r="AB8" s="39"/>
      <c r="AC8" s="39"/>
      <c r="AP8" s="68"/>
      <c r="AX8" s="39"/>
      <c r="AY8" s="76"/>
      <c r="AZ8" s="39"/>
      <c r="BA8" s="39"/>
      <c r="BB8" s="39"/>
    </row>
    <row r="9" spans="1:63" s="16" customFormat="1" ht="20.25" customHeight="1" x14ac:dyDescent="0.2">
      <c r="D9" s="38"/>
      <c r="E9" s="38"/>
      <c r="R9" s="37"/>
      <c r="S9" s="37"/>
      <c r="T9" s="35"/>
      <c r="U9" s="35"/>
      <c r="V9" s="103"/>
      <c r="W9" s="39"/>
      <c r="X9" s="39"/>
      <c r="Y9" s="76"/>
      <c r="Z9" s="39"/>
      <c r="AA9" s="39"/>
      <c r="AB9" s="39"/>
      <c r="AC9" s="39"/>
      <c r="AP9" s="68"/>
      <c r="AX9" s="39"/>
      <c r="AY9" s="76"/>
      <c r="AZ9" s="39"/>
      <c r="BA9" s="39"/>
      <c r="BB9" s="39"/>
    </row>
    <row r="10" spans="1:63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1260" t="s">
        <v>450</v>
      </c>
      <c r="V10" s="1260"/>
      <c r="W10" s="1260"/>
      <c r="X10" s="1260"/>
      <c r="Y10" s="1260"/>
      <c r="Z10" s="1260"/>
      <c r="AA10" s="1260"/>
      <c r="AB10" s="1260"/>
      <c r="AC10" s="1260"/>
      <c r="AD10" s="1260"/>
      <c r="AE10" s="1260"/>
      <c r="AF10" s="1260"/>
      <c r="AG10" s="1260"/>
      <c r="AH10" s="1260"/>
      <c r="AI10" s="1260"/>
      <c r="AJ10" s="1260"/>
      <c r="AK10" s="1260"/>
      <c r="AL10" s="1260"/>
      <c r="AM10" s="1260"/>
      <c r="AN10" s="1260"/>
      <c r="AO10" s="1260"/>
      <c r="AP10" s="1260"/>
      <c r="AY10"/>
    </row>
    <row r="11" spans="1:63" ht="54" customHeight="1" x14ac:dyDescent="0.25">
      <c r="A11" s="1261" t="s">
        <v>57</v>
      </c>
      <c r="B11" s="1261" t="s">
        <v>0</v>
      </c>
      <c r="C11" s="201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526</v>
      </c>
      <c r="J11" s="1254" t="s">
        <v>525</v>
      </c>
      <c r="K11" s="1254" t="s">
        <v>534</v>
      </c>
      <c r="L11" s="1254" t="s">
        <v>493</v>
      </c>
      <c r="M11" s="1254" t="s">
        <v>535</v>
      </c>
      <c r="N11" s="200" t="s">
        <v>529</v>
      </c>
      <c r="O11" s="1254" t="s">
        <v>492</v>
      </c>
      <c r="P11" s="202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1245" t="s">
        <v>447</v>
      </c>
      <c r="V11" s="1268" t="s">
        <v>452</v>
      </c>
      <c r="W11" s="1245" t="s">
        <v>439</v>
      </c>
      <c r="X11" s="158" t="s">
        <v>15</v>
      </c>
      <c r="Y11" s="159" t="s">
        <v>15</v>
      </c>
      <c r="Z11" s="158" t="s">
        <v>16</v>
      </c>
      <c r="AA11" s="1245" t="s">
        <v>527</v>
      </c>
      <c r="AB11" s="1245" t="s">
        <v>536</v>
      </c>
      <c r="AC11" s="158" t="s">
        <v>3</v>
      </c>
      <c r="AD11" s="158" t="s">
        <v>4</v>
      </c>
      <c r="AE11" s="158" t="s">
        <v>5</v>
      </c>
      <c r="AF11" s="158" t="s">
        <v>6</v>
      </c>
      <c r="AG11" s="158" t="s">
        <v>7</v>
      </c>
      <c r="AH11" s="158" t="s">
        <v>8</v>
      </c>
      <c r="AI11" s="158" t="s">
        <v>9</v>
      </c>
      <c r="AJ11" s="158" t="s">
        <v>10</v>
      </c>
      <c r="AK11" s="158" t="s">
        <v>11</v>
      </c>
      <c r="AL11" s="158" t="s">
        <v>12</v>
      </c>
      <c r="AM11" s="158" t="s">
        <v>13</v>
      </c>
      <c r="AN11" s="158" t="s">
        <v>14</v>
      </c>
      <c r="AO11" s="196" t="s">
        <v>531</v>
      </c>
      <c r="AP11" s="486" t="s">
        <v>63</v>
      </c>
      <c r="AQ11" s="1245" t="s">
        <v>976</v>
      </c>
      <c r="AR11" s="1245" t="s">
        <v>536</v>
      </c>
      <c r="AS11" s="158" t="s">
        <v>3</v>
      </c>
      <c r="AT11" s="158" t="s">
        <v>4</v>
      </c>
      <c r="AU11" s="158" t="s">
        <v>5</v>
      </c>
      <c r="AV11" s="158" t="s">
        <v>6</v>
      </c>
      <c r="AW11" s="158" t="s">
        <v>7</v>
      </c>
      <c r="AX11" s="158" t="s">
        <v>15</v>
      </c>
      <c r="AY11" s="159" t="s">
        <v>15</v>
      </c>
      <c r="AZ11" s="158" t="s">
        <v>16</v>
      </c>
      <c r="BA11" s="1245" t="s">
        <v>1004</v>
      </c>
      <c r="BB11" s="1245" t="s">
        <v>536</v>
      </c>
      <c r="BC11" s="158" t="s">
        <v>8</v>
      </c>
      <c r="BD11" s="158" t="s">
        <v>9</v>
      </c>
      <c r="BE11" s="158" t="s">
        <v>10</v>
      </c>
      <c r="BF11" s="158" t="s">
        <v>11</v>
      </c>
      <c r="BG11" s="158" t="s">
        <v>12</v>
      </c>
      <c r="BH11" s="158" t="s">
        <v>13</v>
      </c>
      <c r="BI11" s="158" t="s">
        <v>14</v>
      </c>
      <c r="BJ11" s="196" t="s">
        <v>989</v>
      </c>
      <c r="BK11" s="486" t="s">
        <v>63</v>
      </c>
    </row>
    <row r="12" spans="1:63" ht="32.25" customHeight="1" x14ac:dyDescent="0.25">
      <c r="A12" s="1262"/>
      <c r="B12" s="1262"/>
      <c r="C12" s="161" t="s">
        <v>338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1267"/>
      <c r="V12" s="1269">
        <v>41639</v>
      </c>
      <c r="W12" s="1246"/>
      <c r="X12" s="162" t="s">
        <v>20</v>
      </c>
      <c r="Y12" s="163" t="s">
        <v>21</v>
      </c>
      <c r="Z12" s="162" t="s">
        <v>22</v>
      </c>
      <c r="AA12" s="1246"/>
      <c r="AB12" s="1246"/>
      <c r="AC12" s="162">
        <v>2015</v>
      </c>
      <c r="AD12" s="162">
        <v>2015</v>
      </c>
      <c r="AE12" s="162">
        <v>2015</v>
      </c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 t="s">
        <v>64</v>
      </c>
      <c r="AQ12" s="1246"/>
      <c r="AR12" s="1246"/>
      <c r="AS12" s="162">
        <v>2016</v>
      </c>
      <c r="AT12" s="162">
        <v>2016</v>
      </c>
      <c r="AU12" s="162">
        <v>2016</v>
      </c>
      <c r="AV12" s="162">
        <v>2016</v>
      </c>
      <c r="AW12" s="162">
        <v>2016</v>
      </c>
      <c r="AX12" s="162" t="s">
        <v>20</v>
      </c>
      <c r="AY12" s="163" t="s">
        <v>21</v>
      </c>
      <c r="AZ12" s="162" t="s">
        <v>22</v>
      </c>
      <c r="BA12" s="1246"/>
      <c r="BB12" s="1246"/>
      <c r="BC12" s="162">
        <v>2016</v>
      </c>
      <c r="BD12" s="162">
        <v>2016</v>
      </c>
      <c r="BE12" s="162">
        <v>2016</v>
      </c>
      <c r="BF12" s="162">
        <v>2016</v>
      </c>
      <c r="BG12" s="162">
        <v>2016</v>
      </c>
      <c r="BH12" s="162">
        <v>2016</v>
      </c>
      <c r="BI12" s="162">
        <v>2016</v>
      </c>
      <c r="BJ12" s="162">
        <v>2016</v>
      </c>
      <c r="BK12" s="162" t="s">
        <v>64</v>
      </c>
    </row>
    <row r="13" spans="1:63" s="16" customFormat="1" x14ac:dyDescent="0.2">
      <c r="A13" s="120" t="s">
        <v>70</v>
      </c>
      <c r="B13" s="120" t="s">
        <v>25</v>
      </c>
      <c r="C13" s="120"/>
      <c r="D13" s="111"/>
      <c r="E13" s="111"/>
      <c r="F13" s="46"/>
      <c r="G13" s="48"/>
      <c r="H13" s="145"/>
      <c r="I13" s="165"/>
      <c r="J13" s="48"/>
      <c r="K13" s="165"/>
      <c r="L13" s="48"/>
      <c r="M13" s="165"/>
      <c r="N13" s="48"/>
      <c r="O13" s="165"/>
      <c r="P13" s="48"/>
      <c r="Q13" s="46"/>
      <c r="R13" s="46"/>
      <c r="S13" s="119"/>
      <c r="T13" s="134"/>
      <c r="U13" s="47"/>
      <c r="V13" s="106"/>
      <c r="W13" s="165"/>
      <c r="X13" s="57"/>
      <c r="Y13" s="80"/>
      <c r="Z13" s="57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72"/>
      <c r="AQ13" s="431"/>
      <c r="AR13" s="32"/>
      <c r="AS13" s="32"/>
      <c r="AT13" s="32"/>
      <c r="AU13" s="32"/>
      <c r="AV13" s="32"/>
      <c r="AW13" s="32"/>
      <c r="AX13" s="57"/>
      <c r="AY13" s="80"/>
      <c r="AZ13" s="57"/>
      <c r="BA13" s="55"/>
      <c r="BB13" s="55"/>
      <c r="BC13" s="32"/>
      <c r="BD13" s="32"/>
      <c r="BE13" s="32"/>
      <c r="BF13" s="32"/>
      <c r="BG13" s="32"/>
      <c r="BH13" s="32"/>
      <c r="BI13" s="32"/>
      <c r="BJ13" s="32"/>
      <c r="BK13" s="32"/>
    </row>
    <row r="14" spans="1:63" s="16" customFormat="1" x14ac:dyDescent="0.2">
      <c r="A14" s="120" t="s">
        <v>69</v>
      </c>
      <c r="B14" s="124"/>
      <c r="C14" s="124"/>
      <c r="D14" s="111"/>
      <c r="E14" s="111"/>
      <c r="F14" s="46"/>
      <c r="G14" s="48"/>
      <c r="H14" s="145"/>
      <c r="I14" s="165"/>
      <c r="J14" s="48"/>
      <c r="K14" s="165"/>
      <c r="L14" s="48"/>
      <c r="M14" s="165"/>
      <c r="N14" s="48"/>
      <c r="O14" s="165"/>
      <c r="P14" s="48"/>
      <c r="Q14" s="46"/>
      <c r="R14" s="46"/>
      <c r="S14" s="119"/>
      <c r="T14" s="134"/>
      <c r="U14" s="47"/>
      <c r="V14" s="106"/>
      <c r="W14" s="165"/>
      <c r="X14" s="57"/>
      <c r="Y14" s="80"/>
      <c r="Z14" s="57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72"/>
      <c r="AQ14" s="431"/>
      <c r="AR14" s="32"/>
      <c r="AS14" s="32"/>
      <c r="AT14" s="32"/>
      <c r="AU14" s="32"/>
      <c r="AV14" s="32"/>
      <c r="AW14" s="32"/>
      <c r="AX14" s="57"/>
      <c r="AY14" s="80"/>
      <c r="AZ14" s="57"/>
      <c r="BA14" s="55"/>
      <c r="BB14" s="55"/>
      <c r="BC14" s="32"/>
      <c r="BD14" s="32"/>
      <c r="BE14" s="32"/>
      <c r="BF14" s="32"/>
      <c r="BG14" s="32"/>
      <c r="BH14" s="32"/>
      <c r="BI14" s="32"/>
      <c r="BJ14" s="32"/>
      <c r="BK14" s="32"/>
    </row>
    <row r="15" spans="1:63" s="16" customFormat="1" x14ac:dyDescent="0.2">
      <c r="A15" s="214" t="s">
        <v>265</v>
      </c>
      <c r="B15" s="215" t="s">
        <v>248</v>
      </c>
      <c r="C15" s="216" t="s">
        <v>338</v>
      </c>
      <c r="D15" s="217">
        <v>3</v>
      </c>
      <c r="E15" s="218">
        <v>0.33329999999999999</v>
      </c>
      <c r="F15" s="219">
        <v>42185</v>
      </c>
      <c r="G15" s="220">
        <f>D15*12</f>
        <v>36</v>
      </c>
      <c r="H15" s="221">
        <f>100/G15</f>
        <v>2.7777777777777777</v>
      </c>
      <c r="I15" s="222">
        <f>H15*J15</f>
        <v>47.222222222222221</v>
      </c>
      <c r="J15" s="220">
        <f>(YEAR(F15)-YEAR(S15))*12+MONTH(F15)-MONTH(S15)</f>
        <v>17</v>
      </c>
      <c r="K15" s="222">
        <f>L15*H15</f>
        <v>52.777777777777779</v>
      </c>
      <c r="L15" s="220">
        <f>G15-J15</f>
        <v>19</v>
      </c>
      <c r="M15" s="222">
        <f>N15*H15</f>
        <v>19.444444444444443</v>
      </c>
      <c r="N15" s="220">
        <v>7</v>
      </c>
      <c r="O15" s="222">
        <f>P15*H15</f>
        <v>33.333333333333329</v>
      </c>
      <c r="P15" s="220">
        <f>L15-N15</f>
        <v>12</v>
      </c>
      <c r="Q15" s="219">
        <v>42428</v>
      </c>
      <c r="R15" s="219" t="s">
        <v>565</v>
      </c>
      <c r="S15" s="219">
        <v>41642</v>
      </c>
      <c r="T15" s="223">
        <v>899</v>
      </c>
      <c r="U15" s="223">
        <v>474.51</v>
      </c>
      <c r="V15" s="224">
        <v>124.85</v>
      </c>
      <c r="W15" s="222">
        <v>0</v>
      </c>
      <c r="X15" s="225">
        <v>115.958</v>
      </c>
      <c r="Y15" s="226">
        <v>104.496</v>
      </c>
      <c r="Z15" s="225">
        <f>X15/Y15</f>
        <v>1.1096884091257082</v>
      </c>
      <c r="AA15" s="227">
        <f>(T15*E15)/12</f>
        <v>24.969724999999997</v>
      </c>
      <c r="AB15" s="227">
        <f>AA15*Z15</f>
        <v>27.708614411556422</v>
      </c>
      <c r="AC15" s="227"/>
      <c r="AD15" s="227"/>
      <c r="AE15" s="227"/>
      <c r="AF15" s="227"/>
      <c r="AG15" s="227"/>
      <c r="AH15" s="227">
        <f t="shared" ref="AH15:AN15" si="0">$AB15</f>
        <v>27.708614411556422</v>
      </c>
      <c r="AI15" s="227">
        <f t="shared" si="0"/>
        <v>27.708614411556422</v>
      </c>
      <c r="AJ15" s="227">
        <f t="shared" si="0"/>
        <v>27.708614411556422</v>
      </c>
      <c r="AK15" s="227">
        <f t="shared" si="0"/>
        <v>27.708614411556422</v>
      </c>
      <c r="AL15" s="227">
        <f t="shared" si="0"/>
        <v>27.708614411556422</v>
      </c>
      <c r="AM15" s="227">
        <f t="shared" si="0"/>
        <v>27.708614411556422</v>
      </c>
      <c r="AN15" s="227">
        <f t="shared" si="0"/>
        <v>27.708614411556422</v>
      </c>
      <c r="AO15" s="227">
        <f>SUM(AC15:AN15)</f>
        <v>193.96030088089495</v>
      </c>
      <c r="AP15" s="228">
        <f>U15-AO15</f>
        <v>280.54969911910507</v>
      </c>
      <c r="AQ15" s="431"/>
      <c r="AR15" s="32"/>
      <c r="AS15" s="429">
        <f>$AN15</f>
        <v>27.708614411556422</v>
      </c>
      <c r="AT15" s="429">
        <f>$AN15</f>
        <v>27.708614411556422</v>
      </c>
      <c r="AU15" s="429">
        <f>$AN15</f>
        <v>27.708614411556422</v>
      </c>
      <c r="AV15" s="429">
        <f>$AN15</f>
        <v>27.708614411556422</v>
      </c>
      <c r="AW15" s="429">
        <f>$AN15</f>
        <v>27.708614411556422</v>
      </c>
      <c r="AX15" s="225">
        <v>118.901</v>
      </c>
      <c r="AY15" s="226">
        <v>104.496</v>
      </c>
      <c r="AZ15" s="225">
        <f>AX15/AY15</f>
        <v>1.1378521665901087</v>
      </c>
      <c r="BA15" s="227">
        <f>T15/(D15*12)</f>
        <v>24.972222222222221</v>
      </c>
      <c r="BB15" s="227">
        <f>BA15*AZ15</f>
        <v>28.414697160125215</v>
      </c>
      <c r="BC15" s="429">
        <f>$BB15</f>
        <v>28.414697160125215</v>
      </c>
      <c r="BD15" s="429">
        <f>$BB15</f>
        <v>28.414697160125215</v>
      </c>
      <c r="BE15" s="429">
        <f>$BB15</f>
        <v>28.414697160125215</v>
      </c>
      <c r="BF15" s="429">
        <f>$BB15</f>
        <v>28.414697160125215</v>
      </c>
      <c r="BG15" s="429">
        <v>27.35</v>
      </c>
      <c r="BH15" s="32"/>
      <c r="BI15" s="32"/>
      <c r="BJ15" s="429">
        <f>SUM((AS15:AW15),(BC15:BI15))</f>
        <v>279.55186069828301</v>
      </c>
      <c r="BK15" s="439">
        <f>(AP15-BJ15)</f>
        <v>0.9978384208220632</v>
      </c>
    </row>
    <row r="16" spans="1:63" x14ac:dyDescent="0.2">
      <c r="R16" s="175"/>
      <c r="AB16" s="195"/>
      <c r="AH16" s="195">
        <f>SUM(AH13:AH15)</f>
        <v>27.708614411556422</v>
      </c>
      <c r="AI16" s="195" t="e">
        <f>SUM(#REF!)</f>
        <v>#REF!</v>
      </c>
      <c r="AJ16" s="195" t="e">
        <f>SUM(#REF!)</f>
        <v>#REF!</v>
      </c>
      <c r="AK16" s="195" t="e">
        <f>SUM(#REF!)</f>
        <v>#REF!</v>
      </c>
      <c r="AL16" s="195" t="e">
        <f>SUM(#REF!)</f>
        <v>#REF!</v>
      </c>
      <c r="AM16" s="195" t="e">
        <f>SUM(#REF!)</f>
        <v>#REF!</v>
      </c>
      <c r="AN16" s="195" t="e">
        <f>SUM(#REF!)</f>
        <v>#REF!</v>
      </c>
      <c r="AO16" s="195"/>
      <c r="AU16" s="443">
        <f>SUM(AU14:AU15)</f>
        <v>27.708614411556422</v>
      </c>
      <c r="AV16" s="13">
        <f>SUM(AV15)</f>
        <v>27.708614411556422</v>
      </c>
      <c r="AW16" s="13">
        <f>SUM(AW15)</f>
        <v>27.708614411556422</v>
      </c>
      <c r="BB16" s="195"/>
      <c r="BC16" s="443">
        <f>SUM(BC14:BC15)</f>
        <v>28.414697160125215</v>
      </c>
      <c r="BD16" s="443">
        <f>SUM(BD14:BD15)</f>
        <v>28.414697160125215</v>
      </c>
      <c r="BE16" s="443">
        <f>SUM(BE14:BE15)</f>
        <v>28.414697160125215</v>
      </c>
      <c r="BF16" s="443">
        <f>SUM(BF14:BF15)</f>
        <v>28.414697160125215</v>
      </c>
      <c r="BG16" s="443">
        <f>SUM(BG14:BG15)</f>
        <v>27.35</v>
      </c>
    </row>
    <row r="17" spans="1:54" s="104" customFormat="1" x14ac:dyDescent="0.2">
      <c r="A17" s="110" t="s">
        <v>315</v>
      </c>
      <c r="B17" s="87"/>
      <c r="C17" s="87"/>
      <c r="D17" s="88"/>
      <c r="E17" s="88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9"/>
      <c r="S17" s="89"/>
      <c r="T17" s="90"/>
      <c r="U17" s="90"/>
      <c r="W17"/>
      <c r="X17"/>
      <c r="Y17" s="7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 s="69"/>
      <c r="AX17"/>
      <c r="AY17" s="77"/>
      <c r="AZ17"/>
      <c r="BA17"/>
      <c r="BB17"/>
    </row>
    <row r="18" spans="1:54" s="104" customFormat="1" x14ac:dyDescent="0.2">
      <c r="A18" s="10"/>
      <c r="B18"/>
      <c r="C18"/>
      <c r="D18" s="18"/>
      <c r="E18" s="18"/>
      <c r="F18"/>
      <c r="G18"/>
      <c r="H18"/>
      <c r="I18"/>
      <c r="J18"/>
      <c r="K18"/>
      <c r="L18"/>
      <c r="M18"/>
      <c r="N18"/>
      <c r="O18"/>
      <c r="P18"/>
      <c r="Q18"/>
      <c r="R18" s="19"/>
      <c r="S18" s="19"/>
      <c r="T18" s="12"/>
      <c r="U18" s="12"/>
      <c r="W18"/>
      <c r="X18"/>
      <c r="Y18" s="77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 s="69"/>
      <c r="AX18"/>
      <c r="AY18" s="77"/>
      <c r="AZ18"/>
      <c r="BA18"/>
      <c r="BB18"/>
    </row>
    <row r="19" spans="1:54" ht="30.75" hidden="1" customHeight="1" x14ac:dyDescent="0.2">
      <c r="A19" s="1271" t="s">
        <v>462</v>
      </c>
      <c r="B19" s="1271"/>
      <c r="C19" s="1271"/>
      <c r="D19" s="1271"/>
      <c r="E19" s="1271"/>
      <c r="F19" s="1271"/>
      <c r="G19" s="1271"/>
      <c r="H19" s="1271"/>
      <c r="I19" s="1271"/>
      <c r="J19" s="1271"/>
      <c r="K19" s="1271"/>
      <c r="L19" s="1271"/>
      <c r="M19" s="1271"/>
      <c r="N19" s="1271"/>
      <c r="O19" s="1271"/>
      <c r="P19" s="1271"/>
      <c r="Q19" s="1271"/>
      <c r="R19" s="1271"/>
      <c r="S19" s="1271"/>
      <c r="T19" s="1271"/>
      <c r="U19" s="1271"/>
      <c r="V19" s="1271"/>
      <c r="W19" s="1271"/>
      <c r="X19" s="1271"/>
      <c r="Y19" s="171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Y19" s="171"/>
      <c r="AZ19" s="170"/>
      <c r="BA19" s="170"/>
      <c r="BB19" s="170"/>
    </row>
    <row r="20" spans="1:54" s="77" customFormat="1" hidden="1" x14ac:dyDescent="0.2">
      <c r="A20" s="1271"/>
      <c r="B20" s="1271"/>
      <c r="C20" s="1271"/>
      <c r="D20" s="1271"/>
      <c r="E20" s="1271"/>
      <c r="F20" s="1271"/>
      <c r="G20" s="1271"/>
      <c r="H20" s="1271"/>
      <c r="I20" s="1271"/>
      <c r="J20" s="1271"/>
      <c r="K20" s="1271"/>
      <c r="L20" s="1271"/>
      <c r="M20" s="1271"/>
      <c r="N20" s="1271"/>
      <c r="O20" s="1271"/>
      <c r="P20" s="1271"/>
      <c r="Q20" s="1271"/>
      <c r="R20" s="1271"/>
      <c r="S20" s="1271"/>
      <c r="T20" s="1271"/>
      <c r="U20" s="1271"/>
      <c r="V20" s="1271"/>
      <c r="W20" s="1271"/>
      <c r="X20" s="1271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 s="69"/>
      <c r="AQ20"/>
      <c r="AZ20"/>
      <c r="BA20"/>
      <c r="BB20"/>
    </row>
    <row r="21" spans="1:54" x14ac:dyDescent="0.2">
      <c r="A21" s="212" t="s">
        <v>566</v>
      </c>
      <c r="B21" s="213"/>
    </row>
    <row r="23" spans="1:54" x14ac:dyDescent="0.2">
      <c r="H23" s="12" t="s">
        <v>357</v>
      </c>
      <c r="AH23" s="292"/>
    </row>
  </sheetData>
  <mergeCells count="29">
    <mergeCell ref="BA11:BA12"/>
    <mergeCell ref="BB11:BB12"/>
    <mergeCell ref="A19:X20"/>
    <mergeCell ref="R11:R12"/>
    <mergeCell ref="S11:S12"/>
    <mergeCell ref="T11:T12"/>
    <mergeCell ref="U11:U12"/>
    <mergeCell ref="V11:V12"/>
    <mergeCell ref="W11:W12"/>
    <mergeCell ref="J11:J12"/>
    <mergeCell ref="K11:K12"/>
    <mergeCell ref="L11:L12"/>
    <mergeCell ref="M11:M12"/>
    <mergeCell ref="O11:O12"/>
    <mergeCell ref="Q11:Q12"/>
    <mergeCell ref="A11:A12"/>
    <mergeCell ref="B11:B12"/>
    <mergeCell ref="E11:E12"/>
    <mergeCell ref="F11:F12"/>
    <mergeCell ref="G11:G12"/>
    <mergeCell ref="AQ11:AQ12"/>
    <mergeCell ref="AR11:AR12"/>
    <mergeCell ref="D10:P10"/>
    <mergeCell ref="R10:T10"/>
    <mergeCell ref="U10:AP10"/>
    <mergeCell ref="H11:H12"/>
    <mergeCell ref="I11:I12"/>
    <mergeCell ref="AA11:AA12"/>
    <mergeCell ref="AB11:AB12"/>
  </mergeCells>
  <pageMargins left="0.19685039370078741" right="0.19685039370078741" top="0.78740157480314965" bottom="0.39370078740157483" header="0" footer="0"/>
  <pageSetup paperSize="5" scale="50" orientation="landscape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EI41"/>
  <sheetViews>
    <sheetView topLeftCell="C10" zoomScaleNormal="100" workbookViewId="0">
      <selection activeCell="CP32" sqref="CP32"/>
    </sheetView>
  </sheetViews>
  <sheetFormatPr baseColWidth="10" defaultRowHeight="12.75" x14ac:dyDescent="0.2"/>
  <cols>
    <col min="1" max="1" width="17.140625" customWidth="1"/>
    <col min="2" max="2" width="20.140625" customWidth="1"/>
    <col min="3" max="3" width="13.28515625" customWidth="1"/>
    <col min="4" max="4" width="6.7109375" style="18" customWidth="1"/>
    <col min="5" max="5" width="7.42578125" style="18" customWidth="1"/>
    <col min="6" max="6" width="9.7109375" customWidth="1"/>
    <col min="7" max="7" width="8.5703125" customWidth="1"/>
    <col min="8" max="11" width="8.5703125" hidden="1" customWidth="1"/>
    <col min="12" max="12" width="8.5703125" customWidth="1"/>
    <col min="13" max="14" width="8.5703125" hidden="1" customWidth="1"/>
    <col min="15" max="15" width="8.42578125" hidden="1" customWidth="1"/>
    <col min="16" max="16" width="8.5703125" hidden="1" customWidth="1"/>
    <col min="17" max="17" width="11" customWidth="1"/>
    <col min="18" max="18" width="11.5703125" style="19" customWidth="1"/>
    <col min="19" max="19" width="9.5703125" style="19" customWidth="1"/>
    <col min="20" max="20" width="8.42578125" style="12" customWidth="1"/>
    <col min="21" max="21" width="8.42578125" style="12" hidden="1" customWidth="1"/>
    <col min="22" max="22" width="7.85546875" style="104" hidden="1" customWidth="1"/>
    <col min="23" max="24" width="8.140625" hidden="1" customWidth="1"/>
    <col min="25" max="25" width="8.140625" style="77" hidden="1" customWidth="1"/>
    <col min="26" max="26" width="7.42578125" hidden="1" customWidth="1"/>
    <col min="27" max="27" width="9.7109375" hidden="1" customWidth="1"/>
    <col min="28" max="28" width="8.5703125" hidden="1" customWidth="1"/>
    <col min="29" max="33" width="7.7109375" hidden="1" customWidth="1"/>
    <col min="34" max="34" width="11.28515625" hidden="1" customWidth="1"/>
    <col min="35" max="36" width="7.7109375" hidden="1" customWidth="1"/>
    <col min="37" max="37" width="8.42578125" hidden="1" customWidth="1"/>
    <col min="38" max="40" width="7.7109375" hidden="1" customWidth="1"/>
    <col min="41" max="41" width="9.28515625" hidden="1" customWidth="1"/>
    <col min="42" max="42" width="10" style="69" hidden="1" customWidth="1"/>
    <col min="43" max="43" width="7.5703125" style="16" hidden="1" customWidth="1"/>
    <col min="44" max="44" width="6.7109375" style="16" hidden="1" customWidth="1"/>
    <col min="45" max="45" width="9.140625" style="16" hidden="1" customWidth="1"/>
    <col min="46" max="46" width="10.140625" hidden="1" customWidth="1"/>
    <col min="47" max="47" width="9.42578125" hidden="1" customWidth="1"/>
    <col min="48" max="48" width="8.5703125" hidden="1" customWidth="1"/>
    <col min="49" max="49" width="9.85546875" hidden="1" customWidth="1"/>
    <col min="50" max="50" width="0" hidden="1" customWidth="1"/>
    <col min="51" max="51" width="8.140625" hidden="1" customWidth="1"/>
    <col min="52" max="52" width="8.140625" style="77" hidden="1" customWidth="1"/>
    <col min="53" max="53" width="10.7109375" hidden="1" customWidth="1"/>
    <col min="54" max="55" width="8.5703125" hidden="1" customWidth="1"/>
    <col min="56" max="60" width="9" hidden="1" customWidth="1"/>
    <col min="61" max="61" width="9.140625" hidden="1" customWidth="1"/>
    <col min="62" max="63" width="8.7109375" hidden="1" customWidth="1"/>
    <col min="64" max="65" width="0" hidden="1" customWidth="1"/>
    <col min="66" max="69" width="11.42578125" hidden="1" customWidth="1"/>
    <col min="70" max="70" width="0" hidden="1" customWidth="1"/>
    <col min="72" max="76" width="11.42578125" customWidth="1"/>
    <col min="77" max="93" width="11.42578125" hidden="1" customWidth="1"/>
    <col min="94" max="96" width="11.42578125" customWidth="1"/>
  </cols>
  <sheetData>
    <row r="1" spans="1:139" x14ac:dyDescent="0.2">
      <c r="A1" s="556"/>
      <c r="B1" s="549" t="s">
        <v>27</v>
      </c>
      <c r="C1" s="556"/>
      <c r="D1" s="569"/>
      <c r="E1" s="569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70"/>
      <c r="S1" s="570"/>
      <c r="T1" s="556"/>
      <c r="U1" s="556"/>
      <c r="V1" s="571"/>
      <c r="W1" s="572"/>
      <c r="X1" s="572"/>
      <c r="Y1" s="573"/>
      <c r="Z1" s="572"/>
      <c r="AA1" s="572"/>
      <c r="AB1" s="572"/>
      <c r="AC1" s="572"/>
      <c r="AD1" s="556"/>
      <c r="AE1" s="556"/>
      <c r="AF1" s="556"/>
      <c r="AG1" s="556"/>
      <c r="AH1" s="556"/>
      <c r="AI1" s="556"/>
      <c r="AJ1" s="556"/>
      <c r="AK1" s="556"/>
      <c r="AL1" s="556"/>
      <c r="AM1" s="556"/>
      <c r="AN1" s="572"/>
      <c r="AO1" s="556"/>
      <c r="AP1" s="574"/>
      <c r="AY1" s="541"/>
      <c r="AZ1" s="542"/>
      <c r="BA1" s="541"/>
      <c r="BB1" s="541"/>
      <c r="BC1" s="541"/>
    </row>
    <row r="2" spans="1:139" x14ac:dyDescent="0.2">
      <c r="A2" s="556"/>
      <c r="B2" s="549" t="s">
        <v>1273</v>
      </c>
      <c r="C2" s="556"/>
      <c r="D2" s="569"/>
      <c r="E2" s="569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70"/>
      <c r="S2" s="570"/>
      <c r="T2" s="556"/>
      <c r="U2" s="556"/>
      <c r="V2" s="571"/>
      <c r="W2" s="572"/>
      <c r="X2" s="572"/>
      <c r="Y2" s="573"/>
      <c r="Z2" s="572"/>
      <c r="AA2" s="572"/>
      <c r="AB2" s="572"/>
      <c r="AC2" s="572"/>
      <c r="AD2" s="556"/>
      <c r="AE2" s="556"/>
      <c r="AF2" s="556"/>
      <c r="AG2" s="556"/>
      <c r="AH2" s="556"/>
      <c r="AI2" s="556"/>
      <c r="AJ2" s="556"/>
      <c r="AK2" s="556"/>
      <c r="AL2" s="556"/>
      <c r="AM2" s="556"/>
      <c r="AN2" s="556"/>
      <c r="AO2" s="556"/>
      <c r="AP2" s="574"/>
      <c r="AY2" s="541"/>
      <c r="AZ2" s="542"/>
      <c r="BA2" s="541"/>
      <c r="BB2" s="541"/>
      <c r="BC2" s="541"/>
    </row>
    <row r="3" spans="1:139" x14ac:dyDescent="0.2">
      <c r="A3" s="556"/>
      <c r="B3" s="556"/>
      <c r="C3" s="549"/>
      <c r="D3" s="575"/>
      <c r="E3" s="569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49"/>
      <c r="S3" s="549"/>
      <c r="T3" s="561"/>
      <c r="U3" s="561"/>
      <c r="V3" s="576"/>
      <c r="W3" s="572"/>
      <c r="X3" s="572"/>
      <c r="Y3" s="573"/>
      <c r="Z3" s="572"/>
      <c r="AA3" s="572"/>
      <c r="AB3" s="572"/>
      <c r="AC3" s="572"/>
      <c r="AD3" s="556"/>
      <c r="AE3" s="556"/>
      <c r="AF3" s="556"/>
      <c r="AG3" s="556"/>
      <c r="AH3" s="556"/>
      <c r="AI3" s="556"/>
      <c r="AJ3" s="556"/>
      <c r="AK3" s="556"/>
      <c r="AL3" s="556"/>
      <c r="AM3" s="556"/>
      <c r="AN3" s="556"/>
      <c r="AO3" s="556"/>
      <c r="AP3" s="574"/>
      <c r="AY3" s="541"/>
      <c r="AZ3" s="542"/>
      <c r="BA3" s="541"/>
      <c r="BB3" s="541"/>
      <c r="BC3" s="541"/>
    </row>
    <row r="4" spans="1:139" x14ac:dyDescent="0.2">
      <c r="A4" s="556"/>
      <c r="B4" s="556" t="s">
        <v>309</v>
      </c>
      <c r="C4" s="549"/>
      <c r="D4" s="575"/>
      <c r="E4" s="569"/>
      <c r="F4" s="561"/>
      <c r="G4" s="561"/>
      <c r="H4" s="561"/>
      <c r="I4" s="561"/>
      <c r="J4" s="561"/>
      <c r="K4" s="561"/>
      <c r="L4" s="561"/>
      <c r="M4" s="561"/>
      <c r="N4" s="561"/>
      <c r="O4" s="561"/>
      <c r="P4" s="561"/>
      <c r="Q4" s="561"/>
      <c r="R4" s="549"/>
      <c r="S4" s="549"/>
      <c r="T4" s="561"/>
      <c r="U4" s="561"/>
      <c r="V4" s="576"/>
      <c r="W4" s="572"/>
      <c r="X4" s="572"/>
      <c r="Y4" s="573"/>
      <c r="Z4" s="572"/>
      <c r="AA4" s="572"/>
      <c r="AB4" s="572"/>
      <c r="AC4" s="572"/>
      <c r="AD4" s="556"/>
      <c r="AE4" s="556"/>
      <c r="AF4" s="556"/>
      <c r="AG4" s="556"/>
      <c r="AH4" s="556"/>
      <c r="AI4" s="556"/>
      <c r="AJ4" s="556"/>
      <c r="AK4" s="556"/>
      <c r="AL4" s="556"/>
      <c r="AM4" s="556"/>
      <c r="AN4" s="556"/>
      <c r="AO4" s="556"/>
      <c r="AP4" s="574"/>
      <c r="AY4" s="541"/>
      <c r="AZ4" s="542"/>
      <c r="BA4" s="541"/>
      <c r="BB4" s="541"/>
      <c r="BC4" s="541"/>
    </row>
    <row r="5" spans="1:139" x14ac:dyDescent="0.2">
      <c r="A5" s="556"/>
      <c r="B5" s="561" t="s">
        <v>328</v>
      </c>
      <c r="C5" s="556"/>
      <c r="D5" s="569"/>
      <c r="E5" s="569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70"/>
      <c r="S5" s="570"/>
      <c r="T5" s="556"/>
      <c r="U5" s="556"/>
      <c r="V5" s="571"/>
      <c r="W5" s="572"/>
      <c r="X5" s="572"/>
      <c r="Y5" s="573"/>
      <c r="Z5" s="572"/>
      <c r="AA5" s="572"/>
      <c r="AB5" s="572"/>
      <c r="AC5" s="572"/>
      <c r="AD5" s="556"/>
      <c r="AE5" s="556"/>
      <c r="AF5" s="556"/>
      <c r="AG5" s="556"/>
      <c r="AH5" s="556"/>
      <c r="AI5" s="556"/>
      <c r="AJ5" s="556"/>
      <c r="AK5" s="556"/>
      <c r="AL5" s="556"/>
      <c r="AM5" s="556"/>
      <c r="AN5" s="556"/>
      <c r="AO5" s="556"/>
      <c r="AP5" s="574"/>
      <c r="AY5" s="541"/>
      <c r="AZ5" s="542"/>
      <c r="BA5" s="541"/>
      <c r="BB5" s="541"/>
      <c r="BC5" s="541"/>
    </row>
    <row r="6" spans="1:139" x14ac:dyDescent="0.2">
      <c r="A6" s="556"/>
      <c r="B6" s="556" t="s">
        <v>1272</v>
      </c>
      <c r="C6" s="556"/>
      <c r="D6" s="569"/>
      <c r="E6" s="569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70"/>
      <c r="S6" s="570"/>
      <c r="T6" s="556"/>
      <c r="U6" s="556"/>
      <c r="V6" s="571"/>
      <c r="W6" s="572"/>
      <c r="X6" s="572"/>
      <c r="Y6" s="573"/>
      <c r="Z6" s="572"/>
      <c r="AA6" s="572"/>
      <c r="AB6" s="572"/>
      <c r="AC6" s="572"/>
      <c r="AD6" s="556"/>
      <c r="AE6" s="556"/>
      <c r="AF6" s="556"/>
      <c r="AG6" s="556"/>
      <c r="AH6" s="556"/>
      <c r="AI6" s="556"/>
      <c r="AJ6" s="556"/>
      <c r="AK6" s="556"/>
      <c r="AL6" s="556"/>
      <c r="AM6" s="556"/>
      <c r="AN6" s="556"/>
      <c r="AO6" s="556"/>
      <c r="AP6" s="574"/>
      <c r="AY6" s="541"/>
      <c r="AZ6" s="542"/>
      <c r="BA6" s="541"/>
      <c r="BB6" s="541"/>
      <c r="BC6" s="541"/>
    </row>
    <row r="7" spans="1:139" x14ac:dyDescent="0.2">
      <c r="A7" s="556"/>
      <c r="B7" s="556"/>
      <c r="C7" s="556"/>
      <c r="D7" s="569"/>
      <c r="E7" s="569"/>
      <c r="F7" s="556"/>
      <c r="G7" s="556"/>
      <c r="H7" s="556"/>
      <c r="I7" s="556"/>
      <c r="J7" s="556"/>
      <c r="K7" s="556"/>
      <c r="L7" s="556"/>
      <c r="M7" s="556"/>
      <c r="N7" s="556"/>
      <c r="O7" s="556"/>
      <c r="P7" s="556"/>
      <c r="Q7" s="556"/>
      <c r="R7" s="570"/>
      <c r="S7" s="570"/>
      <c r="T7" s="556"/>
      <c r="U7" s="556"/>
      <c r="V7" s="571"/>
      <c r="W7" s="572"/>
      <c r="X7" s="572"/>
      <c r="Y7" s="573"/>
      <c r="Z7" s="572"/>
      <c r="AA7" s="572"/>
      <c r="AB7" s="572"/>
      <c r="AC7" s="572"/>
      <c r="AD7" s="556"/>
      <c r="AE7" s="556"/>
      <c r="AF7" s="556"/>
      <c r="AG7" s="556"/>
      <c r="AH7" s="556"/>
      <c r="AI7" s="556"/>
      <c r="AJ7" s="556"/>
      <c r="AK7" s="556"/>
      <c r="AL7" s="556"/>
      <c r="AM7" s="556"/>
      <c r="AN7" s="556"/>
      <c r="AO7" s="556"/>
      <c r="AP7" s="574"/>
      <c r="AY7" s="541"/>
      <c r="AZ7" s="542"/>
      <c r="BA7" s="541"/>
      <c r="BB7" s="541"/>
      <c r="BC7" s="541"/>
    </row>
    <row r="8" spans="1:139" s="16" customFormat="1" x14ac:dyDescent="0.2">
      <c r="D8" s="38"/>
      <c r="E8" s="38"/>
      <c r="R8" s="37"/>
      <c r="S8" s="37"/>
      <c r="T8" s="35"/>
      <c r="U8" s="35"/>
      <c r="V8" s="103"/>
      <c r="W8" s="39"/>
      <c r="X8" s="39"/>
      <c r="Y8" s="76"/>
      <c r="Z8" s="39"/>
      <c r="AA8" s="39"/>
      <c r="AB8" s="39"/>
      <c r="AC8" s="39"/>
      <c r="AP8" s="68"/>
      <c r="AY8" s="39"/>
      <c r="AZ8" s="76"/>
      <c r="BA8" s="39"/>
      <c r="BB8" s="39"/>
      <c r="BC8" s="39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</row>
    <row r="9" spans="1:139" s="16" customFormat="1" ht="20.25" customHeight="1" x14ac:dyDescent="0.2">
      <c r="D9" s="38"/>
      <c r="E9" s="38"/>
      <c r="R9" s="37"/>
      <c r="S9" s="37"/>
      <c r="T9" s="35"/>
      <c r="U9" s="35"/>
      <c r="V9" s="103"/>
      <c r="W9" s="39"/>
      <c r="X9" s="39"/>
      <c r="Y9" s="76"/>
      <c r="Z9" s="39"/>
      <c r="AA9" s="39"/>
      <c r="AB9" s="39"/>
      <c r="AC9" s="39"/>
      <c r="AP9" s="68"/>
      <c r="AY9" s="39"/>
      <c r="AZ9" s="76"/>
      <c r="BA9" s="39"/>
      <c r="BB9" s="39"/>
      <c r="BC9" s="3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</row>
    <row r="10" spans="1:139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1275" t="s">
        <v>450</v>
      </c>
      <c r="V10" s="1275"/>
      <c r="W10" s="1275"/>
      <c r="X10" s="1275"/>
      <c r="Y10" s="1275"/>
      <c r="Z10" s="1275"/>
      <c r="AA10" s="1275"/>
      <c r="AB10" s="1275"/>
      <c r="AC10" s="1275"/>
      <c r="AD10" s="1275"/>
      <c r="AE10" s="1275"/>
      <c r="AF10" s="1275"/>
      <c r="AG10" s="1275"/>
      <c r="AH10" s="1275"/>
      <c r="AI10" s="1275"/>
      <c r="AJ10" s="1275"/>
      <c r="AK10" s="1275"/>
      <c r="AL10" s="1275"/>
      <c r="AM10" s="1275"/>
      <c r="AN10" s="1275"/>
      <c r="AO10" s="1275"/>
      <c r="AP10" s="1275"/>
      <c r="AQ10" s="1275"/>
      <c r="AR10" s="1275"/>
      <c r="AS10" s="1275"/>
      <c r="AT10" s="1275"/>
      <c r="AU10" s="1275"/>
      <c r="AV10" s="1275"/>
      <c r="AW10" s="1275"/>
      <c r="AX10" s="1275"/>
      <c r="AY10" s="1275"/>
      <c r="AZ10" s="1275"/>
      <c r="BA10" s="1275"/>
      <c r="BB10" s="1275"/>
    </row>
    <row r="11" spans="1:139" ht="54" customHeight="1" x14ac:dyDescent="0.25">
      <c r="A11" s="1261" t="s">
        <v>57</v>
      </c>
      <c r="B11" s="1261" t="s">
        <v>0</v>
      </c>
      <c r="C11" s="197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1126</v>
      </c>
      <c r="J11" s="1254" t="s">
        <v>1127</v>
      </c>
      <c r="K11" s="1254" t="s">
        <v>534</v>
      </c>
      <c r="L11" s="1254" t="s">
        <v>493</v>
      </c>
      <c r="M11" s="1254" t="s">
        <v>1145</v>
      </c>
      <c r="N11" s="198" t="s">
        <v>529</v>
      </c>
      <c r="O11" s="1254" t="s">
        <v>492</v>
      </c>
      <c r="P11" s="199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1245" t="s">
        <v>447</v>
      </c>
      <c r="V11" s="1268" t="s">
        <v>452</v>
      </c>
      <c r="W11" s="1245" t="s">
        <v>439</v>
      </c>
      <c r="X11" s="158" t="s">
        <v>15</v>
      </c>
      <c r="Y11" s="159" t="s">
        <v>15</v>
      </c>
      <c r="Z11" s="158" t="s">
        <v>16</v>
      </c>
      <c r="AA11" s="1245" t="s">
        <v>527</v>
      </c>
      <c r="AB11" s="1245" t="s">
        <v>536</v>
      </c>
      <c r="AC11" s="158" t="s">
        <v>3</v>
      </c>
      <c r="AD11" s="158" t="s">
        <v>4</v>
      </c>
      <c r="AE11" s="158" t="s">
        <v>5</v>
      </c>
      <c r="AF11" s="158" t="s">
        <v>6</v>
      </c>
      <c r="AG11" s="158" t="s">
        <v>7</v>
      </c>
      <c r="AH11" s="158" t="s">
        <v>8</v>
      </c>
      <c r="AI11" s="158" t="s">
        <v>9</v>
      </c>
      <c r="AJ11" s="158" t="s">
        <v>10</v>
      </c>
      <c r="AK11" s="158" t="s">
        <v>11</v>
      </c>
      <c r="AL11" s="158" t="s">
        <v>12</v>
      </c>
      <c r="AM11" s="158" t="s">
        <v>13</v>
      </c>
      <c r="AN11" s="158" t="s">
        <v>14</v>
      </c>
      <c r="AO11" s="196" t="s">
        <v>531</v>
      </c>
      <c r="AP11" s="487" t="s">
        <v>63</v>
      </c>
      <c r="AQ11" s="1245" t="s">
        <v>976</v>
      </c>
      <c r="AR11" s="1245" t="s">
        <v>536</v>
      </c>
      <c r="AS11" s="158" t="s">
        <v>3</v>
      </c>
      <c r="AT11" s="158" t="s">
        <v>4</v>
      </c>
      <c r="AU11" s="158" t="s">
        <v>5</v>
      </c>
      <c r="AV11" s="158" t="s">
        <v>6</v>
      </c>
      <c r="AW11" s="158" t="s">
        <v>7</v>
      </c>
      <c r="AX11" s="160" t="s">
        <v>63</v>
      </c>
      <c r="AY11" s="158" t="s">
        <v>15</v>
      </c>
      <c r="AZ11" s="159" t="s">
        <v>15</v>
      </c>
      <c r="BA11" s="158" t="s">
        <v>16</v>
      </c>
      <c r="BB11" s="1245" t="s">
        <v>1124</v>
      </c>
      <c r="BC11" s="1245" t="s">
        <v>536</v>
      </c>
      <c r="BD11" s="158" t="s">
        <v>8</v>
      </c>
      <c r="BE11" s="158" t="s">
        <v>9</v>
      </c>
      <c r="BF11" s="158" t="s">
        <v>10</v>
      </c>
      <c r="BG11" s="158" t="s">
        <v>11</v>
      </c>
      <c r="BH11" s="158" t="s">
        <v>12</v>
      </c>
      <c r="BI11" s="158" t="s">
        <v>13</v>
      </c>
      <c r="BJ11" s="158" t="s">
        <v>14</v>
      </c>
      <c r="BK11" s="196" t="s">
        <v>1123</v>
      </c>
      <c r="BL11" s="160" t="s">
        <v>63</v>
      </c>
      <c r="BM11" s="158" t="s">
        <v>3</v>
      </c>
      <c r="BN11" s="158" t="s">
        <v>4</v>
      </c>
      <c r="BO11" s="158" t="s">
        <v>5</v>
      </c>
      <c r="BP11" s="158" t="s">
        <v>6</v>
      </c>
      <c r="BQ11" s="158" t="s">
        <v>7</v>
      </c>
      <c r="BR11" s="1247" t="s">
        <v>1252</v>
      </c>
      <c r="BS11" s="1247" t="s">
        <v>1253</v>
      </c>
      <c r="BT11" s="158" t="s">
        <v>15</v>
      </c>
      <c r="BU11" s="159" t="s">
        <v>15</v>
      </c>
      <c r="BV11" s="158" t="s">
        <v>16</v>
      </c>
      <c r="BW11" s="1245" t="s">
        <v>1262</v>
      </c>
      <c r="BX11" s="1245" t="s">
        <v>536</v>
      </c>
      <c r="BY11" s="158" t="s">
        <v>8</v>
      </c>
      <c r="BZ11" s="158" t="s">
        <v>9</v>
      </c>
      <c r="CA11" s="158" t="s">
        <v>10</v>
      </c>
      <c r="CB11" s="158" t="s">
        <v>11</v>
      </c>
      <c r="CC11" s="158" t="s">
        <v>12</v>
      </c>
      <c r="CD11" s="158" t="s">
        <v>13</v>
      </c>
      <c r="CE11" s="158" t="s">
        <v>14</v>
      </c>
      <c r="CF11" s="158" t="s">
        <v>3</v>
      </c>
      <c r="CG11" s="158" t="s">
        <v>4</v>
      </c>
      <c r="CH11" s="158" t="s">
        <v>5</v>
      </c>
      <c r="CI11" s="158" t="s">
        <v>6</v>
      </c>
      <c r="CJ11" s="158" t="s">
        <v>7</v>
      </c>
      <c r="CK11" s="158" t="s">
        <v>8</v>
      </c>
      <c r="CL11" s="158" t="s">
        <v>9</v>
      </c>
      <c r="CM11" s="158" t="s">
        <v>10</v>
      </c>
      <c r="CN11" s="158" t="s">
        <v>11</v>
      </c>
      <c r="CO11" s="158" t="s">
        <v>12</v>
      </c>
      <c r="CP11" s="158" t="s">
        <v>13</v>
      </c>
      <c r="CQ11" s="1247" t="s">
        <v>1276</v>
      </c>
      <c r="CR11" s="1247" t="s">
        <v>1263</v>
      </c>
    </row>
    <row r="12" spans="1:139" ht="32.25" customHeight="1" x14ac:dyDescent="0.25">
      <c r="A12" s="1262"/>
      <c r="B12" s="1262"/>
      <c r="C12" s="161" t="s">
        <v>328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43100</v>
      </c>
      <c r="O12" s="1255"/>
      <c r="P12" s="193">
        <v>43101</v>
      </c>
      <c r="Q12" s="1257"/>
      <c r="R12" s="1251" t="s">
        <v>18</v>
      </c>
      <c r="S12" s="1251" t="s">
        <v>18</v>
      </c>
      <c r="T12" s="1253"/>
      <c r="U12" s="1267"/>
      <c r="V12" s="1269">
        <v>41639</v>
      </c>
      <c r="W12" s="1246"/>
      <c r="X12" s="162" t="s">
        <v>20</v>
      </c>
      <c r="Y12" s="163" t="s">
        <v>21</v>
      </c>
      <c r="Z12" s="162" t="s">
        <v>22</v>
      </c>
      <c r="AA12" s="1246"/>
      <c r="AB12" s="1246"/>
      <c r="AC12" s="162">
        <v>2015</v>
      </c>
      <c r="AD12" s="162">
        <v>2015</v>
      </c>
      <c r="AE12" s="162">
        <v>2015</v>
      </c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 t="s">
        <v>64</v>
      </c>
      <c r="AQ12" s="1265"/>
      <c r="AR12" s="1265"/>
      <c r="AS12" s="430">
        <v>2016</v>
      </c>
      <c r="AT12" s="430">
        <v>2016</v>
      </c>
      <c r="AU12" s="430">
        <v>2016</v>
      </c>
      <c r="AV12" s="430">
        <v>2016</v>
      </c>
      <c r="AW12" s="430">
        <v>2016</v>
      </c>
      <c r="AX12" s="162" t="s">
        <v>64</v>
      </c>
      <c r="AY12" s="162" t="s">
        <v>20</v>
      </c>
      <c r="AZ12" s="163" t="s">
        <v>21</v>
      </c>
      <c r="BA12" s="162" t="s">
        <v>22</v>
      </c>
      <c r="BB12" s="1246"/>
      <c r="BC12" s="1246"/>
      <c r="BD12" s="430">
        <v>2017</v>
      </c>
      <c r="BE12" s="430">
        <v>2017</v>
      </c>
      <c r="BF12" s="430">
        <v>2017</v>
      </c>
      <c r="BG12" s="430">
        <v>2017</v>
      </c>
      <c r="BH12" s="430">
        <v>2017</v>
      </c>
      <c r="BI12" s="430">
        <v>2017</v>
      </c>
      <c r="BJ12" s="430">
        <v>2017</v>
      </c>
      <c r="BK12" s="162">
        <v>2017</v>
      </c>
      <c r="BL12" s="162" t="s">
        <v>64</v>
      </c>
      <c r="BM12" s="162">
        <v>2018</v>
      </c>
      <c r="BN12" s="162">
        <v>2018</v>
      </c>
      <c r="BO12" s="162">
        <v>2018</v>
      </c>
      <c r="BP12" s="162">
        <v>2018</v>
      </c>
      <c r="BQ12" s="162">
        <v>2018</v>
      </c>
      <c r="BR12" s="1248"/>
      <c r="BS12" s="1248"/>
      <c r="BT12" s="162" t="s">
        <v>20</v>
      </c>
      <c r="BU12" s="163" t="s">
        <v>21</v>
      </c>
      <c r="BV12" s="162" t="s">
        <v>22</v>
      </c>
      <c r="BW12" s="1246"/>
      <c r="BX12" s="1246"/>
      <c r="BY12" s="162">
        <v>2018</v>
      </c>
      <c r="BZ12" s="162">
        <v>2018</v>
      </c>
      <c r="CA12" s="162">
        <v>2018</v>
      </c>
      <c r="CB12" s="162">
        <v>2018</v>
      </c>
      <c r="CC12" s="162">
        <v>2018</v>
      </c>
      <c r="CD12" s="162">
        <v>2018</v>
      </c>
      <c r="CE12" s="162">
        <v>2018</v>
      </c>
      <c r="CF12" s="162">
        <v>2019</v>
      </c>
      <c r="CG12" s="162">
        <v>2019</v>
      </c>
      <c r="CH12" s="162">
        <v>2019</v>
      </c>
      <c r="CI12" s="162">
        <v>2019</v>
      </c>
      <c r="CJ12" s="162">
        <v>2019</v>
      </c>
      <c r="CK12" s="162">
        <v>2019</v>
      </c>
      <c r="CL12" s="162">
        <v>2019</v>
      </c>
      <c r="CM12" s="162">
        <v>2019</v>
      </c>
      <c r="CN12" s="162">
        <v>2019</v>
      </c>
      <c r="CO12" s="162">
        <v>2019</v>
      </c>
      <c r="CP12" s="162">
        <v>2019</v>
      </c>
      <c r="CQ12" s="1248"/>
      <c r="CR12" s="1248"/>
    </row>
    <row r="13" spans="1:139" s="16" customFormat="1" ht="15" x14ac:dyDescent="0.2">
      <c r="A13" s="26" t="s">
        <v>65</v>
      </c>
      <c r="B13" s="26" t="s">
        <v>89</v>
      </c>
      <c r="C13" s="45"/>
      <c r="D13" s="58"/>
      <c r="E13" s="30"/>
      <c r="F13" s="46"/>
      <c r="G13" s="58"/>
      <c r="H13" s="145"/>
      <c r="I13" s="165"/>
      <c r="J13" s="48"/>
      <c r="K13" s="165"/>
      <c r="L13" s="48"/>
      <c r="M13" s="165"/>
      <c r="N13" s="48"/>
      <c r="O13" s="165"/>
      <c r="P13" s="48"/>
      <c r="Q13" s="48"/>
      <c r="R13" s="119"/>
      <c r="S13" s="119"/>
      <c r="T13" s="134"/>
      <c r="U13" s="14"/>
      <c r="V13" s="106"/>
      <c r="W13" s="66"/>
      <c r="X13" s="57"/>
      <c r="Y13" s="80"/>
      <c r="Z13" s="57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72"/>
      <c r="AQ13" s="55"/>
      <c r="AR13" s="55"/>
      <c r="AS13" s="55"/>
      <c r="AT13" s="55"/>
      <c r="AU13" s="55"/>
      <c r="AV13" s="55"/>
      <c r="AW13" s="55"/>
      <c r="AX13" s="598"/>
      <c r="AY13" s="57"/>
      <c r="AZ13" s="80"/>
      <c r="BA13" s="57"/>
      <c r="BB13" s="55"/>
      <c r="BC13" s="55"/>
      <c r="BD13" s="55"/>
      <c r="BE13" s="55"/>
      <c r="BF13" s="55"/>
      <c r="BG13" s="55"/>
      <c r="BH13" s="55"/>
      <c r="BI13" s="55"/>
      <c r="BJ13" s="55"/>
      <c r="BK13" s="598"/>
      <c r="BL13" s="598"/>
      <c r="BM13" s="968"/>
      <c r="BN13" s="968"/>
      <c r="BO13" s="968"/>
      <c r="BP13" s="968"/>
      <c r="BQ13" s="505"/>
      <c r="BR13" s="505"/>
      <c r="BS13" s="516"/>
      <c r="BT13" s="516"/>
      <c r="BU13" s="516"/>
      <c r="BV13" s="516"/>
      <c r="BW13" s="516"/>
      <c r="BX13" s="516"/>
      <c r="BY13" s="516"/>
      <c r="BZ13" s="516"/>
      <c r="CA13" s="516"/>
      <c r="CB13" s="516"/>
      <c r="CC13" s="516"/>
      <c r="CD13" s="516"/>
      <c r="CE13" s="516"/>
      <c r="CF13" s="516"/>
      <c r="CG13" s="516"/>
      <c r="CH13" s="516"/>
      <c r="CI13" s="516"/>
      <c r="CJ13" s="516"/>
      <c r="CK13" s="516"/>
      <c r="CL13" s="516"/>
      <c r="CM13" s="516"/>
      <c r="CN13" s="516"/>
      <c r="CO13" s="516"/>
      <c r="CP13" s="516"/>
      <c r="CQ13" s="516"/>
      <c r="CR13" s="516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</row>
    <row r="14" spans="1:139" s="16" customFormat="1" ht="15" x14ac:dyDescent="0.2">
      <c r="A14" s="26" t="s">
        <v>82</v>
      </c>
      <c r="B14" s="9"/>
      <c r="C14" s="45"/>
      <c r="D14" s="58"/>
      <c r="E14" s="30"/>
      <c r="F14" s="46"/>
      <c r="G14" s="58"/>
      <c r="H14" s="145"/>
      <c r="I14" s="165"/>
      <c r="J14" s="48"/>
      <c r="K14" s="165"/>
      <c r="L14" s="48"/>
      <c r="M14" s="165"/>
      <c r="N14" s="48"/>
      <c r="O14" s="165"/>
      <c r="P14" s="48"/>
      <c r="Q14" s="48"/>
      <c r="R14" s="46"/>
      <c r="S14" s="119"/>
      <c r="T14" s="134"/>
      <c r="U14" s="14"/>
      <c r="V14" s="106"/>
      <c r="W14" s="165"/>
      <c r="X14" s="57"/>
      <c r="Y14" s="80"/>
      <c r="Z14" s="57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72"/>
      <c r="AQ14" s="55"/>
      <c r="AR14" s="55"/>
      <c r="AS14" s="55"/>
      <c r="AT14" s="55"/>
      <c r="AU14" s="55"/>
      <c r="AV14" s="55"/>
      <c r="AW14" s="55"/>
      <c r="AX14" s="598"/>
      <c r="AY14" s="57"/>
      <c r="AZ14" s="80"/>
      <c r="BA14" s="57"/>
      <c r="BB14" s="55"/>
      <c r="BC14" s="55"/>
      <c r="BD14" s="55"/>
      <c r="BE14" s="55"/>
      <c r="BF14" s="55"/>
      <c r="BG14" s="55"/>
      <c r="BH14" s="55"/>
      <c r="BI14" s="55"/>
      <c r="BJ14" s="55"/>
      <c r="BK14" s="598"/>
      <c r="BL14" s="598"/>
      <c r="BM14" s="505"/>
      <c r="BN14" s="505"/>
      <c r="BO14" s="505"/>
      <c r="BP14" s="505"/>
      <c r="BQ14" s="505"/>
      <c r="BR14" s="505"/>
      <c r="BS14" s="516"/>
      <c r="BT14" s="516"/>
      <c r="BU14" s="516"/>
      <c r="BV14" s="516"/>
      <c r="BW14" s="516"/>
      <c r="BX14" s="516"/>
      <c r="BY14" s="516"/>
      <c r="BZ14" s="516"/>
      <c r="CA14" s="516"/>
      <c r="CB14" s="516"/>
      <c r="CC14" s="516"/>
      <c r="CD14" s="516"/>
      <c r="CE14" s="516"/>
      <c r="CF14" s="516"/>
      <c r="CG14" s="516"/>
      <c r="CH14" s="516"/>
      <c r="CI14" s="516"/>
      <c r="CJ14" s="516"/>
      <c r="CK14" s="516"/>
      <c r="CL14" s="516"/>
      <c r="CM14" s="516"/>
      <c r="CN14" s="516"/>
      <c r="CO14" s="516"/>
      <c r="CP14" s="516"/>
      <c r="CQ14" s="516"/>
      <c r="CR14" s="516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</row>
    <row r="15" spans="1:139" s="16" customFormat="1" ht="15.75" x14ac:dyDescent="0.25">
      <c r="A15" s="31" t="s">
        <v>250</v>
      </c>
      <c r="B15" s="100" t="s">
        <v>546</v>
      </c>
      <c r="C15" s="45" t="s">
        <v>328</v>
      </c>
      <c r="D15" s="58">
        <v>10</v>
      </c>
      <c r="E15" s="30">
        <v>0.33329999999999999</v>
      </c>
      <c r="F15" s="46">
        <v>43281</v>
      </c>
      <c r="G15" s="58">
        <v>120</v>
      </c>
      <c r="H15" s="145">
        <f>100/G15</f>
        <v>0.83333333333333337</v>
      </c>
      <c r="I15" s="165">
        <f>H15*J15</f>
        <v>134.16666666666669</v>
      </c>
      <c r="J15" s="48">
        <f>(YEAR(F15)-YEAR(S15))*12+MONTH(F15)-MONTH(S15)</f>
        <v>161</v>
      </c>
      <c r="K15" s="165">
        <f>L15*H15</f>
        <v>-34.166666666666671</v>
      </c>
      <c r="L15" s="48">
        <f>G15-J15</f>
        <v>-41</v>
      </c>
      <c r="M15" s="165">
        <f>N15*H15</f>
        <v>0</v>
      </c>
      <c r="N15" s="48">
        <v>0</v>
      </c>
      <c r="O15" s="165">
        <f>P15*H15</f>
        <v>-34.166666666666671</v>
      </c>
      <c r="P15" s="48">
        <f>L15-N15</f>
        <v>-41</v>
      </c>
      <c r="Q15" s="462">
        <f>DATE(YEAR(S15),MONTH(S15)+G15,DAY(S15))</f>
        <v>42005</v>
      </c>
      <c r="R15" s="46" t="s">
        <v>445</v>
      </c>
      <c r="S15" s="128">
        <v>38353</v>
      </c>
      <c r="T15" s="5">
        <v>1400</v>
      </c>
      <c r="U15" s="47">
        <v>81.63</v>
      </c>
      <c r="V15" s="106">
        <v>58.35</v>
      </c>
      <c r="W15" s="165"/>
      <c r="X15" s="57">
        <v>115.958</v>
      </c>
      <c r="Y15" s="80">
        <v>112.554</v>
      </c>
      <c r="Z15" s="57">
        <f>X15/Y15</f>
        <v>1.0302432610124916</v>
      </c>
      <c r="AA15" s="55">
        <f>U15/7</f>
        <v>11.661428571428571</v>
      </c>
      <c r="AB15" s="55">
        <f>Z15*AA15</f>
        <v>12.014108199492814</v>
      </c>
      <c r="AC15" s="55"/>
      <c r="AD15" s="55"/>
      <c r="AE15" s="55"/>
      <c r="AF15" s="55"/>
      <c r="AG15" s="55"/>
      <c r="AH15" s="55">
        <v>12.01</v>
      </c>
      <c r="AI15" s="55">
        <v>12.01</v>
      </c>
      <c r="AJ15" s="55">
        <v>12.01</v>
      </c>
      <c r="AK15" s="55">
        <v>12.01</v>
      </c>
      <c r="AL15" s="55">
        <v>12.01</v>
      </c>
      <c r="AM15" s="55">
        <v>12.01</v>
      </c>
      <c r="AN15" s="55">
        <v>8.57</v>
      </c>
      <c r="AO15" s="55">
        <f>SUM(AH15:AN15)</f>
        <v>80.63</v>
      </c>
      <c r="AP15" s="72">
        <f>U15-AO15</f>
        <v>1</v>
      </c>
      <c r="AQ15" s="55"/>
      <c r="AR15" s="55"/>
      <c r="AS15" s="55"/>
      <c r="AT15" s="55"/>
      <c r="AU15" s="55"/>
      <c r="AV15" s="55"/>
      <c r="AW15" s="55"/>
      <c r="AX15" s="601">
        <v>1</v>
      </c>
      <c r="AY15" s="57"/>
      <c r="AZ15" s="80"/>
      <c r="BA15" s="57"/>
      <c r="BB15" s="55">
        <f>AU15/7</f>
        <v>0</v>
      </c>
      <c r="BC15" s="55">
        <f>BA15*BB15</f>
        <v>0</v>
      </c>
      <c r="BD15" s="55"/>
      <c r="BE15" s="55"/>
      <c r="BF15" s="55"/>
      <c r="BG15" s="55"/>
      <c r="BH15" s="55"/>
      <c r="BI15" s="55"/>
      <c r="BJ15" s="55"/>
      <c r="BK15" s="598"/>
      <c r="BL15" s="601">
        <v>1</v>
      </c>
      <c r="BM15" s="505"/>
      <c r="BN15" s="505"/>
      <c r="BO15" s="505"/>
      <c r="BP15" s="505"/>
      <c r="BQ15" s="505"/>
      <c r="BR15" s="505">
        <f>SUM(BM15:BQ15)</f>
        <v>0</v>
      </c>
      <c r="BS15" s="1085">
        <f>BL15-BR15</f>
        <v>1</v>
      </c>
      <c r="BT15" s="1086">
        <v>132.28200000000001</v>
      </c>
      <c r="BU15" s="515">
        <v>0</v>
      </c>
      <c r="BV15" s="1087">
        <v>0</v>
      </c>
      <c r="BW15" s="516">
        <v>0</v>
      </c>
      <c r="BX15" s="516">
        <v>0</v>
      </c>
      <c r="BY15" s="516">
        <v>0</v>
      </c>
      <c r="BZ15" s="516">
        <v>0</v>
      </c>
      <c r="CA15" s="516">
        <v>0</v>
      </c>
      <c r="CB15" s="516">
        <v>0</v>
      </c>
      <c r="CC15" s="516">
        <v>0</v>
      </c>
      <c r="CD15" s="516">
        <v>0</v>
      </c>
      <c r="CE15" s="516">
        <v>0</v>
      </c>
      <c r="CF15" s="516">
        <v>0</v>
      </c>
      <c r="CG15" s="516">
        <v>0</v>
      </c>
      <c r="CH15" s="516">
        <v>0</v>
      </c>
      <c r="CI15" s="516">
        <v>0</v>
      </c>
      <c r="CJ15" s="516">
        <v>0</v>
      </c>
      <c r="CK15" s="516">
        <v>0</v>
      </c>
      <c r="CL15" s="516">
        <v>0</v>
      </c>
      <c r="CM15" s="516">
        <v>0</v>
      </c>
      <c r="CN15" s="516">
        <v>0</v>
      </c>
      <c r="CO15" s="516">
        <v>0</v>
      </c>
      <c r="CP15" s="516">
        <v>0</v>
      </c>
      <c r="CQ15" s="516">
        <f>SUM(BY15:CE15)</f>
        <v>0</v>
      </c>
      <c r="CR15" s="1088">
        <f>BS15-CQ15</f>
        <v>1</v>
      </c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</row>
    <row r="16" spans="1:139" s="16" customFormat="1" ht="15.75" x14ac:dyDescent="0.25">
      <c r="A16" s="26" t="s">
        <v>71</v>
      </c>
      <c r="B16" s="26" t="s">
        <v>26</v>
      </c>
      <c r="C16" s="45"/>
      <c r="D16" s="58"/>
      <c r="E16" s="30"/>
      <c r="F16" s="46"/>
      <c r="G16" s="58"/>
      <c r="H16" s="145"/>
      <c r="I16" s="165"/>
      <c r="J16" s="48"/>
      <c r="K16" s="165"/>
      <c r="L16" s="48"/>
      <c r="M16" s="165"/>
      <c r="N16" s="48"/>
      <c r="O16" s="165"/>
      <c r="P16" s="48"/>
      <c r="Q16" s="48"/>
      <c r="R16" s="46"/>
      <c r="S16" s="21"/>
      <c r="T16" s="118"/>
      <c r="U16" s="47"/>
      <c r="V16" s="106"/>
      <c r="W16" s="165"/>
      <c r="X16" s="57"/>
      <c r="Y16" s="80"/>
      <c r="Z16" s="57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72"/>
      <c r="AQ16" s="55"/>
      <c r="AR16" s="55"/>
      <c r="AS16" s="55"/>
      <c r="AT16" s="55"/>
      <c r="AU16" s="55"/>
      <c r="AV16" s="55"/>
      <c r="AW16" s="55"/>
      <c r="AX16" s="601"/>
      <c r="AY16" s="57"/>
      <c r="AZ16" s="80"/>
      <c r="BA16" s="57"/>
      <c r="BB16" s="55"/>
      <c r="BC16" s="55"/>
      <c r="BD16" s="55"/>
      <c r="BE16" s="55"/>
      <c r="BF16" s="55"/>
      <c r="BG16" s="55"/>
      <c r="BH16" s="55"/>
      <c r="BI16" s="55"/>
      <c r="BJ16" s="55"/>
      <c r="BK16" s="598"/>
      <c r="BL16" s="601"/>
      <c r="BM16" s="505"/>
      <c r="BN16" s="505"/>
      <c r="BO16" s="505"/>
      <c r="BP16" s="505"/>
      <c r="BQ16" s="505"/>
      <c r="BR16" s="505"/>
      <c r="BS16" s="1126"/>
      <c r="BT16" s="516"/>
      <c r="BU16" s="515"/>
      <c r="BV16" s="1087"/>
      <c r="BW16" s="516"/>
      <c r="BX16" s="516"/>
      <c r="BY16" s="516"/>
      <c r="BZ16" s="516"/>
      <c r="CA16" s="516"/>
      <c r="CB16" s="516"/>
      <c r="CC16" s="516"/>
      <c r="CD16" s="516"/>
      <c r="CE16" s="516"/>
      <c r="CF16" s="516"/>
      <c r="CG16" s="516"/>
      <c r="CH16" s="516"/>
      <c r="CI16" s="516"/>
      <c r="CJ16" s="516"/>
      <c r="CK16" s="516"/>
      <c r="CL16" s="516"/>
      <c r="CM16" s="516"/>
      <c r="CN16" s="516"/>
      <c r="CO16" s="516"/>
      <c r="CP16" s="516"/>
      <c r="CQ16" s="516"/>
      <c r="CR16" s="5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</row>
    <row r="17" spans="1:139" s="16" customFormat="1" ht="15.75" x14ac:dyDescent="0.25">
      <c r="A17" s="26" t="s">
        <v>76</v>
      </c>
      <c r="B17" s="28"/>
      <c r="C17" s="29"/>
      <c r="D17" s="27"/>
      <c r="E17" s="27"/>
      <c r="F17" s="46"/>
      <c r="G17" s="58"/>
      <c r="H17" s="145"/>
      <c r="I17" s="165"/>
      <c r="J17" s="48"/>
      <c r="K17" s="165"/>
      <c r="L17" s="48"/>
      <c r="M17" s="165"/>
      <c r="N17" s="48"/>
      <c r="O17" s="165"/>
      <c r="P17" s="48"/>
      <c r="Q17" s="48"/>
      <c r="R17" s="46"/>
      <c r="S17" s="21"/>
      <c r="T17" s="118"/>
      <c r="U17" s="47"/>
      <c r="V17" s="106"/>
      <c r="W17" s="165"/>
      <c r="X17" s="57"/>
      <c r="Y17" s="82"/>
      <c r="Z17" s="64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72"/>
      <c r="AQ17" s="55"/>
      <c r="AR17" s="55"/>
      <c r="AS17" s="55"/>
      <c r="AT17" s="55"/>
      <c r="AU17" s="55"/>
      <c r="AV17" s="55"/>
      <c r="AW17" s="55"/>
      <c r="AX17" s="601"/>
      <c r="AY17" s="57"/>
      <c r="AZ17" s="82"/>
      <c r="BA17" s="64"/>
      <c r="BB17" s="55"/>
      <c r="BC17" s="55"/>
      <c r="BD17" s="55"/>
      <c r="BE17" s="55"/>
      <c r="BF17" s="55"/>
      <c r="BG17" s="55"/>
      <c r="BH17" s="55"/>
      <c r="BI17" s="55"/>
      <c r="BJ17" s="55"/>
      <c r="BK17" s="598"/>
      <c r="BL17" s="601"/>
      <c r="BM17" s="505"/>
      <c r="BN17" s="505"/>
      <c r="BO17" s="505"/>
      <c r="BP17" s="505"/>
      <c r="BQ17" s="505"/>
      <c r="BR17" s="505"/>
      <c r="BS17" s="1085"/>
      <c r="BT17" s="520"/>
      <c r="BU17" s="690"/>
      <c r="BV17" s="1087"/>
      <c r="BW17" s="516"/>
      <c r="BX17" s="516"/>
      <c r="BY17" s="516"/>
      <c r="BZ17" s="516"/>
      <c r="CA17" s="516"/>
      <c r="CB17" s="516"/>
      <c r="CC17" s="516"/>
      <c r="CD17" s="516"/>
      <c r="CE17" s="516"/>
      <c r="CF17" s="516"/>
      <c r="CG17" s="516"/>
      <c r="CH17" s="516"/>
      <c r="CI17" s="516"/>
      <c r="CJ17" s="516"/>
      <c r="CK17" s="516"/>
      <c r="CL17" s="516"/>
      <c r="CM17" s="516"/>
      <c r="CN17" s="516"/>
      <c r="CO17" s="516"/>
      <c r="CP17" s="516"/>
      <c r="CQ17" s="516"/>
      <c r="CR17" s="516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</row>
    <row r="18" spans="1:139" s="16" customFormat="1" ht="15.75" x14ac:dyDescent="0.25">
      <c r="A18" s="31" t="s">
        <v>251</v>
      </c>
      <c r="B18" s="100" t="s">
        <v>433</v>
      </c>
      <c r="C18" s="45" t="s">
        <v>328</v>
      </c>
      <c r="D18" s="8">
        <v>10</v>
      </c>
      <c r="E18" s="25">
        <v>0.1</v>
      </c>
      <c r="F18" s="46">
        <v>43281</v>
      </c>
      <c r="G18" s="58">
        <v>120</v>
      </c>
      <c r="H18" s="145">
        <f>100/G18</f>
        <v>0.83333333333333337</v>
      </c>
      <c r="I18" s="165">
        <f>H18*J18</f>
        <v>34.166666666666671</v>
      </c>
      <c r="J18" s="48">
        <f>(YEAR(F18)-YEAR(S18))*12+MONTH(F18)-MONTH(S18)</f>
        <v>41</v>
      </c>
      <c r="K18" s="165">
        <f>L18*H18</f>
        <v>65.833333333333343</v>
      </c>
      <c r="L18" s="48">
        <f>G18-J18</f>
        <v>79</v>
      </c>
      <c r="M18" s="165">
        <f>N18*H18</f>
        <v>5.8333333333333339</v>
      </c>
      <c r="N18" s="48">
        <v>7</v>
      </c>
      <c r="O18" s="165">
        <f>P18*H18</f>
        <v>60</v>
      </c>
      <c r="P18" s="48">
        <f>L18-N18</f>
        <v>72</v>
      </c>
      <c r="Q18" s="462">
        <f>DATE(YEAR(S18),MONTH(S18)+G18,DAY(S18))</f>
        <v>45669</v>
      </c>
      <c r="R18" s="46" t="s">
        <v>454</v>
      </c>
      <c r="S18" s="20">
        <v>42016</v>
      </c>
      <c r="T18" s="5">
        <v>1276</v>
      </c>
      <c r="U18" s="47">
        <v>155</v>
      </c>
      <c r="V18" s="106">
        <v>25</v>
      </c>
      <c r="W18" s="165"/>
      <c r="X18" s="57">
        <v>115.958</v>
      </c>
      <c r="Y18" s="80">
        <v>126.146</v>
      </c>
      <c r="Z18" s="57">
        <f>X18/Y18</f>
        <v>0.91923644031519036</v>
      </c>
      <c r="AA18" s="55">
        <f>U18*M18/100/K18*100/7</f>
        <v>1.9620253164556962</v>
      </c>
      <c r="AB18" s="55">
        <f>Z18*AA18</f>
        <v>1.803565167707019</v>
      </c>
      <c r="AC18" s="55"/>
      <c r="AD18" s="55"/>
      <c r="AE18" s="55"/>
      <c r="AF18" s="55"/>
      <c r="AG18" s="55"/>
      <c r="AH18" s="55">
        <v>1.24</v>
      </c>
      <c r="AI18" s="55">
        <v>1.24</v>
      </c>
      <c r="AJ18" s="55">
        <v>1.24</v>
      </c>
      <c r="AK18" s="55">
        <v>1.24</v>
      </c>
      <c r="AL18" s="55">
        <v>1.24</v>
      </c>
      <c r="AM18" s="55">
        <v>1.24</v>
      </c>
      <c r="AN18" s="55">
        <v>1.24</v>
      </c>
      <c r="AO18" s="55">
        <f>SUM(AH18:AN18)</f>
        <v>8.68</v>
      </c>
      <c r="AP18" s="72">
        <f>U18-AO18</f>
        <v>146.32</v>
      </c>
      <c r="AQ18" s="55"/>
      <c r="AR18" s="55"/>
      <c r="AS18" s="55">
        <f>$AN18</f>
        <v>1.24</v>
      </c>
      <c r="AT18" s="55">
        <f>$AN18</f>
        <v>1.24</v>
      </c>
      <c r="AU18" s="55">
        <f>$AN18</f>
        <v>1.24</v>
      </c>
      <c r="AV18" s="55">
        <f>$AN18</f>
        <v>1.24</v>
      </c>
      <c r="AW18" s="55">
        <f>$AN18</f>
        <v>1.24</v>
      </c>
      <c r="AX18" s="601">
        <v>59.960000000000008</v>
      </c>
      <c r="AY18" s="57">
        <v>126.408</v>
      </c>
      <c r="AZ18" s="80">
        <v>126.146</v>
      </c>
      <c r="BA18" s="57">
        <f>AY18/AZ18</f>
        <v>1.0020769584449765</v>
      </c>
      <c r="BB18" s="55">
        <f>AX18/L18</f>
        <v>0.75898734177215199</v>
      </c>
      <c r="BC18" s="55">
        <f>BB18*BA18</f>
        <v>0.76056372694127594</v>
      </c>
      <c r="BD18" s="55">
        <f t="shared" ref="BD18:BJ18" si="0">$BC18</f>
        <v>0.76056372694127594</v>
      </c>
      <c r="BE18" s="55">
        <f t="shared" si="0"/>
        <v>0.76056372694127594</v>
      </c>
      <c r="BF18" s="55">
        <f t="shared" si="0"/>
        <v>0.76056372694127594</v>
      </c>
      <c r="BG18" s="55">
        <f t="shared" si="0"/>
        <v>0.76056372694127594</v>
      </c>
      <c r="BH18" s="55">
        <f t="shared" si="0"/>
        <v>0.76056372694127594</v>
      </c>
      <c r="BI18" s="55">
        <f t="shared" si="0"/>
        <v>0.76056372694127594</v>
      </c>
      <c r="BJ18" s="55">
        <f t="shared" si="0"/>
        <v>0.76056372694127594</v>
      </c>
      <c r="BK18" s="598">
        <f>SUM(BD18:BJ18)</f>
        <v>5.3239460885889311</v>
      </c>
      <c r="BL18" s="601">
        <f>AX18-BK18</f>
        <v>54.636053911411075</v>
      </c>
      <c r="BM18" s="505">
        <f>$BC18</f>
        <v>0.76056372694127594</v>
      </c>
      <c r="BN18" s="505">
        <f>$BC18</f>
        <v>0.76056372694127594</v>
      </c>
      <c r="BO18" s="505">
        <f>$BC18</f>
        <v>0.76056372694127594</v>
      </c>
      <c r="BP18" s="505">
        <f>$BC18</f>
        <v>0.76056372694127594</v>
      </c>
      <c r="BQ18" s="505">
        <f>$BC18</f>
        <v>0.76056372694127594</v>
      </c>
      <c r="BR18" s="505"/>
      <c r="BS18" s="1085">
        <f>BL18-BR18</f>
        <v>54.636053911411075</v>
      </c>
      <c r="BT18" s="1086">
        <v>132.28200000000001</v>
      </c>
      <c r="BU18" s="515">
        <v>126.146</v>
      </c>
      <c r="BV18" s="1087">
        <f>BT18/BU18</f>
        <v>1.0486420496884563</v>
      </c>
      <c r="BW18" s="516">
        <f>BL18/L18</f>
        <v>0.6915956191317858</v>
      </c>
      <c r="BX18" s="516">
        <f>BW18*BV18</f>
        <v>0.72523624760191285</v>
      </c>
      <c r="BY18" s="516">
        <v>0.72523624760191285</v>
      </c>
      <c r="BZ18" s="516">
        <v>0.72523624760191285</v>
      </c>
      <c r="CA18" s="516">
        <v>0.72523624760191285</v>
      </c>
      <c r="CB18" s="516">
        <v>0.72523624760191285</v>
      </c>
      <c r="CC18" s="516">
        <v>0.72523624760191285</v>
      </c>
      <c r="CD18" s="516">
        <v>0.72523624760191285</v>
      </c>
      <c r="CE18" s="516">
        <v>0.72523624760191285</v>
      </c>
      <c r="CF18" s="516">
        <v>0.72523624760191285</v>
      </c>
      <c r="CG18" s="516">
        <v>0.72523624760191285</v>
      </c>
      <c r="CH18" s="516">
        <v>0.72523624760191285</v>
      </c>
      <c r="CI18" s="516">
        <v>0.72523624760191285</v>
      </c>
      <c r="CJ18" s="516">
        <v>0.72523624760191285</v>
      </c>
      <c r="CK18" s="516">
        <v>0.72523624760191285</v>
      </c>
      <c r="CL18" s="516">
        <v>0.72523624760191285</v>
      </c>
      <c r="CM18" s="516">
        <v>0.72523624760191285</v>
      </c>
      <c r="CN18" s="516">
        <v>0.72523624760191285</v>
      </c>
      <c r="CO18" s="516">
        <v>0.72523624760191285</v>
      </c>
      <c r="CP18" s="516">
        <v>0.72523624760191285</v>
      </c>
      <c r="CQ18" s="516">
        <f>SUM(BY18:CP18)</f>
        <v>13.054252456834432</v>
      </c>
      <c r="CR18" s="1088">
        <f>BS18-CQ18</f>
        <v>41.581801454576642</v>
      </c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</row>
    <row r="19" spans="1:139" s="16" customFormat="1" ht="15.75" x14ac:dyDescent="0.25">
      <c r="A19" s="120" t="s">
        <v>539</v>
      </c>
      <c r="B19" s="120"/>
      <c r="C19" s="45"/>
      <c r="D19" s="27"/>
      <c r="E19" s="25"/>
      <c r="F19" s="46"/>
      <c r="G19" s="17"/>
      <c r="H19" s="145"/>
      <c r="I19" s="165"/>
      <c r="J19" s="48"/>
      <c r="K19" s="165"/>
      <c r="L19" s="48"/>
      <c r="M19" s="165"/>
      <c r="N19" s="48"/>
      <c r="O19" s="165"/>
      <c r="P19" s="48"/>
      <c r="Q19" s="17"/>
      <c r="R19" s="17"/>
      <c r="S19" s="20"/>
      <c r="T19" s="14"/>
      <c r="U19" s="14"/>
      <c r="V19" s="108"/>
      <c r="W19" s="66"/>
      <c r="X19" s="57"/>
      <c r="Y19" s="80"/>
      <c r="Z19" s="57"/>
      <c r="AA19" s="55"/>
      <c r="AB19" s="55"/>
      <c r="AC19" s="6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72"/>
      <c r="AQ19" s="55"/>
      <c r="AR19" s="55"/>
      <c r="AS19" s="55">
        <f t="shared" ref="AS19:AW28" si="1">$AN19</f>
        <v>0</v>
      </c>
      <c r="AT19" s="55">
        <f t="shared" si="1"/>
        <v>0</v>
      </c>
      <c r="AU19" s="55">
        <f t="shared" si="1"/>
        <v>0</v>
      </c>
      <c r="AV19" s="55">
        <f t="shared" si="1"/>
        <v>0</v>
      </c>
      <c r="AW19" s="55">
        <f t="shared" si="1"/>
        <v>0</v>
      </c>
      <c r="AX19" s="601"/>
      <c r="AY19" s="57"/>
      <c r="AZ19" s="80"/>
      <c r="BA19" s="57"/>
      <c r="BB19" s="55"/>
      <c r="BC19" s="55"/>
      <c r="BD19" s="55"/>
      <c r="BE19" s="55"/>
      <c r="BF19" s="55"/>
      <c r="BG19" s="55"/>
      <c r="BH19" s="55"/>
      <c r="BI19" s="55"/>
      <c r="BJ19" s="55"/>
      <c r="BK19" s="598"/>
      <c r="BL19" s="601"/>
      <c r="BM19" s="505"/>
      <c r="BN19" s="505"/>
      <c r="BO19" s="505"/>
      <c r="BP19" s="505"/>
      <c r="BQ19" s="505"/>
      <c r="BR19" s="505"/>
      <c r="BS19" s="1085"/>
      <c r="BT19" s="520"/>
      <c r="BU19" s="515"/>
      <c r="BV19" s="1087"/>
      <c r="BW19" s="516"/>
      <c r="BX19" s="516"/>
      <c r="BY19" s="516"/>
      <c r="BZ19" s="516"/>
      <c r="CA19" s="516"/>
      <c r="CB19" s="516"/>
      <c r="CC19" s="516"/>
      <c r="CD19" s="516"/>
      <c r="CE19" s="516"/>
      <c r="CF19" s="516"/>
      <c r="CG19" s="516"/>
      <c r="CH19" s="516"/>
      <c r="CI19" s="516"/>
      <c r="CJ19" s="516"/>
      <c r="CK19" s="516"/>
      <c r="CL19" s="516"/>
      <c r="CM19" s="516"/>
      <c r="CN19" s="516"/>
      <c r="CO19" s="516"/>
      <c r="CP19" s="516"/>
      <c r="CQ19" s="516">
        <f t="shared" ref="CQ19:CQ28" si="2">SUM(BY19:CP19)</f>
        <v>0</v>
      </c>
      <c r="CR19" s="516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</row>
    <row r="20" spans="1:139" s="16" customFormat="1" ht="15.75" x14ac:dyDescent="0.25">
      <c r="A20" s="120" t="s">
        <v>83</v>
      </c>
      <c r="B20" s="100"/>
      <c r="C20" s="45"/>
      <c r="D20" s="4"/>
      <c r="E20" s="25"/>
      <c r="F20" s="46"/>
      <c r="G20" s="17"/>
      <c r="H20" s="145"/>
      <c r="I20" s="165"/>
      <c r="J20" s="48"/>
      <c r="K20" s="165"/>
      <c r="L20" s="48"/>
      <c r="M20" s="165"/>
      <c r="N20" s="48"/>
      <c r="O20" s="165"/>
      <c r="P20" s="48"/>
      <c r="Q20" s="48"/>
      <c r="R20" s="17"/>
      <c r="S20" s="20"/>
      <c r="T20" s="14"/>
      <c r="U20" s="14"/>
      <c r="V20" s="108"/>
      <c r="W20" s="66"/>
      <c r="X20" s="66"/>
      <c r="Y20" s="80"/>
      <c r="Z20" s="66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72"/>
      <c r="AQ20" s="55"/>
      <c r="AR20" s="55"/>
      <c r="AS20" s="55">
        <f t="shared" si="1"/>
        <v>0</v>
      </c>
      <c r="AT20" s="55">
        <f t="shared" si="1"/>
        <v>0</v>
      </c>
      <c r="AU20" s="55">
        <f t="shared" si="1"/>
        <v>0</v>
      </c>
      <c r="AV20" s="55">
        <f t="shared" si="1"/>
        <v>0</v>
      </c>
      <c r="AW20" s="55">
        <f t="shared" si="1"/>
        <v>0</v>
      </c>
      <c r="AX20" s="601"/>
      <c r="AY20" s="66"/>
      <c r="AZ20" s="80"/>
      <c r="BA20" s="66"/>
      <c r="BB20" s="55"/>
      <c r="BC20" s="55"/>
      <c r="BD20" s="55"/>
      <c r="BE20" s="55"/>
      <c r="BF20" s="55"/>
      <c r="BG20" s="55"/>
      <c r="BH20" s="55"/>
      <c r="BI20" s="55"/>
      <c r="BJ20" s="55"/>
      <c r="BK20" s="598"/>
      <c r="BL20" s="601"/>
      <c r="BM20" s="505"/>
      <c r="BN20" s="505"/>
      <c r="BO20" s="505"/>
      <c r="BP20" s="505"/>
      <c r="BQ20" s="505"/>
      <c r="BR20" s="505"/>
      <c r="BS20" s="1085"/>
      <c r="BT20" s="520"/>
      <c r="BU20" s="515"/>
      <c r="BV20" s="1087"/>
      <c r="BW20" s="516"/>
      <c r="BX20" s="516"/>
      <c r="BY20" s="516"/>
      <c r="BZ20" s="516"/>
      <c r="CA20" s="516"/>
      <c r="CB20" s="516"/>
      <c r="CC20" s="516"/>
      <c r="CD20" s="516"/>
      <c r="CE20" s="516"/>
      <c r="CF20" s="516"/>
      <c r="CG20" s="516"/>
      <c r="CH20" s="516"/>
      <c r="CI20" s="516"/>
      <c r="CJ20" s="516"/>
      <c r="CK20" s="516"/>
      <c r="CL20" s="516"/>
      <c r="CM20" s="516"/>
      <c r="CN20" s="516"/>
      <c r="CO20" s="516"/>
      <c r="CP20" s="516"/>
      <c r="CQ20" s="516">
        <f t="shared" si="2"/>
        <v>0</v>
      </c>
      <c r="CR20" s="516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</row>
    <row r="21" spans="1:139" s="340" customFormat="1" ht="15.75" x14ac:dyDescent="0.25">
      <c r="A21" s="100" t="s">
        <v>712</v>
      </c>
      <c r="B21" s="100" t="s">
        <v>713</v>
      </c>
      <c r="C21" s="45" t="s">
        <v>328</v>
      </c>
      <c r="D21" s="58">
        <v>10</v>
      </c>
      <c r="E21" s="53">
        <v>0.1</v>
      </c>
      <c r="F21" s="46">
        <v>43281</v>
      </c>
      <c r="G21" s="48">
        <v>120</v>
      </c>
      <c r="H21" s="145">
        <f>100/G21</f>
        <v>0.83333333333333337</v>
      </c>
      <c r="I21" s="165">
        <f>H21*J21</f>
        <v>25.833333333333336</v>
      </c>
      <c r="J21" s="48">
        <f>(YEAR(F21)-YEAR(S21))*12+MONTH(F21)-MONTH(S21)</f>
        <v>31</v>
      </c>
      <c r="K21" s="165">
        <f>L21*H21</f>
        <v>74.166666666666671</v>
      </c>
      <c r="L21" s="48">
        <f>G21-J21</f>
        <v>89</v>
      </c>
      <c r="M21" s="165">
        <f>N21*H21</f>
        <v>0.83333333333333337</v>
      </c>
      <c r="N21" s="48">
        <v>1</v>
      </c>
      <c r="O21" s="165">
        <f>P21*H21</f>
        <v>73.333333333333343</v>
      </c>
      <c r="P21" s="48">
        <f>L21-N21</f>
        <v>88</v>
      </c>
      <c r="Q21" s="462">
        <f>DATE(YEAR(S21),MONTH(S21)+G21,DAY(S21))</f>
        <v>45988</v>
      </c>
      <c r="R21" s="48">
        <v>4658</v>
      </c>
      <c r="S21" s="46">
        <v>42335</v>
      </c>
      <c r="T21" s="47">
        <v>734</v>
      </c>
      <c r="U21" s="57">
        <v>0</v>
      </c>
      <c r="V21" s="55">
        <v>0</v>
      </c>
      <c r="W21" s="55">
        <v>118.051</v>
      </c>
      <c r="X21" s="57">
        <v>115.958</v>
      </c>
      <c r="Y21" s="55">
        <v>118.051</v>
      </c>
      <c r="Z21" s="57">
        <f>X21/Y21</f>
        <v>0.98227037466857536</v>
      </c>
      <c r="AA21" s="55">
        <f>H21*T21/100</f>
        <v>6.1166666666666671</v>
      </c>
      <c r="AB21" s="55">
        <f>AA21*Z21</f>
        <v>6.0082204583894532</v>
      </c>
      <c r="AC21" s="55"/>
      <c r="AD21" s="55"/>
      <c r="AE21" s="55"/>
      <c r="AF21" s="55"/>
      <c r="AG21" s="55"/>
      <c r="AH21" s="55"/>
      <c r="AI21" s="55"/>
      <c r="AJ21" s="55"/>
      <c r="AK21" s="72"/>
      <c r="AL21" s="72"/>
      <c r="AM21" s="72"/>
      <c r="AN21" s="72">
        <f>AB21</f>
        <v>6.0082204583894532</v>
      </c>
      <c r="AO21" s="72">
        <f>AN21</f>
        <v>6.0082204583894532</v>
      </c>
      <c r="AP21" s="72">
        <f>T21-AO21</f>
        <v>727.99177954161053</v>
      </c>
      <c r="AQ21" s="55"/>
      <c r="AR21" s="55"/>
      <c r="AS21" s="55">
        <f t="shared" si="1"/>
        <v>6.0082204583894532</v>
      </c>
      <c r="AT21" s="55">
        <f t="shared" si="1"/>
        <v>6.0082204583894532</v>
      </c>
      <c r="AU21" s="55">
        <f t="shared" si="1"/>
        <v>6.0082204583894532</v>
      </c>
      <c r="AV21" s="55">
        <f t="shared" si="1"/>
        <v>6.0082204583894532</v>
      </c>
      <c r="AW21" s="55">
        <f t="shared" si="1"/>
        <v>6.0082204583894532</v>
      </c>
      <c r="AX21" s="601">
        <v>370.28406813721745</v>
      </c>
      <c r="AY21" s="57">
        <v>126.408</v>
      </c>
      <c r="AZ21" s="55">
        <v>118.051</v>
      </c>
      <c r="BA21" s="57">
        <f>AY21/AZ21</f>
        <v>1.0707914375990037</v>
      </c>
      <c r="BB21" s="55">
        <f>AX21/L21</f>
        <v>4.1604951476091845</v>
      </c>
      <c r="BC21" s="55">
        <f>BB21*BA21</f>
        <v>4.4550225802321179</v>
      </c>
      <c r="BD21" s="55">
        <v>3.93</v>
      </c>
      <c r="BE21" s="55">
        <v>3.93</v>
      </c>
      <c r="BF21" s="55">
        <v>3.93</v>
      </c>
      <c r="BG21" s="55">
        <v>3.93</v>
      </c>
      <c r="BH21" s="55">
        <v>3.93</v>
      </c>
      <c r="BI21" s="55">
        <v>3.93</v>
      </c>
      <c r="BJ21" s="55">
        <v>3.93</v>
      </c>
      <c r="BK21" s="598">
        <f>SUM(BD21:BJ21)</f>
        <v>27.51</v>
      </c>
      <c r="BL21" s="601">
        <f>AX21-BK21</f>
        <v>342.77406813721745</v>
      </c>
      <c r="BM21" s="505">
        <v>3.93</v>
      </c>
      <c r="BN21" s="505">
        <v>3.93</v>
      </c>
      <c r="BO21" s="505">
        <v>3.93</v>
      </c>
      <c r="BP21" s="505">
        <v>3.93</v>
      </c>
      <c r="BQ21" s="505">
        <v>3.93</v>
      </c>
      <c r="BR21" s="505">
        <f t="shared" ref="BR21:BR28" si="3">SUM(BM21:BQ21)</f>
        <v>19.650000000000002</v>
      </c>
      <c r="BS21" s="1085">
        <f t="shared" ref="BS21:BS28" si="4">BL21-BR21</f>
        <v>323.12406813721748</v>
      </c>
      <c r="BT21" s="1086">
        <v>132.28200000000001</v>
      </c>
      <c r="BU21" s="516">
        <v>118.051</v>
      </c>
      <c r="BV21" s="1087">
        <f>BT21/BU21</f>
        <v>1.1205495929725289</v>
      </c>
      <c r="BW21" s="516">
        <f>BL21/L21</f>
        <v>3.8513940240136795</v>
      </c>
      <c r="BX21" s="516">
        <f>BW21*BV21</f>
        <v>4.315678005985359</v>
      </c>
      <c r="BY21" s="516">
        <v>4.315678005985359</v>
      </c>
      <c r="BZ21" s="516">
        <v>4.315678005985359</v>
      </c>
      <c r="CA21" s="516">
        <v>4.315678005985359</v>
      </c>
      <c r="CB21" s="516">
        <v>4.315678005985359</v>
      </c>
      <c r="CC21" s="516">
        <v>4.315678005985359</v>
      </c>
      <c r="CD21" s="516">
        <v>4.315678005985359</v>
      </c>
      <c r="CE21" s="516">
        <v>4.315678005985359</v>
      </c>
      <c r="CF21" s="516">
        <v>4.315678005985359</v>
      </c>
      <c r="CG21" s="516">
        <v>4.315678005985359</v>
      </c>
      <c r="CH21" s="516">
        <v>4.315678005985359</v>
      </c>
      <c r="CI21" s="516">
        <v>4.315678005985359</v>
      </c>
      <c r="CJ21" s="516">
        <v>4.315678005985359</v>
      </c>
      <c r="CK21" s="516">
        <v>4.315678005985359</v>
      </c>
      <c r="CL21" s="516">
        <v>4.315678005985359</v>
      </c>
      <c r="CM21" s="516">
        <v>4.315678005985359</v>
      </c>
      <c r="CN21" s="516">
        <v>4.315678005985359</v>
      </c>
      <c r="CO21" s="516">
        <v>4.315678005985359</v>
      </c>
      <c r="CP21" s="516">
        <v>4.315678005985359</v>
      </c>
      <c r="CQ21" s="516">
        <f t="shared" si="2"/>
        <v>77.682204107736482</v>
      </c>
      <c r="CR21" s="1088">
        <f>BS21-CQ21</f>
        <v>245.441864029481</v>
      </c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</row>
    <row r="22" spans="1:139" s="16" customFormat="1" ht="15.75" x14ac:dyDescent="0.25">
      <c r="A22" s="26" t="s">
        <v>252</v>
      </c>
      <c r="B22" s="26" t="s">
        <v>254</v>
      </c>
      <c r="C22" s="45"/>
      <c r="D22" s="58"/>
      <c r="E22" s="25"/>
      <c r="F22" s="46"/>
      <c r="G22" s="58"/>
      <c r="H22" s="145"/>
      <c r="I22" s="165"/>
      <c r="J22" s="48"/>
      <c r="K22" s="165"/>
      <c r="L22" s="48"/>
      <c r="M22" s="165"/>
      <c r="N22" s="48"/>
      <c r="O22" s="165"/>
      <c r="P22" s="48"/>
      <c r="Q22" s="48"/>
      <c r="R22" s="119"/>
      <c r="S22" s="11"/>
      <c r="T22" s="123"/>
      <c r="U22" s="14"/>
      <c r="V22" s="106"/>
      <c r="W22" s="165"/>
      <c r="X22" s="57"/>
      <c r="Y22" s="80"/>
      <c r="Z22" s="57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72"/>
      <c r="AQ22" s="55"/>
      <c r="AR22" s="55"/>
      <c r="AS22" s="55">
        <f t="shared" si="1"/>
        <v>0</v>
      </c>
      <c r="AT22" s="55">
        <f t="shared" si="1"/>
        <v>0</v>
      </c>
      <c r="AU22" s="55">
        <f t="shared" si="1"/>
        <v>0</v>
      </c>
      <c r="AV22" s="55">
        <f t="shared" si="1"/>
        <v>0</v>
      </c>
      <c r="AW22" s="55">
        <f t="shared" si="1"/>
        <v>0</v>
      </c>
      <c r="AX22" s="601"/>
      <c r="AY22" s="57"/>
      <c r="AZ22" s="80"/>
      <c r="BA22" s="57"/>
      <c r="BB22" s="55"/>
      <c r="BC22" s="55"/>
      <c r="BD22" s="55"/>
      <c r="BE22" s="55"/>
      <c r="BF22" s="55"/>
      <c r="BG22" s="55"/>
      <c r="BH22" s="55"/>
      <c r="BI22" s="55"/>
      <c r="BJ22" s="55"/>
      <c r="BK22" s="598"/>
      <c r="BL22" s="601"/>
      <c r="BM22" s="505"/>
      <c r="BN22" s="505"/>
      <c r="BO22" s="505"/>
      <c r="BP22" s="505"/>
      <c r="BQ22" s="505"/>
      <c r="BR22" s="505"/>
      <c r="BS22" s="1085"/>
      <c r="BT22" s="520"/>
      <c r="BU22" s="515"/>
      <c r="BV22" s="1087"/>
      <c r="BW22" s="516"/>
      <c r="BX22" s="516"/>
      <c r="BY22" s="516"/>
      <c r="BZ22" s="516"/>
      <c r="CA22" s="516"/>
      <c r="CB22" s="516"/>
      <c r="CC22" s="516"/>
      <c r="CD22" s="516"/>
      <c r="CE22" s="516"/>
      <c r="CF22" s="516"/>
      <c r="CG22" s="516"/>
      <c r="CH22" s="516"/>
      <c r="CI22" s="516"/>
      <c r="CJ22" s="516"/>
      <c r="CK22" s="516"/>
      <c r="CL22" s="516"/>
      <c r="CM22" s="516"/>
      <c r="CN22" s="516"/>
      <c r="CO22" s="516"/>
      <c r="CP22" s="516"/>
      <c r="CQ22" s="516">
        <f t="shared" si="2"/>
        <v>0</v>
      </c>
      <c r="CR22" s="516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</row>
    <row r="23" spans="1:139" s="16" customFormat="1" ht="15.75" x14ac:dyDescent="0.25">
      <c r="A23" s="120" t="s">
        <v>253</v>
      </c>
      <c r="B23" s="34"/>
      <c r="C23" s="45"/>
      <c r="D23" s="8"/>
      <c r="E23" s="25"/>
      <c r="F23" s="46"/>
      <c r="G23" s="58"/>
      <c r="H23" s="145"/>
      <c r="I23" s="165"/>
      <c r="J23" s="48"/>
      <c r="K23" s="165"/>
      <c r="L23" s="48"/>
      <c r="M23" s="165"/>
      <c r="N23" s="48"/>
      <c r="O23" s="165"/>
      <c r="P23" s="48"/>
      <c r="Q23" s="48"/>
      <c r="R23" s="20"/>
      <c r="S23" s="11"/>
      <c r="T23" s="123"/>
      <c r="U23" s="14"/>
      <c r="V23" s="106"/>
      <c r="W23" s="165"/>
      <c r="X23" s="57"/>
      <c r="Y23" s="80"/>
      <c r="Z23" s="57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72"/>
      <c r="AQ23" s="55"/>
      <c r="AR23" s="55"/>
      <c r="AS23" s="55">
        <f t="shared" si="1"/>
        <v>0</v>
      </c>
      <c r="AT23" s="55">
        <f t="shared" si="1"/>
        <v>0</v>
      </c>
      <c r="AU23" s="55">
        <f t="shared" si="1"/>
        <v>0</v>
      </c>
      <c r="AV23" s="55">
        <f t="shared" si="1"/>
        <v>0</v>
      </c>
      <c r="AW23" s="55">
        <f t="shared" si="1"/>
        <v>0</v>
      </c>
      <c r="AX23" s="601"/>
      <c r="AY23" s="57"/>
      <c r="AZ23" s="80"/>
      <c r="BA23" s="57"/>
      <c r="BB23" s="55"/>
      <c r="BC23" s="55"/>
      <c r="BD23" s="55"/>
      <c r="BE23" s="55"/>
      <c r="BF23" s="55"/>
      <c r="BG23" s="55"/>
      <c r="BH23" s="55"/>
      <c r="BI23" s="55"/>
      <c r="BJ23" s="55"/>
      <c r="BK23" s="598"/>
      <c r="BL23" s="601"/>
      <c r="BM23" s="505"/>
      <c r="BN23" s="505"/>
      <c r="BO23" s="505"/>
      <c r="BP23" s="505"/>
      <c r="BQ23" s="505"/>
      <c r="BR23" s="505"/>
      <c r="BS23" s="1085"/>
      <c r="BT23" s="520"/>
      <c r="BU23" s="515"/>
      <c r="BV23" s="1087"/>
      <c r="BW23" s="516"/>
      <c r="BX23" s="516"/>
      <c r="BY23" s="516"/>
      <c r="BZ23" s="516"/>
      <c r="CA23" s="516"/>
      <c r="CB23" s="516"/>
      <c r="CC23" s="516"/>
      <c r="CD23" s="516"/>
      <c r="CE23" s="516"/>
      <c r="CF23" s="516"/>
      <c r="CG23" s="516"/>
      <c r="CH23" s="516"/>
      <c r="CI23" s="516"/>
      <c r="CJ23" s="516"/>
      <c r="CK23" s="516"/>
      <c r="CL23" s="516"/>
      <c r="CM23" s="516"/>
      <c r="CN23" s="516"/>
      <c r="CO23" s="516"/>
      <c r="CP23" s="516"/>
      <c r="CQ23" s="516">
        <f t="shared" si="2"/>
        <v>0</v>
      </c>
      <c r="CR23" s="516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</row>
    <row r="24" spans="1:139" s="16" customFormat="1" ht="15.75" x14ac:dyDescent="0.25">
      <c r="A24" s="31" t="s">
        <v>255</v>
      </c>
      <c r="B24" s="100" t="s">
        <v>432</v>
      </c>
      <c r="C24" s="45" t="s">
        <v>328</v>
      </c>
      <c r="D24" s="4">
        <v>10</v>
      </c>
      <c r="E24" s="25">
        <v>0.1</v>
      </c>
      <c r="F24" s="46">
        <v>43281</v>
      </c>
      <c r="G24" s="58">
        <v>120</v>
      </c>
      <c r="H24" s="145">
        <f>100/G24</f>
        <v>0.83333333333333337</v>
      </c>
      <c r="I24" s="165">
        <f>H24*J24</f>
        <v>31.666666666666668</v>
      </c>
      <c r="J24" s="48">
        <f>(YEAR(F24)-YEAR(S24))*12+MONTH(F24)-MONTH(S24)</f>
        <v>38</v>
      </c>
      <c r="K24" s="165">
        <f>L24*H24</f>
        <v>68.333333333333343</v>
      </c>
      <c r="L24" s="48">
        <f>G24-J24</f>
        <v>82</v>
      </c>
      <c r="M24" s="165">
        <f>N24*H24</f>
        <v>5.8333333333333339</v>
      </c>
      <c r="N24" s="48">
        <v>7</v>
      </c>
      <c r="O24" s="165">
        <f>P24*H24</f>
        <v>62.5</v>
      </c>
      <c r="P24" s="48">
        <f>L24-N24</f>
        <v>75</v>
      </c>
      <c r="Q24" s="462">
        <f>DATE(YEAR(S24),MONTH(S24)+G24,DAY(S24))</f>
        <v>45774</v>
      </c>
      <c r="R24" s="46" t="s">
        <v>547</v>
      </c>
      <c r="S24" s="33">
        <v>42121</v>
      </c>
      <c r="T24" s="5">
        <v>338</v>
      </c>
      <c r="U24" s="47">
        <v>338</v>
      </c>
      <c r="V24" s="106">
        <v>0</v>
      </c>
      <c r="W24" s="165"/>
      <c r="X24" s="57">
        <v>115.958</v>
      </c>
      <c r="Y24" s="80">
        <v>112.527</v>
      </c>
      <c r="Z24" s="57">
        <f>X24/Y24</f>
        <v>1.0304904600673617</v>
      </c>
      <c r="AA24" s="55">
        <f>U24*M24/100/K24*100/7</f>
        <v>4.1219512195121952</v>
      </c>
      <c r="AB24" s="55">
        <f>Z24*AA24</f>
        <v>4.2476314085703448</v>
      </c>
      <c r="AC24" s="55"/>
      <c r="AD24" s="55"/>
      <c r="AE24" s="55"/>
      <c r="AF24" s="55"/>
      <c r="AG24" s="55"/>
      <c r="AH24" s="55">
        <v>2.95</v>
      </c>
      <c r="AI24" s="55">
        <v>2.95</v>
      </c>
      <c r="AJ24" s="55">
        <v>2.95</v>
      </c>
      <c r="AK24" s="55">
        <v>2.95</v>
      </c>
      <c r="AL24" s="55">
        <v>2.95</v>
      </c>
      <c r="AM24" s="55">
        <v>2.95</v>
      </c>
      <c r="AN24" s="55">
        <v>2.95</v>
      </c>
      <c r="AO24" s="55">
        <f>SUM(AH24:AN24)</f>
        <v>20.65</v>
      </c>
      <c r="AP24" s="72">
        <f>U24-AO24</f>
        <v>317.35000000000002</v>
      </c>
      <c r="AQ24" s="55"/>
      <c r="AR24" s="55"/>
      <c r="AS24" s="55">
        <f t="shared" si="1"/>
        <v>2.95</v>
      </c>
      <c r="AT24" s="55">
        <f t="shared" si="1"/>
        <v>2.95</v>
      </c>
      <c r="AU24" s="55">
        <f t="shared" si="1"/>
        <v>2.95</v>
      </c>
      <c r="AV24" s="55">
        <f t="shared" si="1"/>
        <v>2.95</v>
      </c>
      <c r="AW24" s="55">
        <f t="shared" si="1"/>
        <v>2.95</v>
      </c>
      <c r="AX24" s="601">
        <v>23.014364330338459</v>
      </c>
      <c r="AY24" s="57">
        <v>126.408</v>
      </c>
      <c r="AZ24" s="80">
        <v>112.527</v>
      </c>
      <c r="BA24" s="57">
        <f>AY24/AZ24</f>
        <v>1.1233570609720334</v>
      </c>
      <c r="BB24" s="55">
        <f>AX24/L24</f>
        <v>0.28066297963827391</v>
      </c>
      <c r="BC24" s="55">
        <f>BB24*BA24</f>
        <v>0.31528473993010503</v>
      </c>
      <c r="BD24" s="55">
        <f t="shared" ref="BD24:BJ25" si="5">$BC24</f>
        <v>0.31528473993010503</v>
      </c>
      <c r="BE24" s="55">
        <f t="shared" si="5"/>
        <v>0.31528473993010503</v>
      </c>
      <c r="BF24" s="55">
        <f t="shared" si="5"/>
        <v>0.31528473993010503</v>
      </c>
      <c r="BG24" s="55">
        <f t="shared" si="5"/>
        <v>0.31528473993010503</v>
      </c>
      <c r="BH24" s="55">
        <f t="shared" si="5"/>
        <v>0.31528473993010503</v>
      </c>
      <c r="BI24" s="55">
        <f t="shared" si="5"/>
        <v>0.31528473993010503</v>
      </c>
      <c r="BJ24" s="55">
        <f t="shared" si="5"/>
        <v>0.31528473993010503</v>
      </c>
      <c r="BK24" s="598">
        <f>SUM(BD24:BJ24)</f>
        <v>2.2069931795107354</v>
      </c>
      <c r="BL24" s="601">
        <f>AX24-BK24</f>
        <v>20.807371150827723</v>
      </c>
      <c r="BM24" s="505">
        <f t="shared" ref="BM24:BQ25" si="6">$BC24</f>
        <v>0.31528473993010503</v>
      </c>
      <c r="BN24" s="505">
        <f t="shared" si="6"/>
        <v>0.31528473993010503</v>
      </c>
      <c r="BO24" s="505">
        <f t="shared" si="6"/>
        <v>0.31528473993010503</v>
      </c>
      <c r="BP24" s="505">
        <f t="shared" si="6"/>
        <v>0.31528473993010503</v>
      </c>
      <c r="BQ24" s="505">
        <f t="shared" si="6"/>
        <v>0.31528473993010503</v>
      </c>
      <c r="BR24" s="505">
        <f t="shared" si="3"/>
        <v>1.5764236996505252</v>
      </c>
      <c r="BS24" s="1085">
        <f t="shared" si="4"/>
        <v>19.230947451177197</v>
      </c>
      <c r="BT24" s="1086">
        <v>132.28200000000001</v>
      </c>
      <c r="BU24" s="515">
        <v>112.527</v>
      </c>
      <c r="BV24" s="1087">
        <f>BT24/BU24</f>
        <v>1.1755578661121331</v>
      </c>
      <c r="BW24" s="516">
        <f>BL24/L24</f>
        <v>0.25374842866863079</v>
      </c>
      <c r="BX24" s="516">
        <f>BW24*BV24</f>
        <v>0.29829596133500241</v>
      </c>
      <c r="BY24" s="516">
        <v>0.29829596133500241</v>
      </c>
      <c r="BZ24" s="516">
        <v>0.29829596133500241</v>
      </c>
      <c r="CA24" s="516">
        <v>0.29829596133500241</v>
      </c>
      <c r="CB24" s="516">
        <v>0.29829596133500241</v>
      </c>
      <c r="CC24" s="516">
        <v>0.29829596133500241</v>
      </c>
      <c r="CD24" s="516">
        <v>0.29829596133500241</v>
      </c>
      <c r="CE24" s="516">
        <v>0.29829596133500241</v>
      </c>
      <c r="CF24" s="516">
        <v>0.29829596133500241</v>
      </c>
      <c r="CG24" s="516">
        <v>0.29829596133500241</v>
      </c>
      <c r="CH24" s="516">
        <v>0.29829596133500241</v>
      </c>
      <c r="CI24" s="516">
        <v>0.29829596133500241</v>
      </c>
      <c r="CJ24" s="516">
        <v>0.29829596133500241</v>
      </c>
      <c r="CK24" s="516">
        <v>0.29829596133500241</v>
      </c>
      <c r="CL24" s="516">
        <v>0.29829596133500241</v>
      </c>
      <c r="CM24" s="516">
        <v>0.29829596133500241</v>
      </c>
      <c r="CN24" s="516">
        <v>0.29829596133500241</v>
      </c>
      <c r="CO24" s="516">
        <v>0.29829596133500241</v>
      </c>
      <c r="CP24" s="516">
        <v>0.29829596133500241</v>
      </c>
      <c r="CQ24" s="516">
        <f t="shared" si="2"/>
        <v>5.3693273040300422</v>
      </c>
      <c r="CR24" s="1088">
        <f>BS24-CQ24</f>
        <v>13.861620147147155</v>
      </c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</row>
    <row r="25" spans="1:139" s="16" customFormat="1" ht="15.75" x14ac:dyDescent="0.25">
      <c r="A25" s="242" t="s">
        <v>255</v>
      </c>
      <c r="B25" s="100" t="s">
        <v>601</v>
      </c>
      <c r="C25" s="45" t="s">
        <v>328</v>
      </c>
      <c r="D25" s="4">
        <v>10</v>
      </c>
      <c r="E25" s="25">
        <v>0.1</v>
      </c>
      <c r="F25" s="46">
        <v>43281</v>
      </c>
      <c r="G25" s="58">
        <v>120</v>
      </c>
      <c r="H25" s="145">
        <f>100/G25</f>
        <v>0.83333333333333337</v>
      </c>
      <c r="I25" s="165">
        <f>H25*J25</f>
        <v>40.833333333333336</v>
      </c>
      <c r="J25" s="48">
        <f>(YEAR(F25)-YEAR(S25))*12+MONTH(F25)-MONTH(S25)</f>
        <v>49</v>
      </c>
      <c r="K25" s="165">
        <f>L25*H25</f>
        <v>59.166666666666671</v>
      </c>
      <c r="L25" s="48">
        <f>G25-J25</f>
        <v>71</v>
      </c>
      <c r="M25" s="165">
        <f>N25*H25</f>
        <v>5.8333333333333339</v>
      </c>
      <c r="N25" s="48">
        <v>7</v>
      </c>
      <c r="O25" s="165">
        <f>P25*H25</f>
        <v>53.333333333333336</v>
      </c>
      <c r="P25" s="48">
        <f>L25-N25</f>
        <v>64</v>
      </c>
      <c r="Q25" s="462">
        <f>DATE(YEAR(S25),MONTH(S25)+G25,DAY(S25))</f>
        <v>45428</v>
      </c>
      <c r="R25" s="46" t="s">
        <v>602</v>
      </c>
      <c r="S25" s="128">
        <v>41775</v>
      </c>
      <c r="T25" s="7">
        <v>753</v>
      </c>
      <c r="U25" s="47">
        <v>671.39</v>
      </c>
      <c r="V25" s="106">
        <v>31.4</v>
      </c>
      <c r="W25" s="165"/>
      <c r="X25" s="57">
        <v>115.958</v>
      </c>
      <c r="Y25" s="80">
        <v>112.527</v>
      </c>
      <c r="Z25" s="57">
        <f>X25/Y25</f>
        <v>1.0304904600673617</v>
      </c>
      <c r="AA25" s="55">
        <f>U25*M25/100/K25*100/7</f>
        <v>9.4561971830985918</v>
      </c>
      <c r="AB25" s="55">
        <f>Z25*AA25</f>
        <v>9.7445209856989567</v>
      </c>
      <c r="AC25" s="55"/>
      <c r="AD25" s="55"/>
      <c r="AE25" s="55"/>
      <c r="AF25" s="55"/>
      <c r="AG25" s="55"/>
      <c r="AH25" s="55">
        <v>6.47</v>
      </c>
      <c r="AI25" s="55">
        <v>6.47</v>
      </c>
      <c r="AJ25" s="55">
        <v>6.47</v>
      </c>
      <c r="AK25" s="55">
        <v>6.47</v>
      </c>
      <c r="AL25" s="55">
        <v>6.47</v>
      </c>
      <c r="AM25" s="55">
        <v>6.47</v>
      </c>
      <c r="AN25" s="55">
        <v>6.47</v>
      </c>
      <c r="AO25" s="55">
        <f>SUM(AH25:AN25)</f>
        <v>45.29</v>
      </c>
      <c r="AP25" s="72">
        <f>U25-AO25</f>
        <v>626.1</v>
      </c>
      <c r="AQ25" s="55"/>
      <c r="AR25" s="55"/>
      <c r="AS25" s="55">
        <f t="shared" si="1"/>
        <v>6.47</v>
      </c>
      <c r="AT25" s="55">
        <f t="shared" si="1"/>
        <v>6.47</v>
      </c>
      <c r="AU25" s="55">
        <f t="shared" si="1"/>
        <v>6.47</v>
      </c>
      <c r="AV25" s="55">
        <f t="shared" si="1"/>
        <v>6.47</v>
      </c>
      <c r="AW25" s="55">
        <f t="shared" si="1"/>
        <v>6.47</v>
      </c>
      <c r="AX25" s="601">
        <v>265.60131515103041</v>
      </c>
      <c r="AY25" s="57">
        <v>126.408</v>
      </c>
      <c r="AZ25" s="80">
        <v>112.527</v>
      </c>
      <c r="BA25" s="57">
        <f>AY25/AZ25</f>
        <v>1.1233570609720334</v>
      </c>
      <c r="BB25" s="55">
        <f>AX25/L25</f>
        <v>3.7408635936764845</v>
      </c>
      <c r="BC25" s="55">
        <f>BB25*BA25</f>
        <v>4.2023255320896942</v>
      </c>
      <c r="BD25" s="55">
        <f t="shared" si="5"/>
        <v>4.2023255320896942</v>
      </c>
      <c r="BE25" s="55">
        <f t="shared" si="5"/>
        <v>4.2023255320896942</v>
      </c>
      <c r="BF25" s="55">
        <f t="shared" si="5"/>
        <v>4.2023255320896942</v>
      </c>
      <c r="BG25" s="55">
        <f t="shared" si="5"/>
        <v>4.2023255320896942</v>
      </c>
      <c r="BH25" s="55">
        <f t="shared" si="5"/>
        <v>4.2023255320896942</v>
      </c>
      <c r="BI25" s="55">
        <f t="shared" si="5"/>
        <v>4.2023255320896942</v>
      </c>
      <c r="BJ25" s="55">
        <f t="shared" si="5"/>
        <v>4.2023255320896942</v>
      </c>
      <c r="BK25" s="598">
        <f>SUM(BD25:BJ25)</f>
        <v>29.416278724627862</v>
      </c>
      <c r="BL25" s="601">
        <f>AX25-BK25</f>
        <v>236.18503642640255</v>
      </c>
      <c r="BM25" s="505">
        <f t="shared" si="6"/>
        <v>4.2023255320896942</v>
      </c>
      <c r="BN25" s="505">
        <f t="shared" si="6"/>
        <v>4.2023255320896942</v>
      </c>
      <c r="BO25" s="505">
        <f t="shared" si="6"/>
        <v>4.2023255320896942</v>
      </c>
      <c r="BP25" s="505">
        <f t="shared" si="6"/>
        <v>4.2023255320896942</v>
      </c>
      <c r="BQ25" s="505">
        <f t="shared" si="6"/>
        <v>4.2023255320896942</v>
      </c>
      <c r="BR25" s="505">
        <f t="shared" si="3"/>
        <v>21.011627660448472</v>
      </c>
      <c r="BS25" s="1085">
        <f t="shared" si="4"/>
        <v>215.17340876595406</v>
      </c>
      <c r="BT25" s="1086">
        <v>132.28200000000001</v>
      </c>
      <c r="BU25" s="515">
        <v>112.527</v>
      </c>
      <c r="BV25" s="1087">
        <f>BT25/BU25</f>
        <v>1.1755578661121331</v>
      </c>
      <c r="BW25" s="516">
        <f>BL25/L25</f>
        <v>3.3265498088225711</v>
      </c>
      <c r="BX25" s="516">
        <f>BW25*BV25</f>
        <v>3.910551794775186</v>
      </c>
      <c r="BY25" s="516">
        <v>3.910551794775186</v>
      </c>
      <c r="BZ25" s="516">
        <v>3.910551794775186</v>
      </c>
      <c r="CA25" s="516">
        <v>3.910551794775186</v>
      </c>
      <c r="CB25" s="516">
        <v>3.910551794775186</v>
      </c>
      <c r="CC25" s="516">
        <v>3.910551794775186</v>
      </c>
      <c r="CD25" s="516">
        <v>3.910551794775186</v>
      </c>
      <c r="CE25" s="516">
        <v>3.910551794775186</v>
      </c>
      <c r="CF25" s="516">
        <v>3.910551794775186</v>
      </c>
      <c r="CG25" s="516">
        <v>3.910551794775186</v>
      </c>
      <c r="CH25" s="516">
        <v>3.910551794775186</v>
      </c>
      <c r="CI25" s="516">
        <v>3.910551794775186</v>
      </c>
      <c r="CJ25" s="516">
        <v>3.910551794775186</v>
      </c>
      <c r="CK25" s="516">
        <v>3.910551794775186</v>
      </c>
      <c r="CL25" s="516">
        <v>3.910551794775186</v>
      </c>
      <c r="CM25" s="516">
        <v>3.910551794775186</v>
      </c>
      <c r="CN25" s="516">
        <v>3.910551794775186</v>
      </c>
      <c r="CO25" s="516">
        <v>3.910551794775186</v>
      </c>
      <c r="CP25" s="516">
        <v>3.910551794775186</v>
      </c>
      <c r="CQ25" s="516">
        <f t="shared" si="2"/>
        <v>70.389932305953366</v>
      </c>
      <c r="CR25" s="1088">
        <f>BS25-CQ25</f>
        <v>144.78347646000071</v>
      </c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</row>
    <row r="26" spans="1:139" s="16" customFormat="1" ht="15.75" x14ac:dyDescent="0.25">
      <c r="A26" s="120" t="s">
        <v>539</v>
      </c>
      <c r="B26" s="120"/>
      <c r="C26" s="45"/>
      <c r="D26" s="27"/>
      <c r="E26" s="25"/>
      <c r="F26" s="46"/>
      <c r="G26" s="17"/>
      <c r="H26" s="145"/>
      <c r="I26" s="165"/>
      <c r="J26" s="48"/>
      <c r="K26" s="165"/>
      <c r="L26" s="48"/>
      <c r="M26" s="165"/>
      <c r="N26" s="48"/>
      <c r="O26" s="165"/>
      <c r="P26" s="48"/>
      <c r="Q26" s="17"/>
      <c r="R26" s="17"/>
      <c r="S26" s="20"/>
      <c r="T26" s="14"/>
      <c r="U26" s="14"/>
      <c r="V26" s="108"/>
      <c r="W26" s="66"/>
      <c r="X26" s="57"/>
      <c r="Y26" s="80"/>
      <c r="Z26" s="57"/>
      <c r="AA26" s="55"/>
      <c r="AB26" s="55"/>
      <c r="AC26" s="6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72"/>
      <c r="AQ26" s="55"/>
      <c r="AR26" s="55"/>
      <c r="AS26" s="55">
        <f t="shared" si="1"/>
        <v>0</v>
      </c>
      <c r="AT26" s="55">
        <f t="shared" si="1"/>
        <v>0</v>
      </c>
      <c r="AU26" s="55">
        <f t="shared" si="1"/>
        <v>0</v>
      </c>
      <c r="AV26" s="55">
        <f t="shared" si="1"/>
        <v>0</v>
      </c>
      <c r="AW26" s="55">
        <f t="shared" si="1"/>
        <v>0</v>
      </c>
      <c r="AX26" s="601"/>
      <c r="AY26" s="57"/>
      <c r="AZ26" s="80"/>
      <c r="BA26" s="57"/>
      <c r="BB26" s="55"/>
      <c r="BC26" s="55"/>
      <c r="BD26" s="55"/>
      <c r="BE26" s="55"/>
      <c r="BF26" s="55"/>
      <c r="BG26" s="55"/>
      <c r="BH26" s="55"/>
      <c r="BI26" s="55"/>
      <c r="BJ26" s="55"/>
      <c r="BK26" s="598"/>
      <c r="BL26" s="601"/>
      <c r="BM26" s="505"/>
      <c r="BN26" s="505"/>
      <c r="BO26" s="505"/>
      <c r="BP26" s="505"/>
      <c r="BQ26" s="505"/>
      <c r="BR26" s="505"/>
      <c r="BS26" s="1085"/>
      <c r="BT26" s="520"/>
      <c r="BU26" s="515"/>
      <c r="BV26" s="1087"/>
      <c r="BW26" s="516"/>
      <c r="BX26" s="516"/>
      <c r="BY26" s="516"/>
      <c r="BZ26" s="516"/>
      <c r="CA26" s="516"/>
      <c r="CB26" s="516"/>
      <c r="CC26" s="516"/>
      <c r="CD26" s="516"/>
      <c r="CE26" s="516"/>
      <c r="CF26" s="516"/>
      <c r="CG26" s="516"/>
      <c r="CH26" s="516"/>
      <c r="CI26" s="516"/>
      <c r="CJ26" s="516"/>
      <c r="CK26" s="516"/>
      <c r="CL26" s="516"/>
      <c r="CM26" s="516"/>
      <c r="CN26" s="516"/>
      <c r="CO26" s="516"/>
      <c r="CP26" s="516"/>
      <c r="CQ26" s="516">
        <f t="shared" si="2"/>
        <v>0</v>
      </c>
      <c r="CR26" s="51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</row>
    <row r="27" spans="1:139" s="16" customFormat="1" ht="15.75" x14ac:dyDescent="0.25">
      <c r="A27" s="120" t="s">
        <v>78</v>
      </c>
      <c r="B27" s="100"/>
      <c r="C27" s="45"/>
      <c r="D27" s="4"/>
      <c r="E27" s="25"/>
      <c r="F27" s="46"/>
      <c r="G27" s="17"/>
      <c r="H27" s="145"/>
      <c r="I27" s="165"/>
      <c r="J27" s="48"/>
      <c r="K27" s="165"/>
      <c r="L27" s="48"/>
      <c r="M27" s="165"/>
      <c r="N27" s="48"/>
      <c r="O27" s="165"/>
      <c r="P27" s="48"/>
      <c r="Q27" s="48"/>
      <c r="R27" s="17"/>
      <c r="S27" s="20"/>
      <c r="T27" s="14"/>
      <c r="U27" s="14"/>
      <c r="V27" s="108"/>
      <c r="W27" s="66"/>
      <c r="X27" s="66"/>
      <c r="Y27" s="80"/>
      <c r="Z27" s="66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72"/>
      <c r="AQ27" s="55"/>
      <c r="AR27" s="55"/>
      <c r="AS27" s="55">
        <f t="shared" si="1"/>
        <v>0</v>
      </c>
      <c r="AT27" s="55">
        <f t="shared" si="1"/>
        <v>0</v>
      </c>
      <c r="AU27" s="55">
        <f t="shared" si="1"/>
        <v>0</v>
      </c>
      <c r="AV27" s="55">
        <f t="shared" si="1"/>
        <v>0</v>
      </c>
      <c r="AW27" s="55">
        <f t="shared" si="1"/>
        <v>0</v>
      </c>
      <c r="AX27" s="601"/>
      <c r="AY27" s="66"/>
      <c r="AZ27" s="80"/>
      <c r="BA27" s="66"/>
      <c r="BB27" s="55"/>
      <c r="BC27" s="55"/>
      <c r="BD27" s="55"/>
      <c r="BE27" s="55"/>
      <c r="BF27" s="55"/>
      <c r="BG27" s="55"/>
      <c r="BH27" s="55"/>
      <c r="BI27" s="55"/>
      <c r="BJ27" s="55"/>
      <c r="BK27" s="598"/>
      <c r="BL27" s="601"/>
      <c r="BM27" s="505"/>
      <c r="BN27" s="505"/>
      <c r="BO27" s="505"/>
      <c r="BP27" s="505"/>
      <c r="BQ27" s="505"/>
      <c r="BR27" s="505"/>
      <c r="BS27" s="1085"/>
      <c r="BT27" s="520"/>
      <c r="BU27" s="515"/>
      <c r="BV27" s="1087"/>
      <c r="BW27" s="516"/>
      <c r="BX27" s="516"/>
      <c r="BY27" s="516"/>
      <c r="BZ27" s="516"/>
      <c r="CA27" s="516"/>
      <c r="CB27" s="516"/>
      <c r="CC27" s="516"/>
      <c r="CD27" s="516"/>
      <c r="CE27" s="516"/>
      <c r="CF27" s="516"/>
      <c r="CG27" s="516"/>
      <c r="CH27" s="516"/>
      <c r="CI27" s="516"/>
      <c r="CJ27" s="516"/>
      <c r="CK27" s="516"/>
      <c r="CL27" s="516"/>
      <c r="CM27" s="516"/>
      <c r="CN27" s="516"/>
      <c r="CO27" s="516"/>
      <c r="CP27" s="516"/>
      <c r="CQ27" s="516">
        <f t="shared" si="2"/>
        <v>0</v>
      </c>
      <c r="CR27" s="516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</row>
    <row r="28" spans="1:139" s="16" customFormat="1" ht="15.75" x14ac:dyDescent="0.25">
      <c r="A28" s="242" t="s">
        <v>1005</v>
      </c>
      <c r="B28" s="100" t="s">
        <v>1006</v>
      </c>
      <c r="C28" s="45" t="s">
        <v>328</v>
      </c>
      <c r="D28" s="8">
        <v>3</v>
      </c>
      <c r="E28" s="25">
        <v>0.1</v>
      </c>
      <c r="F28" s="46">
        <v>43281</v>
      </c>
      <c r="G28" s="58">
        <v>120</v>
      </c>
      <c r="H28" s="145"/>
      <c r="I28" s="165">
        <f>H28*J28</f>
        <v>0</v>
      </c>
      <c r="J28" s="48">
        <f>(YEAR(F28)-YEAR(S28))*12+MONTH(F28)-MONTH(S28)</f>
        <v>24</v>
      </c>
      <c r="K28" s="165">
        <f>L28*H28</f>
        <v>0</v>
      </c>
      <c r="L28" s="48">
        <f>G28-J28</f>
        <v>96</v>
      </c>
      <c r="M28" s="165">
        <f>N28*H28</f>
        <v>0</v>
      </c>
      <c r="N28" s="48">
        <v>90</v>
      </c>
      <c r="O28" s="165">
        <f>P28*H28</f>
        <v>0</v>
      </c>
      <c r="P28" s="48">
        <f>L28-N28</f>
        <v>6</v>
      </c>
      <c r="Q28" s="462">
        <f>DATE(YEAR(S28),MONTH(S28)+G28,DAY(S28))</f>
        <v>46184</v>
      </c>
      <c r="R28" s="46" t="s">
        <v>1007</v>
      </c>
      <c r="S28" s="20">
        <v>42532</v>
      </c>
      <c r="T28" s="5">
        <v>1577.6</v>
      </c>
      <c r="U28" s="47">
        <f>T28</f>
        <v>1577.6</v>
      </c>
      <c r="V28" s="106">
        <v>0</v>
      </c>
      <c r="W28" s="165"/>
      <c r="X28" s="57"/>
      <c r="Y28" s="80"/>
      <c r="Z28" s="57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72">
        <f>U28-AO28</f>
        <v>1577.6</v>
      </c>
      <c r="AQ28" s="55"/>
      <c r="AR28" s="55"/>
      <c r="AS28" s="55">
        <f>$AN28</f>
        <v>0</v>
      </c>
      <c r="AT28" s="55">
        <f t="shared" si="1"/>
        <v>0</v>
      </c>
      <c r="AU28" s="55">
        <f t="shared" si="1"/>
        <v>0</v>
      </c>
      <c r="AV28" s="55">
        <f t="shared" si="1"/>
        <v>0</v>
      </c>
      <c r="AW28" s="55">
        <f t="shared" si="1"/>
        <v>0</v>
      </c>
      <c r="AX28" s="601">
        <v>1087.2729803786342</v>
      </c>
      <c r="AY28" s="57">
        <v>126.408</v>
      </c>
      <c r="AZ28" s="57">
        <v>118.901</v>
      </c>
      <c r="BA28" s="57">
        <f>AY28/AZ28</f>
        <v>1.0631365589860473</v>
      </c>
      <c r="BB28" s="55">
        <f>AX28/L28</f>
        <v>11.325760212277439</v>
      </c>
      <c r="BC28" s="55">
        <f>BB28*BA28</f>
        <v>12.040829739981721</v>
      </c>
      <c r="BD28" s="55">
        <v>12.84</v>
      </c>
      <c r="BE28" s="55">
        <v>12.84</v>
      </c>
      <c r="BF28" s="55">
        <v>12.84</v>
      </c>
      <c r="BG28" s="55">
        <v>12.84</v>
      </c>
      <c r="BH28" s="55">
        <v>12.84</v>
      </c>
      <c r="BI28" s="55">
        <v>12.84</v>
      </c>
      <c r="BJ28" s="55">
        <v>12.84</v>
      </c>
      <c r="BK28" s="598">
        <f>SUM(BD28:BJ28)</f>
        <v>89.88000000000001</v>
      </c>
      <c r="BL28" s="601">
        <f>AX28-BK28</f>
        <v>997.39298037863421</v>
      </c>
      <c r="BM28" s="505">
        <v>12.84</v>
      </c>
      <c r="BN28" s="505">
        <v>9.6300000000000008</v>
      </c>
      <c r="BO28" s="505">
        <v>9.6300000000000008</v>
      </c>
      <c r="BP28" s="505">
        <v>9.6300000000000008</v>
      </c>
      <c r="BQ28" s="505">
        <v>9.6300000000000008</v>
      </c>
      <c r="BR28" s="505">
        <f t="shared" si="3"/>
        <v>51.360000000000007</v>
      </c>
      <c r="BS28" s="1085">
        <f t="shared" si="4"/>
        <v>946.03298037863419</v>
      </c>
      <c r="BT28" s="1086">
        <v>132.28200000000001</v>
      </c>
      <c r="BU28" s="514">
        <v>118.901</v>
      </c>
      <c r="BV28" s="1087">
        <f>BT28/BU28</f>
        <v>1.1125390030361395</v>
      </c>
      <c r="BW28" s="516">
        <f>BL28/L28</f>
        <v>10.38951021227744</v>
      </c>
      <c r="BX28" s="516">
        <f>BW28*BV28</f>
        <v>11.558735333600932</v>
      </c>
      <c r="BY28" s="516">
        <v>11.558735333600932</v>
      </c>
      <c r="BZ28" s="516">
        <v>11.558735333600932</v>
      </c>
      <c r="CA28" s="516">
        <v>11.558735333600932</v>
      </c>
      <c r="CB28" s="516">
        <v>11.558735333600932</v>
      </c>
      <c r="CC28" s="516">
        <v>11.558735333600932</v>
      </c>
      <c r="CD28" s="516">
        <v>11.558735333600932</v>
      </c>
      <c r="CE28" s="516">
        <v>11.558735333600932</v>
      </c>
      <c r="CF28" s="516">
        <v>11.558735333600932</v>
      </c>
      <c r="CG28" s="516">
        <v>11.558735333600932</v>
      </c>
      <c r="CH28" s="516">
        <v>11.558735333600932</v>
      </c>
      <c r="CI28" s="516">
        <v>11.558735333600932</v>
      </c>
      <c r="CJ28" s="516">
        <v>11.558735333600932</v>
      </c>
      <c r="CK28" s="516">
        <v>11.558735333600932</v>
      </c>
      <c r="CL28" s="516">
        <v>11.558735333600932</v>
      </c>
      <c r="CM28" s="516">
        <v>11.558735333600932</v>
      </c>
      <c r="CN28" s="516">
        <v>11.558735333600932</v>
      </c>
      <c r="CO28" s="516">
        <v>11.558735333600932</v>
      </c>
      <c r="CP28" s="516">
        <v>11.558735333600932</v>
      </c>
      <c r="CQ28" s="516">
        <f t="shared" si="2"/>
        <v>208.05723600481682</v>
      </c>
      <c r="CR28" s="1088">
        <f>BS28-CQ28</f>
        <v>737.97574437381741</v>
      </c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</row>
    <row r="29" spans="1:139" s="16" customFormat="1" ht="15.75" x14ac:dyDescent="0.25">
      <c r="A29" s="482"/>
      <c r="B29" s="349"/>
      <c r="C29" s="467"/>
      <c r="D29" s="483"/>
      <c r="E29" s="484"/>
      <c r="F29" s="468"/>
      <c r="G29" s="469"/>
      <c r="H29" s="470"/>
      <c r="I29" s="471"/>
      <c r="J29" s="472"/>
      <c r="K29" s="471"/>
      <c r="L29" s="472"/>
      <c r="M29" s="471"/>
      <c r="N29" s="472"/>
      <c r="O29" s="471"/>
      <c r="P29" s="472"/>
      <c r="Q29" s="472"/>
      <c r="R29" s="468"/>
      <c r="S29" s="485"/>
      <c r="T29" s="473"/>
      <c r="U29" s="475"/>
      <c r="V29" s="476"/>
      <c r="W29" s="471"/>
      <c r="X29" s="477"/>
      <c r="Y29" s="478"/>
      <c r="Z29" s="477"/>
      <c r="AA29" s="479"/>
      <c r="AB29" s="479"/>
      <c r="AC29" s="479"/>
      <c r="AD29" s="479"/>
      <c r="AE29" s="479"/>
      <c r="AF29" s="479"/>
      <c r="AG29" s="479"/>
      <c r="AH29" s="479"/>
      <c r="AI29" s="479"/>
      <c r="AJ29" s="479"/>
      <c r="AK29" s="479"/>
      <c r="AL29" s="479"/>
      <c r="AM29" s="479"/>
      <c r="AN29" s="479"/>
      <c r="AO29" s="479"/>
      <c r="AP29" s="474"/>
      <c r="AQ29" s="479"/>
      <c r="AR29" s="479"/>
      <c r="AS29" s="479"/>
      <c r="AT29" s="479"/>
      <c r="AU29" s="479"/>
      <c r="AV29" s="479"/>
      <c r="AW29" s="479"/>
      <c r="AX29" s="608">
        <v>1807.1327279972206</v>
      </c>
      <c r="AY29" s="477"/>
      <c r="AZ29" s="478"/>
      <c r="BA29" s="477"/>
      <c r="BB29" s="479"/>
      <c r="BC29" s="607">
        <f t="shared" ref="BC29:BJ29" si="7">SUM(BC15:BC28)</f>
        <v>21.774026319174915</v>
      </c>
      <c r="BD29" s="607">
        <f t="shared" si="7"/>
        <v>22.048173998961076</v>
      </c>
      <c r="BE29" s="607">
        <f t="shared" si="7"/>
        <v>22.048173998961076</v>
      </c>
      <c r="BF29" s="607">
        <f t="shared" si="7"/>
        <v>22.048173998961076</v>
      </c>
      <c r="BG29" s="607">
        <f t="shared" si="7"/>
        <v>22.048173998961076</v>
      </c>
      <c r="BH29" s="607">
        <f t="shared" si="7"/>
        <v>22.048173998961076</v>
      </c>
      <c r="BI29" s="607">
        <f t="shared" si="7"/>
        <v>22.048173998961076</v>
      </c>
      <c r="BJ29" s="607">
        <f t="shared" si="7"/>
        <v>22.048173998961076</v>
      </c>
      <c r="BK29" s="607">
        <f>SUM(BK15:BK28)</f>
        <v>154.33721799272752</v>
      </c>
      <c r="BL29" s="608">
        <f>SUM(BL13:BL28)</f>
        <v>1652.7955100044931</v>
      </c>
      <c r="BM29" s="608">
        <f t="shared" ref="BM29:CR29" si="8">SUM(BM13:BM28)</f>
        <v>22.048173998961076</v>
      </c>
      <c r="BN29" s="608">
        <f>SUM(BN13:BN28)</f>
        <v>18.838173998961075</v>
      </c>
      <c r="BO29" s="1026">
        <f>SUM(BO13:BO28)</f>
        <v>18.838173998961075</v>
      </c>
      <c r="BP29" s="1026">
        <f>SUM(BP13:BP28)</f>
        <v>18.838173998961075</v>
      </c>
      <c r="BQ29" s="1026">
        <f>SUM(BQ13:BQ28)</f>
        <v>18.838173998961075</v>
      </c>
      <c r="BR29" s="608">
        <f t="shared" si="8"/>
        <v>93.598051360099007</v>
      </c>
      <c r="BS29" s="1026">
        <f>SUM(BS14:BS28)</f>
        <v>1559.1974586443939</v>
      </c>
      <c r="BT29" s="1026">
        <f t="shared" si="8"/>
        <v>793.69200000000012</v>
      </c>
      <c r="BU29" s="1026">
        <f t="shared" si="8"/>
        <v>588.15199999999993</v>
      </c>
      <c r="BV29" s="1026"/>
      <c r="BW29" s="1026">
        <f>SUM(BW13:BW28)</f>
        <v>18.512798092914107</v>
      </c>
      <c r="BX29" s="1026">
        <f t="shared" si="8"/>
        <v>20.808497343298392</v>
      </c>
      <c r="BY29" s="1026">
        <f t="shared" si="8"/>
        <v>20.808497343298392</v>
      </c>
      <c r="BZ29" s="1026">
        <f t="shared" si="8"/>
        <v>20.808497343298392</v>
      </c>
      <c r="CA29" s="1026">
        <f t="shared" si="8"/>
        <v>20.808497343298392</v>
      </c>
      <c r="CB29" s="1026">
        <f t="shared" si="8"/>
        <v>20.808497343298392</v>
      </c>
      <c r="CC29" s="1026">
        <f t="shared" si="8"/>
        <v>20.808497343298392</v>
      </c>
      <c r="CD29" s="1026">
        <f t="shared" si="8"/>
        <v>20.808497343298392</v>
      </c>
      <c r="CE29" s="1026">
        <f t="shared" si="8"/>
        <v>20.808497343298392</v>
      </c>
      <c r="CF29" s="1026">
        <f t="shared" ref="CF29:CG29" si="9">SUM(CF13:CF28)</f>
        <v>20.808497343298392</v>
      </c>
      <c r="CG29" s="1026">
        <f t="shared" si="9"/>
        <v>20.808497343298392</v>
      </c>
      <c r="CH29" s="1026">
        <f t="shared" ref="CH29:CI29" si="10">SUM(CH13:CH28)</f>
        <v>20.808497343298392</v>
      </c>
      <c r="CI29" s="1026">
        <f t="shared" si="10"/>
        <v>20.808497343298392</v>
      </c>
      <c r="CJ29" s="1026">
        <f t="shared" ref="CJ29:CP29" si="11">SUM(CJ13:CJ28)</f>
        <v>20.808497343298392</v>
      </c>
      <c r="CK29" s="1026">
        <f t="shared" ref="CK29:CO29" si="12">SUM(CK13:CK28)</f>
        <v>20.808497343298392</v>
      </c>
      <c r="CL29" s="1026">
        <f t="shared" si="12"/>
        <v>20.808497343298392</v>
      </c>
      <c r="CM29" s="1026">
        <f t="shared" si="12"/>
        <v>20.808497343298392</v>
      </c>
      <c r="CN29" s="1026">
        <f t="shared" si="12"/>
        <v>20.808497343298392</v>
      </c>
      <c r="CO29" s="1026">
        <f t="shared" si="12"/>
        <v>20.808497343298392</v>
      </c>
      <c r="CP29" s="1026">
        <f t="shared" si="11"/>
        <v>20.808497343298392</v>
      </c>
      <c r="CQ29" s="1026">
        <f>SUM(CQ13:CQ28)</f>
        <v>374.55295217937112</v>
      </c>
      <c r="CR29" s="1026">
        <f t="shared" si="8"/>
        <v>1184.6445064650229</v>
      </c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</row>
    <row r="30" spans="1:139" s="16" customFormat="1" ht="15.75" x14ac:dyDescent="0.25">
      <c r="A30" s="482"/>
      <c r="B30" s="349"/>
      <c r="C30" s="467"/>
      <c r="D30" s="483"/>
      <c r="E30" s="484"/>
      <c r="F30" s="468"/>
      <c r="G30" s="469"/>
      <c r="H30" s="470"/>
      <c r="I30" s="471"/>
      <c r="J30" s="472"/>
      <c r="K30" s="471"/>
      <c r="L30" s="472"/>
      <c r="M30" s="471"/>
      <c r="N30" s="472"/>
      <c r="O30" s="471"/>
      <c r="P30" s="472"/>
      <c r="Q30" s="472"/>
      <c r="R30" s="468"/>
      <c r="S30" s="485"/>
      <c r="T30" s="473"/>
      <c r="U30" s="475"/>
      <c r="V30" s="476"/>
      <c r="W30" s="471"/>
      <c r="X30" s="477"/>
      <c r="Y30" s="478"/>
      <c r="Z30" s="477"/>
      <c r="AA30" s="479"/>
      <c r="AB30" s="479"/>
      <c r="AC30" s="479"/>
      <c r="AD30" s="479"/>
      <c r="AE30" s="479"/>
      <c r="AF30" s="479"/>
      <c r="AG30" s="479"/>
      <c r="AH30" s="479"/>
      <c r="AI30" s="479"/>
      <c r="AJ30" s="479"/>
      <c r="AK30" s="479"/>
      <c r="AL30" s="479"/>
      <c r="AM30" s="479"/>
      <c r="AN30" s="479"/>
      <c r="AO30" s="479"/>
      <c r="AP30" s="474"/>
      <c r="AQ30" s="479"/>
      <c r="AR30" s="479"/>
      <c r="AS30" s="479"/>
      <c r="AT30" s="479"/>
      <c r="AU30" s="479"/>
      <c r="AV30" s="479"/>
      <c r="AW30" s="479"/>
      <c r="AX30" s="608"/>
      <c r="AY30" s="477"/>
      <c r="AZ30" s="478"/>
      <c r="BA30" s="477"/>
      <c r="BB30" s="479"/>
      <c r="BC30" s="479"/>
      <c r="BD30" s="479"/>
      <c r="BE30" s="479"/>
      <c r="BF30" s="479"/>
      <c r="BG30" s="479"/>
      <c r="BH30" s="479"/>
      <c r="BI30" s="479"/>
      <c r="BJ30" s="479"/>
      <c r="BK30" s="607"/>
      <c r="BL30" s="608"/>
      <c r="BM30" s="434"/>
      <c r="BN30"/>
      <c r="BO30"/>
      <c r="BP30"/>
      <c r="BQ30"/>
      <c r="BR30"/>
      <c r="BS30" s="524">
        <f>BL29-BR29</f>
        <v>1559.1974586443941</v>
      </c>
      <c r="BT30" s="521"/>
      <c r="BU30" s="521"/>
      <c r="BV30" s="521"/>
      <c r="BW30" s="521"/>
      <c r="BX30" s="521"/>
      <c r="BY30" s="521"/>
      <c r="BZ30" s="521"/>
      <c r="CA30" s="521"/>
      <c r="CB30" s="521"/>
      <c r="CC30" s="521"/>
      <c r="CD30" s="521"/>
      <c r="CE30" s="521"/>
      <c r="CF30" s="521"/>
      <c r="CG30" s="521"/>
      <c r="CH30" s="521"/>
      <c r="CI30" s="521"/>
      <c r="CJ30" s="521"/>
      <c r="CK30" s="521"/>
      <c r="CL30" s="521"/>
      <c r="CM30" s="521"/>
      <c r="CN30" s="521"/>
      <c r="CO30" s="521"/>
      <c r="CP30" s="521"/>
      <c r="CQ30" s="521"/>
      <c r="CR30" s="535">
        <f>BS29-CQ29</f>
        <v>1184.6445064650229</v>
      </c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</row>
    <row r="31" spans="1:139" s="16" customFormat="1" x14ac:dyDescent="0.2">
      <c r="A31" s="482"/>
      <c r="B31" s="349"/>
      <c r="C31" s="467"/>
      <c r="D31" s="483"/>
      <c r="E31" s="484"/>
      <c r="F31" s="468"/>
      <c r="G31" s="469"/>
      <c r="H31" s="470"/>
      <c r="I31" s="471"/>
      <c r="J31" s="472"/>
      <c r="K31" s="471"/>
      <c r="L31" s="472"/>
      <c r="M31" s="471"/>
      <c r="N31" s="472"/>
      <c r="O31" s="471"/>
      <c r="P31" s="472"/>
      <c r="Q31" s="472"/>
      <c r="R31" s="468"/>
      <c r="S31" s="485"/>
      <c r="T31" s="473"/>
      <c r="U31" s="475"/>
      <c r="V31" s="476"/>
      <c r="W31" s="471"/>
      <c r="X31" s="477"/>
      <c r="Y31" s="478"/>
      <c r="Z31" s="477"/>
      <c r="AA31" s="479"/>
      <c r="AB31" s="479"/>
      <c r="AC31" s="479"/>
      <c r="AD31" s="479"/>
      <c r="AE31" s="479"/>
      <c r="AF31" s="479"/>
      <c r="AG31" s="479"/>
      <c r="AH31" s="479"/>
      <c r="AI31" s="479"/>
      <c r="AJ31" s="479"/>
      <c r="AK31" s="479"/>
      <c r="AL31" s="479"/>
      <c r="AM31" s="479"/>
      <c r="AN31" s="479"/>
      <c r="AO31" s="479"/>
      <c r="AP31" s="474"/>
      <c r="AQ31" s="479"/>
      <c r="AR31" s="479"/>
      <c r="AS31" s="479"/>
      <c r="AT31" s="479"/>
      <c r="AU31" s="479"/>
      <c r="AV31" s="479"/>
      <c r="AW31" s="479"/>
      <c r="AX31" s="492"/>
      <c r="AY31" s="477"/>
      <c r="AZ31" s="478"/>
      <c r="BA31" s="477"/>
      <c r="BB31" s="479"/>
      <c r="BC31" s="479"/>
      <c r="BD31" s="479"/>
      <c r="BE31" s="479"/>
      <c r="BF31" s="479"/>
      <c r="BG31" s="479"/>
      <c r="BH31" s="479"/>
      <c r="BI31" s="479"/>
      <c r="BJ31" s="479"/>
      <c r="BK31" s="479"/>
      <c r="BL31" s="767">
        <f>AX29-BK29</f>
        <v>1652.7955100044931</v>
      </c>
      <c r="BM31" s="434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</row>
    <row r="32" spans="1:139" x14ac:dyDescent="0.2">
      <c r="A32" s="16"/>
      <c r="B32" s="16"/>
      <c r="C32" s="16"/>
      <c r="D32" s="38"/>
      <c r="E32" s="38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606"/>
      <c r="S32" s="37"/>
      <c r="T32" s="35"/>
      <c r="U32" s="35"/>
      <c r="V32" s="103"/>
      <c r="W32" s="16"/>
      <c r="X32" s="16"/>
      <c r="Y32" s="388"/>
      <c r="Z32" s="16"/>
      <c r="AA32" s="16"/>
      <c r="AB32" s="385"/>
      <c r="AC32" s="16"/>
      <c r="AD32" s="16"/>
      <c r="AE32" s="16"/>
      <c r="AF32" s="16"/>
      <c r="AG32" s="16"/>
      <c r="AH32" s="385"/>
      <c r="AI32" s="385"/>
      <c r="AJ32" s="385"/>
      <c r="AK32" s="385"/>
      <c r="AL32" s="385"/>
      <c r="AM32" s="385"/>
      <c r="AN32" s="385"/>
      <c r="AO32" s="385"/>
      <c r="AP32" s="385"/>
      <c r="AS32" s="457"/>
      <c r="AT32" s="457"/>
      <c r="AU32" s="457"/>
      <c r="AV32" s="457"/>
      <c r="AW32" s="457"/>
      <c r="AX32" s="492"/>
      <c r="AY32" s="16"/>
      <c r="AZ32" s="388"/>
      <c r="BA32" s="16"/>
      <c r="BB32" s="16"/>
      <c r="BC32" s="385"/>
      <c r="BJ32" s="434"/>
      <c r="BK32" s="479"/>
      <c r="BL32" s="492"/>
      <c r="BM32" s="434"/>
    </row>
    <row r="33" spans="1:139" s="104" customFormat="1" x14ac:dyDescent="0.2">
      <c r="A33" s="579"/>
      <c r="B33" s="16"/>
      <c r="C33" s="16"/>
      <c r="D33" s="38"/>
      <c r="E33" s="38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37"/>
      <c r="S33" s="37"/>
      <c r="T33" s="35"/>
      <c r="U33" s="35"/>
      <c r="V33" s="103"/>
      <c r="W33" s="16"/>
      <c r="X33" s="16"/>
      <c r="Y33" s="388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68"/>
      <c r="AQ33" s="103"/>
      <c r="AR33" s="103"/>
      <c r="AS33" s="103"/>
      <c r="AT33" s="103"/>
      <c r="AU33" s="103"/>
      <c r="AV33" s="103"/>
      <c r="AW33" s="103"/>
      <c r="AX33" s="435"/>
      <c r="AY33" s="16"/>
      <c r="AZ33" s="388"/>
      <c r="BA33" s="16"/>
      <c r="BB33" s="16"/>
      <c r="BC33" s="16"/>
      <c r="BJ33" s="435"/>
      <c r="BK33" s="435"/>
      <c r="BL33" s="435"/>
      <c r="BM33" s="434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</row>
    <row r="34" spans="1:139" s="104" customFormat="1" x14ac:dyDescent="0.2">
      <c r="A34" s="10"/>
      <c r="B34" s="16"/>
      <c r="C34" s="16"/>
      <c r="D34" s="38"/>
      <c r="E34" s="38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37"/>
      <c r="S34" s="37"/>
      <c r="T34" s="35"/>
      <c r="U34" s="35"/>
      <c r="V34" s="103"/>
      <c r="W34" s="16"/>
      <c r="X34" s="16"/>
      <c r="Y34" s="388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68"/>
      <c r="AQ34" s="103"/>
      <c r="AR34" s="103"/>
      <c r="AS34" s="103"/>
      <c r="AT34" s="103"/>
      <c r="AU34" s="103"/>
      <c r="AV34" s="103"/>
      <c r="AW34" s="103"/>
      <c r="AX34" s="435"/>
      <c r="AY34" s="16"/>
      <c r="AZ34" s="388"/>
      <c r="BA34" s="16"/>
      <c r="BB34" s="16"/>
      <c r="BC34" s="16"/>
      <c r="BJ34" s="435"/>
      <c r="BK34" s="435"/>
      <c r="BL34" s="435"/>
      <c r="BM34" s="4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</row>
    <row r="35" spans="1:139" ht="30.75" hidden="1" customHeight="1" x14ac:dyDescent="0.2">
      <c r="A35" s="1271" t="s">
        <v>462</v>
      </c>
      <c r="B35" s="1271"/>
      <c r="C35" s="1271"/>
      <c r="D35" s="1271"/>
      <c r="E35" s="1271"/>
      <c r="F35" s="1271"/>
      <c r="G35" s="1271"/>
      <c r="H35" s="1271"/>
      <c r="I35" s="1271"/>
      <c r="J35" s="1271"/>
      <c r="K35" s="1271"/>
      <c r="L35" s="1271"/>
      <c r="M35" s="1271"/>
      <c r="N35" s="1271"/>
      <c r="O35" s="1271"/>
      <c r="P35" s="1271"/>
      <c r="Q35" s="1271"/>
      <c r="R35" s="1271"/>
      <c r="S35" s="1271"/>
      <c r="T35" s="1271"/>
      <c r="U35" s="1271"/>
      <c r="V35" s="1271"/>
      <c r="W35" s="1271"/>
      <c r="X35" s="1271"/>
      <c r="Y35" s="171"/>
      <c r="Z35" s="170"/>
      <c r="AA35" s="170"/>
      <c r="AB35" s="170"/>
      <c r="AC35" s="170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Z35" s="171"/>
      <c r="BA35" s="170"/>
      <c r="BB35" s="170"/>
      <c r="BC35" s="170"/>
    </row>
    <row r="36" spans="1:139" hidden="1" x14ac:dyDescent="0.2">
      <c r="A36" s="1271"/>
      <c r="B36" s="1271"/>
      <c r="C36" s="1271"/>
      <c r="D36" s="1271"/>
      <c r="E36" s="1271"/>
      <c r="F36" s="1271"/>
      <c r="G36" s="1271"/>
      <c r="H36" s="1271"/>
      <c r="I36" s="1271"/>
      <c r="J36" s="1271"/>
      <c r="K36" s="1271"/>
      <c r="L36" s="1271"/>
      <c r="M36" s="1271"/>
      <c r="N36" s="1271"/>
      <c r="O36" s="1271"/>
      <c r="P36" s="1271"/>
      <c r="Q36" s="1271"/>
      <c r="R36" s="1271"/>
      <c r="S36" s="1271"/>
      <c r="T36" s="1271"/>
      <c r="U36" s="1271"/>
      <c r="V36" s="1271"/>
      <c r="W36" s="1271"/>
      <c r="X36" s="1271"/>
    </row>
    <row r="37" spans="1:139" x14ac:dyDescent="0.2">
      <c r="AN37" s="398">
        <f>SUM(AN32-AN21)</f>
        <v>-6.0082204583894532</v>
      </c>
    </row>
    <row r="38" spans="1:139" x14ac:dyDescent="0.2">
      <c r="V38" s="1266"/>
      <c r="W38" s="1270"/>
      <c r="X38" s="1270"/>
      <c r="Y38" s="1270"/>
      <c r="Z38" s="1270"/>
      <c r="AN38" s="13"/>
      <c r="AZ38"/>
    </row>
    <row r="39" spans="1:139" x14ac:dyDescent="0.2">
      <c r="V39" s="1270"/>
      <c r="W39" s="1270"/>
      <c r="X39" s="1270"/>
      <c r="Y39" s="1270"/>
      <c r="Z39" s="1270"/>
      <c r="AZ39"/>
    </row>
    <row r="40" spans="1:139" x14ac:dyDescent="0.2">
      <c r="V40" s="1270"/>
      <c r="W40" s="1270"/>
      <c r="X40" s="1270"/>
      <c r="Y40" s="1270"/>
      <c r="Z40" s="1270"/>
      <c r="AZ40"/>
    </row>
    <row r="41" spans="1:139" x14ac:dyDescent="0.2">
      <c r="V41" s="1270"/>
      <c r="W41" s="1270"/>
      <c r="X41" s="1270"/>
      <c r="Y41" s="1270"/>
      <c r="Z41" s="1270"/>
      <c r="AZ41"/>
    </row>
  </sheetData>
  <mergeCells count="36">
    <mergeCell ref="Q11:Q12"/>
    <mergeCell ref="A11:A12"/>
    <mergeCell ref="B11:B12"/>
    <mergeCell ref="BC11:BC12"/>
    <mergeCell ref="D10:P10"/>
    <mergeCell ref="R10:T10"/>
    <mergeCell ref="H11:H12"/>
    <mergeCell ref="I11:I12"/>
    <mergeCell ref="U10:BB10"/>
    <mergeCell ref="BB11:BB12"/>
    <mergeCell ref="AQ11:AQ12"/>
    <mergeCell ref="AR11:AR12"/>
    <mergeCell ref="AA11:AA12"/>
    <mergeCell ref="AB11:AB12"/>
    <mergeCell ref="V38:Z41"/>
    <mergeCell ref="A35:X36"/>
    <mergeCell ref="R11:R12"/>
    <mergeCell ref="S11:S12"/>
    <mergeCell ref="T11:T12"/>
    <mergeCell ref="U11:U12"/>
    <mergeCell ref="V11:V12"/>
    <mergeCell ref="W11:W12"/>
    <mergeCell ref="J11:J12"/>
    <mergeCell ref="K11:K12"/>
    <mergeCell ref="L11:L12"/>
    <mergeCell ref="M11:M12"/>
    <mergeCell ref="E11:E12"/>
    <mergeCell ref="F11:F12"/>
    <mergeCell ref="G11:G12"/>
    <mergeCell ref="O11:O12"/>
    <mergeCell ref="CR11:CR12"/>
    <mergeCell ref="BR11:BR12"/>
    <mergeCell ref="BS11:BS12"/>
    <mergeCell ref="BW11:BW12"/>
    <mergeCell ref="BX11:BX12"/>
    <mergeCell ref="CQ11:CQ12"/>
  </mergeCells>
  <printOptions horizontalCentered="1"/>
  <pageMargins left="0.19685039370078741" right="0.19685039370078741" top="0.39370078740157483" bottom="0.39370078740157483" header="0" footer="0"/>
  <pageSetup scale="45" orientation="landscape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DL50"/>
  <sheetViews>
    <sheetView topLeftCell="B17" zoomScale="85" zoomScaleNormal="85" workbookViewId="0">
      <selection activeCell="DJ48" sqref="DJ48"/>
    </sheetView>
  </sheetViews>
  <sheetFormatPr baseColWidth="10" defaultRowHeight="12.75" x14ac:dyDescent="0.2"/>
  <cols>
    <col min="1" max="1" width="20.42578125" customWidth="1"/>
    <col min="2" max="2" width="20.140625" customWidth="1"/>
    <col min="3" max="3" width="16.28515625" customWidth="1"/>
    <col min="4" max="4" width="6.7109375" style="18" customWidth="1"/>
    <col min="5" max="5" width="7.42578125" style="18" customWidth="1"/>
    <col min="6" max="6" width="10.85546875" customWidth="1"/>
    <col min="7" max="7" width="6.140625" customWidth="1"/>
    <col min="8" max="8" width="7" hidden="1" customWidth="1"/>
    <col min="9" max="9" width="6.7109375" hidden="1" customWidth="1"/>
    <col min="10" max="10" width="5.42578125" hidden="1" customWidth="1"/>
    <col min="11" max="11" width="6.140625" hidden="1" customWidth="1"/>
    <col min="12" max="12" width="9.42578125" customWidth="1"/>
    <col min="13" max="13" width="7.140625" hidden="1" customWidth="1"/>
    <col min="14" max="14" width="8.28515625" hidden="1" customWidth="1"/>
    <col min="15" max="15" width="8.42578125" hidden="1" customWidth="1"/>
    <col min="16" max="16" width="8.5703125" hidden="1" customWidth="1"/>
    <col min="17" max="17" width="11" customWidth="1"/>
    <col min="18" max="18" width="11.5703125" style="19" customWidth="1"/>
    <col min="19" max="19" width="12" style="19" customWidth="1"/>
    <col min="20" max="21" width="8.42578125" style="12" customWidth="1"/>
    <col min="22" max="22" width="8.42578125" style="436" hidden="1" customWidth="1"/>
    <col min="23" max="23" width="8.42578125" style="12" hidden="1" customWidth="1"/>
    <col min="24" max="24" width="8.7109375" style="104" hidden="1" customWidth="1"/>
    <col min="25" max="25" width="8.7109375" hidden="1" customWidth="1"/>
    <col min="26" max="26" width="8.140625" hidden="1" customWidth="1"/>
    <col min="27" max="27" width="8.85546875" style="77" hidden="1" customWidth="1"/>
    <col min="28" max="28" width="10.140625" hidden="1" customWidth="1"/>
    <col min="29" max="29" width="9.7109375" hidden="1" customWidth="1"/>
    <col min="30" max="30" width="8.85546875" hidden="1" customWidth="1"/>
    <col min="31" max="35" width="7.7109375" hidden="1" customWidth="1"/>
    <col min="36" max="36" width="6" hidden="1" customWidth="1"/>
    <col min="37" max="38" width="7.7109375" hidden="1" customWidth="1"/>
    <col min="39" max="39" width="8.85546875" hidden="1" customWidth="1"/>
    <col min="40" max="40" width="7.7109375" hidden="1" customWidth="1"/>
    <col min="41" max="41" width="8.5703125" hidden="1" customWidth="1"/>
    <col min="42" max="42" width="9.5703125" hidden="1" customWidth="1"/>
    <col min="43" max="43" width="9.28515625" hidden="1" customWidth="1"/>
    <col min="44" max="44" width="10" style="69" hidden="1" customWidth="1"/>
    <col min="45" max="45" width="8.7109375" hidden="1" customWidth="1"/>
    <col min="46" max="46" width="7.85546875" hidden="1" customWidth="1"/>
    <col min="47" max="47" width="8.140625" hidden="1" customWidth="1"/>
    <col min="48" max="48" width="9.42578125" hidden="1" customWidth="1"/>
    <col min="49" max="49" width="9" hidden="1" customWidth="1"/>
    <col min="50" max="50" width="8.28515625" hidden="1" customWidth="1"/>
    <col min="51" max="51" width="10" hidden="1" customWidth="1"/>
    <col min="52" max="52" width="8.140625" hidden="1" customWidth="1"/>
    <col min="53" max="53" width="8.28515625" style="77" hidden="1" customWidth="1"/>
    <col min="54" max="54" width="7.42578125" hidden="1" customWidth="1"/>
    <col min="55" max="55" width="7.5703125" hidden="1" customWidth="1"/>
    <col min="56" max="56" width="8.85546875" hidden="1" customWidth="1"/>
    <col min="57" max="62" width="9" hidden="1" customWidth="1"/>
    <col min="63" max="63" width="8.7109375" hidden="1" customWidth="1"/>
    <col min="64" max="64" width="8.42578125" hidden="1" customWidth="1"/>
    <col min="65" max="65" width="12.140625" hidden="1" customWidth="1"/>
    <col min="66" max="66" width="8.140625" hidden="1" customWidth="1"/>
    <col min="67" max="67" width="9.42578125" hidden="1" customWidth="1"/>
    <col min="68" max="69" width="9" hidden="1" customWidth="1"/>
    <col min="70" max="70" width="10" hidden="1" customWidth="1"/>
    <col min="71" max="71" width="11.140625" hidden="1" customWidth="1"/>
    <col min="72" max="72" width="9.5703125" style="77" hidden="1" customWidth="1"/>
    <col min="73" max="73" width="9" hidden="1" customWidth="1"/>
    <col min="74" max="74" width="9.7109375" hidden="1" customWidth="1"/>
    <col min="75" max="75" width="8.85546875" hidden="1" customWidth="1"/>
    <col min="76" max="81" width="9" hidden="1" customWidth="1"/>
    <col min="82" max="82" width="8.7109375" hidden="1" customWidth="1"/>
    <col min="83" max="83" width="9.85546875" hidden="1" customWidth="1"/>
    <col min="84" max="90" width="11.42578125" hidden="1" customWidth="1"/>
    <col min="91" max="91" width="11.42578125" customWidth="1"/>
    <col min="92" max="92" width="14" customWidth="1"/>
    <col min="93" max="93" width="13.28515625" customWidth="1"/>
    <col min="94" max="96" width="11.42578125" customWidth="1"/>
    <col min="97" max="111" width="11.42578125" hidden="1" customWidth="1"/>
    <col min="112" max="113" width="12.5703125" hidden="1" customWidth="1"/>
    <col min="114" max="114" width="12.5703125" customWidth="1"/>
    <col min="115" max="116" width="11.42578125" customWidth="1"/>
  </cols>
  <sheetData>
    <row r="1" spans="1:116" x14ac:dyDescent="0.2">
      <c r="A1" s="637"/>
      <c r="B1" s="638" t="s">
        <v>27</v>
      </c>
      <c r="C1" s="637"/>
      <c r="D1" s="639"/>
      <c r="E1" s="639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40"/>
      <c r="S1" s="640"/>
      <c r="T1" s="637"/>
      <c r="U1" s="637"/>
      <c r="V1" s="642"/>
      <c r="W1" s="637"/>
      <c r="X1" s="661"/>
      <c r="Y1" s="662"/>
      <c r="Z1" s="662"/>
      <c r="AA1" s="663"/>
      <c r="AB1" s="662"/>
      <c r="AC1" s="662"/>
      <c r="AD1" s="662"/>
      <c r="AE1" s="662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62"/>
      <c r="AQ1" s="637"/>
      <c r="AR1" s="664"/>
      <c r="AS1" s="637"/>
      <c r="AT1" s="637"/>
      <c r="AU1" s="637"/>
      <c r="AV1" s="637"/>
      <c r="AW1" s="637"/>
      <c r="AX1" s="637"/>
      <c r="AY1" s="637"/>
      <c r="AZ1" s="662"/>
      <c r="BA1" s="663"/>
      <c r="BB1" s="662"/>
      <c r="BC1" s="662"/>
      <c r="BD1" s="662"/>
      <c r="BS1" s="541"/>
      <c r="BT1" s="542"/>
      <c r="BU1" s="541"/>
      <c r="BV1" s="541"/>
      <c r="BW1" s="541"/>
      <c r="CP1" t="s">
        <v>1256</v>
      </c>
    </row>
    <row r="2" spans="1:116" x14ac:dyDescent="0.2">
      <c r="A2" s="637"/>
      <c r="B2" s="638" t="s">
        <v>1273</v>
      </c>
      <c r="C2" s="637"/>
      <c r="D2" s="639"/>
      <c r="E2" s="639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40"/>
      <c r="S2" s="640"/>
      <c r="T2" s="637"/>
      <c r="U2" s="637"/>
      <c r="V2" s="642"/>
      <c r="W2" s="637"/>
      <c r="X2" s="661"/>
      <c r="Y2" s="662"/>
      <c r="Z2" s="662"/>
      <c r="AA2" s="663"/>
      <c r="AB2" s="662"/>
      <c r="AC2" s="662"/>
      <c r="AD2" s="662"/>
      <c r="AE2" s="662"/>
      <c r="AF2" s="637"/>
      <c r="AG2" s="637"/>
      <c r="AH2" s="637"/>
      <c r="AI2" s="637"/>
      <c r="AJ2" s="637"/>
      <c r="AK2" s="637"/>
      <c r="AL2" s="637"/>
      <c r="AM2" s="637"/>
      <c r="AN2" s="637"/>
      <c r="AO2" s="637"/>
      <c r="AP2" s="637"/>
      <c r="AQ2" s="637"/>
      <c r="AR2" s="664"/>
      <c r="AS2" s="637"/>
      <c r="AT2" s="637"/>
      <c r="AU2" s="637"/>
      <c r="AV2" s="637"/>
      <c r="AW2" s="637"/>
      <c r="AX2" s="637"/>
      <c r="AY2" s="637"/>
      <c r="AZ2" s="662"/>
      <c r="BA2" s="663"/>
      <c r="BB2" s="662"/>
      <c r="BC2" s="662"/>
      <c r="BD2" s="662"/>
      <c r="BS2" s="541"/>
      <c r="BT2" s="542"/>
      <c r="BU2" s="541"/>
      <c r="BV2" s="541"/>
      <c r="BW2" s="541"/>
    </row>
    <row r="3" spans="1:116" x14ac:dyDescent="0.2">
      <c r="A3" s="637"/>
      <c r="B3" s="637"/>
      <c r="C3" s="638"/>
      <c r="D3" s="641"/>
      <c r="E3" s="639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38"/>
      <c r="S3" s="638"/>
      <c r="T3" s="642"/>
      <c r="U3" s="642"/>
      <c r="V3" s="642"/>
      <c r="W3" s="642"/>
      <c r="X3" s="665"/>
      <c r="Y3" s="662"/>
      <c r="Z3" s="662"/>
      <c r="AA3" s="663"/>
      <c r="AB3" s="662"/>
      <c r="AC3" s="662"/>
      <c r="AD3" s="662"/>
      <c r="AE3" s="662"/>
      <c r="AF3" s="637"/>
      <c r="AG3" s="637"/>
      <c r="AH3" s="637"/>
      <c r="AI3" s="637"/>
      <c r="AJ3" s="637"/>
      <c r="AK3" s="637"/>
      <c r="AL3" s="637"/>
      <c r="AM3" s="637"/>
      <c r="AN3" s="637"/>
      <c r="AO3" s="637"/>
      <c r="AP3" s="637"/>
      <c r="AQ3" s="637"/>
      <c r="AR3" s="664"/>
      <c r="AS3" s="637"/>
      <c r="AT3" s="637"/>
      <c r="AU3" s="637"/>
      <c r="AV3" s="637"/>
      <c r="AW3" s="637"/>
      <c r="AX3" s="637"/>
      <c r="AY3" s="637"/>
      <c r="AZ3" s="662"/>
      <c r="BA3" s="663"/>
      <c r="BB3" s="662"/>
      <c r="BC3" s="662"/>
      <c r="BD3" s="662"/>
      <c r="BS3" s="541"/>
      <c r="BT3" s="542"/>
      <c r="BU3" s="541"/>
      <c r="BV3" s="541"/>
      <c r="BW3" s="541"/>
    </row>
    <row r="4" spans="1:116" x14ac:dyDescent="0.2">
      <c r="A4" s="637"/>
      <c r="B4" s="637" t="s">
        <v>309</v>
      </c>
      <c r="C4" s="638"/>
      <c r="D4" s="641"/>
      <c r="E4" s="639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38"/>
      <c r="S4" s="638"/>
      <c r="T4" s="642"/>
      <c r="U4" s="642"/>
      <c r="V4" s="642"/>
      <c r="W4" s="642"/>
      <c r="X4" s="665"/>
      <c r="Y4" s="662"/>
      <c r="Z4" s="662"/>
      <c r="AA4" s="663"/>
      <c r="AB4" s="662"/>
      <c r="AC4" s="662"/>
      <c r="AD4" s="662"/>
      <c r="AE4" s="662"/>
      <c r="AF4" s="637"/>
      <c r="AG4" s="637"/>
      <c r="AH4" s="637"/>
      <c r="AI4" s="637"/>
      <c r="AJ4" s="637"/>
      <c r="AK4" s="637"/>
      <c r="AL4" s="637"/>
      <c r="AM4" s="637"/>
      <c r="AN4" s="637"/>
      <c r="AO4" s="637"/>
      <c r="AP4" s="637"/>
      <c r="AQ4" s="637"/>
      <c r="AR4" s="664"/>
      <c r="AS4" s="637"/>
      <c r="AT4" s="637"/>
      <c r="AU4" s="637"/>
      <c r="AV4" s="637"/>
      <c r="AW4" s="637"/>
      <c r="AX4" s="637"/>
      <c r="AY4" s="637"/>
      <c r="AZ4" s="662"/>
      <c r="BA4" s="663"/>
      <c r="BB4" s="662"/>
      <c r="BC4" s="662"/>
      <c r="BD4" s="662"/>
      <c r="BS4" s="541"/>
      <c r="BT4" s="542"/>
      <c r="BU4" s="541"/>
      <c r="BV4" s="541"/>
      <c r="BW4" s="541"/>
    </row>
    <row r="5" spans="1:116" x14ac:dyDescent="0.2">
      <c r="A5" s="637"/>
      <c r="B5" s="642" t="s">
        <v>1241</v>
      </c>
      <c r="C5" s="637"/>
      <c r="D5" s="639"/>
      <c r="E5" s="639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40"/>
      <c r="S5" s="640"/>
      <c r="T5" s="637"/>
      <c r="U5" s="637"/>
      <c r="V5" s="642"/>
      <c r="W5" s="637"/>
      <c r="X5" s="661"/>
      <c r="Y5" s="662"/>
      <c r="Z5" s="662"/>
      <c r="AA5" s="663"/>
      <c r="AB5" s="662"/>
      <c r="AC5" s="662"/>
      <c r="AD5" s="662"/>
      <c r="AE5" s="662"/>
      <c r="AF5" s="637"/>
      <c r="AG5" s="637"/>
      <c r="AH5" s="637"/>
      <c r="AI5" s="637"/>
      <c r="AJ5" s="637"/>
      <c r="AK5" s="637"/>
      <c r="AL5" s="637"/>
      <c r="AM5" s="637"/>
      <c r="AN5" s="637"/>
      <c r="AO5" s="637"/>
      <c r="AP5" s="637"/>
      <c r="AQ5" s="637"/>
      <c r="AR5" s="664"/>
      <c r="AS5" s="637"/>
      <c r="AT5" s="637"/>
      <c r="AU5" s="637"/>
      <c r="AV5" s="637"/>
      <c r="AW5" s="637"/>
      <c r="AX5" s="637"/>
      <c r="AY5" s="637"/>
      <c r="AZ5" s="662"/>
      <c r="BA5" s="663"/>
      <c r="BB5" s="662"/>
      <c r="BC5" s="662"/>
      <c r="BD5" s="662"/>
      <c r="BS5" s="541"/>
      <c r="BT5" s="542"/>
      <c r="BU5" s="541"/>
      <c r="BV5" s="541"/>
      <c r="BW5" s="541"/>
    </row>
    <row r="6" spans="1:116" x14ac:dyDescent="0.2">
      <c r="A6" s="637"/>
      <c r="B6" s="637" t="s">
        <v>1272</v>
      </c>
      <c r="C6" s="637"/>
      <c r="D6" s="639"/>
      <c r="E6" s="639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40"/>
      <c r="S6" s="640"/>
      <c r="T6" s="637"/>
      <c r="U6" s="637"/>
      <c r="V6" s="642"/>
      <c r="W6" s="637"/>
      <c r="X6" s="661"/>
      <c r="Y6" s="662"/>
      <c r="Z6" s="662"/>
      <c r="AA6" s="663"/>
      <c r="AB6" s="662"/>
      <c r="AC6" s="662"/>
      <c r="AD6" s="662"/>
      <c r="AE6" s="662"/>
      <c r="AF6" s="637"/>
      <c r="AG6" s="637"/>
      <c r="AH6" s="637"/>
      <c r="AI6" s="637"/>
      <c r="AJ6" s="637"/>
      <c r="AK6" s="637"/>
      <c r="AL6" s="637"/>
      <c r="AM6" s="637"/>
      <c r="AN6" s="637"/>
      <c r="AO6" s="637"/>
      <c r="AP6" s="637"/>
      <c r="AQ6" s="637"/>
      <c r="AR6" s="664"/>
      <c r="AS6" s="637"/>
      <c r="AT6" s="637"/>
      <c r="AU6" s="637"/>
      <c r="AV6" s="637"/>
      <c r="AW6" s="637"/>
      <c r="AX6" s="637"/>
      <c r="AY6" s="637"/>
      <c r="AZ6" s="662"/>
      <c r="BA6" s="663"/>
      <c r="BB6" s="662"/>
      <c r="BC6" s="662"/>
      <c r="BD6" s="662"/>
      <c r="BS6" s="541"/>
      <c r="BT6" s="542"/>
      <c r="BU6" s="541"/>
      <c r="BV6" s="541"/>
      <c r="BW6" s="541"/>
    </row>
    <row r="7" spans="1:116" x14ac:dyDescent="0.2">
      <c r="A7" s="637"/>
      <c r="B7" s="637"/>
      <c r="C7" s="637"/>
      <c r="D7" s="639"/>
      <c r="E7" s="639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40"/>
      <c r="S7" s="640"/>
      <c r="T7" s="637"/>
      <c r="U7" s="637"/>
      <c r="V7" s="642"/>
      <c r="W7" s="637"/>
      <c r="X7" s="661"/>
      <c r="Y7" s="662"/>
      <c r="Z7" s="662"/>
      <c r="AA7" s="663"/>
      <c r="AB7" s="662"/>
      <c r="AC7" s="662"/>
      <c r="AD7" s="662"/>
      <c r="AE7" s="662"/>
      <c r="AF7" s="637"/>
      <c r="AG7" s="637"/>
      <c r="AH7" s="637"/>
      <c r="AI7" s="637"/>
      <c r="AJ7" s="637"/>
      <c r="AK7" s="637"/>
      <c r="AL7" s="637"/>
      <c r="AM7" s="637"/>
      <c r="AN7" s="637"/>
      <c r="AO7" s="637"/>
      <c r="AP7" s="637"/>
      <c r="AQ7" s="637"/>
      <c r="AR7" s="664"/>
      <c r="AS7" s="637"/>
      <c r="AT7" s="637"/>
      <c r="AU7" s="637"/>
      <c r="AV7" s="637"/>
      <c r="AW7" s="637"/>
      <c r="AX7" s="637"/>
      <c r="AY7" s="637"/>
      <c r="AZ7" s="662"/>
      <c r="BA7" s="663"/>
      <c r="BB7" s="662"/>
      <c r="BC7" s="662"/>
      <c r="BD7" s="662"/>
      <c r="BS7" s="541"/>
      <c r="BT7" s="542"/>
      <c r="BU7" s="541"/>
      <c r="BV7" s="541"/>
      <c r="BW7" s="541"/>
    </row>
    <row r="8" spans="1:116" s="16" customFormat="1" x14ac:dyDescent="0.2">
      <c r="D8" s="38"/>
      <c r="E8" s="38"/>
      <c r="R8" s="37"/>
      <c r="S8" s="37"/>
      <c r="T8" s="35"/>
      <c r="U8" s="35"/>
      <c r="V8" s="437"/>
      <c r="W8" s="35"/>
      <c r="X8" s="103"/>
      <c r="Y8" s="39"/>
      <c r="Z8" s="39"/>
      <c r="AA8" s="76"/>
      <c r="AB8" s="39"/>
      <c r="AC8" s="39"/>
      <c r="AD8" s="39"/>
      <c r="AE8" s="39"/>
      <c r="AR8" s="68"/>
      <c r="AZ8" s="39"/>
      <c r="BA8" s="76"/>
      <c r="BB8" s="39"/>
      <c r="BC8" s="39"/>
      <c r="BD8" s="39"/>
      <c r="BS8" s="39"/>
      <c r="BT8" s="76"/>
      <c r="BU8" s="39"/>
      <c r="BV8" s="39"/>
      <c r="BW8" s="39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</row>
    <row r="9" spans="1:116" s="16" customFormat="1" ht="20.25" customHeight="1" x14ac:dyDescent="0.2">
      <c r="D9" s="38"/>
      <c r="E9" s="38"/>
      <c r="R9" s="37"/>
      <c r="S9" s="37"/>
      <c r="T9" s="35"/>
      <c r="U9" s="35"/>
      <c r="V9" s="437"/>
      <c r="W9" s="35"/>
      <c r="X9" s="103"/>
      <c r="Y9" s="39"/>
      <c r="Z9" s="39"/>
      <c r="AA9" s="76"/>
      <c r="AB9" s="39"/>
      <c r="AC9" s="39"/>
      <c r="AD9" s="39"/>
      <c r="AE9" s="39"/>
      <c r="AR9" s="68"/>
      <c r="AZ9" s="39"/>
      <c r="BA9" s="76"/>
      <c r="BB9" s="39"/>
      <c r="BC9" s="39"/>
      <c r="BD9" s="39"/>
      <c r="BS9" s="39"/>
      <c r="BT9" s="76"/>
      <c r="BU9" s="39"/>
      <c r="BV9" s="39"/>
      <c r="BW9" s="3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</row>
    <row r="10" spans="1:116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209"/>
      <c r="V10" s="1275" t="s">
        <v>450</v>
      </c>
      <c r="W10" s="1275"/>
      <c r="X10" s="1275"/>
      <c r="Y10" s="1275"/>
      <c r="Z10" s="1275"/>
      <c r="AA10" s="1275"/>
      <c r="AB10" s="1275"/>
      <c r="AC10" s="1275"/>
      <c r="AD10" s="1275"/>
      <c r="AE10" s="1275"/>
      <c r="AF10" s="1275"/>
      <c r="AG10" s="1275"/>
      <c r="AH10" s="1275"/>
      <c r="AI10" s="1275"/>
      <c r="AJ10" s="1275"/>
      <c r="AK10" s="1275"/>
      <c r="AL10" s="1275"/>
      <c r="AM10" s="1275"/>
      <c r="AN10" s="1275"/>
      <c r="AO10" s="1275"/>
      <c r="AP10" s="1275"/>
      <c r="AQ10" s="1275"/>
      <c r="AR10" s="1275"/>
      <c r="AS10" s="1275"/>
      <c r="AT10" s="1275"/>
      <c r="AU10" s="1275"/>
      <c r="AV10" s="1275"/>
      <c r="AW10" s="1275"/>
      <c r="AX10" s="1275"/>
      <c r="AY10" s="1275"/>
      <c r="AZ10" s="1275"/>
      <c r="BA10" s="1275"/>
      <c r="BB10" s="1275"/>
      <c r="BC10" s="1275"/>
      <c r="BT10"/>
    </row>
    <row r="11" spans="1:116" ht="54" customHeight="1" x14ac:dyDescent="0.25">
      <c r="A11" s="1261" t="s">
        <v>57</v>
      </c>
      <c r="B11" s="1261" t="s">
        <v>0</v>
      </c>
      <c r="C11" s="210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1126</v>
      </c>
      <c r="J11" s="1254" t="s">
        <v>1127</v>
      </c>
      <c r="K11" s="1254" t="s">
        <v>534</v>
      </c>
      <c r="L11" s="1254" t="s">
        <v>493</v>
      </c>
      <c r="M11" s="1254" t="s">
        <v>1145</v>
      </c>
      <c r="N11" s="207" t="s">
        <v>529</v>
      </c>
      <c r="O11" s="1254" t="s">
        <v>492</v>
      </c>
      <c r="P11" s="208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203"/>
      <c r="V11" s="1284" t="s">
        <v>1142</v>
      </c>
      <c r="W11" s="205"/>
      <c r="X11" s="1268" t="s">
        <v>569</v>
      </c>
      <c r="Y11" s="1245" t="s">
        <v>439</v>
      </c>
      <c r="Z11" s="158" t="s">
        <v>15</v>
      </c>
      <c r="AA11" s="159" t="s">
        <v>15</v>
      </c>
      <c r="AB11" s="158" t="s">
        <v>16</v>
      </c>
      <c r="AC11" s="1245" t="s">
        <v>1147</v>
      </c>
      <c r="AD11" s="1245" t="s">
        <v>536</v>
      </c>
      <c r="AE11" s="158" t="s">
        <v>3</v>
      </c>
      <c r="AF11" s="158" t="s">
        <v>4</v>
      </c>
      <c r="AG11" s="158" t="s">
        <v>5</v>
      </c>
      <c r="AH11" s="158" t="s">
        <v>6</v>
      </c>
      <c r="AI11" s="158" t="s">
        <v>7</v>
      </c>
      <c r="AJ11" s="158" t="s">
        <v>8</v>
      </c>
      <c r="AK11" s="158" t="s">
        <v>9</v>
      </c>
      <c r="AL11" s="158" t="s">
        <v>10</v>
      </c>
      <c r="AM11" s="158" t="s">
        <v>11</v>
      </c>
      <c r="AN11" s="158" t="s">
        <v>12</v>
      </c>
      <c r="AO11" s="158" t="s">
        <v>13</v>
      </c>
      <c r="AP11" s="158" t="s">
        <v>14</v>
      </c>
      <c r="AQ11" s="1247" t="s">
        <v>1144</v>
      </c>
      <c r="AR11" s="196" t="s">
        <v>63</v>
      </c>
      <c r="AS11" s="1245" t="s">
        <v>976</v>
      </c>
      <c r="AT11" s="1245" t="s">
        <v>536</v>
      </c>
      <c r="AU11" s="158" t="s">
        <v>3</v>
      </c>
      <c r="AV11" s="158" t="s">
        <v>4</v>
      </c>
      <c r="AW11" s="158" t="s">
        <v>5</v>
      </c>
      <c r="AX11" s="158" t="s">
        <v>6</v>
      </c>
      <c r="AY11" s="158" t="s">
        <v>7</v>
      </c>
      <c r="AZ11" s="158" t="s">
        <v>15</v>
      </c>
      <c r="BA11" s="159" t="s">
        <v>15</v>
      </c>
      <c r="BB11" s="158" t="s">
        <v>16</v>
      </c>
      <c r="BC11" s="1245" t="s">
        <v>1059</v>
      </c>
      <c r="BD11" s="1245" t="s">
        <v>536</v>
      </c>
      <c r="BE11" s="158" t="s">
        <v>8</v>
      </c>
      <c r="BF11" s="158" t="s">
        <v>9</v>
      </c>
      <c r="BG11" s="158" t="s">
        <v>10</v>
      </c>
      <c r="BH11" s="158" t="s">
        <v>11</v>
      </c>
      <c r="BI11" s="158" t="s">
        <v>12</v>
      </c>
      <c r="BJ11" s="158" t="s">
        <v>13</v>
      </c>
      <c r="BK11" s="158" t="s">
        <v>14</v>
      </c>
      <c r="BL11" s="196" t="s">
        <v>989</v>
      </c>
      <c r="BM11" s="160" t="s">
        <v>63</v>
      </c>
      <c r="BN11" s="158" t="s">
        <v>3</v>
      </c>
      <c r="BO11" s="158" t="s">
        <v>4</v>
      </c>
      <c r="BP11" s="158" t="s">
        <v>5</v>
      </c>
      <c r="BQ11" s="158" t="s">
        <v>6</v>
      </c>
      <c r="BR11" s="158" t="s">
        <v>7</v>
      </c>
      <c r="BS11" s="158" t="s">
        <v>15</v>
      </c>
      <c r="BT11" s="159" t="s">
        <v>15</v>
      </c>
      <c r="BU11" s="158" t="s">
        <v>16</v>
      </c>
      <c r="BV11" s="1245" t="s">
        <v>1004</v>
      </c>
      <c r="BW11" s="1245" t="s">
        <v>536</v>
      </c>
      <c r="BX11" s="158" t="s">
        <v>8</v>
      </c>
      <c r="BY11" s="158" t="s">
        <v>9</v>
      </c>
      <c r="BZ11" s="158" t="s">
        <v>10</v>
      </c>
      <c r="CA11" s="158" t="s">
        <v>11</v>
      </c>
      <c r="CB11" s="158" t="s">
        <v>12</v>
      </c>
      <c r="CC11" s="158" t="s">
        <v>13</v>
      </c>
      <c r="CD11" s="158" t="s">
        <v>14</v>
      </c>
      <c r="CE11" s="196" t="s">
        <v>989</v>
      </c>
      <c r="CF11" s="160" t="s">
        <v>63</v>
      </c>
      <c r="CG11" s="158" t="s">
        <v>3</v>
      </c>
      <c r="CH11" s="158" t="s">
        <v>4</v>
      </c>
      <c r="CI11" s="158" t="s">
        <v>5</v>
      </c>
      <c r="CJ11" s="158" t="s">
        <v>6</v>
      </c>
      <c r="CK11" s="158" t="s">
        <v>7</v>
      </c>
      <c r="CL11" s="1247" t="s">
        <v>1252</v>
      </c>
      <c r="CM11" s="1247" t="s">
        <v>1253</v>
      </c>
      <c r="CN11" s="158" t="s">
        <v>15</v>
      </c>
      <c r="CO11" s="159" t="s">
        <v>15</v>
      </c>
      <c r="CP11" s="158" t="s">
        <v>16</v>
      </c>
      <c r="CQ11" s="1245" t="s">
        <v>1254</v>
      </c>
      <c r="CR11" s="1245" t="s">
        <v>536</v>
      </c>
      <c r="CS11" s="158" t="s">
        <v>8</v>
      </c>
      <c r="CT11" s="158" t="s">
        <v>9</v>
      </c>
      <c r="CU11" s="158" t="s">
        <v>10</v>
      </c>
      <c r="CV11" s="158" t="s">
        <v>11</v>
      </c>
      <c r="CW11" s="158" t="s">
        <v>12</v>
      </c>
      <c r="CX11" s="158" t="s">
        <v>13</v>
      </c>
      <c r="CY11" s="158" t="s">
        <v>14</v>
      </c>
      <c r="CZ11" s="158" t="s">
        <v>3</v>
      </c>
      <c r="DA11" s="158" t="s">
        <v>4</v>
      </c>
      <c r="DB11" s="158" t="s">
        <v>5</v>
      </c>
      <c r="DC11" s="158" t="s">
        <v>6</v>
      </c>
      <c r="DD11" s="158" t="s">
        <v>7</v>
      </c>
      <c r="DE11" s="158" t="s">
        <v>8</v>
      </c>
      <c r="DF11" s="158" t="s">
        <v>9</v>
      </c>
      <c r="DG11" s="158" t="s">
        <v>10</v>
      </c>
      <c r="DH11" s="158" t="s">
        <v>11</v>
      </c>
      <c r="DI11" s="158" t="s">
        <v>12</v>
      </c>
      <c r="DJ11" s="158" t="s">
        <v>13</v>
      </c>
      <c r="DK11" s="1247" t="s">
        <v>1274</v>
      </c>
      <c r="DL11" s="1247" t="s">
        <v>1263</v>
      </c>
    </row>
    <row r="12" spans="1:116" ht="32.25" customHeight="1" x14ac:dyDescent="0.25">
      <c r="A12" s="1262"/>
      <c r="B12" s="1262"/>
      <c r="C12" s="161" t="s">
        <v>567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204"/>
      <c r="V12" s="1285"/>
      <c r="W12" s="206" t="s">
        <v>570</v>
      </c>
      <c r="X12" s="1269">
        <v>41639</v>
      </c>
      <c r="Y12" s="1246"/>
      <c r="Z12" s="162" t="s">
        <v>20</v>
      </c>
      <c r="AA12" s="163" t="s">
        <v>21</v>
      </c>
      <c r="AB12" s="162" t="s">
        <v>22</v>
      </c>
      <c r="AC12" s="1246"/>
      <c r="AD12" s="1246"/>
      <c r="AE12" s="162">
        <v>2015</v>
      </c>
      <c r="AF12" s="162">
        <v>2015</v>
      </c>
      <c r="AG12" s="162">
        <v>2015</v>
      </c>
      <c r="AH12" s="162">
        <v>2015</v>
      </c>
      <c r="AI12" s="162">
        <v>2015</v>
      </c>
      <c r="AJ12" s="162">
        <v>2017</v>
      </c>
      <c r="AK12" s="162">
        <v>2017</v>
      </c>
      <c r="AL12" s="162">
        <v>2017</v>
      </c>
      <c r="AM12" s="162">
        <v>2017</v>
      </c>
      <c r="AN12" s="162">
        <v>2017</v>
      </c>
      <c r="AO12" s="162">
        <v>2017</v>
      </c>
      <c r="AP12" s="162">
        <v>2017</v>
      </c>
      <c r="AQ12" s="1248"/>
      <c r="AR12" s="162" t="s">
        <v>64</v>
      </c>
      <c r="AS12" s="1265"/>
      <c r="AT12" s="1265"/>
      <c r="AU12" s="430">
        <v>2016</v>
      </c>
      <c r="AV12" s="430">
        <v>2016</v>
      </c>
      <c r="AW12" s="430">
        <v>2016</v>
      </c>
      <c r="AX12" s="430">
        <v>2016</v>
      </c>
      <c r="AY12" s="430">
        <v>2016</v>
      </c>
      <c r="AZ12" s="162" t="s">
        <v>20</v>
      </c>
      <c r="BA12" s="163" t="s">
        <v>21</v>
      </c>
      <c r="BB12" s="162" t="s">
        <v>22</v>
      </c>
      <c r="BC12" s="1246"/>
      <c r="BD12" s="1246"/>
      <c r="BE12" s="430">
        <v>2016</v>
      </c>
      <c r="BF12" s="430">
        <v>2016</v>
      </c>
      <c r="BG12" s="430">
        <v>2016</v>
      </c>
      <c r="BH12" s="430">
        <v>2016</v>
      </c>
      <c r="BI12" s="430">
        <v>2016</v>
      </c>
      <c r="BJ12" s="430">
        <v>2016</v>
      </c>
      <c r="BK12" s="430">
        <v>2016</v>
      </c>
      <c r="BL12" s="162">
        <v>2016</v>
      </c>
      <c r="BM12" s="162" t="s">
        <v>64</v>
      </c>
      <c r="BN12" s="430">
        <v>2017</v>
      </c>
      <c r="BO12" s="430">
        <v>2017</v>
      </c>
      <c r="BP12" s="430">
        <v>2017</v>
      </c>
      <c r="BQ12" s="430">
        <v>2017</v>
      </c>
      <c r="BR12" s="430">
        <v>2017</v>
      </c>
      <c r="BS12" s="162" t="s">
        <v>20</v>
      </c>
      <c r="BT12" s="163" t="s">
        <v>21</v>
      </c>
      <c r="BU12" s="162" t="s">
        <v>22</v>
      </c>
      <c r="BV12" s="1246"/>
      <c r="BW12" s="1246"/>
      <c r="BX12" s="430">
        <v>2017</v>
      </c>
      <c r="BY12" s="430">
        <v>2017</v>
      </c>
      <c r="BZ12" s="430">
        <v>2017</v>
      </c>
      <c r="CA12" s="430">
        <v>2017</v>
      </c>
      <c r="CB12" s="430">
        <v>2017</v>
      </c>
      <c r="CC12" s="430">
        <v>2017</v>
      </c>
      <c r="CD12" s="430">
        <v>2017</v>
      </c>
      <c r="CE12" s="162">
        <v>2016</v>
      </c>
      <c r="CF12" s="162" t="s">
        <v>64</v>
      </c>
      <c r="CG12" s="162">
        <v>2018</v>
      </c>
      <c r="CH12" s="162">
        <v>2018</v>
      </c>
      <c r="CI12" s="162">
        <v>2018</v>
      </c>
      <c r="CJ12" s="162">
        <v>2018</v>
      </c>
      <c r="CK12" s="162">
        <v>2018</v>
      </c>
      <c r="CL12" s="1248"/>
      <c r="CM12" s="1248"/>
      <c r="CN12" s="162" t="s">
        <v>20</v>
      </c>
      <c r="CO12" s="163" t="s">
        <v>21</v>
      </c>
      <c r="CP12" s="162" t="s">
        <v>22</v>
      </c>
      <c r="CQ12" s="1246"/>
      <c r="CR12" s="1246"/>
      <c r="CS12" s="162">
        <v>2018</v>
      </c>
      <c r="CT12" s="162">
        <v>2018</v>
      </c>
      <c r="CU12" s="162">
        <v>2018</v>
      </c>
      <c r="CV12" s="162">
        <v>2018</v>
      </c>
      <c r="CW12" s="162">
        <v>2018</v>
      </c>
      <c r="CX12" s="162">
        <v>2018</v>
      </c>
      <c r="CY12" s="162">
        <v>2018</v>
      </c>
      <c r="CZ12" s="162">
        <v>2019</v>
      </c>
      <c r="DA12" s="162">
        <v>2019</v>
      </c>
      <c r="DB12" s="162">
        <v>2019</v>
      </c>
      <c r="DC12" s="162">
        <v>2019</v>
      </c>
      <c r="DD12" s="162">
        <v>2019</v>
      </c>
      <c r="DE12" s="162">
        <v>2019</v>
      </c>
      <c r="DF12" s="162">
        <v>2019</v>
      </c>
      <c r="DG12" s="162">
        <v>2019</v>
      </c>
      <c r="DH12" s="162">
        <v>2019</v>
      </c>
      <c r="DI12" s="162">
        <v>2019</v>
      </c>
      <c r="DJ12" s="162">
        <v>2019</v>
      </c>
      <c r="DK12" s="1248"/>
      <c r="DL12" s="1248"/>
    </row>
    <row r="13" spans="1:116" s="16" customFormat="1" ht="15" x14ac:dyDescent="0.2">
      <c r="A13" s="1089" t="s">
        <v>65</v>
      </c>
      <c r="B13" s="1089" t="s">
        <v>24</v>
      </c>
      <c r="C13" s="1090"/>
      <c r="D13" s="1091"/>
      <c r="E13" s="1092"/>
      <c r="F13" s="1093"/>
      <c r="G13" s="1093"/>
      <c r="H13" s="1093"/>
      <c r="I13" s="1093"/>
      <c r="J13" s="1093"/>
      <c r="K13" s="1093"/>
      <c r="L13" s="1093"/>
      <c r="M13" s="1093"/>
      <c r="N13" s="1093"/>
      <c r="O13" s="1093"/>
      <c r="P13" s="1093"/>
      <c r="Q13" s="1093"/>
      <c r="R13" s="1094"/>
      <c r="S13" s="1094"/>
      <c r="T13" s="619"/>
      <c r="U13" s="619"/>
      <c r="V13" s="734"/>
      <c r="W13" s="14"/>
      <c r="X13" s="108"/>
      <c r="Y13" s="66"/>
      <c r="Z13" s="66"/>
      <c r="AA13" s="81"/>
      <c r="AB13" s="66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73"/>
      <c r="AS13" s="55"/>
      <c r="AT13" s="55"/>
      <c r="AU13" s="55"/>
      <c r="AV13" s="55"/>
      <c r="AW13" s="55"/>
      <c r="AX13" s="55"/>
      <c r="AY13" s="55"/>
      <c r="AZ13" s="66"/>
      <c r="BA13" s="81"/>
      <c r="BB13" s="66"/>
      <c r="BC13" s="65"/>
      <c r="BD13" s="65"/>
      <c r="BE13" s="55"/>
      <c r="BF13" s="55"/>
      <c r="BG13" s="55"/>
      <c r="BH13" s="55"/>
      <c r="BI13" s="55"/>
      <c r="BJ13" s="55"/>
      <c r="BK13" s="55"/>
      <c r="BL13" s="55"/>
      <c r="BM13" s="516"/>
      <c r="BN13" s="516"/>
      <c r="BO13" s="516"/>
      <c r="BP13" s="516"/>
      <c r="BQ13" s="516"/>
      <c r="BR13" s="516"/>
      <c r="BS13" s="519"/>
      <c r="BT13" s="528"/>
      <c r="BU13" s="519"/>
      <c r="BV13" s="520"/>
      <c r="BW13" s="520"/>
      <c r="BX13" s="516"/>
      <c r="BY13" s="516"/>
      <c r="BZ13" s="516"/>
      <c r="CA13" s="516"/>
      <c r="CB13" s="516"/>
      <c r="CC13" s="516"/>
      <c r="CD13" s="516"/>
      <c r="CE13" s="516"/>
      <c r="CF13" s="516"/>
      <c r="CG13" s="65"/>
      <c r="CH13" s="65"/>
      <c r="CI13" s="65"/>
      <c r="CJ13" s="65"/>
      <c r="CK13" s="505"/>
      <c r="CL13" s="505"/>
      <c r="CM13" s="50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</row>
    <row r="14" spans="1:116" s="16" customFormat="1" ht="15.75" x14ac:dyDescent="0.25">
      <c r="A14" s="1089" t="s">
        <v>66</v>
      </c>
      <c r="B14" s="1095"/>
      <c r="C14" s="1096"/>
      <c r="D14" s="1097"/>
      <c r="E14" s="1092"/>
      <c r="F14" s="1093"/>
      <c r="G14" s="1093"/>
      <c r="H14" s="1093"/>
      <c r="I14" s="1093"/>
      <c r="J14" s="1093"/>
      <c r="K14" s="1093"/>
      <c r="L14" s="1093"/>
      <c r="M14" s="1093"/>
      <c r="N14" s="1093"/>
      <c r="O14" s="1093"/>
      <c r="P14" s="1093"/>
      <c r="Q14" s="1093"/>
      <c r="R14" s="1094"/>
      <c r="S14" s="1094"/>
      <c r="T14" s="619"/>
      <c r="U14" s="619"/>
      <c r="V14" s="734"/>
      <c r="W14" s="14"/>
      <c r="X14" s="108"/>
      <c r="Y14" s="66"/>
      <c r="Z14" s="66"/>
      <c r="AA14" s="112"/>
      <c r="AB14" s="66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73"/>
      <c r="AS14" s="55"/>
      <c r="AT14" s="55"/>
      <c r="AU14" s="55"/>
      <c r="AV14" s="55"/>
      <c r="AW14" s="55"/>
      <c r="AX14" s="55"/>
      <c r="AY14" s="55"/>
      <c r="AZ14" s="66"/>
      <c r="BA14" s="112"/>
      <c r="BB14" s="66"/>
      <c r="BC14" s="65"/>
      <c r="BD14" s="65"/>
      <c r="BE14" s="55"/>
      <c r="BF14" s="55"/>
      <c r="BG14" s="55"/>
      <c r="BH14" s="55"/>
      <c r="BI14" s="55"/>
      <c r="BJ14" s="55"/>
      <c r="BK14" s="55"/>
      <c r="BL14" s="55"/>
      <c r="BM14" s="516"/>
      <c r="BN14" s="516"/>
      <c r="BO14" s="516"/>
      <c r="BP14" s="516"/>
      <c r="BQ14" s="516"/>
      <c r="BR14" s="516"/>
      <c r="BS14" s="519"/>
      <c r="BT14" s="530"/>
      <c r="BU14" s="519"/>
      <c r="BV14" s="520"/>
      <c r="BW14" s="520"/>
      <c r="BX14" s="516"/>
      <c r="BY14" s="516"/>
      <c r="BZ14" s="516"/>
      <c r="CA14" s="516"/>
      <c r="CB14" s="516"/>
      <c r="CC14" s="516"/>
      <c r="CD14" s="516"/>
      <c r="CE14" s="516"/>
      <c r="CF14" s="516"/>
      <c r="CG14" s="65"/>
      <c r="CH14" s="65"/>
      <c r="CI14" s="65"/>
      <c r="CJ14" s="65"/>
      <c r="CK14" s="505"/>
      <c r="CL14" s="505"/>
      <c r="CM14" s="516"/>
      <c r="CN14" s="516"/>
      <c r="CO14" s="516"/>
      <c r="CP14" s="516"/>
      <c r="CQ14" s="516"/>
      <c r="CR14" s="516"/>
      <c r="CS14" s="516"/>
      <c r="CT14" s="516"/>
      <c r="CU14" s="516"/>
      <c r="CV14" s="516"/>
      <c r="CW14" s="516"/>
      <c r="CX14" s="516"/>
      <c r="CY14" s="516"/>
      <c r="CZ14" s="516"/>
      <c r="DA14" s="516"/>
      <c r="DB14" s="516"/>
      <c r="DC14" s="516"/>
      <c r="DD14" s="516"/>
      <c r="DE14" s="516"/>
      <c r="DF14" s="516"/>
      <c r="DG14" s="516"/>
      <c r="DH14" s="516"/>
      <c r="DI14" s="516"/>
      <c r="DJ14" s="516"/>
      <c r="DK14" s="516"/>
      <c r="DL14" s="516"/>
    </row>
    <row r="15" spans="1:116" s="35" customFormat="1" ht="15.75" x14ac:dyDescent="0.25">
      <c r="A15" s="1094" t="s">
        <v>204</v>
      </c>
      <c r="B15" s="1098" t="s">
        <v>394</v>
      </c>
      <c r="C15" s="1098" t="s">
        <v>386</v>
      </c>
      <c r="D15" s="1097">
        <v>3</v>
      </c>
      <c r="E15" s="1100">
        <v>0.33329999999999999</v>
      </c>
      <c r="F15" s="1094">
        <v>43281</v>
      </c>
      <c r="G15" s="1093">
        <v>36</v>
      </c>
      <c r="H15" s="1110">
        <f>100/G15</f>
        <v>2.7777777777777777</v>
      </c>
      <c r="I15" s="1197">
        <f>H15*J15</f>
        <v>180.55555555555554</v>
      </c>
      <c r="J15" s="1093">
        <f>(YEAR(F15)-YEAR(S15))*12+MONTH(F15)-MONTH(S15)</f>
        <v>65</v>
      </c>
      <c r="K15" s="1197">
        <f>L15*H15</f>
        <v>-80.555555555555557</v>
      </c>
      <c r="L15" s="1093">
        <f>G15-J15</f>
        <v>-29</v>
      </c>
      <c r="M15" s="1197">
        <f>N15*H15</f>
        <v>19.444444444444443</v>
      </c>
      <c r="N15" s="1093">
        <v>7</v>
      </c>
      <c r="O15" s="1197">
        <f>P15*H15</f>
        <v>-100</v>
      </c>
      <c r="P15" s="1093">
        <f t="shared" ref="O15:P19" si="0">L15-N15</f>
        <v>-36</v>
      </c>
      <c r="Q15" s="1198">
        <f>DATE(YEAR(S15),MONTH(S15)+G15,DAY(S15))</f>
        <v>42370</v>
      </c>
      <c r="R15" s="1094" t="s">
        <v>445</v>
      </c>
      <c r="S15" s="1094">
        <v>41275</v>
      </c>
      <c r="T15" s="1001">
        <v>899</v>
      </c>
      <c r="U15" s="1105">
        <v>324.69</v>
      </c>
      <c r="V15" s="734">
        <v>0.99755018911838533</v>
      </c>
      <c r="W15" s="134">
        <v>24.97</v>
      </c>
      <c r="X15" s="7">
        <f>W15*5</f>
        <v>124.85</v>
      </c>
      <c r="Y15" s="1167">
        <v>0</v>
      </c>
      <c r="Z15" s="64"/>
      <c r="AA15" s="82">
        <v>109.002</v>
      </c>
      <c r="AB15" s="64">
        <f>Z15/AA15</f>
        <v>0</v>
      </c>
      <c r="AC15" s="62">
        <v>0</v>
      </c>
      <c r="AD15" s="62">
        <f>AC15*AB15</f>
        <v>0</v>
      </c>
      <c r="AE15" s="62"/>
      <c r="AF15" s="62"/>
      <c r="AG15" s="62"/>
      <c r="AH15" s="62"/>
      <c r="AI15" s="62"/>
      <c r="AJ15" s="62">
        <f t="shared" ref="AJ15:AK19" si="1">AD15</f>
        <v>0</v>
      </c>
      <c r="AK15" s="62">
        <f t="shared" si="1"/>
        <v>0</v>
      </c>
      <c r="AL15" s="62"/>
      <c r="AM15" s="62"/>
      <c r="AN15" s="62"/>
      <c r="AO15" s="62"/>
      <c r="AP15" s="62"/>
      <c r="AQ15" s="62">
        <f>SUM(AJ15:AP15)</f>
        <v>0</v>
      </c>
      <c r="AR15" s="1169">
        <f>V15-AQ15</f>
        <v>0.99755018911838533</v>
      </c>
      <c r="AS15" s="62"/>
      <c r="AT15" s="62"/>
      <c r="AU15" s="62"/>
      <c r="AV15" s="62"/>
      <c r="AW15" s="62"/>
      <c r="AX15" s="62"/>
      <c r="AY15" s="62"/>
      <c r="AZ15" s="64">
        <v>118.901</v>
      </c>
      <c r="BA15" s="82">
        <v>109.002</v>
      </c>
      <c r="BB15" s="64">
        <f>AZ15/BA15</f>
        <v>1.090814847433992</v>
      </c>
      <c r="BC15" s="62" t="e">
        <f>AV15*AM15/100/AK15*100/7</f>
        <v>#DIV/0!</v>
      </c>
      <c r="BD15" s="62" t="e">
        <f>BC15*BB15</f>
        <v>#DIV/0!</v>
      </c>
      <c r="BE15" s="62"/>
      <c r="BF15" s="62"/>
      <c r="BG15" s="62"/>
      <c r="BH15" s="62"/>
      <c r="BI15" s="62"/>
      <c r="BJ15" s="62"/>
      <c r="BK15" s="62"/>
      <c r="BL15" s="62">
        <f>SUM((AU15:AY15),(BE15:BK15))</f>
        <v>0</v>
      </c>
      <c r="BM15" s="1199">
        <f>(AR15-BL15)</f>
        <v>0.99755018911838533</v>
      </c>
      <c r="BN15" s="538"/>
      <c r="BO15" s="538"/>
      <c r="BP15" s="538"/>
      <c r="BQ15" s="538"/>
      <c r="BR15" s="538"/>
      <c r="BS15" s="1190">
        <v>118.901</v>
      </c>
      <c r="BT15" s="690">
        <v>109.002</v>
      </c>
      <c r="BU15" s="1190">
        <f>BS15/BT15</f>
        <v>1.090814847433992</v>
      </c>
      <c r="BV15" s="538"/>
      <c r="BW15" s="538"/>
      <c r="BX15" s="538"/>
      <c r="BY15" s="538"/>
      <c r="BZ15" s="538"/>
      <c r="CA15" s="538"/>
      <c r="CB15" s="538"/>
      <c r="CC15" s="538"/>
      <c r="CD15" s="538"/>
      <c r="CE15" s="538">
        <f>SUM((BN15:BR15),(BX15:CD15))</f>
        <v>0</v>
      </c>
      <c r="CF15" s="1199">
        <f>BM15-CE15</f>
        <v>0.99755018911838533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1170">
        <f>SUM(CG15:CK15)</f>
        <v>0</v>
      </c>
      <c r="CM15" s="1085">
        <f>AR15-CL15</f>
        <v>0.99755018911838533</v>
      </c>
      <c r="CN15" s="1195">
        <v>132.28200000000001</v>
      </c>
      <c r="CO15" s="690">
        <v>109.002</v>
      </c>
      <c r="CP15" s="1196">
        <f>CN15/CO15</f>
        <v>1.2135740628612322</v>
      </c>
      <c r="CQ15" s="538">
        <v>0</v>
      </c>
      <c r="CR15" s="538">
        <f>CQ15*CP15</f>
        <v>0</v>
      </c>
      <c r="CS15" s="538">
        <v>0</v>
      </c>
      <c r="CT15" s="538">
        <v>0</v>
      </c>
      <c r="CU15" s="538">
        <v>0</v>
      </c>
      <c r="CV15" s="538"/>
      <c r="CW15" s="538"/>
      <c r="CX15" s="538"/>
      <c r="CY15" s="538"/>
      <c r="CZ15" s="538"/>
      <c r="DA15" s="538"/>
      <c r="DB15" s="538"/>
      <c r="DC15" s="538"/>
      <c r="DD15" s="538"/>
      <c r="DE15" s="538"/>
      <c r="DF15" s="538"/>
      <c r="DG15" s="538"/>
      <c r="DH15" s="538"/>
      <c r="DI15" s="538"/>
      <c r="DJ15" s="538"/>
      <c r="DK15" s="538">
        <f>SUM(CS15:CY15)</f>
        <v>0</v>
      </c>
      <c r="DL15" s="1088">
        <f>CM15-DK15</f>
        <v>0.99755018911838533</v>
      </c>
    </row>
    <row r="16" spans="1:116" s="16" customFormat="1" ht="15.75" x14ac:dyDescent="0.25">
      <c r="A16" s="1094" t="s">
        <v>204</v>
      </c>
      <c r="B16" s="1098" t="s">
        <v>205</v>
      </c>
      <c r="C16" s="1096" t="s">
        <v>386</v>
      </c>
      <c r="D16" s="1099">
        <v>3</v>
      </c>
      <c r="E16" s="1100">
        <v>0.33329999999999999</v>
      </c>
      <c r="F16" s="1101">
        <v>43281</v>
      </c>
      <c r="G16" s="1102">
        <v>36</v>
      </c>
      <c r="H16" s="1103">
        <f>100/G16</f>
        <v>2.7777777777777777</v>
      </c>
      <c r="I16" s="694">
        <f>H16*J16</f>
        <v>180.55555555555554</v>
      </c>
      <c r="J16" s="1102">
        <f>(YEAR(F16)-YEAR(S16))*12+MONTH(F16)-MONTH(S16)</f>
        <v>65</v>
      </c>
      <c r="K16" s="694">
        <f>L16*H16</f>
        <v>-80.555555555555557</v>
      </c>
      <c r="L16" s="1102">
        <f>G16-J16</f>
        <v>-29</v>
      </c>
      <c r="M16" s="694">
        <f>N16*H16</f>
        <v>19.444444444444443</v>
      </c>
      <c r="N16" s="1102">
        <v>7</v>
      </c>
      <c r="O16" s="694">
        <f t="shared" si="0"/>
        <v>-100</v>
      </c>
      <c r="P16" s="1102">
        <f t="shared" si="0"/>
        <v>-36</v>
      </c>
      <c r="Q16" s="1104">
        <f>DATE(YEAR(S16),MONTH(S16)+G16,DAY(S16))</f>
        <v>42370</v>
      </c>
      <c r="R16" s="1094" t="s">
        <v>445</v>
      </c>
      <c r="S16" s="1094">
        <v>41275</v>
      </c>
      <c r="T16" s="1001">
        <v>1890</v>
      </c>
      <c r="U16" s="1105">
        <v>682.66</v>
      </c>
      <c r="V16" s="735">
        <v>1.0049048295043121</v>
      </c>
      <c r="W16" s="47">
        <v>52.49</v>
      </c>
      <c r="X16" s="106">
        <f>W16*5</f>
        <v>262.45</v>
      </c>
      <c r="Y16" s="66"/>
      <c r="Z16" s="57"/>
      <c r="AA16" s="80">
        <v>103.551</v>
      </c>
      <c r="AB16" s="57">
        <f>Z16/AA16</f>
        <v>0</v>
      </c>
      <c r="AC16" s="55">
        <v>0</v>
      </c>
      <c r="AD16" s="55">
        <f>AC16*AB16</f>
        <v>0</v>
      </c>
      <c r="AE16" s="55"/>
      <c r="AF16" s="55"/>
      <c r="AG16" s="55"/>
      <c r="AH16" s="55"/>
      <c r="AI16" s="55"/>
      <c r="AJ16" s="55">
        <f t="shared" si="1"/>
        <v>0</v>
      </c>
      <c r="AK16" s="55">
        <f t="shared" si="1"/>
        <v>0</v>
      </c>
      <c r="AL16" s="55"/>
      <c r="AM16" s="55"/>
      <c r="AN16" s="55"/>
      <c r="AO16" s="55"/>
      <c r="AP16" s="55"/>
      <c r="AQ16" s="55">
        <f>SUM(AJ16:AP16)</f>
        <v>0</v>
      </c>
      <c r="AR16" s="72">
        <f>V16-AQ16</f>
        <v>1.0049048295043121</v>
      </c>
      <c r="AS16" s="55"/>
      <c r="AT16" s="55"/>
      <c r="AU16" s="55"/>
      <c r="AV16" s="55"/>
      <c r="AW16" s="55"/>
      <c r="AX16" s="55"/>
      <c r="AY16" s="55"/>
      <c r="AZ16" s="57">
        <v>118.901</v>
      </c>
      <c r="BA16" s="80">
        <v>103.551</v>
      </c>
      <c r="BB16" s="57">
        <f>AZ16/BA16</f>
        <v>1.1482361348514258</v>
      </c>
      <c r="BC16" s="55" t="e">
        <f>AV16*AM16/100/AK16*100/7</f>
        <v>#DIV/0!</v>
      </c>
      <c r="BD16" s="55" t="e">
        <f>BC16*BB16</f>
        <v>#DIV/0!</v>
      </c>
      <c r="BE16" s="55"/>
      <c r="BF16" s="55"/>
      <c r="BG16" s="55"/>
      <c r="BH16" s="55"/>
      <c r="BI16" s="55"/>
      <c r="BJ16" s="55"/>
      <c r="BK16" s="55"/>
      <c r="BL16" s="55">
        <f t="shared" ref="BL16:BL45" si="2">SUM((AU16:AY16),(BE16:BK16))</f>
        <v>0</v>
      </c>
      <c r="BM16" s="517">
        <f t="shared" ref="BM16:BM45" si="3">(AR16-BL16)</f>
        <v>1.0049048295043121</v>
      </c>
      <c r="BN16" s="516"/>
      <c r="BO16" s="516"/>
      <c r="BP16" s="516"/>
      <c r="BQ16" s="516"/>
      <c r="BR16" s="516"/>
      <c r="BS16" s="514">
        <v>118.901</v>
      </c>
      <c r="BT16" s="515">
        <v>103.551</v>
      </c>
      <c r="BU16" s="514">
        <f>BS16/BT16</f>
        <v>1.1482361348514258</v>
      </c>
      <c r="BV16" s="516"/>
      <c r="BW16" s="516"/>
      <c r="BX16" s="516"/>
      <c r="BY16" s="516"/>
      <c r="BZ16" s="516"/>
      <c r="CA16" s="516"/>
      <c r="CB16" s="516"/>
      <c r="CC16" s="516"/>
      <c r="CD16" s="516"/>
      <c r="CE16" s="516">
        <f>SUM((BN16:BR16),(BX16:CD16))</f>
        <v>0</v>
      </c>
      <c r="CF16" s="517">
        <f>BM16-CE16</f>
        <v>1.0049048295043121</v>
      </c>
      <c r="CG16" s="55">
        <v>0</v>
      </c>
      <c r="CH16" s="55">
        <v>0</v>
      </c>
      <c r="CI16" s="55">
        <v>0</v>
      </c>
      <c r="CJ16" s="55">
        <v>0</v>
      </c>
      <c r="CK16" s="55">
        <v>0</v>
      </c>
      <c r="CL16" s="505">
        <f t="shared" ref="CL16:CL22" si="4">SUM(CG16:CK16)</f>
        <v>0</v>
      </c>
      <c r="CM16" s="1085">
        <f t="shared" ref="CM16:CM45" si="5">AR16-CL16</f>
        <v>1.0049048295043121</v>
      </c>
      <c r="CN16" s="1086">
        <v>132.28200000000001</v>
      </c>
      <c r="CO16" s="515">
        <v>103.551</v>
      </c>
      <c r="CP16" s="1087">
        <f>CN16/CO16</f>
        <v>1.2774574847176754</v>
      </c>
      <c r="CQ16" s="516">
        <v>0</v>
      </c>
      <c r="CR16" s="516">
        <f>CQ16*CP16</f>
        <v>0</v>
      </c>
      <c r="CS16" s="516">
        <v>0</v>
      </c>
      <c r="CT16" s="516">
        <v>0</v>
      </c>
      <c r="CU16" s="516">
        <v>0</v>
      </c>
      <c r="CV16" s="516"/>
      <c r="CW16" s="516"/>
      <c r="CX16" s="516"/>
      <c r="CY16" s="516"/>
      <c r="CZ16" s="516"/>
      <c r="DA16" s="516"/>
      <c r="DB16" s="516"/>
      <c r="DC16" s="516"/>
      <c r="DD16" s="516"/>
      <c r="DE16" s="516"/>
      <c r="DF16" s="516"/>
      <c r="DG16" s="516"/>
      <c r="DH16" s="516"/>
      <c r="DI16" s="516"/>
      <c r="DJ16" s="516"/>
      <c r="DK16" s="516">
        <f>SUM(CS16:CY16)</f>
        <v>0</v>
      </c>
      <c r="DL16" s="1088">
        <f>CM16-DK16</f>
        <v>1.0049048295043121</v>
      </c>
    </row>
    <row r="17" spans="1:116" s="16" customFormat="1" ht="15.75" x14ac:dyDescent="0.25">
      <c r="A17" s="1094" t="s">
        <v>204</v>
      </c>
      <c r="B17" s="1098" t="s">
        <v>206</v>
      </c>
      <c r="C17" s="1096" t="s">
        <v>386</v>
      </c>
      <c r="D17" s="1099">
        <v>3</v>
      </c>
      <c r="E17" s="1100">
        <v>0.33329999999999999</v>
      </c>
      <c r="F17" s="1101">
        <v>43281</v>
      </c>
      <c r="G17" s="1102">
        <v>36</v>
      </c>
      <c r="H17" s="1103">
        <f>100/G17</f>
        <v>2.7777777777777777</v>
      </c>
      <c r="I17" s="694">
        <f>H17*J17</f>
        <v>180.55555555555554</v>
      </c>
      <c r="J17" s="1102">
        <f>(YEAR(F17)-YEAR(S17))*12+MONTH(F17)-MONTH(S17)</f>
        <v>65</v>
      </c>
      <c r="K17" s="694">
        <f>L17*H17</f>
        <v>-80.555555555555557</v>
      </c>
      <c r="L17" s="1102">
        <f>G17-J17</f>
        <v>-29</v>
      </c>
      <c r="M17" s="694">
        <f>N17*H17</f>
        <v>19.444444444444443</v>
      </c>
      <c r="N17" s="1102">
        <v>7</v>
      </c>
      <c r="O17" s="694">
        <f>K17-M17</f>
        <v>-100</v>
      </c>
      <c r="P17" s="1102">
        <f t="shared" si="0"/>
        <v>-36</v>
      </c>
      <c r="Q17" s="1104">
        <f>DATE(YEAR(S17),MONTH(S17)+G17,DAY(S17))</f>
        <v>42370</v>
      </c>
      <c r="R17" s="1094" t="s">
        <v>445</v>
      </c>
      <c r="S17" s="1094">
        <v>41275</v>
      </c>
      <c r="T17" s="1001">
        <v>98</v>
      </c>
      <c r="U17" s="1105">
        <v>35.409999999999997</v>
      </c>
      <c r="V17" s="735">
        <v>0.99707235493761459</v>
      </c>
      <c r="W17" s="47">
        <v>2.72</v>
      </c>
      <c r="X17" s="106">
        <f>W17*5</f>
        <v>13.600000000000001</v>
      </c>
      <c r="Y17" s="66"/>
      <c r="Z17" s="57"/>
      <c r="AA17" s="80">
        <v>104.556</v>
      </c>
      <c r="AB17" s="57">
        <f>Z17/AA17</f>
        <v>0</v>
      </c>
      <c r="AC17" s="55">
        <v>0</v>
      </c>
      <c r="AD17" s="55">
        <f>AC17*AB17</f>
        <v>0</v>
      </c>
      <c r="AE17" s="55"/>
      <c r="AF17" s="55"/>
      <c r="AG17" s="55"/>
      <c r="AH17" s="55"/>
      <c r="AI17" s="55"/>
      <c r="AJ17" s="55">
        <f t="shared" si="1"/>
        <v>0</v>
      </c>
      <c r="AK17" s="55">
        <f t="shared" si="1"/>
        <v>0</v>
      </c>
      <c r="AL17" s="55"/>
      <c r="AM17" s="55"/>
      <c r="AN17" s="55"/>
      <c r="AO17" s="55"/>
      <c r="AP17" s="55"/>
      <c r="AQ17" s="55">
        <f>SUM(AJ17:AP17)</f>
        <v>0</v>
      </c>
      <c r="AR17" s="72">
        <f>V17-AQ17</f>
        <v>0.99707235493761459</v>
      </c>
      <c r="AS17" s="55"/>
      <c r="AT17" s="55"/>
      <c r="AU17" s="55"/>
      <c r="AV17" s="55"/>
      <c r="AW17" s="55"/>
      <c r="AX17" s="55"/>
      <c r="AY17" s="55"/>
      <c r="AZ17" s="57">
        <v>118.901</v>
      </c>
      <c r="BA17" s="80">
        <v>104.556</v>
      </c>
      <c r="BB17" s="57">
        <f>AZ17/BA17</f>
        <v>1.1371992042541796</v>
      </c>
      <c r="BC17" s="55" t="e">
        <f>AV17*AM17/100/AK17*100/7</f>
        <v>#DIV/0!</v>
      </c>
      <c r="BD17" s="55" t="e">
        <f>BC17*BB17</f>
        <v>#DIV/0!</v>
      </c>
      <c r="BE17" s="55"/>
      <c r="BF17" s="55"/>
      <c r="BG17" s="55"/>
      <c r="BH17" s="55"/>
      <c r="BI17" s="55"/>
      <c r="BJ17" s="55"/>
      <c r="BK17" s="55"/>
      <c r="BL17" s="55">
        <f t="shared" si="2"/>
        <v>0</v>
      </c>
      <c r="BM17" s="517">
        <f t="shared" si="3"/>
        <v>0.99707235493761459</v>
      </c>
      <c r="BN17" s="516"/>
      <c r="BO17" s="516"/>
      <c r="BP17" s="516"/>
      <c r="BQ17" s="516"/>
      <c r="BR17" s="516"/>
      <c r="BS17" s="514">
        <v>118.901</v>
      </c>
      <c r="BT17" s="515">
        <v>104.556</v>
      </c>
      <c r="BU17" s="514">
        <f>BS17/BT17</f>
        <v>1.1371992042541796</v>
      </c>
      <c r="BV17" s="516"/>
      <c r="BW17" s="516"/>
      <c r="BX17" s="516"/>
      <c r="BY17" s="516"/>
      <c r="BZ17" s="516"/>
      <c r="CA17" s="516"/>
      <c r="CB17" s="516"/>
      <c r="CC17" s="516"/>
      <c r="CD17" s="516"/>
      <c r="CE17" s="516">
        <f>SUM((BN17:BR17),(BX17:CD17))</f>
        <v>0</v>
      </c>
      <c r="CF17" s="517">
        <f>BM17-CE17</f>
        <v>0.99707235493761459</v>
      </c>
      <c r="CG17" s="55">
        <v>0</v>
      </c>
      <c r="CH17" s="55">
        <v>0</v>
      </c>
      <c r="CI17" s="55">
        <v>0</v>
      </c>
      <c r="CJ17" s="55">
        <v>0</v>
      </c>
      <c r="CK17" s="55">
        <v>0</v>
      </c>
      <c r="CL17" s="505">
        <f t="shared" si="4"/>
        <v>0</v>
      </c>
      <c r="CM17" s="1085">
        <f t="shared" si="5"/>
        <v>0.99707235493761459</v>
      </c>
      <c r="CN17" s="1086">
        <v>132.28200000000001</v>
      </c>
      <c r="CO17" s="515">
        <v>104.556</v>
      </c>
      <c r="CP17" s="1087">
        <f>CN17/CO17</f>
        <v>1.2651784689544361</v>
      </c>
      <c r="CQ17" s="516">
        <v>0</v>
      </c>
      <c r="CR17" s="516">
        <f>CQ17*CP17</f>
        <v>0</v>
      </c>
      <c r="CS17" s="516">
        <v>0</v>
      </c>
      <c r="CT17" s="516">
        <v>0</v>
      </c>
      <c r="CU17" s="516">
        <v>0</v>
      </c>
      <c r="CV17" s="516"/>
      <c r="CW17" s="516"/>
      <c r="CX17" s="516"/>
      <c r="CY17" s="516"/>
      <c r="CZ17" s="516"/>
      <c r="DA17" s="516"/>
      <c r="DB17" s="516"/>
      <c r="DC17" s="516"/>
      <c r="DD17" s="516"/>
      <c r="DE17" s="516"/>
      <c r="DF17" s="516"/>
      <c r="DG17" s="516"/>
      <c r="DH17" s="516"/>
      <c r="DI17" s="516"/>
      <c r="DJ17" s="516"/>
      <c r="DK17" s="516">
        <f>SUM(CS17:CY17)</f>
        <v>0</v>
      </c>
      <c r="DL17" s="1088">
        <f>CM17-DK17</f>
        <v>0.99707235493761459</v>
      </c>
    </row>
    <row r="18" spans="1:116" s="16" customFormat="1" ht="15.75" x14ac:dyDescent="0.25">
      <c r="A18" s="1094" t="s">
        <v>204</v>
      </c>
      <c r="B18" s="1098" t="s">
        <v>207</v>
      </c>
      <c r="C18" s="1096" t="s">
        <v>386</v>
      </c>
      <c r="D18" s="1099">
        <v>3</v>
      </c>
      <c r="E18" s="1100">
        <v>0.33329999999999999</v>
      </c>
      <c r="F18" s="1101">
        <v>43281</v>
      </c>
      <c r="G18" s="1102">
        <v>36</v>
      </c>
      <c r="H18" s="1103">
        <f>100/G18</f>
        <v>2.7777777777777777</v>
      </c>
      <c r="I18" s="694">
        <f>H18*J18</f>
        <v>180.55555555555554</v>
      </c>
      <c r="J18" s="1102">
        <f>(YEAR(F18)-YEAR(S18))*12+MONTH(F18)-MONTH(S18)</f>
        <v>65</v>
      </c>
      <c r="K18" s="694">
        <f>L18*H18</f>
        <v>-80.555555555555557</v>
      </c>
      <c r="L18" s="1102">
        <f>G18-J18</f>
        <v>-29</v>
      </c>
      <c r="M18" s="694">
        <f>N18*H18</f>
        <v>19.444444444444443</v>
      </c>
      <c r="N18" s="1102">
        <v>7</v>
      </c>
      <c r="O18" s="694">
        <f t="shared" si="0"/>
        <v>-100</v>
      </c>
      <c r="P18" s="1102">
        <f t="shared" si="0"/>
        <v>-36</v>
      </c>
      <c r="Q18" s="1104">
        <f>DATE(YEAR(S18),MONTH(S18)+G18,DAY(S18))</f>
        <v>42370</v>
      </c>
      <c r="R18" s="1101" t="s">
        <v>445</v>
      </c>
      <c r="S18" s="1094">
        <v>41275</v>
      </c>
      <c r="T18" s="1001">
        <v>5699</v>
      </c>
      <c r="U18" s="1105">
        <v>2058.33</v>
      </c>
      <c r="V18" s="735">
        <v>1.0041081913825565</v>
      </c>
      <c r="W18" s="47">
        <v>158.29</v>
      </c>
      <c r="X18" s="106">
        <f>W18*5</f>
        <v>791.44999999999993</v>
      </c>
      <c r="Y18" s="165">
        <v>0</v>
      </c>
      <c r="Z18" s="57"/>
      <c r="AA18" s="80">
        <v>104.22799999999999</v>
      </c>
      <c r="AB18" s="57">
        <f>Z18/AA18</f>
        <v>0</v>
      </c>
      <c r="AC18" s="55">
        <v>0</v>
      </c>
      <c r="AD18" s="55">
        <f>AC18*AB18</f>
        <v>0</v>
      </c>
      <c r="AE18" s="55"/>
      <c r="AF18" s="55"/>
      <c r="AG18" s="55"/>
      <c r="AH18" s="55"/>
      <c r="AI18" s="55"/>
      <c r="AJ18" s="55">
        <f t="shared" si="1"/>
        <v>0</v>
      </c>
      <c r="AK18" s="55">
        <f t="shared" si="1"/>
        <v>0</v>
      </c>
      <c r="AL18" s="55"/>
      <c r="AM18" s="55"/>
      <c r="AN18" s="55"/>
      <c r="AO18" s="55"/>
      <c r="AP18" s="55"/>
      <c r="AQ18" s="55">
        <f>SUM(AJ18:AP18)</f>
        <v>0</v>
      </c>
      <c r="AR18" s="72">
        <f>V18-AQ18</f>
        <v>1.0041081913825565</v>
      </c>
      <c r="AS18" s="55"/>
      <c r="AT18" s="55"/>
      <c r="AU18" s="55"/>
      <c r="AV18" s="55"/>
      <c r="AW18" s="55"/>
      <c r="AX18" s="55"/>
      <c r="AY18" s="55"/>
      <c r="AZ18" s="57">
        <v>118.901</v>
      </c>
      <c r="BA18" s="80">
        <v>104.22799999999999</v>
      </c>
      <c r="BB18" s="57">
        <f>AZ18/BA18</f>
        <v>1.1407779099666118</v>
      </c>
      <c r="BC18" s="55" t="e">
        <f>AV18*AM18/100/AK18*100/7</f>
        <v>#DIV/0!</v>
      </c>
      <c r="BD18" s="55" t="e">
        <f>BC18*BB18</f>
        <v>#DIV/0!</v>
      </c>
      <c r="BE18" s="55"/>
      <c r="BF18" s="55"/>
      <c r="BG18" s="55"/>
      <c r="BH18" s="55"/>
      <c r="BI18" s="55"/>
      <c r="BJ18" s="55"/>
      <c r="BK18" s="55"/>
      <c r="BL18" s="55">
        <f t="shared" si="2"/>
        <v>0</v>
      </c>
      <c r="BM18" s="517">
        <f t="shared" si="3"/>
        <v>1.0041081913825565</v>
      </c>
      <c r="BN18" s="516"/>
      <c r="BO18" s="516"/>
      <c r="BP18" s="516"/>
      <c r="BQ18" s="516"/>
      <c r="BR18" s="516"/>
      <c r="BS18" s="514">
        <v>118.901</v>
      </c>
      <c r="BT18" s="515">
        <v>104.22799999999999</v>
      </c>
      <c r="BU18" s="514">
        <f>BS18/BT18</f>
        <v>1.1407779099666118</v>
      </c>
      <c r="BV18" s="516"/>
      <c r="BW18" s="516"/>
      <c r="BX18" s="516"/>
      <c r="BY18" s="516"/>
      <c r="BZ18" s="516"/>
      <c r="CA18" s="516"/>
      <c r="CB18" s="516"/>
      <c r="CC18" s="516"/>
      <c r="CD18" s="516"/>
      <c r="CE18" s="516">
        <f>SUM((BN18:BR18),(BX18:CD18))</f>
        <v>0</v>
      </c>
      <c r="CF18" s="517">
        <f>BM18-CE18</f>
        <v>1.0041081913825565</v>
      </c>
      <c r="CG18" s="55">
        <v>0</v>
      </c>
      <c r="CH18" s="55">
        <v>0</v>
      </c>
      <c r="CI18" s="55">
        <v>0</v>
      </c>
      <c r="CJ18" s="55">
        <v>0</v>
      </c>
      <c r="CK18" s="55">
        <v>0</v>
      </c>
      <c r="CL18" s="505">
        <f t="shared" si="4"/>
        <v>0</v>
      </c>
      <c r="CM18" s="1085">
        <f t="shared" si="5"/>
        <v>1.0041081913825565</v>
      </c>
      <c r="CN18" s="1086">
        <v>132.28200000000001</v>
      </c>
      <c r="CO18" s="515">
        <v>104.22799999999999</v>
      </c>
      <c r="CP18" s="1087">
        <f>CN18/CO18</f>
        <v>1.269159918639905</v>
      </c>
      <c r="CQ18" s="516">
        <v>0</v>
      </c>
      <c r="CR18" s="516">
        <f>CQ18*CP18</f>
        <v>0</v>
      </c>
      <c r="CS18" s="516">
        <v>0</v>
      </c>
      <c r="CT18" s="516">
        <v>0</v>
      </c>
      <c r="CU18" s="516">
        <v>0</v>
      </c>
      <c r="CV18" s="516"/>
      <c r="CW18" s="516"/>
      <c r="CX18" s="516"/>
      <c r="CY18" s="516"/>
      <c r="CZ18" s="516"/>
      <c r="DA18" s="516"/>
      <c r="DB18" s="516"/>
      <c r="DC18" s="516"/>
      <c r="DD18" s="516"/>
      <c r="DE18" s="516"/>
      <c r="DF18" s="516"/>
      <c r="DG18" s="516"/>
      <c r="DH18" s="516"/>
      <c r="DI18" s="516"/>
      <c r="DJ18" s="516"/>
      <c r="DK18" s="516">
        <f>SUM(CS18:CY18)</f>
        <v>0</v>
      </c>
      <c r="DL18" s="1088">
        <f>CM18-DK18</f>
        <v>1.0041081913825565</v>
      </c>
    </row>
    <row r="19" spans="1:116" s="16" customFormat="1" ht="15.75" x14ac:dyDescent="0.25">
      <c r="A19" s="1094" t="s">
        <v>204</v>
      </c>
      <c r="B19" s="1098" t="s">
        <v>208</v>
      </c>
      <c r="C19" s="1096" t="s">
        <v>386</v>
      </c>
      <c r="D19" s="1099">
        <v>3</v>
      </c>
      <c r="E19" s="1100">
        <v>0.33329999999999999</v>
      </c>
      <c r="F19" s="1101">
        <v>43281</v>
      </c>
      <c r="G19" s="1102">
        <v>36</v>
      </c>
      <c r="H19" s="1103">
        <f>100/G19</f>
        <v>2.7777777777777777</v>
      </c>
      <c r="I19" s="694">
        <f>H19*J19</f>
        <v>180.55555555555554</v>
      </c>
      <c r="J19" s="1102">
        <f>(YEAR(F19)-YEAR(S19))*12+MONTH(F19)-MONTH(S19)</f>
        <v>65</v>
      </c>
      <c r="K19" s="694">
        <f>L19*H19</f>
        <v>-80.555555555555557</v>
      </c>
      <c r="L19" s="1102">
        <f>G19-J19</f>
        <v>-29</v>
      </c>
      <c r="M19" s="694">
        <f>N19*H19</f>
        <v>19.444444444444443</v>
      </c>
      <c r="N19" s="1102">
        <v>7</v>
      </c>
      <c r="O19" s="694">
        <f t="shared" si="0"/>
        <v>-100</v>
      </c>
      <c r="P19" s="1102">
        <f t="shared" si="0"/>
        <v>-36</v>
      </c>
      <c r="Q19" s="1104">
        <f>DATE(YEAR(S19),MONTH(S19)+G19,DAY(S19))</f>
        <v>42370</v>
      </c>
      <c r="R19" s="1101" t="s">
        <v>445</v>
      </c>
      <c r="S19" s="1094">
        <v>41275</v>
      </c>
      <c r="T19" s="1001">
        <v>179</v>
      </c>
      <c r="U19" s="1105">
        <v>64.67</v>
      </c>
      <c r="V19" s="735">
        <v>0.99736122456811671</v>
      </c>
      <c r="W19" s="47">
        <v>4.97</v>
      </c>
      <c r="X19" s="106">
        <f>W19*5</f>
        <v>24.849999999999998</v>
      </c>
      <c r="Y19" s="165">
        <v>0</v>
      </c>
      <c r="Z19" s="57"/>
      <c r="AA19" s="80">
        <v>104.22799999999999</v>
      </c>
      <c r="AB19" s="57">
        <f>Z19/AA19</f>
        <v>0</v>
      </c>
      <c r="AC19" s="55">
        <v>0</v>
      </c>
      <c r="AD19" s="55">
        <f>AC19*AB19</f>
        <v>0</v>
      </c>
      <c r="AE19" s="55"/>
      <c r="AF19" s="55"/>
      <c r="AG19" s="55"/>
      <c r="AH19" s="55"/>
      <c r="AI19" s="55"/>
      <c r="AJ19" s="55">
        <f t="shared" si="1"/>
        <v>0</v>
      </c>
      <c r="AK19" s="55">
        <f t="shared" si="1"/>
        <v>0</v>
      </c>
      <c r="AL19" s="55"/>
      <c r="AM19" s="55"/>
      <c r="AN19" s="55"/>
      <c r="AO19" s="55"/>
      <c r="AP19" s="55"/>
      <c r="AQ19" s="55">
        <f>SUM(AJ19:AP19)</f>
        <v>0</v>
      </c>
      <c r="AR19" s="72">
        <f>V19-AQ19</f>
        <v>0.99736122456811671</v>
      </c>
      <c r="AS19" s="55"/>
      <c r="AT19" s="55"/>
      <c r="AU19" s="55"/>
      <c r="AV19" s="55"/>
      <c r="AW19" s="55"/>
      <c r="AX19" s="55"/>
      <c r="AY19" s="55"/>
      <c r="AZ19" s="57">
        <v>118.901</v>
      </c>
      <c r="BA19" s="80">
        <v>104.22799999999999</v>
      </c>
      <c r="BB19" s="57">
        <f>AZ19/BA19</f>
        <v>1.1407779099666118</v>
      </c>
      <c r="BC19" s="55" t="e">
        <f>AV19*AM19/100/AK19*100/7</f>
        <v>#DIV/0!</v>
      </c>
      <c r="BD19" s="55" t="e">
        <f>BC19*BB19</f>
        <v>#DIV/0!</v>
      </c>
      <c r="BE19" s="55"/>
      <c r="BF19" s="55"/>
      <c r="BG19" s="55"/>
      <c r="BH19" s="55"/>
      <c r="BI19" s="55"/>
      <c r="BJ19" s="55"/>
      <c r="BK19" s="55"/>
      <c r="BL19" s="55">
        <f t="shared" si="2"/>
        <v>0</v>
      </c>
      <c r="BM19" s="517">
        <f t="shared" si="3"/>
        <v>0.99736122456811671</v>
      </c>
      <c r="BN19" s="516"/>
      <c r="BO19" s="516"/>
      <c r="BP19" s="516"/>
      <c r="BQ19" s="516"/>
      <c r="BR19" s="516"/>
      <c r="BS19" s="514">
        <v>118.901</v>
      </c>
      <c r="BT19" s="515">
        <v>104.22799999999999</v>
      </c>
      <c r="BU19" s="514">
        <f>BS19/BT19</f>
        <v>1.1407779099666118</v>
      </c>
      <c r="BV19" s="516"/>
      <c r="BW19" s="516"/>
      <c r="BX19" s="516"/>
      <c r="BY19" s="516"/>
      <c r="BZ19" s="516"/>
      <c r="CA19" s="516"/>
      <c r="CB19" s="516"/>
      <c r="CC19" s="516"/>
      <c r="CD19" s="516"/>
      <c r="CE19" s="516">
        <f>SUM((BN19:BR19),(BX19:CD19))</f>
        <v>0</v>
      </c>
      <c r="CF19" s="517">
        <f>BM19-CE19</f>
        <v>0.99736122456811671</v>
      </c>
      <c r="CG19" s="55">
        <v>0</v>
      </c>
      <c r="CH19" s="55">
        <v>0</v>
      </c>
      <c r="CI19" s="55">
        <v>0</v>
      </c>
      <c r="CJ19" s="55">
        <v>0</v>
      </c>
      <c r="CK19" s="55">
        <v>0</v>
      </c>
      <c r="CL19" s="505">
        <f t="shared" si="4"/>
        <v>0</v>
      </c>
      <c r="CM19" s="1085">
        <f t="shared" si="5"/>
        <v>0.99736122456811671</v>
      </c>
      <c r="CN19" s="1086">
        <v>132.28200000000001</v>
      </c>
      <c r="CO19" s="515">
        <v>104.22799999999999</v>
      </c>
      <c r="CP19" s="1087">
        <f>CN19/CO19</f>
        <v>1.269159918639905</v>
      </c>
      <c r="CQ19" s="516">
        <v>0</v>
      </c>
      <c r="CR19" s="516">
        <f>CQ19*CP19</f>
        <v>0</v>
      </c>
      <c r="CS19" s="516">
        <v>0</v>
      </c>
      <c r="CT19" s="516">
        <v>0</v>
      </c>
      <c r="CU19" s="516">
        <v>0</v>
      </c>
      <c r="CV19" s="516"/>
      <c r="CW19" s="516"/>
      <c r="CX19" s="516"/>
      <c r="CY19" s="516"/>
      <c r="CZ19" s="516"/>
      <c r="DA19" s="516"/>
      <c r="DB19" s="516"/>
      <c r="DC19" s="516"/>
      <c r="DD19" s="516"/>
      <c r="DE19" s="516"/>
      <c r="DF19" s="516"/>
      <c r="DG19" s="516"/>
      <c r="DH19" s="516"/>
      <c r="DI19" s="516"/>
      <c r="DJ19" s="516"/>
      <c r="DK19" s="516">
        <f>SUM(CS19:CY19)</f>
        <v>0</v>
      </c>
      <c r="DL19" s="1088">
        <f>CM19-DK19</f>
        <v>0.99736122456811671</v>
      </c>
    </row>
    <row r="20" spans="1:116" s="16" customFormat="1" ht="15.75" x14ac:dyDescent="0.25">
      <c r="A20" s="1089" t="s">
        <v>268</v>
      </c>
      <c r="B20" s="1089" t="s">
        <v>25</v>
      </c>
      <c r="C20" s="1096"/>
      <c r="D20" s="1099"/>
      <c r="E20" s="1091"/>
      <c r="F20" s="1101"/>
      <c r="G20" s="1102"/>
      <c r="H20" s="1103"/>
      <c r="I20" s="1102"/>
      <c r="J20" s="1102"/>
      <c r="K20" s="1102"/>
      <c r="L20" s="1102"/>
      <c r="M20" s="1102"/>
      <c r="N20" s="1102"/>
      <c r="O20" s="1102"/>
      <c r="P20" s="1102"/>
      <c r="Q20" s="1102"/>
      <c r="R20" s="1101"/>
      <c r="S20" s="1106"/>
      <c r="T20" s="1107"/>
      <c r="U20" s="1108"/>
      <c r="V20" s="735"/>
      <c r="W20" s="47"/>
      <c r="X20" s="106"/>
      <c r="Y20" s="165"/>
      <c r="Z20" s="57"/>
      <c r="AA20" s="81"/>
      <c r="AB20" s="57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72"/>
      <c r="AS20" s="55"/>
      <c r="AT20" s="55"/>
      <c r="AU20" s="55"/>
      <c r="AV20" s="55"/>
      <c r="AW20" s="55"/>
      <c r="AX20" s="55"/>
      <c r="AY20" s="55"/>
      <c r="AZ20" s="57"/>
      <c r="BA20" s="81"/>
      <c r="BB20" s="57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17"/>
      <c r="BN20" s="516"/>
      <c r="BO20" s="516"/>
      <c r="BP20" s="516"/>
      <c r="BQ20" s="516"/>
      <c r="BR20" s="516"/>
      <c r="BS20" s="514"/>
      <c r="BT20" s="528"/>
      <c r="BU20" s="514"/>
      <c r="BV20" s="516"/>
      <c r="BW20" s="516"/>
      <c r="BX20" s="516"/>
      <c r="BY20" s="516"/>
      <c r="BZ20" s="516"/>
      <c r="CA20" s="516"/>
      <c r="CB20" s="516"/>
      <c r="CC20" s="516"/>
      <c r="CD20" s="516"/>
      <c r="CE20" s="516"/>
      <c r="CF20" s="517"/>
      <c r="CG20" s="55"/>
      <c r="CH20" s="55"/>
      <c r="CI20" s="55"/>
      <c r="CJ20" s="55"/>
      <c r="CK20" s="55"/>
      <c r="CL20" s="505"/>
      <c r="CM20" s="1085"/>
      <c r="CN20" s="520"/>
      <c r="CO20" s="528"/>
      <c r="CP20" s="1087"/>
      <c r="CQ20" s="516"/>
      <c r="CR20" s="516"/>
      <c r="CS20" s="516"/>
      <c r="CT20" s="516"/>
      <c r="CU20" s="516"/>
      <c r="CV20" s="516"/>
      <c r="CW20" s="516"/>
      <c r="CX20" s="516"/>
      <c r="CY20" s="516"/>
      <c r="CZ20" s="516"/>
      <c r="DA20" s="516"/>
      <c r="DB20" s="516"/>
      <c r="DC20" s="516"/>
      <c r="DD20" s="516"/>
      <c r="DE20" s="516"/>
      <c r="DF20" s="516"/>
      <c r="DG20" s="516"/>
      <c r="DH20" s="516"/>
      <c r="DI20" s="516"/>
      <c r="DJ20" s="516"/>
      <c r="DK20" s="516"/>
      <c r="DL20" s="516"/>
    </row>
    <row r="21" spans="1:116" s="16" customFormat="1" ht="15.75" x14ac:dyDescent="0.25">
      <c r="A21" s="1089" t="s">
        <v>269</v>
      </c>
      <c r="B21" s="1090"/>
      <c r="C21" s="1096"/>
      <c r="D21" s="1099"/>
      <c r="E21" s="1091"/>
      <c r="F21" s="1101"/>
      <c r="G21" s="1102"/>
      <c r="H21" s="1103"/>
      <c r="I21" s="1102"/>
      <c r="J21" s="1102"/>
      <c r="K21" s="1102"/>
      <c r="L21" s="1102"/>
      <c r="M21" s="1102"/>
      <c r="N21" s="1102"/>
      <c r="O21" s="1102"/>
      <c r="P21" s="1102"/>
      <c r="Q21" s="1102"/>
      <c r="R21" s="1101"/>
      <c r="S21" s="1094"/>
      <c r="T21" s="1001"/>
      <c r="U21" s="1109"/>
      <c r="V21" s="735"/>
      <c r="W21" s="47"/>
      <c r="X21" s="106"/>
      <c r="Y21" s="165"/>
      <c r="Z21" s="57"/>
      <c r="AA21" s="82"/>
      <c r="AB21" s="57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72"/>
      <c r="AS21" s="55"/>
      <c r="AT21" s="55"/>
      <c r="AU21" s="55"/>
      <c r="AV21" s="55"/>
      <c r="AW21" s="55"/>
      <c r="AX21" s="55"/>
      <c r="AY21" s="55"/>
      <c r="AZ21" s="57"/>
      <c r="BA21" s="82"/>
      <c r="BB21" s="57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17"/>
      <c r="BN21" s="516"/>
      <c r="BO21" s="516"/>
      <c r="BP21" s="516"/>
      <c r="BQ21" s="516"/>
      <c r="BR21" s="516"/>
      <c r="BS21" s="514"/>
      <c r="BT21" s="690"/>
      <c r="BU21" s="514"/>
      <c r="BV21" s="516"/>
      <c r="BW21" s="516"/>
      <c r="BX21" s="516"/>
      <c r="BY21" s="516"/>
      <c r="BZ21" s="516"/>
      <c r="CA21" s="516"/>
      <c r="CB21" s="516"/>
      <c r="CC21" s="516"/>
      <c r="CD21" s="516"/>
      <c r="CE21" s="516"/>
      <c r="CF21" s="517"/>
      <c r="CG21" s="55"/>
      <c r="CH21" s="55"/>
      <c r="CI21" s="55"/>
      <c r="CJ21" s="55"/>
      <c r="CK21" s="55"/>
      <c r="CL21" s="505"/>
      <c r="CM21" s="1085"/>
      <c r="CN21" s="520"/>
      <c r="CO21" s="690"/>
      <c r="CP21" s="1087"/>
      <c r="CQ21" s="516"/>
      <c r="CR21" s="516"/>
      <c r="CS21" s="516"/>
      <c r="CT21" s="516"/>
      <c r="CU21" s="516"/>
      <c r="CV21" s="516"/>
      <c r="CW21" s="516"/>
      <c r="CX21" s="516"/>
      <c r="CY21" s="516"/>
      <c r="CZ21" s="516"/>
      <c r="DA21" s="516"/>
      <c r="DB21" s="516"/>
      <c r="DC21" s="516"/>
      <c r="DD21" s="516"/>
      <c r="DE21" s="516"/>
      <c r="DF21" s="516"/>
      <c r="DG21" s="516"/>
      <c r="DH21" s="516"/>
      <c r="DI21" s="516"/>
      <c r="DJ21" s="516"/>
      <c r="DK21" s="516"/>
      <c r="DL21" s="516"/>
    </row>
    <row r="22" spans="1:116" s="16" customFormat="1" ht="15.75" x14ac:dyDescent="0.25">
      <c r="A22" s="1094" t="s">
        <v>271</v>
      </c>
      <c r="B22" s="1098" t="s">
        <v>227</v>
      </c>
      <c r="C22" s="1096" t="s">
        <v>386</v>
      </c>
      <c r="D22" s="1099">
        <v>3</v>
      </c>
      <c r="E22" s="1100">
        <v>0.33329999999999999</v>
      </c>
      <c r="F22" s="1101">
        <v>43281</v>
      </c>
      <c r="G22" s="1102">
        <v>36</v>
      </c>
      <c r="H22" s="1103">
        <f>100/G22</f>
        <v>2.7777777777777777</v>
      </c>
      <c r="I22" s="694">
        <f>H22*J22</f>
        <v>100</v>
      </c>
      <c r="J22" s="1102">
        <v>36</v>
      </c>
      <c r="K22" s="694">
        <f>L22*H22</f>
        <v>0</v>
      </c>
      <c r="L22" s="1102">
        <f>G22-J22</f>
        <v>0</v>
      </c>
      <c r="M22" s="694">
        <f>N22*H22</f>
        <v>0</v>
      </c>
      <c r="N22" s="1102">
        <v>0</v>
      </c>
      <c r="O22" s="694">
        <f>K22-M22</f>
        <v>0</v>
      </c>
      <c r="P22" s="1102">
        <f>L22-N22</f>
        <v>0</v>
      </c>
      <c r="Q22" s="1104">
        <f>DATE(YEAR(S22),MONTH(S22)+G22,DAY(S22))</f>
        <v>42005</v>
      </c>
      <c r="R22" s="1101" t="s">
        <v>445</v>
      </c>
      <c r="S22" s="1094">
        <v>40909</v>
      </c>
      <c r="T22" s="1001">
        <v>900</v>
      </c>
      <c r="U22" s="1109">
        <v>25.07</v>
      </c>
      <c r="V22" s="735">
        <v>1</v>
      </c>
      <c r="W22" s="47">
        <v>0</v>
      </c>
      <c r="X22" s="106">
        <v>25.07</v>
      </c>
      <c r="Y22" s="165">
        <v>0</v>
      </c>
      <c r="Z22" s="57"/>
      <c r="AA22" s="80">
        <v>107.678</v>
      </c>
      <c r="AB22" s="57">
        <f>Z22/AA22</f>
        <v>0</v>
      </c>
      <c r="AC22" s="55">
        <v>0</v>
      </c>
      <c r="AD22" s="55">
        <f>AC22*AB22</f>
        <v>0</v>
      </c>
      <c r="AE22" s="55"/>
      <c r="AF22" s="55"/>
      <c r="AG22" s="55"/>
      <c r="AH22" s="55"/>
      <c r="AI22" s="55"/>
      <c r="AJ22" s="55">
        <f>AD22</f>
        <v>0</v>
      </c>
      <c r="AK22" s="55">
        <f>AE22</f>
        <v>0</v>
      </c>
      <c r="AL22" s="55">
        <v>0</v>
      </c>
      <c r="AM22" s="55">
        <v>0</v>
      </c>
      <c r="AN22" s="55">
        <v>0</v>
      </c>
      <c r="AO22" s="55">
        <v>0</v>
      </c>
      <c r="AP22" s="55">
        <v>0</v>
      </c>
      <c r="AQ22" s="55">
        <f>SUM(AJ22:AP22)</f>
        <v>0</v>
      </c>
      <c r="AR22" s="72">
        <f>V22-AQ22</f>
        <v>1</v>
      </c>
      <c r="AS22" s="55"/>
      <c r="AT22" s="55"/>
      <c r="AU22" s="55"/>
      <c r="AV22" s="55"/>
      <c r="AW22" s="55"/>
      <c r="AX22" s="55"/>
      <c r="AY22" s="55"/>
      <c r="AZ22" s="57">
        <v>118.901</v>
      </c>
      <c r="BA22" s="80">
        <v>107.678</v>
      </c>
      <c r="BB22" s="57">
        <f>AZ22/BA22</f>
        <v>1.1042274187856387</v>
      </c>
      <c r="BC22" s="55">
        <v>0</v>
      </c>
      <c r="BD22" s="55">
        <f>BC22*BB22</f>
        <v>0</v>
      </c>
      <c r="BE22" s="55"/>
      <c r="BF22" s="55"/>
      <c r="BG22" s="55"/>
      <c r="BH22" s="55"/>
      <c r="BI22" s="55"/>
      <c r="BJ22" s="55"/>
      <c r="BK22" s="55"/>
      <c r="BL22" s="55">
        <f t="shared" si="2"/>
        <v>0</v>
      </c>
      <c r="BM22" s="517">
        <f t="shared" si="3"/>
        <v>1</v>
      </c>
      <c r="BN22" s="516"/>
      <c r="BO22" s="516"/>
      <c r="BP22" s="516"/>
      <c r="BQ22" s="516"/>
      <c r="BR22" s="516"/>
      <c r="BS22" s="514">
        <v>118.901</v>
      </c>
      <c r="BT22" s="515">
        <v>107.678</v>
      </c>
      <c r="BU22" s="514">
        <f>BS22/BT22</f>
        <v>1.1042274187856387</v>
      </c>
      <c r="BV22" s="516"/>
      <c r="BW22" s="516"/>
      <c r="BX22" s="516"/>
      <c r="BY22" s="516"/>
      <c r="BZ22" s="516"/>
      <c r="CA22" s="516"/>
      <c r="CB22" s="516"/>
      <c r="CC22" s="516"/>
      <c r="CD22" s="516"/>
      <c r="CE22" s="516">
        <f>SUM((BN22:BR22),(BX22:CD22))</f>
        <v>0</v>
      </c>
      <c r="CF22" s="517">
        <f>BM22-CE22</f>
        <v>1</v>
      </c>
      <c r="CG22" s="55">
        <v>0</v>
      </c>
      <c r="CH22" s="55">
        <v>0</v>
      </c>
      <c r="CI22" s="55">
        <v>0</v>
      </c>
      <c r="CJ22" s="55">
        <v>0</v>
      </c>
      <c r="CK22" s="55">
        <v>0</v>
      </c>
      <c r="CL22" s="505">
        <f t="shared" si="4"/>
        <v>0</v>
      </c>
      <c r="CM22" s="1085">
        <f t="shared" si="5"/>
        <v>1</v>
      </c>
      <c r="CN22" s="1086">
        <v>132.28200000000001</v>
      </c>
      <c r="CO22" s="515">
        <v>107.678</v>
      </c>
      <c r="CP22" s="1087">
        <f>CN22/CO22</f>
        <v>1.2284960716209441</v>
      </c>
      <c r="CQ22" s="516">
        <v>0</v>
      </c>
      <c r="CR22" s="516">
        <f>CQ22*CP22</f>
        <v>0</v>
      </c>
      <c r="CS22" s="516">
        <v>0</v>
      </c>
      <c r="CT22" s="516">
        <v>0</v>
      </c>
      <c r="CU22" s="516">
        <v>0</v>
      </c>
      <c r="CV22" s="516"/>
      <c r="CW22" s="516"/>
      <c r="CX22" s="516"/>
      <c r="CY22" s="516"/>
      <c r="CZ22" s="516"/>
      <c r="DA22" s="516"/>
      <c r="DB22" s="516"/>
      <c r="DC22" s="516"/>
      <c r="DD22" s="516"/>
      <c r="DE22" s="516"/>
      <c r="DF22" s="516"/>
      <c r="DG22" s="516"/>
      <c r="DH22" s="516"/>
      <c r="DI22" s="516"/>
      <c r="DJ22" s="516"/>
      <c r="DK22" s="516">
        <f>SUM(CS22:CY22)</f>
        <v>0</v>
      </c>
      <c r="DL22" s="1088">
        <f>CM22-DK22</f>
        <v>1</v>
      </c>
    </row>
    <row r="23" spans="1:116" s="16" customFormat="1" ht="15.75" x14ac:dyDescent="0.25">
      <c r="A23" s="1089" t="s">
        <v>65</v>
      </c>
      <c r="B23" s="1089" t="s">
        <v>89</v>
      </c>
      <c r="C23" s="1096"/>
      <c r="D23" s="1099"/>
      <c r="E23" s="1100"/>
      <c r="F23" s="1101"/>
      <c r="G23" s="1102"/>
      <c r="H23" s="1103"/>
      <c r="I23" s="1102"/>
      <c r="J23" s="1102"/>
      <c r="K23" s="1102"/>
      <c r="L23" s="1102"/>
      <c r="M23" s="1102"/>
      <c r="N23" s="1102"/>
      <c r="O23" s="1102"/>
      <c r="P23" s="1102"/>
      <c r="Q23" s="1102"/>
      <c r="R23" s="1101"/>
      <c r="S23" s="1094"/>
      <c r="T23" s="1001"/>
      <c r="U23" s="1105"/>
      <c r="V23" s="735"/>
      <c r="W23" s="47"/>
      <c r="X23" s="106"/>
      <c r="Y23" s="165"/>
      <c r="Z23" s="57"/>
      <c r="AA23" s="81"/>
      <c r="AB23" s="57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72"/>
      <c r="AS23" s="55"/>
      <c r="AT23" s="55"/>
      <c r="AU23" s="55"/>
      <c r="AV23" s="55"/>
      <c r="AW23" s="55"/>
      <c r="AX23" s="55"/>
      <c r="AY23" s="55"/>
      <c r="AZ23" s="57"/>
      <c r="BA23" s="81"/>
      <c r="BB23" s="57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17"/>
      <c r="BN23" s="516"/>
      <c r="BO23" s="516"/>
      <c r="BP23" s="516"/>
      <c r="BQ23" s="516"/>
      <c r="BR23" s="516"/>
      <c r="BS23" s="514"/>
      <c r="BT23" s="528"/>
      <c r="BU23" s="514"/>
      <c r="BV23" s="516"/>
      <c r="BW23" s="516"/>
      <c r="BX23" s="516"/>
      <c r="BY23" s="516"/>
      <c r="BZ23" s="516"/>
      <c r="CA23" s="516"/>
      <c r="CB23" s="516"/>
      <c r="CC23" s="516"/>
      <c r="CD23" s="516"/>
      <c r="CE23" s="516"/>
      <c r="CF23" s="517"/>
      <c r="CG23" s="55"/>
      <c r="CH23" s="55"/>
      <c r="CI23" s="55"/>
      <c r="CJ23" s="55"/>
      <c r="CK23" s="55"/>
      <c r="CL23" s="505"/>
      <c r="CM23" s="1085"/>
      <c r="CN23" s="520"/>
      <c r="CO23" s="528"/>
      <c r="CP23" s="1087"/>
      <c r="CQ23" s="516"/>
      <c r="CR23" s="516"/>
      <c r="CS23" s="516"/>
      <c r="CT23" s="516"/>
      <c r="CU23" s="516"/>
      <c r="CV23" s="516"/>
      <c r="CW23" s="516"/>
      <c r="CX23" s="516"/>
      <c r="CY23" s="516"/>
      <c r="CZ23" s="516"/>
      <c r="DA23" s="516"/>
      <c r="DB23" s="516"/>
      <c r="DC23" s="516"/>
      <c r="DD23" s="516"/>
      <c r="DE23" s="516"/>
      <c r="DF23" s="516"/>
      <c r="DG23" s="516"/>
      <c r="DH23" s="516"/>
      <c r="DI23" s="516"/>
      <c r="DJ23" s="516"/>
      <c r="DK23" s="516"/>
      <c r="DL23" s="516"/>
    </row>
    <row r="24" spans="1:116" s="16" customFormat="1" ht="15.75" x14ac:dyDescent="0.25">
      <c r="A24" s="1089" t="s">
        <v>82</v>
      </c>
      <c r="B24" s="1098"/>
      <c r="C24" s="1090"/>
      <c r="D24" s="1091"/>
      <c r="E24" s="1100"/>
      <c r="F24" s="1093"/>
      <c r="G24" s="1093"/>
      <c r="H24" s="1110"/>
      <c r="I24" s="1093"/>
      <c r="J24" s="1093"/>
      <c r="K24" s="1093"/>
      <c r="L24" s="1093"/>
      <c r="M24" s="1093"/>
      <c r="N24" s="1093"/>
      <c r="O24" s="1093"/>
      <c r="P24" s="1093"/>
      <c r="Q24" s="1093"/>
      <c r="R24" s="1094"/>
      <c r="S24" s="1094"/>
      <c r="T24" s="1001"/>
      <c r="U24" s="1105"/>
      <c r="V24" s="734"/>
      <c r="W24" s="14"/>
      <c r="X24" s="106"/>
      <c r="Y24" s="66"/>
      <c r="Z24" s="66"/>
      <c r="AA24" s="81"/>
      <c r="AB24" s="66"/>
      <c r="AC24" s="65"/>
      <c r="AD24" s="65"/>
      <c r="AE24" s="6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72"/>
      <c r="AS24" s="55"/>
      <c r="AT24" s="55"/>
      <c r="AU24" s="55"/>
      <c r="AV24" s="55"/>
      <c r="AW24" s="55"/>
      <c r="AX24" s="55"/>
      <c r="AY24" s="55"/>
      <c r="AZ24" s="66"/>
      <c r="BA24" s="81"/>
      <c r="BB24" s="66"/>
      <c r="BC24" s="65"/>
      <c r="BD24" s="65"/>
      <c r="BE24" s="55"/>
      <c r="BF24" s="55"/>
      <c r="BG24" s="55"/>
      <c r="BH24" s="55"/>
      <c r="BI24" s="55"/>
      <c r="BJ24" s="55"/>
      <c r="BK24" s="55"/>
      <c r="BL24" s="55"/>
      <c r="BM24" s="517"/>
      <c r="BN24" s="516"/>
      <c r="BO24" s="516"/>
      <c r="BP24" s="516"/>
      <c r="BQ24" s="516"/>
      <c r="BR24" s="516"/>
      <c r="BS24" s="519"/>
      <c r="BT24" s="528"/>
      <c r="BU24" s="519"/>
      <c r="BV24" s="520"/>
      <c r="BW24" s="520"/>
      <c r="BX24" s="516"/>
      <c r="BY24" s="516"/>
      <c r="BZ24" s="516"/>
      <c r="CA24" s="516"/>
      <c r="CB24" s="516"/>
      <c r="CC24" s="516"/>
      <c r="CD24" s="516"/>
      <c r="CE24" s="516"/>
      <c r="CF24" s="517"/>
      <c r="CG24" s="55"/>
      <c r="CH24" s="55"/>
      <c r="CI24" s="55"/>
      <c r="CJ24" s="55"/>
      <c r="CK24" s="55"/>
      <c r="CL24" s="505"/>
      <c r="CM24" s="1085"/>
      <c r="CN24" s="1086"/>
      <c r="CO24" s="528"/>
      <c r="CP24" s="1087"/>
      <c r="CQ24" s="516"/>
      <c r="CR24" s="516"/>
      <c r="CS24" s="516"/>
      <c r="CT24" s="516"/>
      <c r="CU24" s="516"/>
      <c r="CV24" s="516"/>
      <c r="CW24" s="516"/>
      <c r="CX24" s="516"/>
      <c r="CY24" s="516"/>
      <c r="CZ24" s="516"/>
      <c r="DA24" s="516"/>
      <c r="DB24" s="516"/>
      <c r="DC24" s="516"/>
      <c r="DD24" s="516"/>
      <c r="DE24" s="516"/>
      <c r="DF24" s="516"/>
      <c r="DG24" s="516"/>
      <c r="DH24" s="516"/>
      <c r="DI24" s="516"/>
      <c r="DJ24" s="516"/>
      <c r="DK24" s="516"/>
      <c r="DL24" s="1088"/>
    </row>
    <row r="25" spans="1:116" s="16" customFormat="1" ht="15.75" x14ac:dyDescent="0.25">
      <c r="A25" s="1094" t="s">
        <v>209</v>
      </c>
      <c r="B25" s="1098" t="s">
        <v>210</v>
      </c>
      <c r="C25" s="1096" t="s">
        <v>386</v>
      </c>
      <c r="D25" s="1099">
        <v>10</v>
      </c>
      <c r="E25" s="1100">
        <v>0.1</v>
      </c>
      <c r="F25" s="1101">
        <v>43281</v>
      </c>
      <c r="G25" s="1093">
        <v>120</v>
      </c>
      <c r="H25" s="1103">
        <f>100/G25</f>
        <v>0.83333333333333337</v>
      </c>
      <c r="I25" s="694">
        <f>H25*J25</f>
        <v>84.166666666666671</v>
      </c>
      <c r="J25" s="1102">
        <f>(YEAR(F25)-YEAR(S25))*12+MONTH(F25)-MONTH(S25)</f>
        <v>101</v>
      </c>
      <c r="K25" s="694">
        <f>L25*H25</f>
        <v>15.833333333333334</v>
      </c>
      <c r="L25" s="1102">
        <f>G25-J25</f>
        <v>19</v>
      </c>
      <c r="M25" s="694">
        <f>N25*H25</f>
        <v>5.8333333333333339</v>
      </c>
      <c r="N25" s="1102">
        <v>7</v>
      </c>
      <c r="O25" s="694">
        <f>K25-M25</f>
        <v>10</v>
      </c>
      <c r="P25" s="1102">
        <f>L25-N25</f>
        <v>12</v>
      </c>
      <c r="Q25" s="1104">
        <f>DATE(YEAR(S25),MONTH(S25)+G25,DAY(S25))</f>
        <v>43831</v>
      </c>
      <c r="R25" s="1093" t="s">
        <v>445</v>
      </c>
      <c r="S25" s="1094">
        <v>40179</v>
      </c>
      <c r="T25" s="1001">
        <v>2499</v>
      </c>
      <c r="U25" s="1105">
        <v>1270.28</v>
      </c>
      <c r="V25" s="735">
        <v>612.70603653695832</v>
      </c>
      <c r="W25" s="47">
        <v>20.83</v>
      </c>
      <c r="X25" s="106">
        <f>W25*5</f>
        <v>104.14999999999999</v>
      </c>
      <c r="Y25" s="66"/>
      <c r="Z25" s="57">
        <v>126.408</v>
      </c>
      <c r="AA25" s="80">
        <v>107</v>
      </c>
      <c r="AB25" s="57">
        <f>Z25/AA25</f>
        <v>1.1813831775700934</v>
      </c>
      <c r="AC25" s="55">
        <f>V25/L25</f>
        <v>32.24768613352412</v>
      </c>
      <c r="AD25" s="55">
        <f>AC25*AB25</f>
        <v>38.096873913705764</v>
      </c>
      <c r="AE25" s="55"/>
      <c r="AF25" s="55"/>
      <c r="AG25" s="55"/>
      <c r="AH25" s="55"/>
      <c r="AI25" s="55"/>
      <c r="AJ25" s="55">
        <f>AD25</f>
        <v>38.096873913705764</v>
      </c>
      <c r="AK25" s="55">
        <v>23.35</v>
      </c>
      <c r="AL25" s="55">
        <v>23.35</v>
      </c>
      <c r="AM25" s="55">
        <v>23.35</v>
      </c>
      <c r="AN25" s="55">
        <v>23.35</v>
      </c>
      <c r="AO25" s="55">
        <v>23.35</v>
      </c>
      <c r="AP25" s="55">
        <v>23.35</v>
      </c>
      <c r="AQ25" s="55">
        <f>SUM(AJ25:AP25)</f>
        <v>178.19687391370576</v>
      </c>
      <c r="AR25" s="72">
        <f>V25-AQ25</f>
        <v>434.50916262325256</v>
      </c>
      <c r="AS25" s="55"/>
      <c r="AT25" s="55"/>
      <c r="AU25" s="55">
        <f>$AP25</f>
        <v>23.35</v>
      </c>
      <c r="AV25" s="55">
        <f t="shared" ref="AV25:AY26" si="6">$AP25</f>
        <v>23.35</v>
      </c>
      <c r="AW25" s="55">
        <f t="shared" si="6"/>
        <v>23.35</v>
      </c>
      <c r="AX25" s="55">
        <f t="shared" si="6"/>
        <v>23.35</v>
      </c>
      <c r="AY25" s="55">
        <f t="shared" si="6"/>
        <v>23.35</v>
      </c>
      <c r="AZ25" s="57">
        <v>118.901</v>
      </c>
      <c r="BA25" s="80">
        <v>107</v>
      </c>
      <c r="BB25" s="57">
        <f>AZ25/BA25</f>
        <v>1.1112242990654204</v>
      </c>
      <c r="BC25" s="55">
        <f>T25/(D25*12)</f>
        <v>20.824999999999999</v>
      </c>
      <c r="BD25" s="55">
        <f>BC25*BB25</f>
        <v>23.141246028037379</v>
      </c>
      <c r="BE25" s="55">
        <f t="shared" ref="BE25:BK25" si="7">$BD25</f>
        <v>23.141246028037379</v>
      </c>
      <c r="BF25" s="55">
        <f t="shared" si="7"/>
        <v>23.141246028037379</v>
      </c>
      <c r="BG25" s="55">
        <f t="shared" si="7"/>
        <v>23.141246028037379</v>
      </c>
      <c r="BH25" s="55">
        <f t="shared" si="7"/>
        <v>23.141246028037379</v>
      </c>
      <c r="BI25" s="55">
        <f t="shared" si="7"/>
        <v>23.141246028037379</v>
      </c>
      <c r="BJ25" s="55">
        <f t="shared" si="7"/>
        <v>23.141246028037379</v>
      </c>
      <c r="BK25" s="55">
        <f t="shared" si="7"/>
        <v>23.141246028037379</v>
      </c>
      <c r="BL25" s="55">
        <f>SUM((AU25:AY25),(BE25:BK25))</f>
        <v>278.73872219626168</v>
      </c>
      <c r="BM25" s="517">
        <f t="shared" si="3"/>
        <v>155.77044042699089</v>
      </c>
      <c r="BN25" s="516">
        <f t="shared" ref="BN25:BR26" si="8">$BD25</f>
        <v>23.141246028037379</v>
      </c>
      <c r="BO25" s="516">
        <f t="shared" si="8"/>
        <v>23.141246028037379</v>
      </c>
      <c r="BP25" s="516">
        <f t="shared" si="8"/>
        <v>23.141246028037379</v>
      </c>
      <c r="BQ25" s="516">
        <f t="shared" si="8"/>
        <v>23.141246028037379</v>
      </c>
      <c r="BR25" s="516">
        <f t="shared" si="8"/>
        <v>23.141246028037379</v>
      </c>
      <c r="BS25" s="514">
        <v>118.901</v>
      </c>
      <c r="BT25" s="515">
        <v>107</v>
      </c>
      <c r="BU25" s="514">
        <f>BS25/BT25</f>
        <v>1.1112242990654204</v>
      </c>
      <c r="BV25" s="516"/>
      <c r="BW25" s="516"/>
      <c r="BX25" s="516"/>
      <c r="BY25" s="516"/>
      <c r="BZ25" s="516"/>
      <c r="CA25" s="516"/>
      <c r="CB25" s="516"/>
      <c r="CC25" s="516"/>
      <c r="CD25" s="516"/>
      <c r="CE25" s="516">
        <f>SUM((BN25:BR25),(BX25:CD25))</f>
        <v>115.7062301401869</v>
      </c>
      <c r="CF25" s="517">
        <f>BM25-CE25</f>
        <v>40.064210286803984</v>
      </c>
      <c r="CG25" s="55">
        <v>23.35</v>
      </c>
      <c r="CH25" s="55">
        <v>23.35</v>
      </c>
      <c r="CI25" s="55">
        <v>23.35</v>
      </c>
      <c r="CJ25" s="55">
        <v>23.35</v>
      </c>
      <c r="CK25" s="55">
        <v>23.35</v>
      </c>
      <c r="CL25" s="505">
        <f t="shared" ref="CL25:CL30" si="9">SUM(CG25:CK25)</f>
        <v>116.75</v>
      </c>
      <c r="CM25" s="1085">
        <f t="shared" si="5"/>
        <v>317.75916262325256</v>
      </c>
      <c r="CN25" s="1086">
        <v>132.28200000000001</v>
      </c>
      <c r="CO25" s="515">
        <v>107</v>
      </c>
      <c r="CP25" s="1087">
        <f>CN25/CO25</f>
        <v>1.2362803738317758</v>
      </c>
      <c r="CQ25" s="516">
        <f>CM25/L25</f>
        <v>16.7241664538554</v>
      </c>
      <c r="CR25" s="516">
        <f>CQ25*CP25</f>
        <v>20.675758755597197</v>
      </c>
      <c r="CS25" s="516">
        <v>20.675758755597197</v>
      </c>
      <c r="CT25" s="516">
        <v>20.675758755597197</v>
      </c>
      <c r="CU25" s="516">
        <v>20.675758755597197</v>
      </c>
      <c r="CV25" s="516">
        <v>20.675758755597197</v>
      </c>
      <c r="CW25" s="516">
        <v>20.675758755597197</v>
      </c>
      <c r="CX25" s="516">
        <v>20.675758755597197</v>
      </c>
      <c r="CY25" s="516">
        <v>20.675758755597197</v>
      </c>
      <c r="CZ25" s="516">
        <v>20.675758755597197</v>
      </c>
      <c r="DA25" s="516">
        <v>20.675758755597197</v>
      </c>
      <c r="DB25" s="516">
        <v>20.675758755597197</v>
      </c>
      <c r="DC25" s="516">
        <v>20.675758755597197</v>
      </c>
      <c r="DD25" s="516">
        <v>20.675758755597197</v>
      </c>
      <c r="DE25" s="516">
        <v>20.675758755597197</v>
      </c>
      <c r="DF25" s="516">
        <v>20.675758755597197</v>
      </c>
      <c r="DG25" s="516">
        <v>20.675758755597197</v>
      </c>
      <c r="DH25" s="516">
        <v>6.62</v>
      </c>
      <c r="DI25" s="516">
        <v>0</v>
      </c>
      <c r="DJ25" s="516">
        <v>0</v>
      </c>
      <c r="DK25" s="516">
        <f t="shared" ref="DK25:DK45" si="10">SUM(CS25:DJ25)</f>
        <v>316.75638133395796</v>
      </c>
      <c r="DL25" s="1088">
        <f>CM25-DK25</f>
        <v>1.0027812892946031</v>
      </c>
    </row>
    <row r="26" spans="1:116" s="35" customFormat="1" ht="15.75" x14ac:dyDescent="0.25">
      <c r="A26" s="1094" t="s">
        <v>209</v>
      </c>
      <c r="B26" s="1098" t="s">
        <v>211</v>
      </c>
      <c r="C26" s="1098" t="s">
        <v>386</v>
      </c>
      <c r="D26" s="1097">
        <v>10</v>
      </c>
      <c r="E26" s="1100">
        <v>0.1</v>
      </c>
      <c r="F26" s="1094">
        <v>43281</v>
      </c>
      <c r="G26" s="1093">
        <v>120</v>
      </c>
      <c r="H26" s="1110">
        <f>100/G26</f>
        <v>0.83333333333333337</v>
      </c>
      <c r="I26" s="1197">
        <f>H26*J26</f>
        <v>104.16666666666667</v>
      </c>
      <c r="J26" s="1093">
        <f>(YEAR(F26)-YEAR(S26))*12+MONTH(F26)-MONTH(S26)</f>
        <v>125</v>
      </c>
      <c r="K26" s="1197">
        <f>L26*H26</f>
        <v>-4.166666666666667</v>
      </c>
      <c r="L26" s="1093">
        <f>G26-J26</f>
        <v>-5</v>
      </c>
      <c r="M26" s="1197">
        <f>N26*H26</f>
        <v>5.8333333333333339</v>
      </c>
      <c r="N26" s="1093">
        <v>7</v>
      </c>
      <c r="O26" s="1197">
        <f>K26-M26</f>
        <v>-10</v>
      </c>
      <c r="P26" s="1093">
        <f>L26-N26</f>
        <v>-12</v>
      </c>
      <c r="Q26" s="1198">
        <f>DATE(YEAR(S26),MONTH(S26)+G26,DAY(S26))</f>
        <v>43101</v>
      </c>
      <c r="R26" s="1093" t="s">
        <v>445</v>
      </c>
      <c r="S26" s="1094">
        <v>39448</v>
      </c>
      <c r="T26" s="1001">
        <v>2000</v>
      </c>
      <c r="U26" s="1105">
        <v>616.64</v>
      </c>
      <c r="V26" s="734">
        <v>87.327653952366632</v>
      </c>
      <c r="W26" s="134">
        <v>16.670000000000002</v>
      </c>
      <c r="X26" s="7">
        <f>W26*5</f>
        <v>83.350000000000009</v>
      </c>
      <c r="Y26" s="64"/>
      <c r="Z26" s="64">
        <v>126.408</v>
      </c>
      <c r="AA26" s="82">
        <v>140.047</v>
      </c>
      <c r="AB26" s="64">
        <f>Z26/AA26</f>
        <v>0.90261126621776977</v>
      </c>
      <c r="AC26" s="62">
        <f>V26/L26</f>
        <v>-17.465530790473327</v>
      </c>
      <c r="AD26" s="62">
        <f>AC26*AB26</f>
        <v>-15.764584861954575</v>
      </c>
      <c r="AE26" s="62"/>
      <c r="AF26" s="62"/>
      <c r="AG26" s="62"/>
      <c r="AH26" s="62"/>
      <c r="AI26" s="62"/>
      <c r="AJ26" s="62">
        <f>AD26</f>
        <v>-15.764584861954575</v>
      </c>
      <c r="AK26" s="62">
        <v>14.74</v>
      </c>
      <c r="AL26" s="62">
        <v>14.74</v>
      </c>
      <c r="AM26" s="62">
        <v>14.74</v>
      </c>
      <c r="AN26" s="62">
        <v>14.74</v>
      </c>
      <c r="AO26" s="62">
        <v>12.63</v>
      </c>
      <c r="AP26" s="62">
        <v>0</v>
      </c>
      <c r="AQ26" s="62">
        <f>SUM(AJ26:AP26)</f>
        <v>55.825415138045429</v>
      </c>
      <c r="AR26" s="1169">
        <f>V26-AQ26</f>
        <v>31.502238814321203</v>
      </c>
      <c r="AS26" s="62"/>
      <c r="AT26" s="62"/>
      <c r="AU26" s="62">
        <f>$AP26</f>
        <v>0</v>
      </c>
      <c r="AV26" s="62">
        <f t="shared" si="6"/>
        <v>0</v>
      </c>
      <c r="AW26" s="62">
        <f t="shared" si="6"/>
        <v>0</v>
      </c>
      <c r="AX26" s="62">
        <f t="shared" si="6"/>
        <v>0</v>
      </c>
      <c r="AY26" s="62">
        <f t="shared" si="6"/>
        <v>0</v>
      </c>
      <c r="AZ26" s="64">
        <v>118.901</v>
      </c>
      <c r="BA26" s="82">
        <v>107</v>
      </c>
      <c r="BB26" s="64">
        <f>AZ26/BA26</f>
        <v>1.1112242990654204</v>
      </c>
      <c r="BC26" s="62">
        <f>T26/(D26*12)</f>
        <v>16.666666666666668</v>
      </c>
      <c r="BD26" s="62">
        <f t="shared" ref="BD26:BD45" si="11">BC26*BB26</f>
        <v>18.520404984423674</v>
      </c>
      <c r="BE26" s="62">
        <f t="shared" ref="BE26:BK26" si="12">$BD26</f>
        <v>18.520404984423674</v>
      </c>
      <c r="BF26" s="62">
        <f t="shared" si="12"/>
        <v>18.520404984423674</v>
      </c>
      <c r="BG26" s="62">
        <f t="shared" si="12"/>
        <v>18.520404984423674</v>
      </c>
      <c r="BH26" s="62">
        <f t="shared" si="12"/>
        <v>18.520404984423674</v>
      </c>
      <c r="BI26" s="62">
        <f t="shared" si="12"/>
        <v>18.520404984423674</v>
      </c>
      <c r="BJ26" s="62">
        <f t="shared" si="12"/>
        <v>18.520404984423674</v>
      </c>
      <c r="BK26" s="62">
        <f t="shared" si="12"/>
        <v>18.520404984423674</v>
      </c>
      <c r="BL26" s="62">
        <f t="shared" si="2"/>
        <v>129.64283489096573</v>
      </c>
      <c r="BM26" s="1199">
        <f t="shared" si="3"/>
        <v>-98.140596076644528</v>
      </c>
      <c r="BN26" s="538">
        <f t="shared" si="8"/>
        <v>18.520404984423674</v>
      </c>
      <c r="BO26" s="538">
        <f t="shared" si="8"/>
        <v>18.520404984423674</v>
      </c>
      <c r="BP26" s="538">
        <f t="shared" si="8"/>
        <v>18.520404984423674</v>
      </c>
      <c r="BQ26" s="538">
        <f t="shared" si="8"/>
        <v>18.520404984423674</v>
      </c>
      <c r="BR26" s="538">
        <f t="shared" si="8"/>
        <v>18.520404984423674</v>
      </c>
      <c r="BS26" s="1190">
        <v>118.901</v>
      </c>
      <c r="BT26" s="690">
        <v>140.047</v>
      </c>
      <c r="BU26" s="1190">
        <f>BS26/BT26</f>
        <v>0.84900783308460726</v>
      </c>
      <c r="BV26" s="538"/>
      <c r="BW26" s="538"/>
      <c r="BX26" s="538"/>
      <c r="BY26" s="538"/>
      <c r="BZ26" s="538"/>
      <c r="CA26" s="538"/>
      <c r="CB26" s="538"/>
      <c r="CC26" s="538"/>
      <c r="CD26" s="538"/>
      <c r="CE26" s="538">
        <f>SUM((BN26:BR26),(BX26:CD26))</f>
        <v>92.602024922118375</v>
      </c>
      <c r="CF26" s="1199">
        <f>BM26-CE26</f>
        <v>-190.7426209987629</v>
      </c>
      <c r="CG26" s="62">
        <v>0</v>
      </c>
      <c r="CH26" s="62">
        <v>0</v>
      </c>
      <c r="CI26" s="62">
        <v>0</v>
      </c>
      <c r="CJ26" s="62">
        <v>0</v>
      </c>
      <c r="CK26" s="62">
        <v>0</v>
      </c>
      <c r="CL26" s="1170">
        <f t="shared" si="9"/>
        <v>0</v>
      </c>
      <c r="CM26" s="1085">
        <f t="shared" si="5"/>
        <v>31.502238814321203</v>
      </c>
      <c r="CN26" s="1195">
        <v>132.28200000000001</v>
      </c>
      <c r="CO26" s="690">
        <v>140.047</v>
      </c>
      <c r="CP26" s="1196">
        <f>CN26/CO26</f>
        <v>0.9445543281898221</v>
      </c>
      <c r="CQ26" s="538">
        <v>0</v>
      </c>
      <c r="CR26" s="538">
        <f>CQ26*CP26</f>
        <v>0</v>
      </c>
      <c r="CS26" s="538">
        <v>0</v>
      </c>
      <c r="CT26" s="538">
        <v>0</v>
      </c>
      <c r="CU26" s="538">
        <v>0</v>
      </c>
      <c r="CV26" s="538">
        <v>0</v>
      </c>
      <c r="CW26" s="538">
        <v>0</v>
      </c>
      <c r="CX26" s="538">
        <v>0</v>
      </c>
      <c r="CY26" s="538">
        <v>0</v>
      </c>
      <c r="CZ26" s="538">
        <v>0</v>
      </c>
      <c r="DA26" s="538">
        <v>0</v>
      </c>
      <c r="DB26" s="538">
        <v>0</v>
      </c>
      <c r="DC26" s="538">
        <v>0</v>
      </c>
      <c r="DD26" s="538">
        <v>0</v>
      </c>
      <c r="DE26" s="538">
        <v>0</v>
      </c>
      <c r="DF26" s="538">
        <v>0</v>
      </c>
      <c r="DG26" s="538">
        <v>0</v>
      </c>
      <c r="DH26" s="538">
        <v>0</v>
      </c>
      <c r="DI26" s="538">
        <v>0</v>
      </c>
      <c r="DJ26" s="538">
        <v>0</v>
      </c>
      <c r="DK26" s="538">
        <f t="shared" si="10"/>
        <v>0</v>
      </c>
      <c r="DL26" s="1088">
        <v>1</v>
      </c>
    </row>
    <row r="27" spans="1:116" s="35" customFormat="1" ht="15.75" x14ac:dyDescent="0.25">
      <c r="A27" s="1089" t="s">
        <v>65</v>
      </c>
      <c r="B27" s="1089" t="s">
        <v>213</v>
      </c>
      <c r="C27" s="1098"/>
      <c r="D27" s="1097"/>
      <c r="E27" s="772"/>
      <c r="F27" s="1093"/>
      <c r="G27" s="1093"/>
      <c r="H27" s="1110"/>
      <c r="I27" s="1093"/>
      <c r="J27" s="1093"/>
      <c r="K27" s="1093"/>
      <c r="L27" s="1093"/>
      <c r="M27" s="1093"/>
      <c r="N27" s="1093"/>
      <c r="O27" s="1093"/>
      <c r="P27" s="1093"/>
      <c r="Q27" s="1093"/>
      <c r="R27" s="1094"/>
      <c r="S27" s="1111"/>
      <c r="T27" s="1112"/>
      <c r="U27" s="1113"/>
      <c r="V27" s="734"/>
      <c r="W27" s="134"/>
      <c r="X27" s="7"/>
      <c r="Y27" s="64"/>
      <c r="Z27" s="64"/>
      <c r="AA27" s="82"/>
      <c r="AB27" s="64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1169"/>
      <c r="AS27" s="62"/>
      <c r="AT27" s="62"/>
      <c r="AU27" s="62"/>
      <c r="AV27" s="62"/>
      <c r="AW27" s="62"/>
      <c r="AX27" s="62"/>
      <c r="AY27" s="62"/>
      <c r="AZ27" s="64"/>
      <c r="BA27" s="82"/>
      <c r="BB27" s="64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1199"/>
      <c r="BN27" s="538"/>
      <c r="BO27" s="538"/>
      <c r="BP27" s="538"/>
      <c r="BQ27" s="538"/>
      <c r="BR27" s="538"/>
      <c r="BS27" s="1190"/>
      <c r="BT27" s="690"/>
      <c r="BU27" s="1190"/>
      <c r="BV27" s="538"/>
      <c r="BW27" s="538"/>
      <c r="BX27" s="538"/>
      <c r="BY27" s="538"/>
      <c r="BZ27" s="538"/>
      <c r="CA27" s="538"/>
      <c r="CB27" s="538"/>
      <c r="CC27" s="538"/>
      <c r="CD27" s="538"/>
      <c r="CE27" s="538"/>
      <c r="CF27" s="1199"/>
      <c r="CG27" s="62"/>
      <c r="CH27" s="62"/>
      <c r="CI27" s="62"/>
      <c r="CJ27" s="62"/>
      <c r="CK27" s="62"/>
      <c r="CL27" s="1170"/>
      <c r="CM27" s="1085"/>
      <c r="CN27" s="1190"/>
      <c r="CO27" s="690"/>
      <c r="CP27" s="1196"/>
      <c r="CQ27" s="538"/>
      <c r="CR27" s="538"/>
      <c r="CS27" s="538"/>
      <c r="CT27" s="538"/>
      <c r="CU27" s="538"/>
      <c r="CV27" s="538"/>
      <c r="CW27" s="538"/>
      <c r="CX27" s="538"/>
      <c r="CY27" s="538"/>
      <c r="CZ27" s="538"/>
      <c r="DA27" s="538"/>
      <c r="DB27" s="538"/>
      <c r="DC27" s="538"/>
      <c r="DD27" s="538"/>
      <c r="DE27" s="538"/>
      <c r="DF27" s="538"/>
      <c r="DG27" s="538"/>
      <c r="DH27" s="538"/>
      <c r="DI27" s="538"/>
      <c r="DJ27" s="538"/>
      <c r="DK27" s="538">
        <f t="shared" si="10"/>
        <v>0</v>
      </c>
      <c r="DL27" s="1088"/>
    </row>
    <row r="28" spans="1:116" s="35" customFormat="1" ht="15.75" x14ac:dyDescent="0.25">
      <c r="A28" s="1089" t="s">
        <v>212</v>
      </c>
      <c r="B28" s="1095"/>
      <c r="C28" s="1098"/>
      <c r="D28" s="1097"/>
      <c r="E28" s="772"/>
      <c r="F28" s="1094"/>
      <c r="G28" s="1093"/>
      <c r="H28" s="1110"/>
      <c r="I28" s="1197"/>
      <c r="J28" s="1093"/>
      <c r="K28" s="1197"/>
      <c r="L28" s="1093"/>
      <c r="M28" s="1197"/>
      <c r="N28" s="1093"/>
      <c r="O28" s="1197"/>
      <c r="P28" s="1093"/>
      <c r="Q28" s="1093"/>
      <c r="R28" s="1093"/>
      <c r="S28" s="1111"/>
      <c r="T28" s="1112"/>
      <c r="U28" s="1113"/>
      <c r="V28" s="734"/>
      <c r="W28" s="134"/>
      <c r="X28" s="7"/>
      <c r="Y28" s="64"/>
      <c r="Z28" s="64"/>
      <c r="AA28" s="82"/>
      <c r="AB28" s="64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1169"/>
      <c r="AS28" s="62"/>
      <c r="AT28" s="62"/>
      <c r="AU28" s="62"/>
      <c r="AV28" s="62"/>
      <c r="AW28" s="62"/>
      <c r="AX28" s="62"/>
      <c r="AY28" s="62"/>
      <c r="AZ28" s="64"/>
      <c r="BA28" s="82"/>
      <c r="BB28" s="64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1199"/>
      <c r="BN28" s="538"/>
      <c r="BO28" s="538"/>
      <c r="BP28" s="538"/>
      <c r="BQ28" s="538"/>
      <c r="BR28" s="538"/>
      <c r="BS28" s="1190"/>
      <c r="BT28" s="690"/>
      <c r="BU28" s="1190"/>
      <c r="BV28" s="538"/>
      <c r="BW28" s="538"/>
      <c r="BX28" s="538"/>
      <c r="BY28" s="538"/>
      <c r="BZ28" s="538"/>
      <c r="CA28" s="538"/>
      <c r="CB28" s="538"/>
      <c r="CC28" s="538"/>
      <c r="CD28" s="538"/>
      <c r="CE28" s="538"/>
      <c r="CF28" s="1199"/>
      <c r="CG28" s="62"/>
      <c r="CH28" s="62"/>
      <c r="CI28" s="62"/>
      <c r="CJ28" s="62"/>
      <c r="CK28" s="62"/>
      <c r="CL28" s="1170"/>
      <c r="CM28" s="1085"/>
      <c r="CN28" s="538"/>
      <c r="CO28" s="690"/>
      <c r="CP28" s="1196"/>
      <c r="CQ28" s="538"/>
      <c r="CR28" s="538"/>
      <c r="CS28" s="538"/>
      <c r="CT28" s="538"/>
      <c r="CU28" s="538"/>
      <c r="CV28" s="538"/>
      <c r="CW28" s="538"/>
      <c r="CX28" s="538"/>
      <c r="CY28" s="538"/>
      <c r="CZ28" s="538"/>
      <c r="DA28" s="538"/>
      <c r="DB28" s="538"/>
      <c r="DC28" s="538"/>
      <c r="DD28" s="538"/>
      <c r="DE28" s="538"/>
      <c r="DF28" s="538"/>
      <c r="DG28" s="538"/>
      <c r="DH28" s="538"/>
      <c r="DI28" s="538"/>
      <c r="DJ28" s="538"/>
      <c r="DK28" s="538">
        <f t="shared" si="10"/>
        <v>0</v>
      </c>
      <c r="DL28" s="538"/>
    </row>
    <row r="29" spans="1:116" s="35" customFormat="1" ht="15.75" x14ac:dyDescent="0.25">
      <c r="A29" s="1094" t="s">
        <v>214</v>
      </c>
      <c r="B29" s="1098" t="s">
        <v>387</v>
      </c>
      <c r="C29" s="1098" t="s">
        <v>386</v>
      </c>
      <c r="D29" s="1097">
        <v>3</v>
      </c>
      <c r="E29" s="1100">
        <v>0.33329999999999999</v>
      </c>
      <c r="F29" s="1094">
        <v>43281</v>
      </c>
      <c r="G29" s="1093">
        <v>36</v>
      </c>
      <c r="H29" s="1110">
        <f>100/G29</f>
        <v>2.7777777777777777</v>
      </c>
      <c r="I29" s="1197">
        <f>H29*J29</f>
        <v>100</v>
      </c>
      <c r="J29" s="1093">
        <v>36</v>
      </c>
      <c r="K29" s="1197">
        <f>L29*H29</f>
        <v>0</v>
      </c>
      <c r="L29" s="1093">
        <f>G29-J29</f>
        <v>0</v>
      </c>
      <c r="M29" s="1197">
        <f>N29*H29</f>
        <v>0</v>
      </c>
      <c r="N29" s="1093">
        <v>0</v>
      </c>
      <c r="O29" s="1197">
        <f>K29-M29</f>
        <v>0</v>
      </c>
      <c r="P29" s="1093">
        <f>L29-N29</f>
        <v>0</v>
      </c>
      <c r="Q29" s="1198">
        <f>DATE(YEAR(S29),MONTH(S29)+G29,DAY(S29))</f>
        <v>42005</v>
      </c>
      <c r="R29" s="1094" t="s">
        <v>445</v>
      </c>
      <c r="S29" s="1094">
        <v>40909</v>
      </c>
      <c r="T29" s="1001">
        <v>335</v>
      </c>
      <c r="U29" s="1105">
        <v>9.3800000000000008</v>
      </c>
      <c r="V29" s="734">
        <v>1</v>
      </c>
      <c r="W29" s="134">
        <v>0</v>
      </c>
      <c r="X29" s="7">
        <v>9.3800000000000008</v>
      </c>
      <c r="Y29" s="1167">
        <v>0</v>
      </c>
      <c r="Z29" s="64"/>
      <c r="AA29" s="82">
        <v>112.88800000000001</v>
      </c>
      <c r="AB29" s="64">
        <f>Z29/AA29</f>
        <v>0</v>
      </c>
      <c r="AC29" s="62">
        <v>0</v>
      </c>
      <c r="AD29" s="62">
        <v>0</v>
      </c>
      <c r="AE29" s="62"/>
      <c r="AF29" s="62"/>
      <c r="AG29" s="62"/>
      <c r="AH29" s="62"/>
      <c r="AI29" s="62"/>
      <c r="AJ29" s="62">
        <f t="shared" ref="AJ29:AP30" si="13">AD29</f>
        <v>0</v>
      </c>
      <c r="AK29" s="62">
        <f t="shared" si="13"/>
        <v>0</v>
      </c>
      <c r="AL29" s="62">
        <f t="shared" si="13"/>
        <v>0</v>
      </c>
      <c r="AM29" s="62">
        <f t="shared" si="13"/>
        <v>0</v>
      </c>
      <c r="AN29" s="62">
        <f t="shared" si="13"/>
        <v>0</v>
      </c>
      <c r="AO29" s="62">
        <f t="shared" si="13"/>
        <v>0</v>
      </c>
      <c r="AP29" s="62">
        <f t="shared" si="13"/>
        <v>0</v>
      </c>
      <c r="AQ29" s="62">
        <f>SUM(AJ29:AP29)</f>
        <v>0</v>
      </c>
      <c r="AR29" s="1169">
        <f>V29-AQ29</f>
        <v>1</v>
      </c>
      <c r="AS29" s="62"/>
      <c r="AT29" s="62"/>
      <c r="AU29" s="62"/>
      <c r="AV29" s="62"/>
      <c r="AW29" s="62"/>
      <c r="AX29" s="62"/>
      <c r="AY29" s="62"/>
      <c r="AZ29" s="64">
        <v>118.901</v>
      </c>
      <c r="BA29" s="82">
        <v>112.88800000000001</v>
      </c>
      <c r="BB29" s="64">
        <f>AZ29/BA29</f>
        <v>1.0532651831904187</v>
      </c>
      <c r="BC29" s="62">
        <f>T29/(D29*12)</f>
        <v>9.3055555555555554</v>
      </c>
      <c r="BD29" s="62">
        <f t="shared" si="11"/>
        <v>9.8012176769108414</v>
      </c>
      <c r="BE29" s="62"/>
      <c r="BF29" s="62"/>
      <c r="BG29" s="62"/>
      <c r="BH29" s="62"/>
      <c r="BI29" s="62"/>
      <c r="BJ29" s="62"/>
      <c r="BK29" s="62"/>
      <c r="BL29" s="62">
        <f t="shared" si="2"/>
        <v>0</v>
      </c>
      <c r="BM29" s="1199">
        <f t="shared" si="3"/>
        <v>1</v>
      </c>
      <c r="BN29" s="538"/>
      <c r="BO29" s="538"/>
      <c r="BP29" s="538"/>
      <c r="BQ29" s="538"/>
      <c r="BR29" s="538"/>
      <c r="BS29" s="1190">
        <v>118.901</v>
      </c>
      <c r="BT29" s="690">
        <v>112.88800000000001</v>
      </c>
      <c r="BU29" s="1190">
        <f>BS29/BT29</f>
        <v>1.0532651831904187</v>
      </c>
      <c r="BV29" s="538"/>
      <c r="BW29" s="538"/>
      <c r="BX29" s="538"/>
      <c r="BY29" s="538"/>
      <c r="BZ29" s="538"/>
      <c r="CA29" s="538"/>
      <c r="CB29" s="538"/>
      <c r="CC29" s="538"/>
      <c r="CD29" s="538"/>
      <c r="CE29" s="538">
        <f>SUM((BN29:BR29),(BX29:CD29))</f>
        <v>0</v>
      </c>
      <c r="CF29" s="1199">
        <f>BM29-CE29</f>
        <v>1</v>
      </c>
      <c r="CG29" s="62">
        <f t="shared" ref="CG29:CK30" si="14">CA29</f>
        <v>0</v>
      </c>
      <c r="CH29" s="62">
        <f t="shared" si="14"/>
        <v>0</v>
      </c>
      <c r="CI29" s="62">
        <f t="shared" si="14"/>
        <v>0</v>
      </c>
      <c r="CJ29" s="62">
        <f t="shared" si="14"/>
        <v>0</v>
      </c>
      <c r="CK29" s="62">
        <f t="shared" si="14"/>
        <v>0</v>
      </c>
      <c r="CL29" s="1170">
        <f t="shared" si="9"/>
        <v>0</v>
      </c>
      <c r="CM29" s="1085">
        <f t="shared" si="5"/>
        <v>1</v>
      </c>
      <c r="CN29" s="1195">
        <v>132.28200000000001</v>
      </c>
      <c r="CO29" s="690">
        <v>112.88800000000001</v>
      </c>
      <c r="CP29" s="1196">
        <f>CN29/CO29</f>
        <v>1.1717985968393452</v>
      </c>
      <c r="CQ29" s="538">
        <v>0</v>
      </c>
      <c r="CR29" s="538">
        <f>CQ29*CP29</f>
        <v>0</v>
      </c>
      <c r="CS29" s="538">
        <v>0</v>
      </c>
      <c r="CT29" s="538">
        <v>0</v>
      </c>
      <c r="CU29" s="538">
        <v>0</v>
      </c>
      <c r="CV29" s="538">
        <v>0</v>
      </c>
      <c r="CW29" s="538">
        <v>0</v>
      </c>
      <c r="CX29" s="538">
        <v>0</v>
      </c>
      <c r="CY29" s="538">
        <v>0</v>
      </c>
      <c r="CZ29" s="538">
        <v>0</v>
      </c>
      <c r="DA29" s="538">
        <v>0</v>
      </c>
      <c r="DB29" s="538">
        <v>0</v>
      </c>
      <c r="DC29" s="538">
        <v>0</v>
      </c>
      <c r="DD29" s="538">
        <v>0</v>
      </c>
      <c r="DE29" s="538">
        <v>0</v>
      </c>
      <c r="DF29" s="538">
        <v>0</v>
      </c>
      <c r="DG29" s="538">
        <v>0</v>
      </c>
      <c r="DH29" s="538">
        <v>0</v>
      </c>
      <c r="DI29" s="538">
        <v>0</v>
      </c>
      <c r="DJ29" s="538">
        <v>0</v>
      </c>
      <c r="DK29" s="538">
        <f t="shared" si="10"/>
        <v>0</v>
      </c>
      <c r="DL29" s="1088">
        <f>CM29-DK29</f>
        <v>1</v>
      </c>
    </row>
    <row r="30" spans="1:116" s="35" customFormat="1" ht="15.75" x14ac:dyDescent="0.25">
      <c r="A30" s="1094" t="s">
        <v>214</v>
      </c>
      <c r="B30" s="1098" t="s">
        <v>215</v>
      </c>
      <c r="C30" s="1098" t="s">
        <v>386</v>
      </c>
      <c r="D30" s="1097">
        <v>3</v>
      </c>
      <c r="E30" s="1100">
        <v>0.33329999999999999</v>
      </c>
      <c r="F30" s="1094">
        <v>43281</v>
      </c>
      <c r="G30" s="1093">
        <v>36</v>
      </c>
      <c r="H30" s="1110">
        <f>100/G30</f>
        <v>2.7777777777777777</v>
      </c>
      <c r="I30" s="1197">
        <f>H30*J30</f>
        <v>100</v>
      </c>
      <c r="J30" s="1093">
        <v>36</v>
      </c>
      <c r="K30" s="1197">
        <f>L30*H30</f>
        <v>0</v>
      </c>
      <c r="L30" s="1093">
        <f>G30-J30</f>
        <v>0</v>
      </c>
      <c r="M30" s="1197">
        <f>N30*H30</f>
        <v>0</v>
      </c>
      <c r="N30" s="1093">
        <v>0</v>
      </c>
      <c r="O30" s="1197">
        <f>K30-M30</f>
        <v>0</v>
      </c>
      <c r="P30" s="1093">
        <f>L30-N30</f>
        <v>0</v>
      </c>
      <c r="Q30" s="1198">
        <f>DATE(YEAR(S30),MONTH(S30)+G30,DAY(S30))</f>
        <v>41640</v>
      </c>
      <c r="R30" s="1094" t="s">
        <v>445</v>
      </c>
      <c r="S30" s="1094">
        <v>40544</v>
      </c>
      <c r="T30" s="1001">
        <v>59</v>
      </c>
      <c r="U30" s="1105">
        <v>21.3</v>
      </c>
      <c r="V30" s="734">
        <v>1</v>
      </c>
      <c r="W30" s="134">
        <v>0</v>
      </c>
      <c r="X30" s="7">
        <v>21.3</v>
      </c>
      <c r="Y30" s="64"/>
      <c r="Z30" s="64"/>
      <c r="AA30" s="82">
        <v>112.88800000000001</v>
      </c>
      <c r="AB30" s="64">
        <f>Z30/AA30</f>
        <v>0</v>
      </c>
      <c r="AC30" s="62">
        <v>0</v>
      </c>
      <c r="AD30" s="62">
        <f>AC30*AB30</f>
        <v>0</v>
      </c>
      <c r="AE30" s="62"/>
      <c r="AF30" s="62"/>
      <c r="AG30" s="62"/>
      <c r="AH30" s="62"/>
      <c r="AI30" s="62"/>
      <c r="AJ30" s="62">
        <f t="shared" si="13"/>
        <v>0</v>
      </c>
      <c r="AK30" s="62">
        <f t="shared" si="13"/>
        <v>0</v>
      </c>
      <c r="AL30" s="62">
        <f t="shared" si="13"/>
        <v>0</v>
      </c>
      <c r="AM30" s="62">
        <f t="shared" si="13"/>
        <v>0</v>
      </c>
      <c r="AN30" s="62">
        <f t="shared" si="13"/>
        <v>0</v>
      </c>
      <c r="AO30" s="62">
        <f t="shared" si="13"/>
        <v>0</v>
      </c>
      <c r="AP30" s="62">
        <f t="shared" si="13"/>
        <v>0</v>
      </c>
      <c r="AQ30" s="62">
        <f>SUM(AJ30:AP30)</f>
        <v>0</v>
      </c>
      <c r="AR30" s="1169">
        <f>V30-AQ30</f>
        <v>1</v>
      </c>
      <c r="AS30" s="62"/>
      <c r="AT30" s="62"/>
      <c r="AU30" s="62"/>
      <c r="AV30" s="62"/>
      <c r="AW30" s="62"/>
      <c r="AX30" s="62"/>
      <c r="AY30" s="62"/>
      <c r="AZ30" s="64">
        <v>118.901</v>
      </c>
      <c r="BA30" s="82">
        <v>112.88800000000001</v>
      </c>
      <c r="BB30" s="64">
        <f>AZ30/BA30</f>
        <v>1.0532651831904187</v>
      </c>
      <c r="BC30" s="62">
        <f>T30/(D30*12)</f>
        <v>1.6388888888888888</v>
      </c>
      <c r="BD30" s="62">
        <f t="shared" si="11"/>
        <v>1.7261846057842973</v>
      </c>
      <c r="BE30" s="62"/>
      <c r="BF30" s="62"/>
      <c r="BG30" s="62"/>
      <c r="BH30" s="62"/>
      <c r="BI30" s="62"/>
      <c r="BJ30" s="62"/>
      <c r="BK30" s="62"/>
      <c r="BL30" s="62">
        <f t="shared" si="2"/>
        <v>0</v>
      </c>
      <c r="BM30" s="1199">
        <f t="shared" si="3"/>
        <v>1</v>
      </c>
      <c r="BN30" s="538"/>
      <c r="BO30" s="538"/>
      <c r="BP30" s="538"/>
      <c r="BQ30" s="538"/>
      <c r="BR30" s="538"/>
      <c r="BS30" s="1190">
        <v>118.901</v>
      </c>
      <c r="BT30" s="690">
        <v>112.88800000000001</v>
      </c>
      <c r="BU30" s="1190">
        <f>BS30/BT30</f>
        <v>1.0532651831904187</v>
      </c>
      <c r="BV30" s="538"/>
      <c r="BW30" s="538"/>
      <c r="BX30" s="538"/>
      <c r="BY30" s="538"/>
      <c r="BZ30" s="538"/>
      <c r="CA30" s="538"/>
      <c r="CB30" s="538"/>
      <c r="CC30" s="538"/>
      <c r="CD30" s="538"/>
      <c r="CE30" s="538">
        <f>SUM((BN30:BR30),(BX30:CD30))</f>
        <v>0</v>
      </c>
      <c r="CF30" s="1199">
        <f>BM30-CE30</f>
        <v>1</v>
      </c>
      <c r="CG30" s="62">
        <f t="shared" si="14"/>
        <v>0</v>
      </c>
      <c r="CH30" s="62">
        <f t="shared" si="14"/>
        <v>0</v>
      </c>
      <c r="CI30" s="62">
        <f t="shared" si="14"/>
        <v>0</v>
      </c>
      <c r="CJ30" s="62">
        <f t="shared" si="14"/>
        <v>0</v>
      </c>
      <c r="CK30" s="62">
        <f t="shared" si="14"/>
        <v>0</v>
      </c>
      <c r="CL30" s="1170">
        <f t="shared" si="9"/>
        <v>0</v>
      </c>
      <c r="CM30" s="1085">
        <f t="shared" si="5"/>
        <v>1</v>
      </c>
      <c r="CN30" s="1195">
        <v>132.28200000000001</v>
      </c>
      <c r="CO30" s="690">
        <v>112.88800000000001</v>
      </c>
      <c r="CP30" s="1196">
        <f>CN30/CO30</f>
        <v>1.1717985968393452</v>
      </c>
      <c r="CQ30" s="538">
        <v>0</v>
      </c>
      <c r="CR30" s="538">
        <f>CQ30*CP30</f>
        <v>0</v>
      </c>
      <c r="CS30" s="538">
        <v>0</v>
      </c>
      <c r="CT30" s="538">
        <v>0</v>
      </c>
      <c r="CU30" s="538">
        <v>0</v>
      </c>
      <c r="CV30" s="538">
        <v>0</v>
      </c>
      <c r="CW30" s="538">
        <v>0</v>
      </c>
      <c r="CX30" s="538">
        <v>0</v>
      </c>
      <c r="CY30" s="538">
        <v>0</v>
      </c>
      <c r="CZ30" s="538">
        <v>0</v>
      </c>
      <c r="DA30" s="538">
        <v>0</v>
      </c>
      <c r="DB30" s="538">
        <v>0</v>
      </c>
      <c r="DC30" s="538">
        <v>0</v>
      </c>
      <c r="DD30" s="538">
        <v>0</v>
      </c>
      <c r="DE30" s="538">
        <v>0</v>
      </c>
      <c r="DF30" s="538">
        <v>0</v>
      </c>
      <c r="DG30" s="538">
        <v>0</v>
      </c>
      <c r="DH30" s="538">
        <v>0</v>
      </c>
      <c r="DI30" s="538">
        <v>0</v>
      </c>
      <c r="DJ30" s="538">
        <v>0</v>
      </c>
      <c r="DK30" s="538">
        <f t="shared" si="10"/>
        <v>0</v>
      </c>
      <c r="DL30" s="1088">
        <f>CM30-DK30</f>
        <v>1</v>
      </c>
    </row>
    <row r="31" spans="1:116" s="35" customFormat="1" ht="15.75" x14ac:dyDescent="0.25">
      <c r="A31" s="1089" t="s">
        <v>71</v>
      </c>
      <c r="B31" s="1089" t="s">
        <v>26</v>
      </c>
      <c r="C31" s="1098"/>
      <c r="D31" s="1097"/>
      <c r="E31" s="779"/>
      <c r="F31" s="1093"/>
      <c r="G31" s="1093"/>
      <c r="H31" s="1110"/>
      <c r="I31" s="1093"/>
      <c r="J31" s="1093"/>
      <c r="K31" s="1093"/>
      <c r="L31" s="1093"/>
      <c r="M31" s="1093"/>
      <c r="N31" s="1093"/>
      <c r="O31" s="1093"/>
      <c r="P31" s="1093"/>
      <c r="Q31" s="1093"/>
      <c r="R31" s="1094"/>
      <c r="S31" s="1106"/>
      <c r="T31" s="1107"/>
      <c r="U31" s="1108"/>
      <c r="V31" s="734"/>
      <c r="W31" s="134"/>
      <c r="X31" s="7"/>
      <c r="Y31" s="64"/>
      <c r="Z31" s="64"/>
      <c r="AA31" s="82"/>
      <c r="AB31" s="64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1169"/>
      <c r="AS31" s="62"/>
      <c r="AT31" s="62"/>
      <c r="AU31" s="62"/>
      <c r="AV31" s="62"/>
      <c r="AW31" s="62"/>
      <c r="AX31" s="62"/>
      <c r="AY31" s="62"/>
      <c r="AZ31" s="64"/>
      <c r="BA31" s="82"/>
      <c r="BB31" s="64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1199"/>
      <c r="BN31" s="538"/>
      <c r="BO31" s="538"/>
      <c r="BP31" s="538"/>
      <c r="BQ31" s="538"/>
      <c r="BR31" s="538"/>
      <c r="BS31" s="1190"/>
      <c r="BT31" s="690"/>
      <c r="BU31" s="1190"/>
      <c r="BV31" s="538"/>
      <c r="BW31" s="538"/>
      <c r="BX31" s="538"/>
      <c r="BY31" s="538"/>
      <c r="BZ31" s="538"/>
      <c r="CA31" s="538"/>
      <c r="CB31" s="538"/>
      <c r="CC31" s="538"/>
      <c r="CD31" s="538"/>
      <c r="CE31" s="538"/>
      <c r="CF31" s="1199"/>
      <c r="CG31" s="62"/>
      <c r="CH31" s="62"/>
      <c r="CI31" s="62"/>
      <c r="CJ31" s="62"/>
      <c r="CK31" s="62"/>
      <c r="CL31" s="1170"/>
      <c r="CM31" s="1085"/>
      <c r="CN31" s="538"/>
      <c r="CO31" s="690"/>
      <c r="CP31" s="1196"/>
      <c r="CQ31" s="538"/>
      <c r="CR31" s="538"/>
      <c r="CS31" s="538"/>
      <c r="CT31" s="538"/>
      <c r="CU31" s="538"/>
      <c r="CV31" s="538"/>
      <c r="CW31" s="538"/>
      <c r="CX31" s="538"/>
      <c r="CY31" s="538"/>
      <c r="CZ31" s="538"/>
      <c r="DA31" s="538"/>
      <c r="DB31" s="538"/>
      <c r="DC31" s="538"/>
      <c r="DD31" s="538"/>
      <c r="DE31" s="538"/>
      <c r="DF31" s="538"/>
      <c r="DG31" s="538"/>
      <c r="DH31" s="538"/>
      <c r="DI31" s="538"/>
      <c r="DJ31" s="538"/>
      <c r="DK31" s="538">
        <f t="shared" si="10"/>
        <v>0</v>
      </c>
      <c r="DL31" s="538"/>
    </row>
    <row r="32" spans="1:116" s="35" customFormat="1" ht="15.75" x14ac:dyDescent="0.25">
      <c r="A32" s="1089" t="s">
        <v>76</v>
      </c>
      <c r="B32" s="772"/>
      <c r="C32" s="1090"/>
      <c r="D32" s="1091"/>
      <c r="E32" s="1091"/>
      <c r="F32" s="1094"/>
      <c r="G32" s="1093"/>
      <c r="H32" s="1110"/>
      <c r="I32" s="1093"/>
      <c r="J32" s="1093"/>
      <c r="K32" s="1093"/>
      <c r="L32" s="1093"/>
      <c r="M32" s="1093"/>
      <c r="N32" s="1093"/>
      <c r="O32" s="1093"/>
      <c r="P32" s="1093"/>
      <c r="Q32" s="1093"/>
      <c r="R32" s="1094"/>
      <c r="S32" s="1106"/>
      <c r="T32" s="1107"/>
      <c r="U32" s="1108"/>
      <c r="V32" s="734"/>
      <c r="W32" s="134"/>
      <c r="X32" s="7"/>
      <c r="Y32" s="1167"/>
      <c r="Z32" s="64"/>
      <c r="AA32" s="82"/>
      <c r="AB32" s="64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1169"/>
      <c r="AS32" s="62"/>
      <c r="AT32" s="62"/>
      <c r="AU32" s="62"/>
      <c r="AV32" s="62"/>
      <c r="AW32" s="62"/>
      <c r="AX32" s="62"/>
      <c r="AY32" s="62"/>
      <c r="AZ32" s="64"/>
      <c r="BA32" s="82"/>
      <c r="BB32" s="64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1199"/>
      <c r="BN32" s="538"/>
      <c r="BO32" s="538"/>
      <c r="BP32" s="538"/>
      <c r="BQ32" s="538"/>
      <c r="BR32" s="538"/>
      <c r="BS32" s="1190"/>
      <c r="BT32" s="690"/>
      <c r="BU32" s="1190"/>
      <c r="BV32" s="538"/>
      <c r="BW32" s="538"/>
      <c r="BX32" s="538"/>
      <c r="BY32" s="538"/>
      <c r="BZ32" s="538"/>
      <c r="CA32" s="538"/>
      <c r="CB32" s="538"/>
      <c r="CC32" s="538"/>
      <c r="CD32" s="538"/>
      <c r="CE32" s="538"/>
      <c r="CF32" s="1199"/>
      <c r="CG32" s="62"/>
      <c r="CH32" s="62"/>
      <c r="CI32" s="62"/>
      <c r="CJ32" s="62"/>
      <c r="CK32" s="62"/>
      <c r="CL32" s="1170"/>
      <c r="CM32" s="1085"/>
      <c r="CN32" s="538"/>
      <c r="CO32" s="690"/>
      <c r="CP32" s="1196"/>
      <c r="CQ32" s="538"/>
      <c r="CR32" s="538"/>
      <c r="CS32" s="538"/>
      <c r="CT32" s="538"/>
      <c r="CU32" s="538"/>
      <c r="CV32" s="538"/>
      <c r="CW32" s="538"/>
      <c r="CX32" s="538"/>
      <c r="CY32" s="538"/>
      <c r="CZ32" s="538"/>
      <c r="DA32" s="538"/>
      <c r="DB32" s="538"/>
      <c r="DC32" s="538"/>
      <c r="DD32" s="538"/>
      <c r="DE32" s="538"/>
      <c r="DF32" s="538"/>
      <c r="DG32" s="538"/>
      <c r="DH32" s="538"/>
      <c r="DI32" s="538"/>
      <c r="DJ32" s="538"/>
      <c r="DK32" s="538">
        <f t="shared" si="10"/>
        <v>0</v>
      </c>
      <c r="DL32" s="538"/>
    </row>
    <row r="33" spans="1:116" s="35" customFormat="1" ht="15.75" x14ac:dyDescent="0.25">
      <c r="A33" s="1094" t="s">
        <v>216</v>
      </c>
      <c r="B33" s="1098" t="s">
        <v>217</v>
      </c>
      <c r="C33" s="1098" t="s">
        <v>386</v>
      </c>
      <c r="D33" s="1097">
        <v>10</v>
      </c>
      <c r="E33" s="1092">
        <v>0.1</v>
      </c>
      <c r="F33" s="1094">
        <v>43281</v>
      </c>
      <c r="G33" s="1093">
        <v>120</v>
      </c>
      <c r="H33" s="1110">
        <f t="shared" ref="H33:H38" si="15">100/G33</f>
        <v>0.83333333333333337</v>
      </c>
      <c r="I33" s="1197">
        <f t="shared" ref="I33:I38" si="16">H33*J33</f>
        <v>104.16666666666667</v>
      </c>
      <c r="J33" s="1093">
        <f t="shared" ref="J33:J38" si="17">(YEAR(F33)-YEAR(S33))*12+MONTH(F33)-MONTH(S33)</f>
        <v>125</v>
      </c>
      <c r="K33" s="1197">
        <f t="shared" ref="K33:K38" si="18">L33*H33</f>
        <v>-4.166666666666667</v>
      </c>
      <c r="L33" s="1093">
        <f>G33-J33</f>
        <v>-5</v>
      </c>
      <c r="M33" s="1197">
        <f t="shared" ref="M33:M38" si="19">N33*H33</f>
        <v>5.8333333333333339</v>
      </c>
      <c r="N33" s="1093">
        <v>7</v>
      </c>
      <c r="O33" s="1197">
        <f t="shared" ref="O33:P38" si="20">K33-M33</f>
        <v>-10</v>
      </c>
      <c r="P33" s="1093">
        <f t="shared" si="20"/>
        <v>-12</v>
      </c>
      <c r="Q33" s="1198">
        <f>DATE(YEAR(S33),MONTH(S33)+G33,DAY(S33))</f>
        <v>43101</v>
      </c>
      <c r="R33" s="1093" t="s">
        <v>445</v>
      </c>
      <c r="S33" s="1094">
        <v>39448</v>
      </c>
      <c r="T33" s="1001">
        <v>300</v>
      </c>
      <c r="U33" s="1109">
        <v>92.5</v>
      </c>
      <c r="V33" s="734">
        <v>28.888677234393889</v>
      </c>
      <c r="W33" s="134">
        <v>2.5</v>
      </c>
      <c r="X33" s="7">
        <f>W33*5</f>
        <v>12.5</v>
      </c>
      <c r="Y33" s="64"/>
      <c r="Z33" s="64">
        <v>126.408</v>
      </c>
      <c r="AA33" s="82">
        <v>140.047</v>
      </c>
      <c r="AB33" s="64">
        <f>Z33/AA33</f>
        <v>0.90261126621776977</v>
      </c>
      <c r="AC33" s="62">
        <f>V33/L33</f>
        <v>-5.7777354468787774</v>
      </c>
      <c r="AD33" s="62">
        <f>AC33*AB33</f>
        <v>-5.2150491075785448</v>
      </c>
      <c r="AE33" s="62"/>
      <c r="AF33" s="62"/>
      <c r="AG33" s="62"/>
      <c r="AH33" s="62"/>
      <c r="AI33" s="62"/>
      <c r="AJ33" s="62">
        <v>3.73</v>
      </c>
      <c r="AK33" s="62">
        <v>3.73</v>
      </c>
      <c r="AL33" s="62">
        <v>3.73</v>
      </c>
      <c r="AM33" s="62">
        <v>3.73</v>
      </c>
      <c r="AN33" s="62">
        <v>3.73</v>
      </c>
      <c r="AO33" s="62">
        <v>3.73</v>
      </c>
      <c r="AP33" s="62">
        <v>3.73</v>
      </c>
      <c r="AQ33" s="62">
        <f>SUM(AJ33:AP33)</f>
        <v>26.11</v>
      </c>
      <c r="AR33" s="1169">
        <f>V33-AQ33</f>
        <v>2.7786772343938893</v>
      </c>
      <c r="AS33" s="62"/>
      <c r="AT33" s="62"/>
      <c r="AU33" s="62">
        <f>$AP33</f>
        <v>3.73</v>
      </c>
      <c r="AV33" s="62">
        <f>$AP33</f>
        <v>3.73</v>
      </c>
      <c r="AW33" s="62">
        <f>$AP33</f>
        <v>3.73</v>
      </c>
      <c r="AX33" s="62">
        <f>$AP33</f>
        <v>3.73</v>
      </c>
      <c r="AY33" s="62">
        <f>$AP33</f>
        <v>3.73</v>
      </c>
      <c r="AZ33" s="64">
        <v>118.901</v>
      </c>
      <c r="BA33" s="82">
        <v>140.047</v>
      </c>
      <c r="BB33" s="64">
        <f>AZ33/BA33</f>
        <v>0.84900783308460726</v>
      </c>
      <c r="BC33" s="62">
        <f>T33/(D33*12)</f>
        <v>2.5</v>
      </c>
      <c r="BD33" s="62">
        <f t="shared" si="11"/>
        <v>2.1225195827115182</v>
      </c>
      <c r="BE33" s="62">
        <f t="shared" ref="BE33:BK34" si="21">$BD33</f>
        <v>2.1225195827115182</v>
      </c>
      <c r="BF33" s="62">
        <f t="shared" si="21"/>
        <v>2.1225195827115182</v>
      </c>
      <c r="BG33" s="62">
        <f t="shared" si="21"/>
        <v>2.1225195827115182</v>
      </c>
      <c r="BH33" s="62">
        <f t="shared" si="21"/>
        <v>2.1225195827115182</v>
      </c>
      <c r="BI33" s="62">
        <f t="shared" si="21"/>
        <v>2.1225195827115182</v>
      </c>
      <c r="BJ33" s="62">
        <f t="shared" si="21"/>
        <v>2.1225195827115182</v>
      </c>
      <c r="BK33" s="62">
        <f t="shared" si="21"/>
        <v>2.1225195827115182</v>
      </c>
      <c r="BL33" s="62">
        <f t="shared" si="2"/>
        <v>33.507637078980629</v>
      </c>
      <c r="BM33" s="1199">
        <f t="shared" si="3"/>
        <v>-30.72895984458674</v>
      </c>
      <c r="BN33" s="538">
        <f t="shared" ref="BN33:BR34" si="22">$BD33</f>
        <v>2.1225195827115182</v>
      </c>
      <c r="BO33" s="538">
        <f t="shared" si="22"/>
        <v>2.1225195827115182</v>
      </c>
      <c r="BP33" s="538">
        <f t="shared" si="22"/>
        <v>2.1225195827115182</v>
      </c>
      <c r="BQ33" s="538">
        <f t="shared" si="22"/>
        <v>2.1225195827115182</v>
      </c>
      <c r="BR33" s="538">
        <f t="shared" si="22"/>
        <v>2.1225195827115182</v>
      </c>
      <c r="BS33" s="1190">
        <v>118.901</v>
      </c>
      <c r="BT33" s="690">
        <v>140.047</v>
      </c>
      <c r="BU33" s="1190">
        <f>BS33/BT33</f>
        <v>0.84900783308460726</v>
      </c>
      <c r="BV33" s="538"/>
      <c r="BW33" s="538"/>
      <c r="BX33" s="538"/>
      <c r="BY33" s="538"/>
      <c r="BZ33" s="538"/>
      <c r="CA33" s="538"/>
      <c r="CB33" s="538"/>
      <c r="CC33" s="538"/>
      <c r="CD33" s="538"/>
      <c r="CE33" s="538">
        <f>SUM((BN33:BR33),(BX33:CD33))</f>
        <v>10.612597913557591</v>
      </c>
      <c r="CF33" s="1199">
        <f>BM33-CE33</f>
        <v>-41.341557758144333</v>
      </c>
      <c r="CG33" s="62">
        <v>1.78</v>
      </c>
      <c r="CH33" s="62">
        <v>0</v>
      </c>
      <c r="CI33" s="62">
        <v>0</v>
      </c>
      <c r="CJ33" s="62">
        <v>0</v>
      </c>
      <c r="CK33" s="62">
        <v>0</v>
      </c>
      <c r="CL33" s="1170">
        <f>SUM(CG33:CK33)</f>
        <v>1.78</v>
      </c>
      <c r="CM33" s="1085">
        <f t="shared" si="5"/>
        <v>0.99867723439388922</v>
      </c>
      <c r="CN33" s="1195">
        <v>132.28200000000001</v>
      </c>
      <c r="CO33" s="690">
        <v>140.047</v>
      </c>
      <c r="CP33" s="1196">
        <f>CN33/CO33</f>
        <v>0.9445543281898221</v>
      </c>
      <c r="CQ33" s="538">
        <v>0</v>
      </c>
      <c r="CR33" s="538">
        <f>CQ33*CP33</f>
        <v>0</v>
      </c>
      <c r="CS33" s="538">
        <v>0</v>
      </c>
      <c r="CT33" s="538">
        <v>0</v>
      </c>
      <c r="CU33" s="538">
        <v>0</v>
      </c>
      <c r="CV33" s="538">
        <v>0</v>
      </c>
      <c r="CW33" s="538">
        <v>0</v>
      </c>
      <c r="CX33" s="538">
        <v>0</v>
      </c>
      <c r="CY33" s="538">
        <v>0</v>
      </c>
      <c r="CZ33" s="538">
        <v>0</v>
      </c>
      <c r="DA33" s="538">
        <v>0</v>
      </c>
      <c r="DB33" s="538">
        <v>0</v>
      </c>
      <c r="DC33" s="538">
        <v>0</v>
      </c>
      <c r="DD33" s="538">
        <v>0</v>
      </c>
      <c r="DE33" s="538">
        <v>0</v>
      </c>
      <c r="DF33" s="538">
        <v>0</v>
      </c>
      <c r="DG33" s="538">
        <v>0</v>
      </c>
      <c r="DH33" s="538">
        <v>0</v>
      </c>
      <c r="DI33" s="538">
        <v>0</v>
      </c>
      <c r="DJ33" s="538">
        <v>0</v>
      </c>
      <c r="DK33" s="538">
        <f t="shared" si="10"/>
        <v>0</v>
      </c>
      <c r="DL33" s="1088">
        <f>CM33-DK33</f>
        <v>0.99867723439388922</v>
      </c>
    </row>
    <row r="34" spans="1:116" s="35" customFormat="1" ht="15.75" x14ac:dyDescent="0.25">
      <c r="A34" s="1094" t="s">
        <v>216</v>
      </c>
      <c r="B34" s="1098" t="s">
        <v>40</v>
      </c>
      <c r="C34" s="1098" t="s">
        <v>386</v>
      </c>
      <c r="D34" s="1097">
        <v>10</v>
      </c>
      <c r="E34" s="1092">
        <v>0.1</v>
      </c>
      <c r="F34" s="1094">
        <v>43281</v>
      </c>
      <c r="G34" s="1093">
        <v>120</v>
      </c>
      <c r="H34" s="1110">
        <f t="shared" si="15"/>
        <v>0.83333333333333337</v>
      </c>
      <c r="I34" s="1197">
        <f t="shared" si="16"/>
        <v>74.166666666666671</v>
      </c>
      <c r="J34" s="1093">
        <f t="shared" si="17"/>
        <v>89</v>
      </c>
      <c r="K34" s="1197">
        <f t="shared" si="18"/>
        <v>25.833333333333336</v>
      </c>
      <c r="L34" s="1093">
        <f>G34-J34</f>
        <v>31</v>
      </c>
      <c r="M34" s="1197">
        <f t="shared" si="19"/>
        <v>5.8333333333333339</v>
      </c>
      <c r="N34" s="1093">
        <v>7</v>
      </c>
      <c r="O34" s="1197">
        <f t="shared" si="20"/>
        <v>20</v>
      </c>
      <c r="P34" s="1093">
        <f t="shared" si="20"/>
        <v>24</v>
      </c>
      <c r="Q34" s="1198">
        <f>DATE(YEAR(S34),MONTH(S34)+G34,DAY(S34))</f>
        <v>44197</v>
      </c>
      <c r="R34" s="1093" t="s">
        <v>445</v>
      </c>
      <c r="S34" s="1094">
        <v>40544</v>
      </c>
      <c r="T34" s="1001">
        <v>600</v>
      </c>
      <c r="U34" s="1109">
        <v>365</v>
      </c>
      <c r="V34" s="734">
        <v>208.16821462996498</v>
      </c>
      <c r="W34" s="134">
        <v>5</v>
      </c>
      <c r="X34" s="7">
        <f>W34*5</f>
        <v>25</v>
      </c>
      <c r="Y34" s="64"/>
      <c r="Z34" s="64">
        <v>126.408</v>
      </c>
      <c r="AA34" s="82">
        <v>107.678</v>
      </c>
      <c r="AB34" s="64">
        <f>Z34/AA34</f>
        <v>1.1739445383458089</v>
      </c>
      <c r="AC34" s="62">
        <f>V34/L34</f>
        <v>6.7151036977408056</v>
      </c>
      <c r="AD34" s="62">
        <f>AC34*AB34</f>
        <v>7.8831593103885647</v>
      </c>
      <c r="AE34" s="62"/>
      <c r="AF34" s="62"/>
      <c r="AG34" s="62"/>
      <c r="AH34" s="62"/>
      <c r="AI34" s="62"/>
      <c r="AJ34" s="62">
        <v>5.68</v>
      </c>
      <c r="AK34" s="62">
        <v>5.68</v>
      </c>
      <c r="AL34" s="62">
        <v>5.68</v>
      </c>
      <c r="AM34" s="62">
        <v>5.68</v>
      </c>
      <c r="AN34" s="62">
        <v>5.68</v>
      </c>
      <c r="AO34" s="62">
        <v>5.68</v>
      </c>
      <c r="AP34" s="62">
        <v>5.68</v>
      </c>
      <c r="AQ34" s="62">
        <f>SUM(AJ34:AP34)</f>
        <v>39.76</v>
      </c>
      <c r="AR34" s="1169">
        <f>V34-AQ34</f>
        <v>168.40821462996499</v>
      </c>
      <c r="AS34" s="62"/>
      <c r="AT34" s="62"/>
      <c r="AU34" s="62">
        <f t="shared" ref="AU34:AY45" si="23">$AP34</f>
        <v>5.68</v>
      </c>
      <c r="AV34" s="62">
        <f t="shared" si="23"/>
        <v>5.68</v>
      </c>
      <c r="AW34" s="62">
        <f t="shared" si="23"/>
        <v>5.68</v>
      </c>
      <c r="AX34" s="62">
        <f t="shared" si="23"/>
        <v>5.68</v>
      </c>
      <c r="AY34" s="62">
        <f t="shared" si="23"/>
        <v>5.68</v>
      </c>
      <c r="AZ34" s="64">
        <v>118.901</v>
      </c>
      <c r="BA34" s="82">
        <v>107.678</v>
      </c>
      <c r="BB34" s="64">
        <f>AZ34/BA34</f>
        <v>1.1042274187856387</v>
      </c>
      <c r="BC34" s="62">
        <f>T34/(D34*12)</f>
        <v>5</v>
      </c>
      <c r="BD34" s="62">
        <f t="shared" si="11"/>
        <v>5.5211370939281936</v>
      </c>
      <c r="BE34" s="62">
        <f t="shared" si="21"/>
        <v>5.5211370939281936</v>
      </c>
      <c r="BF34" s="62">
        <f t="shared" si="21"/>
        <v>5.5211370939281936</v>
      </c>
      <c r="BG34" s="62">
        <f t="shared" si="21"/>
        <v>5.5211370939281936</v>
      </c>
      <c r="BH34" s="62">
        <f t="shared" si="21"/>
        <v>5.5211370939281936</v>
      </c>
      <c r="BI34" s="62">
        <f t="shared" si="21"/>
        <v>5.5211370939281936</v>
      </c>
      <c r="BJ34" s="62">
        <f t="shared" si="21"/>
        <v>5.5211370939281936</v>
      </c>
      <c r="BK34" s="62">
        <f t="shared" si="21"/>
        <v>5.5211370939281936</v>
      </c>
      <c r="BL34" s="62">
        <f t="shared" si="2"/>
        <v>67.047959657497373</v>
      </c>
      <c r="BM34" s="1199">
        <f t="shared" si="3"/>
        <v>101.36025497246762</v>
      </c>
      <c r="BN34" s="538">
        <f t="shared" si="22"/>
        <v>5.5211370939281936</v>
      </c>
      <c r="BO34" s="538">
        <f t="shared" si="22"/>
        <v>5.5211370939281936</v>
      </c>
      <c r="BP34" s="538">
        <f t="shared" si="22"/>
        <v>5.5211370939281936</v>
      </c>
      <c r="BQ34" s="538">
        <f t="shared" si="22"/>
        <v>5.5211370939281936</v>
      </c>
      <c r="BR34" s="538">
        <f t="shared" si="22"/>
        <v>5.5211370939281936</v>
      </c>
      <c r="BS34" s="1190">
        <v>118.901</v>
      </c>
      <c r="BT34" s="690">
        <v>107.678</v>
      </c>
      <c r="BU34" s="1190">
        <f>BS34/BT34</f>
        <v>1.1042274187856387</v>
      </c>
      <c r="BV34" s="538"/>
      <c r="BW34" s="538"/>
      <c r="BX34" s="538"/>
      <c r="BY34" s="538"/>
      <c r="BZ34" s="538"/>
      <c r="CA34" s="538"/>
      <c r="CB34" s="538"/>
      <c r="CC34" s="538"/>
      <c r="CD34" s="538"/>
      <c r="CE34" s="538">
        <f>SUM((BN34:BR34),(BX34:CD34))</f>
        <v>27.605685469640967</v>
      </c>
      <c r="CF34" s="1199">
        <f>BM34-CE34</f>
        <v>73.754569502826655</v>
      </c>
      <c r="CG34" s="62">
        <v>5.68</v>
      </c>
      <c r="CH34" s="62">
        <v>5.68</v>
      </c>
      <c r="CI34" s="62">
        <v>5.68</v>
      </c>
      <c r="CJ34" s="62">
        <v>5.68</v>
      </c>
      <c r="CK34" s="62">
        <v>5.68</v>
      </c>
      <c r="CL34" s="1170">
        <f t="shared" ref="CL34:CL39" si="24">SUM(CG34:CK34)</f>
        <v>28.4</v>
      </c>
      <c r="CM34" s="1085">
        <f t="shared" si="5"/>
        <v>140.00821462996498</v>
      </c>
      <c r="CN34" s="1195">
        <v>132.28200000000001</v>
      </c>
      <c r="CO34" s="690">
        <v>107.678</v>
      </c>
      <c r="CP34" s="1196">
        <f>CN34/CO34</f>
        <v>1.2284960716209441</v>
      </c>
      <c r="CQ34" s="538">
        <f>CM34/L34</f>
        <v>4.5163940203214512</v>
      </c>
      <c r="CR34" s="538">
        <f>CQ34*CP34</f>
        <v>5.548372311857225</v>
      </c>
      <c r="CS34" s="538">
        <v>5.548372311857225</v>
      </c>
      <c r="CT34" s="538">
        <v>5.548372311857225</v>
      </c>
      <c r="CU34" s="538">
        <v>5.548372311857225</v>
      </c>
      <c r="CV34" s="538">
        <v>5.548372311857225</v>
      </c>
      <c r="CW34" s="538">
        <v>5.548372311857225</v>
      </c>
      <c r="CX34" s="538">
        <v>5.548372311857225</v>
      </c>
      <c r="CY34" s="538">
        <v>5.548372311857225</v>
      </c>
      <c r="CZ34" s="538">
        <v>5.548372311857225</v>
      </c>
      <c r="DA34" s="538">
        <v>5.548372311857225</v>
      </c>
      <c r="DB34" s="538">
        <v>5.548372311857225</v>
      </c>
      <c r="DC34" s="538">
        <v>5.548372311857225</v>
      </c>
      <c r="DD34" s="538">
        <v>5.548372311857225</v>
      </c>
      <c r="DE34" s="538">
        <v>5.548372311857225</v>
      </c>
      <c r="DF34" s="538">
        <v>5.548372311857225</v>
      </c>
      <c r="DG34" s="538">
        <v>5.548372311857225</v>
      </c>
      <c r="DH34" s="538">
        <v>5.548372311857225</v>
      </c>
      <c r="DI34" s="538">
        <v>5.548372311857225</v>
      </c>
      <c r="DJ34" s="538">
        <v>5.548372311857225</v>
      </c>
      <c r="DK34" s="538">
        <f t="shared" si="10"/>
        <v>99.870701613430015</v>
      </c>
      <c r="DL34" s="1088">
        <f>CM34-DK34</f>
        <v>40.137513016534967</v>
      </c>
    </row>
    <row r="35" spans="1:116" s="35" customFormat="1" ht="15.75" x14ac:dyDescent="0.25">
      <c r="A35" s="1089" t="s">
        <v>65</v>
      </c>
      <c r="B35" s="1089" t="s">
        <v>87</v>
      </c>
      <c r="C35" s="1098"/>
      <c r="D35" s="1097"/>
      <c r="E35" s="1100"/>
      <c r="F35" s="1094"/>
      <c r="G35" s="1093"/>
      <c r="H35" s="1110"/>
      <c r="I35" s="1197"/>
      <c r="J35" s="1093"/>
      <c r="K35" s="1197"/>
      <c r="L35" s="1093"/>
      <c r="M35" s="1197"/>
      <c r="N35" s="1093"/>
      <c r="O35" s="1197"/>
      <c r="P35" s="1093"/>
      <c r="Q35" s="1093"/>
      <c r="R35" s="1093"/>
      <c r="S35" s="1094"/>
      <c r="T35" s="1001"/>
      <c r="U35" s="1105"/>
      <c r="V35" s="734"/>
      <c r="W35" s="134"/>
      <c r="X35" s="7"/>
      <c r="Y35" s="1167"/>
      <c r="Z35" s="64"/>
      <c r="AA35" s="82"/>
      <c r="AB35" s="64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1169"/>
      <c r="AS35" s="62"/>
      <c r="AT35" s="62"/>
      <c r="AU35" s="62"/>
      <c r="AV35" s="62"/>
      <c r="AW35" s="62"/>
      <c r="AX35" s="62"/>
      <c r="AY35" s="62"/>
      <c r="AZ35" s="64"/>
      <c r="BA35" s="82"/>
      <c r="BB35" s="64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1199"/>
      <c r="BN35" s="538"/>
      <c r="BO35" s="538"/>
      <c r="BP35" s="538"/>
      <c r="BQ35" s="538"/>
      <c r="BR35" s="538"/>
      <c r="BS35" s="1190"/>
      <c r="BT35" s="690"/>
      <c r="BU35" s="1190"/>
      <c r="BV35" s="538"/>
      <c r="BW35" s="538"/>
      <c r="BX35" s="538"/>
      <c r="BY35" s="538"/>
      <c r="BZ35" s="538"/>
      <c r="CA35" s="538"/>
      <c r="CB35" s="538"/>
      <c r="CC35" s="538"/>
      <c r="CD35" s="538"/>
      <c r="CE35" s="538"/>
      <c r="CF35" s="1199"/>
      <c r="CG35" s="62"/>
      <c r="CH35" s="62"/>
      <c r="CI35" s="62"/>
      <c r="CJ35" s="62"/>
      <c r="CK35" s="62"/>
      <c r="CL35" s="1170"/>
      <c r="CM35" s="1085"/>
      <c r="CN35" s="538"/>
      <c r="CO35" s="690"/>
      <c r="CP35" s="1196"/>
      <c r="CQ35" s="538"/>
      <c r="CR35" s="538"/>
      <c r="CS35" s="538"/>
      <c r="CT35" s="538"/>
      <c r="CU35" s="538"/>
      <c r="CV35" s="538"/>
      <c r="CW35" s="538"/>
      <c r="CX35" s="538"/>
      <c r="CY35" s="538"/>
      <c r="CZ35" s="538"/>
      <c r="DA35" s="538"/>
      <c r="DB35" s="538"/>
      <c r="DC35" s="538"/>
      <c r="DD35" s="538"/>
      <c r="DE35" s="538"/>
      <c r="DF35" s="538"/>
      <c r="DG35" s="538"/>
      <c r="DH35" s="538"/>
      <c r="DI35" s="538"/>
      <c r="DJ35" s="538"/>
      <c r="DK35" s="538">
        <f t="shared" si="10"/>
        <v>0</v>
      </c>
      <c r="DL35" s="538"/>
    </row>
    <row r="36" spans="1:116" s="35" customFormat="1" ht="15.75" x14ac:dyDescent="0.25">
      <c r="A36" s="1089" t="s">
        <v>83</v>
      </c>
      <c r="B36" s="1098"/>
      <c r="C36" s="1090"/>
      <c r="D36" s="1091"/>
      <c r="E36" s="1100"/>
      <c r="F36" s="1094"/>
      <c r="G36" s="1093"/>
      <c r="H36" s="1110"/>
      <c r="I36" s="1197"/>
      <c r="J36" s="1093"/>
      <c r="K36" s="1197"/>
      <c r="L36" s="1093"/>
      <c r="M36" s="1197"/>
      <c r="N36" s="1093"/>
      <c r="O36" s="1197"/>
      <c r="P36" s="1093"/>
      <c r="Q36" s="1093"/>
      <c r="R36" s="1093"/>
      <c r="S36" s="1094"/>
      <c r="T36" s="1001"/>
      <c r="U36" s="1105"/>
      <c r="V36" s="734"/>
      <c r="W36" s="134"/>
      <c r="X36" s="7"/>
      <c r="Y36" s="64"/>
      <c r="Z36" s="64"/>
      <c r="AA36" s="82"/>
      <c r="AB36" s="64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1169"/>
      <c r="AS36" s="62"/>
      <c r="AT36" s="62"/>
      <c r="AU36" s="62"/>
      <c r="AV36" s="62"/>
      <c r="AW36" s="62"/>
      <c r="AX36" s="62"/>
      <c r="AY36" s="62"/>
      <c r="AZ36" s="64"/>
      <c r="BA36" s="82"/>
      <c r="BB36" s="64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1199"/>
      <c r="BN36" s="538"/>
      <c r="BO36" s="538"/>
      <c r="BP36" s="538"/>
      <c r="BQ36" s="538"/>
      <c r="BR36" s="538"/>
      <c r="BS36" s="1190"/>
      <c r="BT36" s="690"/>
      <c r="BU36" s="1190"/>
      <c r="BV36" s="538"/>
      <c r="BW36" s="538"/>
      <c r="BX36" s="538"/>
      <c r="BY36" s="538"/>
      <c r="BZ36" s="538"/>
      <c r="CA36" s="538"/>
      <c r="CB36" s="538"/>
      <c r="CC36" s="538"/>
      <c r="CD36" s="538"/>
      <c r="CE36" s="538"/>
      <c r="CF36" s="1199"/>
      <c r="CG36" s="62"/>
      <c r="CH36" s="62"/>
      <c r="CI36" s="62"/>
      <c r="CJ36" s="62"/>
      <c r="CK36" s="62"/>
      <c r="CL36" s="1170"/>
      <c r="CM36" s="1085"/>
      <c r="CN36" s="1190"/>
      <c r="CO36" s="690"/>
      <c r="CP36" s="1196"/>
      <c r="CQ36" s="538"/>
      <c r="CR36" s="538"/>
      <c r="CS36" s="538"/>
      <c r="CT36" s="538"/>
      <c r="CU36" s="538"/>
      <c r="CV36" s="538"/>
      <c r="CW36" s="538"/>
      <c r="CX36" s="538"/>
      <c r="CY36" s="538"/>
      <c r="CZ36" s="538"/>
      <c r="DA36" s="538"/>
      <c r="DB36" s="538"/>
      <c r="DC36" s="538"/>
      <c r="DD36" s="538"/>
      <c r="DE36" s="538"/>
      <c r="DF36" s="538"/>
      <c r="DG36" s="538"/>
      <c r="DH36" s="538"/>
      <c r="DI36" s="538"/>
      <c r="DJ36" s="538"/>
      <c r="DK36" s="538">
        <f t="shared" si="10"/>
        <v>0</v>
      </c>
      <c r="DL36" s="538"/>
    </row>
    <row r="37" spans="1:116" s="35" customFormat="1" ht="15.75" x14ac:dyDescent="0.25">
      <c r="A37" s="1094" t="s">
        <v>218</v>
      </c>
      <c r="B37" s="1098" t="s">
        <v>219</v>
      </c>
      <c r="C37" s="1098" t="s">
        <v>386</v>
      </c>
      <c r="D37" s="1097">
        <v>10</v>
      </c>
      <c r="E37" s="1100">
        <v>0.1</v>
      </c>
      <c r="F37" s="1094">
        <v>43281</v>
      </c>
      <c r="G37" s="1093">
        <v>120</v>
      </c>
      <c r="H37" s="1110">
        <f t="shared" si="15"/>
        <v>0.83333333333333337</v>
      </c>
      <c r="I37" s="1197">
        <f t="shared" si="16"/>
        <v>94.166666666666671</v>
      </c>
      <c r="J37" s="1093">
        <f t="shared" si="17"/>
        <v>113</v>
      </c>
      <c r="K37" s="1197">
        <f t="shared" si="18"/>
        <v>5.8333333333333339</v>
      </c>
      <c r="L37" s="1093">
        <f>G37-J37</f>
        <v>7</v>
      </c>
      <c r="M37" s="1197">
        <f t="shared" si="19"/>
        <v>5.8333333333333339</v>
      </c>
      <c r="N37" s="1093">
        <v>7</v>
      </c>
      <c r="O37" s="1197">
        <f t="shared" si="20"/>
        <v>0</v>
      </c>
      <c r="P37" s="1093">
        <f t="shared" si="20"/>
        <v>0</v>
      </c>
      <c r="Q37" s="1198">
        <f>DATE(YEAR(S37),MONTH(S37)+G37,DAY(S37))</f>
        <v>43466</v>
      </c>
      <c r="R37" s="1093" t="s">
        <v>445</v>
      </c>
      <c r="S37" s="1094">
        <v>39814</v>
      </c>
      <c r="T37" s="1001">
        <v>239</v>
      </c>
      <c r="U37" s="1105">
        <v>97.61</v>
      </c>
      <c r="V37" s="734">
        <v>34.924584059191119</v>
      </c>
      <c r="W37" s="134">
        <v>1.99</v>
      </c>
      <c r="X37" s="7">
        <f>W37*5</f>
        <v>9.9499999999999993</v>
      </c>
      <c r="Y37" s="64"/>
      <c r="Z37" s="64">
        <v>126.408</v>
      </c>
      <c r="AA37" s="82">
        <v>107.678</v>
      </c>
      <c r="AB37" s="64">
        <f>Z37/AA37</f>
        <v>1.1739445383458089</v>
      </c>
      <c r="AC37" s="62">
        <f>V37/L37</f>
        <v>4.9892262941701597</v>
      </c>
      <c r="AD37" s="62">
        <f>AC37*AB37</f>
        <v>5.8570749586123592</v>
      </c>
      <c r="AE37" s="62"/>
      <c r="AF37" s="62"/>
      <c r="AG37" s="62"/>
      <c r="AH37" s="62"/>
      <c r="AI37" s="62"/>
      <c r="AJ37" s="62">
        <f>AD37</f>
        <v>5.8570749586123592</v>
      </c>
      <c r="AK37" s="62">
        <v>2.16</v>
      </c>
      <c r="AL37" s="62">
        <v>2.16</v>
      </c>
      <c r="AM37" s="62">
        <v>2.16</v>
      </c>
      <c r="AN37" s="62">
        <v>2.16</v>
      </c>
      <c r="AO37" s="62">
        <v>2.16</v>
      </c>
      <c r="AP37" s="62">
        <v>2.16</v>
      </c>
      <c r="AQ37" s="62">
        <f>SUM(AJ37:AP37)</f>
        <v>18.817074958612359</v>
      </c>
      <c r="AR37" s="1169">
        <f>V37-AQ37</f>
        <v>16.10750910057876</v>
      </c>
      <c r="AS37" s="62"/>
      <c r="AT37" s="62"/>
      <c r="AU37" s="62">
        <f t="shared" si="23"/>
        <v>2.16</v>
      </c>
      <c r="AV37" s="62">
        <f t="shared" si="23"/>
        <v>2.16</v>
      </c>
      <c r="AW37" s="62">
        <f t="shared" si="23"/>
        <v>2.16</v>
      </c>
      <c r="AX37" s="62">
        <f t="shared" si="23"/>
        <v>2.16</v>
      </c>
      <c r="AY37" s="62">
        <f t="shared" si="23"/>
        <v>2.16</v>
      </c>
      <c r="AZ37" s="64">
        <v>118.901</v>
      </c>
      <c r="BA37" s="82">
        <v>107.678</v>
      </c>
      <c r="BB37" s="64">
        <f>AZ37/BA37</f>
        <v>1.1042274187856387</v>
      </c>
      <c r="BC37" s="62">
        <f>T37/(D37*12)</f>
        <v>1.9916666666666667</v>
      </c>
      <c r="BD37" s="62">
        <f t="shared" si="11"/>
        <v>2.1992529424147302</v>
      </c>
      <c r="BE37" s="62">
        <f t="shared" ref="BE37:BK39" si="25">$BD37</f>
        <v>2.1992529424147302</v>
      </c>
      <c r="BF37" s="62">
        <f t="shared" si="25"/>
        <v>2.1992529424147302</v>
      </c>
      <c r="BG37" s="62">
        <f t="shared" si="25"/>
        <v>2.1992529424147302</v>
      </c>
      <c r="BH37" s="62">
        <f t="shared" si="25"/>
        <v>2.1992529424147302</v>
      </c>
      <c r="BI37" s="62">
        <f t="shared" si="25"/>
        <v>2.1992529424147302</v>
      </c>
      <c r="BJ37" s="62">
        <f t="shared" si="25"/>
        <v>2.1992529424147302</v>
      </c>
      <c r="BK37" s="62">
        <f t="shared" si="25"/>
        <v>2.1992529424147302</v>
      </c>
      <c r="BL37" s="62">
        <f t="shared" si="2"/>
        <v>26.194770596903115</v>
      </c>
      <c r="BM37" s="1199">
        <f t="shared" si="3"/>
        <v>-10.087261496324356</v>
      </c>
      <c r="BN37" s="538">
        <f t="shared" ref="BN37:BR39" si="26">$BD37</f>
        <v>2.1992529424147302</v>
      </c>
      <c r="BO37" s="538">
        <f t="shared" si="26"/>
        <v>2.1992529424147302</v>
      </c>
      <c r="BP37" s="538">
        <f t="shared" si="26"/>
        <v>2.1992529424147302</v>
      </c>
      <c r="BQ37" s="538">
        <f t="shared" si="26"/>
        <v>2.1992529424147302</v>
      </c>
      <c r="BR37" s="538">
        <f t="shared" si="26"/>
        <v>2.1992529424147302</v>
      </c>
      <c r="BS37" s="1190">
        <v>118.901</v>
      </c>
      <c r="BT37" s="690">
        <v>107.678</v>
      </c>
      <c r="BU37" s="1190">
        <f>BS37/BT37</f>
        <v>1.1042274187856387</v>
      </c>
      <c r="BV37" s="538"/>
      <c r="BW37" s="538"/>
      <c r="BX37" s="538"/>
      <c r="BY37" s="538"/>
      <c r="BZ37" s="538"/>
      <c r="CA37" s="538"/>
      <c r="CB37" s="538"/>
      <c r="CC37" s="538"/>
      <c r="CD37" s="538"/>
      <c r="CE37" s="538">
        <f>SUM((BN37:BR37),(BX37:CD37))</f>
        <v>10.996264712073652</v>
      </c>
      <c r="CF37" s="1199">
        <f>BM37-CE37</f>
        <v>-21.083526208398006</v>
      </c>
      <c r="CG37" s="62">
        <v>2.16</v>
      </c>
      <c r="CH37" s="62">
        <v>2.16</v>
      </c>
      <c r="CI37" s="62">
        <v>2.16</v>
      </c>
      <c r="CJ37" s="62">
        <v>2.16</v>
      </c>
      <c r="CK37" s="62">
        <v>2.16</v>
      </c>
      <c r="CL37" s="1170">
        <f t="shared" si="24"/>
        <v>10.8</v>
      </c>
      <c r="CM37" s="1085">
        <f t="shared" si="5"/>
        <v>5.3075091005787591</v>
      </c>
      <c r="CN37" s="1195">
        <v>132.28200000000001</v>
      </c>
      <c r="CO37" s="690">
        <v>107.678</v>
      </c>
      <c r="CP37" s="1196">
        <f>CN37/CO37</f>
        <v>1.2284960716209441</v>
      </c>
      <c r="CQ37" s="538">
        <f>CM37/L37</f>
        <v>0.75821558579696557</v>
      </c>
      <c r="CR37" s="538">
        <f>CQ37*CP37</f>
        <v>0.9314648685933451</v>
      </c>
      <c r="CS37" s="538">
        <v>0.9314648685933451</v>
      </c>
      <c r="CT37" s="538">
        <v>0.9314648685933451</v>
      </c>
      <c r="CU37" s="538">
        <v>0.9314648685933451</v>
      </c>
      <c r="CV37" s="538">
        <v>0.9314648685933451</v>
      </c>
      <c r="CW37" s="538">
        <v>0.9314648685933451</v>
      </c>
      <c r="CX37" s="538">
        <v>0</v>
      </c>
      <c r="CY37" s="538">
        <v>0</v>
      </c>
      <c r="CZ37" s="538">
        <v>0</v>
      </c>
      <c r="DA37" s="538">
        <v>0</v>
      </c>
      <c r="DB37" s="538">
        <v>-0.35</v>
      </c>
      <c r="DC37" s="538">
        <v>0</v>
      </c>
      <c r="DD37" s="538">
        <v>0</v>
      </c>
      <c r="DE37" s="538">
        <v>0</v>
      </c>
      <c r="DF37" s="538">
        <v>0</v>
      </c>
      <c r="DG37" s="538">
        <v>0</v>
      </c>
      <c r="DH37" s="538">
        <v>0</v>
      </c>
      <c r="DI37" s="538">
        <v>0</v>
      </c>
      <c r="DJ37" s="538">
        <v>0</v>
      </c>
      <c r="DK37" s="538">
        <f t="shared" si="10"/>
        <v>4.3073243429667256</v>
      </c>
      <c r="DL37" s="1088">
        <f>CM37-DK37</f>
        <v>1.0001847576120335</v>
      </c>
    </row>
    <row r="38" spans="1:116" s="35" customFormat="1" ht="15.75" x14ac:dyDescent="0.25">
      <c r="A38" s="1094" t="s">
        <v>218</v>
      </c>
      <c r="B38" s="1098" t="s">
        <v>220</v>
      </c>
      <c r="C38" s="1098" t="s">
        <v>386</v>
      </c>
      <c r="D38" s="1097">
        <v>10</v>
      </c>
      <c r="E38" s="1100">
        <v>0.1</v>
      </c>
      <c r="F38" s="1094">
        <v>43281</v>
      </c>
      <c r="G38" s="1093">
        <v>120</v>
      </c>
      <c r="H38" s="1110">
        <f t="shared" si="15"/>
        <v>0.83333333333333337</v>
      </c>
      <c r="I38" s="1197">
        <f t="shared" si="16"/>
        <v>74.166666666666671</v>
      </c>
      <c r="J38" s="1093">
        <f t="shared" si="17"/>
        <v>89</v>
      </c>
      <c r="K38" s="1197">
        <f t="shared" si="18"/>
        <v>25.833333333333336</v>
      </c>
      <c r="L38" s="1093">
        <f>G38-J38</f>
        <v>31</v>
      </c>
      <c r="M38" s="1197">
        <f t="shared" si="19"/>
        <v>5.8333333333333339</v>
      </c>
      <c r="N38" s="1093">
        <v>7</v>
      </c>
      <c r="O38" s="1197">
        <f t="shared" si="20"/>
        <v>20</v>
      </c>
      <c r="P38" s="1093">
        <f t="shared" si="20"/>
        <v>24</v>
      </c>
      <c r="Q38" s="1198">
        <f>DATE(YEAR(S38),MONTH(S38)+G38,DAY(S38))</f>
        <v>44197</v>
      </c>
      <c r="R38" s="1093" t="s">
        <v>445</v>
      </c>
      <c r="S38" s="1094">
        <v>40544</v>
      </c>
      <c r="T38" s="1001">
        <v>738</v>
      </c>
      <c r="U38" s="1105">
        <v>448.95</v>
      </c>
      <c r="V38" s="734">
        <v>287.96809994971477</v>
      </c>
      <c r="W38" s="134">
        <v>6.15</v>
      </c>
      <c r="X38" s="7">
        <f>W38*5</f>
        <v>30.75</v>
      </c>
      <c r="Y38" s="1167">
        <v>0</v>
      </c>
      <c r="Z38" s="64">
        <v>126.408</v>
      </c>
      <c r="AA38" s="82">
        <v>134.071</v>
      </c>
      <c r="AB38" s="64">
        <f>Z38/AA38</f>
        <v>0.94284371713495085</v>
      </c>
      <c r="AC38" s="62">
        <f>V38/L38</f>
        <v>9.2892935467649931</v>
      </c>
      <c r="AD38" s="62">
        <f>AC38*AB38</f>
        <v>8.758352057189617</v>
      </c>
      <c r="AE38" s="62"/>
      <c r="AF38" s="62"/>
      <c r="AG38" s="62"/>
      <c r="AH38" s="62"/>
      <c r="AI38" s="62"/>
      <c r="AJ38" s="62">
        <f>AD38</f>
        <v>8.758352057189617</v>
      </c>
      <c r="AK38" s="62">
        <v>6.31</v>
      </c>
      <c r="AL38" s="62">
        <v>6.31</v>
      </c>
      <c r="AM38" s="62">
        <v>6.31</v>
      </c>
      <c r="AN38" s="62">
        <v>6.31</v>
      </c>
      <c r="AO38" s="62">
        <v>6.31</v>
      </c>
      <c r="AP38" s="62">
        <v>6.31</v>
      </c>
      <c r="AQ38" s="62">
        <f>SUM(AJ38:AP38)</f>
        <v>46.618352057189618</v>
      </c>
      <c r="AR38" s="1169">
        <f>V38-AQ38</f>
        <v>241.34974789252516</v>
      </c>
      <c r="AS38" s="62"/>
      <c r="AT38" s="62"/>
      <c r="AU38" s="62">
        <f t="shared" si="23"/>
        <v>6.31</v>
      </c>
      <c r="AV38" s="62">
        <f t="shared" si="23"/>
        <v>6.31</v>
      </c>
      <c r="AW38" s="62">
        <f t="shared" si="23"/>
        <v>6.31</v>
      </c>
      <c r="AX38" s="62">
        <f t="shared" si="23"/>
        <v>6.31</v>
      </c>
      <c r="AY38" s="62">
        <f t="shared" si="23"/>
        <v>6.31</v>
      </c>
      <c r="AZ38" s="64">
        <v>118.901</v>
      </c>
      <c r="BA38" s="82">
        <v>134.071</v>
      </c>
      <c r="BB38" s="64">
        <f>AZ38/BA38</f>
        <v>0.88685099685987279</v>
      </c>
      <c r="BC38" s="62">
        <f>T38/(D38*12)</f>
        <v>6.15</v>
      </c>
      <c r="BD38" s="62">
        <f t="shared" si="11"/>
        <v>5.4541336306882178</v>
      </c>
      <c r="BE38" s="62">
        <f t="shared" si="25"/>
        <v>5.4541336306882178</v>
      </c>
      <c r="BF38" s="62">
        <f t="shared" si="25"/>
        <v>5.4541336306882178</v>
      </c>
      <c r="BG38" s="62">
        <f t="shared" si="25"/>
        <v>5.4541336306882178</v>
      </c>
      <c r="BH38" s="62">
        <f t="shared" si="25"/>
        <v>5.4541336306882178</v>
      </c>
      <c r="BI38" s="62">
        <f t="shared" si="25"/>
        <v>5.4541336306882178</v>
      </c>
      <c r="BJ38" s="62">
        <f t="shared" si="25"/>
        <v>5.4541336306882178</v>
      </c>
      <c r="BK38" s="62">
        <f t="shared" si="25"/>
        <v>5.4541336306882178</v>
      </c>
      <c r="BL38" s="62">
        <f t="shared" si="2"/>
        <v>69.728935414817528</v>
      </c>
      <c r="BM38" s="1199">
        <f t="shared" si="3"/>
        <v>171.62081247770763</v>
      </c>
      <c r="BN38" s="538">
        <f t="shared" si="26"/>
        <v>5.4541336306882178</v>
      </c>
      <c r="BO38" s="538">
        <f t="shared" si="26"/>
        <v>5.4541336306882178</v>
      </c>
      <c r="BP38" s="538">
        <f t="shared" si="26"/>
        <v>5.4541336306882178</v>
      </c>
      <c r="BQ38" s="538">
        <f t="shared" si="26"/>
        <v>5.4541336306882178</v>
      </c>
      <c r="BR38" s="538">
        <f t="shared" si="26"/>
        <v>5.4541336306882178</v>
      </c>
      <c r="BS38" s="1190">
        <v>118.901</v>
      </c>
      <c r="BT38" s="690">
        <v>134.071</v>
      </c>
      <c r="BU38" s="1190">
        <f>BS38/BT38</f>
        <v>0.88685099685987279</v>
      </c>
      <c r="BV38" s="538"/>
      <c r="BW38" s="538"/>
      <c r="BX38" s="538"/>
      <c r="BY38" s="538"/>
      <c r="BZ38" s="538"/>
      <c r="CA38" s="538"/>
      <c r="CB38" s="538"/>
      <c r="CC38" s="538"/>
      <c r="CD38" s="538"/>
      <c r="CE38" s="538">
        <f>SUM((BN38:BR38),(BX38:CD38))</f>
        <v>27.27066815344109</v>
      </c>
      <c r="CF38" s="1199">
        <f>BM38-CE38</f>
        <v>144.35014432426655</v>
      </c>
      <c r="CG38" s="62">
        <v>6.31</v>
      </c>
      <c r="CH38" s="62">
        <v>6.31</v>
      </c>
      <c r="CI38" s="62">
        <v>6.31</v>
      </c>
      <c r="CJ38" s="62">
        <v>6.31</v>
      </c>
      <c r="CK38" s="62">
        <v>6.31</v>
      </c>
      <c r="CL38" s="1170">
        <f t="shared" si="24"/>
        <v>31.549999999999997</v>
      </c>
      <c r="CM38" s="1085">
        <f t="shared" si="5"/>
        <v>209.79974789252515</v>
      </c>
      <c r="CN38" s="1195">
        <v>132.28200000000001</v>
      </c>
      <c r="CO38" s="690">
        <v>134.071</v>
      </c>
      <c r="CP38" s="1196">
        <f>CN38/CO38</f>
        <v>0.98665632388808922</v>
      </c>
      <c r="CQ38" s="538">
        <f>CM38/L38</f>
        <v>6.7677338029846821</v>
      </c>
      <c r="CR38" s="538">
        <f>CQ38*CP38</f>
        <v>6.6774273551060244</v>
      </c>
      <c r="CS38" s="538">
        <v>6.6774273551060244</v>
      </c>
      <c r="CT38" s="538">
        <v>6.6774273551060244</v>
      </c>
      <c r="CU38" s="538">
        <v>6.6774273551060244</v>
      </c>
      <c r="CV38" s="538">
        <v>6.6774273551060244</v>
      </c>
      <c r="CW38" s="538">
        <v>6.6774273551060244</v>
      </c>
      <c r="CX38" s="538">
        <v>6.6774273551060244</v>
      </c>
      <c r="CY38" s="538">
        <v>6.6774273551060244</v>
      </c>
      <c r="CZ38" s="538">
        <v>6.6774273551060244</v>
      </c>
      <c r="DA38" s="538">
        <v>6.6774273551060244</v>
      </c>
      <c r="DB38" s="538">
        <v>6.6774273551060244</v>
      </c>
      <c r="DC38" s="538">
        <v>6.6774273551060244</v>
      </c>
      <c r="DD38" s="538">
        <v>6.6774273551060244</v>
      </c>
      <c r="DE38" s="538">
        <v>6.6774273551060244</v>
      </c>
      <c r="DF38" s="538">
        <v>6.6774273551060244</v>
      </c>
      <c r="DG38" s="538">
        <v>6.6774273551060244</v>
      </c>
      <c r="DH38" s="538">
        <v>6.6774273551060244</v>
      </c>
      <c r="DI38" s="538">
        <v>6.6774273551060244</v>
      </c>
      <c r="DJ38" s="538">
        <v>6.6774273551060244</v>
      </c>
      <c r="DK38" s="538">
        <f t="shared" si="10"/>
        <v>120.1936923919084</v>
      </c>
      <c r="DL38" s="1088">
        <f>CM38-DK38</f>
        <v>89.606055500616748</v>
      </c>
    </row>
    <row r="39" spans="1:116" s="35" customFormat="1" ht="15.75" x14ac:dyDescent="0.25">
      <c r="A39" s="1094" t="s">
        <v>218</v>
      </c>
      <c r="B39" s="1098" t="s">
        <v>219</v>
      </c>
      <c r="C39" s="1098" t="s">
        <v>386</v>
      </c>
      <c r="D39" s="1097">
        <v>10</v>
      </c>
      <c r="E39" s="1100">
        <v>0.1</v>
      </c>
      <c r="F39" s="1094">
        <v>43281</v>
      </c>
      <c r="G39" s="1093">
        <v>120</v>
      </c>
      <c r="H39" s="1110">
        <f>100/G39</f>
        <v>0.83333333333333337</v>
      </c>
      <c r="I39" s="1197">
        <f>H39*J39</f>
        <v>94.166666666666671</v>
      </c>
      <c r="J39" s="1093">
        <f>(YEAR(F39)-YEAR(S39))*12+MONTH(F39)-MONTH(S39)</f>
        <v>113</v>
      </c>
      <c r="K39" s="1197">
        <f>L39*H39</f>
        <v>5.8333333333333339</v>
      </c>
      <c r="L39" s="1093">
        <f>G39-J39</f>
        <v>7</v>
      </c>
      <c r="M39" s="1197">
        <f>N39*H39</f>
        <v>5.8333333333333339</v>
      </c>
      <c r="N39" s="1093">
        <v>7</v>
      </c>
      <c r="O39" s="1197">
        <f>K39-M39</f>
        <v>0</v>
      </c>
      <c r="P39" s="1093">
        <f>L39-N39</f>
        <v>0</v>
      </c>
      <c r="Q39" s="1198">
        <f>DATE(YEAR(S39),MONTH(S39)+G39,DAY(S39))</f>
        <v>43466</v>
      </c>
      <c r="R39" s="1093" t="s">
        <v>445</v>
      </c>
      <c r="S39" s="1094">
        <v>39814</v>
      </c>
      <c r="T39" s="1001">
        <v>239</v>
      </c>
      <c r="U39" s="1105">
        <v>97.61</v>
      </c>
      <c r="V39" s="734">
        <v>45.305992663033621</v>
      </c>
      <c r="W39" s="134">
        <v>1.99</v>
      </c>
      <c r="X39" s="7">
        <f>W39*5</f>
        <v>9.9499999999999993</v>
      </c>
      <c r="Y39" s="1167">
        <v>0</v>
      </c>
      <c r="Z39" s="64">
        <v>126.408</v>
      </c>
      <c r="AA39" s="82">
        <v>134.071</v>
      </c>
      <c r="AB39" s="64">
        <f>Z39/AA39</f>
        <v>0.94284371713495085</v>
      </c>
      <c r="AC39" s="62">
        <f>V39/L39</f>
        <v>6.4722846661476598</v>
      </c>
      <c r="AD39" s="62">
        <f>AC39*AB39</f>
        <v>6.1023529329862036</v>
      </c>
      <c r="AE39" s="62"/>
      <c r="AF39" s="62"/>
      <c r="AG39" s="62"/>
      <c r="AH39" s="62"/>
      <c r="AI39" s="62"/>
      <c r="AJ39" s="62">
        <f>AD39</f>
        <v>6.1023529329862036</v>
      </c>
      <c r="AK39" s="62">
        <v>2.25</v>
      </c>
      <c r="AL39" s="62">
        <v>2.25</v>
      </c>
      <c r="AM39" s="62">
        <v>2.25</v>
      </c>
      <c r="AN39" s="62">
        <v>2.25</v>
      </c>
      <c r="AO39" s="62">
        <v>2.25</v>
      </c>
      <c r="AP39" s="62">
        <v>2.25</v>
      </c>
      <c r="AQ39" s="62">
        <f>SUM(AJ39:AP39)</f>
        <v>19.602352932986204</v>
      </c>
      <c r="AR39" s="1169">
        <f>V39-AQ39</f>
        <v>25.703639730047417</v>
      </c>
      <c r="AS39" s="62"/>
      <c r="AT39" s="62"/>
      <c r="AU39" s="62">
        <f t="shared" si="23"/>
        <v>2.25</v>
      </c>
      <c r="AV39" s="62">
        <f t="shared" si="23"/>
        <v>2.25</v>
      </c>
      <c r="AW39" s="62">
        <f t="shared" si="23"/>
        <v>2.25</v>
      </c>
      <c r="AX39" s="62">
        <f t="shared" si="23"/>
        <v>2.25</v>
      </c>
      <c r="AY39" s="62">
        <f t="shared" si="23"/>
        <v>2.25</v>
      </c>
      <c r="AZ39" s="64">
        <v>118.901</v>
      </c>
      <c r="BA39" s="82">
        <v>134.071</v>
      </c>
      <c r="BB39" s="64">
        <f>AZ39/BA39</f>
        <v>0.88685099685987279</v>
      </c>
      <c r="BC39" s="62">
        <f>T39/(D39*12)</f>
        <v>1.9916666666666667</v>
      </c>
      <c r="BD39" s="62">
        <f t="shared" si="11"/>
        <v>1.7663115687459132</v>
      </c>
      <c r="BE39" s="62">
        <f t="shared" si="25"/>
        <v>1.7663115687459132</v>
      </c>
      <c r="BF39" s="62">
        <f t="shared" si="25"/>
        <v>1.7663115687459132</v>
      </c>
      <c r="BG39" s="62">
        <f t="shared" si="25"/>
        <v>1.7663115687459132</v>
      </c>
      <c r="BH39" s="62">
        <f t="shared" si="25"/>
        <v>1.7663115687459132</v>
      </c>
      <c r="BI39" s="62">
        <f t="shared" si="25"/>
        <v>1.7663115687459132</v>
      </c>
      <c r="BJ39" s="62">
        <f t="shared" si="25"/>
        <v>1.7663115687459132</v>
      </c>
      <c r="BK39" s="62">
        <f t="shared" si="25"/>
        <v>1.7663115687459132</v>
      </c>
      <c r="BL39" s="62">
        <f t="shared" si="2"/>
        <v>23.614180981221388</v>
      </c>
      <c r="BM39" s="1199">
        <f t="shared" si="3"/>
        <v>2.0894587488260292</v>
      </c>
      <c r="BN39" s="538">
        <f t="shared" si="26"/>
        <v>1.7663115687459132</v>
      </c>
      <c r="BO39" s="538">
        <f t="shared" si="26"/>
        <v>1.7663115687459132</v>
      </c>
      <c r="BP39" s="538">
        <f t="shared" si="26"/>
        <v>1.7663115687459132</v>
      </c>
      <c r="BQ39" s="538">
        <f t="shared" si="26"/>
        <v>1.7663115687459132</v>
      </c>
      <c r="BR39" s="538">
        <f t="shared" si="26"/>
        <v>1.7663115687459132</v>
      </c>
      <c r="BS39" s="1190">
        <v>118.901</v>
      </c>
      <c r="BT39" s="690">
        <v>134.071</v>
      </c>
      <c r="BU39" s="1190">
        <f>BS39/BT39</f>
        <v>0.88685099685987279</v>
      </c>
      <c r="BV39" s="538"/>
      <c r="BW39" s="538"/>
      <c r="BX39" s="538"/>
      <c r="BY39" s="538"/>
      <c r="BZ39" s="538"/>
      <c r="CA39" s="538"/>
      <c r="CB39" s="538"/>
      <c r="CC39" s="538"/>
      <c r="CD39" s="538"/>
      <c r="CE39" s="538">
        <f>SUM((BN39:BR39),(BX39:CD39))</f>
        <v>8.8315578437295663</v>
      </c>
      <c r="CF39" s="1199">
        <f>BM39-CE39</f>
        <v>-6.7420990949035371</v>
      </c>
      <c r="CG39" s="62">
        <v>2.25</v>
      </c>
      <c r="CH39" s="62">
        <v>2.25</v>
      </c>
      <c r="CI39" s="62">
        <v>2.25</v>
      </c>
      <c r="CJ39" s="62">
        <v>2.25</v>
      </c>
      <c r="CK39" s="62">
        <v>2.25</v>
      </c>
      <c r="CL39" s="1170">
        <f t="shared" si="24"/>
        <v>11.25</v>
      </c>
      <c r="CM39" s="1085">
        <f t="shared" si="5"/>
        <v>14.453639730047417</v>
      </c>
      <c r="CN39" s="1195">
        <v>132.28200000000001</v>
      </c>
      <c r="CO39" s="690">
        <v>134.071</v>
      </c>
      <c r="CP39" s="1196">
        <f>CN39/CO39</f>
        <v>0.98665632388808922</v>
      </c>
      <c r="CQ39" s="538">
        <f>CM39/L39</f>
        <v>2.0648056757210598</v>
      </c>
      <c r="CR39" s="538">
        <f>CQ39*CP39</f>
        <v>2.037253577550203</v>
      </c>
      <c r="CS39" s="538">
        <v>2.037253577550203</v>
      </c>
      <c r="CT39" s="538">
        <v>2.037253577550203</v>
      </c>
      <c r="CU39" s="538">
        <v>2.037253577550203</v>
      </c>
      <c r="CV39" s="538">
        <v>2.037253577550203</v>
      </c>
      <c r="CW39" s="538">
        <v>2.037253577550203</v>
      </c>
      <c r="CX39" s="538">
        <v>2.037253577550203</v>
      </c>
      <c r="CY39" s="538">
        <v>1.23</v>
      </c>
      <c r="CZ39" s="538">
        <v>0</v>
      </c>
      <c r="DA39" s="538">
        <v>0</v>
      </c>
      <c r="DB39" s="538">
        <v>0</v>
      </c>
      <c r="DC39" s="538">
        <v>0</v>
      </c>
      <c r="DD39" s="538">
        <v>0</v>
      </c>
      <c r="DE39" s="538">
        <v>0</v>
      </c>
      <c r="DF39" s="538">
        <v>0</v>
      </c>
      <c r="DG39" s="538">
        <v>0</v>
      </c>
      <c r="DH39" s="538">
        <v>0</v>
      </c>
      <c r="DI39" s="538">
        <v>0</v>
      </c>
      <c r="DJ39" s="538">
        <v>0</v>
      </c>
      <c r="DK39" s="538">
        <f t="shared" si="10"/>
        <v>13.453521465301218</v>
      </c>
      <c r="DL39" s="1088">
        <f>CM39-DK39</f>
        <v>1.0001182647461988</v>
      </c>
    </row>
    <row r="40" spans="1:116" s="16" customFormat="1" ht="15.75" x14ac:dyDescent="0.25">
      <c r="A40" s="1089" t="s">
        <v>71</v>
      </c>
      <c r="B40" s="1089" t="s">
        <v>85</v>
      </c>
      <c r="C40" s="1096"/>
      <c r="D40" s="1099"/>
      <c r="E40" s="1092"/>
      <c r="F40" s="1101"/>
      <c r="G40" s="1102"/>
      <c r="H40" s="1103"/>
      <c r="I40" s="1102"/>
      <c r="J40" s="1102"/>
      <c r="K40" s="1102"/>
      <c r="L40" s="1102"/>
      <c r="M40" s="1102"/>
      <c r="N40" s="1102"/>
      <c r="O40" s="1102"/>
      <c r="P40" s="1102"/>
      <c r="Q40" s="1102"/>
      <c r="R40" s="1101"/>
      <c r="S40" s="1094"/>
      <c r="T40" s="1001"/>
      <c r="U40" s="1109"/>
      <c r="V40" s="735"/>
      <c r="W40" s="47"/>
      <c r="X40" s="106"/>
      <c r="Y40" s="165">
        <v>0</v>
      </c>
      <c r="Z40" s="57"/>
      <c r="AA40" s="83"/>
      <c r="AB40" s="57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72"/>
      <c r="AS40" s="55"/>
      <c r="AT40" s="55"/>
      <c r="AU40" s="55"/>
      <c r="AV40" s="55"/>
      <c r="AW40" s="55"/>
      <c r="AX40" s="55"/>
      <c r="AY40" s="55"/>
      <c r="AZ40" s="57"/>
      <c r="BA40" s="83"/>
      <c r="BB40" s="57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17"/>
      <c r="BN40" s="516"/>
      <c r="BO40" s="516"/>
      <c r="BP40" s="516"/>
      <c r="BQ40" s="516"/>
      <c r="BR40" s="516"/>
      <c r="BS40" s="514"/>
      <c r="BT40" s="518"/>
      <c r="BU40" s="514"/>
      <c r="BV40" s="516"/>
      <c r="BW40" s="516"/>
      <c r="BX40" s="516"/>
      <c r="BY40" s="516"/>
      <c r="BZ40" s="516"/>
      <c r="CA40" s="516"/>
      <c r="CB40" s="516"/>
      <c r="CC40" s="516"/>
      <c r="CD40" s="516"/>
      <c r="CE40" s="516"/>
      <c r="CF40" s="517"/>
      <c r="CG40" s="55"/>
      <c r="CH40" s="55"/>
      <c r="CI40" s="55"/>
      <c r="CJ40" s="55"/>
      <c r="CK40" s="55"/>
      <c r="CL40" s="505"/>
      <c r="CM40" s="1085"/>
      <c r="CN40" s="520"/>
      <c r="CO40" s="518"/>
      <c r="CP40" s="1087"/>
      <c r="CQ40" s="516"/>
      <c r="CR40" s="516"/>
      <c r="CS40" s="516"/>
      <c r="CT40" s="516"/>
      <c r="CU40" s="516"/>
      <c r="CV40" s="516"/>
      <c r="CW40" s="516"/>
      <c r="CX40" s="516"/>
      <c r="CY40" s="516"/>
      <c r="CZ40" s="516"/>
      <c r="DA40" s="516"/>
      <c r="DB40" s="516"/>
      <c r="DC40" s="516"/>
      <c r="DD40" s="516"/>
      <c r="DE40" s="516"/>
      <c r="DF40" s="516"/>
      <c r="DG40" s="516"/>
      <c r="DH40" s="516"/>
      <c r="DI40" s="516"/>
      <c r="DJ40" s="516"/>
      <c r="DK40" s="516">
        <f t="shared" si="10"/>
        <v>0</v>
      </c>
      <c r="DL40" s="516"/>
    </row>
    <row r="41" spans="1:116" s="16" customFormat="1" ht="15.75" x14ac:dyDescent="0.25">
      <c r="A41" s="1089" t="s">
        <v>105</v>
      </c>
      <c r="B41" s="1098"/>
      <c r="C41" s="1096"/>
      <c r="D41" s="1099"/>
      <c r="E41" s="1092"/>
      <c r="F41" s="1101"/>
      <c r="G41" s="1102"/>
      <c r="H41" s="1103"/>
      <c r="I41" s="694"/>
      <c r="J41" s="1102"/>
      <c r="K41" s="694"/>
      <c r="L41" s="1102"/>
      <c r="M41" s="694"/>
      <c r="N41" s="1102"/>
      <c r="O41" s="694"/>
      <c r="P41" s="1102"/>
      <c r="Q41" s="1102"/>
      <c r="R41" s="1101"/>
      <c r="S41" s="1094"/>
      <c r="T41" s="1001"/>
      <c r="U41" s="1109"/>
      <c r="V41" s="735"/>
      <c r="W41" s="47"/>
      <c r="X41" s="106"/>
      <c r="Y41" s="165"/>
      <c r="Z41" s="57"/>
      <c r="AA41" s="80"/>
      <c r="AB41" s="57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72"/>
      <c r="AS41" s="55"/>
      <c r="AT41" s="55"/>
      <c r="AU41" s="55"/>
      <c r="AV41" s="55"/>
      <c r="AW41" s="55"/>
      <c r="AX41" s="55"/>
      <c r="AY41" s="55"/>
      <c r="AZ41" s="57"/>
      <c r="BA41" s="80"/>
      <c r="BB41" s="57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17"/>
      <c r="BN41" s="516"/>
      <c r="BO41" s="516"/>
      <c r="BP41" s="516"/>
      <c r="BQ41" s="516"/>
      <c r="BR41" s="516"/>
      <c r="BS41" s="514"/>
      <c r="BT41" s="515"/>
      <c r="BU41" s="514"/>
      <c r="BV41" s="516"/>
      <c r="BW41" s="516"/>
      <c r="BX41" s="516"/>
      <c r="BY41" s="516"/>
      <c r="BZ41" s="516"/>
      <c r="CA41" s="516"/>
      <c r="CB41" s="516"/>
      <c r="CC41" s="516"/>
      <c r="CD41" s="516"/>
      <c r="CE41" s="516"/>
      <c r="CF41" s="517"/>
      <c r="CG41" s="55"/>
      <c r="CH41" s="55"/>
      <c r="CI41" s="55"/>
      <c r="CJ41" s="55"/>
      <c r="CK41" s="55"/>
      <c r="CL41" s="505"/>
      <c r="CM41" s="1085"/>
      <c r="CN41" s="520"/>
      <c r="CO41" s="515"/>
      <c r="CP41" s="1087"/>
      <c r="CQ41" s="516"/>
      <c r="CR41" s="516"/>
      <c r="CS41" s="516"/>
      <c r="CT41" s="516"/>
      <c r="CU41" s="516"/>
      <c r="CV41" s="516"/>
      <c r="CW41" s="516"/>
      <c r="CX41" s="516"/>
      <c r="CY41" s="516"/>
      <c r="CZ41" s="516"/>
      <c r="DA41" s="516"/>
      <c r="DB41" s="516"/>
      <c r="DC41" s="516"/>
      <c r="DD41" s="516"/>
      <c r="DE41" s="516"/>
      <c r="DF41" s="516"/>
      <c r="DG41" s="516"/>
      <c r="DH41" s="516"/>
      <c r="DI41" s="516"/>
      <c r="DJ41" s="516"/>
      <c r="DK41" s="516">
        <f t="shared" si="10"/>
        <v>0</v>
      </c>
      <c r="DL41" s="516"/>
    </row>
    <row r="42" spans="1:116" s="16" customFormat="1" ht="15.75" x14ac:dyDescent="0.25">
      <c r="A42" s="1094" t="s">
        <v>221</v>
      </c>
      <c r="B42" s="1098" t="s">
        <v>398</v>
      </c>
      <c r="C42" s="1096" t="s">
        <v>386</v>
      </c>
      <c r="D42" s="1099">
        <v>10</v>
      </c>
      <c r="E42" s="1092">
        <v>0.1</v>
      </c>
      <c r="F42" s="1101">
        <v>43281</v>
      </c>
      <c r="G42" s="1102">
        <v>120</v>
      </c>
      <c r="H42" s="1103">
        <f>100/G42</f>
        <v>0.83333333333333337</v>
      </c>
      <c r="I42" s="694">
        <f>H42*J42</f>
        <v>104.16666666666667</v>
      </c>
      <c r="J42" s="1102">
        <f>(YEAR(F42)-YEAR(S42))*12+MONTH(F42)-MONTH(S42)</f>
        <v>125</v>
      </c>
      <c r="K42" s="694">
        <f>L42*H42</f>
        <v>-4.166666666666667</v>
      </c>
      <c r="L42" s="1102">
        <f>G42-J42</f>
        <v>-5</v>
      </c>
      <c r="M42" s="694">
        <f>N42*H42</f>
        <v>5.8333333333333339</v>
      </c>
      <c r="N42" s="1102">
        <v>7</v>
      </c>
      <c r="O42" s="694">
        <f>K42-M42</f>
        <v>-10</v>
      </c>
      <c r="P42" s="1102">
        <f>L42-N42</f>
        <v>-12</v>
      </c>
      <c r="Q42" s="1104">
        <f>DATE(YEAR(S42),MONTH(S42)+G42,DAY(S42))</f>
        <v>43101</v>
      </c>
      <c r="R42" s="1101" t="s">
        <v>445</v>
      </c>
      <c r="S42" s="1094">
        <v>39448</v>
      </c>
      <c r="T42" s="1001">
        <v>999</v>
      </c>
      <c r="U42" s="1109">
        <v>307.98</v>
      </c>
      <c r="V42" s="735">
        <v>96.151731142333119</v>
      </c>
      <c r="W42" s="47">
        <v>8.33</v>
      </c>
      <c r="X42" s="106">
        <f>W42*5</f>
        <v>41.65</v>
      </c>
      <c r="Y42" s="165">
        <v>0</v>
      </c>
      <c r="Z42" s="57">
        <v>126.408</v>
      </c>
      <c r="AA42" s="80">
        <v>140.047</v>
      </c>
      <c r="AB42" s="57">
        <f>Z42/AA42</f>
        <v>0.90261126621776977</v>
      </c>
      <c r="AC42" s="55">
        <f>V42/L42</f>
        <v>-19.230346228466622</v>
      </c>
      <c r="AD42" s="55">
        <f>AC42*AB42</f>
        <v>-17.35752715908237</v>
      </c>
      <c r="AE42" s="55"/>
      <c r="AF42" s="55"/>
      <c r="AG42" s="55"/>
      <c r="AH42" s="55"/>
      <c r="AI42" s="55"/>
      <c r="AJ42" s="55">
        <f>AD42</f>
        <v>-17.35752715908237</v>
      </c>
      <c r="AK42" s="55">
        <v>12.4</v>
      </c>
      <c r="AL42" s="55">
        <v>12.4</v>
      </c>
      <c r="AM42" s="55">
        <v>12.4</v>
      </c>
      <c r="AN42" s="55">
        <v>12.4</v>
      </c>
      <c r="AO42" s="55">
        <v>12.4</v>
      </c>
      <c r="AP42" s="55">
        <v>12.4</v>
      </c>
      <c r="AQ42" s="55">
        <f>SUM(AJ42:AP42)</f>
        <v>57.042472840917625</v>
      </c>
      <c r="AR42" s="72">
        <f>V42-AQ42</f>
        <v>39.109258301415494</v>
      </c>
      <c r="AS42" s="55"/>
      <c r="AT42" s="55"/>
      <c r="AU42" s="55">
        <f t="shared" si="23"/>
        <v>12.4</v>
      </c>
      <c r="AV42" s="55">
        <f t="shared" si="23"/>
        <v>12.4</v>
      </c>
      <c r="AW42" s="55">
        <f t="shared" si="23"/>
        <v>12.4</v>
      </c>
      <c r="AX42" s="55">
        <f t="shared" si="23"/>
        <v>12.4</v>
      </c>
      <c r="AY42" s="55">
        <f t="shared" si="23"/>
        <v>12.4</v>
      </c>
      <c r="AZ42" s="57">
        <v>118.901</v>
      </c>
      <c r="BA42" s="80">
        <v>140.047</v>
      </c>
      <c r="BB42" s="57">
        <f>AZ42/BA42</f>
        <v>0.84900783308460726</v>
      </c>
      <c r="BC42" s="55">
        <f>T42/(D42*12)</f>
        <v>8.3249999999999993</v>
      </c>
      <c r="BD42" s="55">
        <f t="shared" si="11"/>
        <v>7.0679902104293548</v>
      </c>
      <c r="BE42" s="55">
        <f t="shared" ref="BE42:BK42" si="27">$BD42</f>
        <v>7.0679902104293548</v>
      </c>
      <c r="BF42" s="55">
        <f t="shared" si="27"/>
        <v>7.0679902104293548</v>
      </c>
      <c r="BG42" s="55">
        <f t="shared" si="27"/>
        <v>7.0679902104293548</v>
      </c>
      <c r="BH42" s="55">
        <f t="shared" si="27"/>
        <v>7.0679902104293548</v>
      </c>
      <c r="BI42" s="55">
        <f t="shared" si="27"/>
        <v>7.0679902104293548</v>
      </c>
      <c r="BJ42" s="55">
        <f t="shared" si="27"/>
        <v>7.0679902104293548</v>
      </c>
      <c r="BK42" s="55">
        <f t="shared" si="27"/>
        <v>7.0679902104293548</v>
      </c>
      <c r="BL42" s="55">
        <f t="shared" si="2"/>
        <v>111.4759314730055</v>
      </c>
      <c r="BM42" s="517">
        <f t="shared" si="3"/>
        <v>-72.366673171590008</v>
      </c>
      <c r="BN42" s="516">
        <f>$BD42</f>
        <v>7.0679902104293548</v>
      </c>
      <c r="BO42" s="516">
        <f>$BD42</f>
        <v>7.0679902104293548</v>
      </c>
      <c r="BP42" s="516">
        <f>$BD42</f>
        <v>7.0679902104293548</v>
      </c>
      <c r="BQ42" s="516">
        <f>$BD42</f>
        <v>7.0679902104293548</v>
      </c>
      <c r="BR42" s="516">
        <f>$BD42</f>
        <v>7.0679902104293548</v>
      </c>
      <c r="BS42" s="514">
        <v>118.901</v>
      </c>
      <c r="BT42" s="515">
        <v>140.047</v>
      </c>
      <c r="BU42" s="514">
        <f>BS42/BT42</f>
        <v>0.84900783308460726</v>
      </c>
      <c r="BV42" s="516"/>
      <c r="BW42" s="516"/>
      <c r="BX42" s="516"/>
      <c r="BY42" s="516"/>
      <c r="BZ42" s="516"/>
      <c r="CA42" s="516"/>
      <c r="CB42" s="516"/>
      <c r="CC42" s="516"/>
      <c r="CD42" s="516"/>
      <c r="CE42" s="516">
        <f>SUM((BN42:BR42),(BX42:CD42))</f>
        <v>35.339951052146773</v>
      </c>
      <c r="CF42" s="517">
        <f>BM42-CE42</f>
        <v>-107.70662422373678</v>
      </c>
      <c r="CG42" s="55">
        <v>8.35</v>
      </c>
      <c r="CH42" s="55">
        <v>0</v>
      </c>
      <c r="CI42" s="55">
        <v>0</v>
      </c>
      <c r="CJ42" s="55">
        <v>0</v>
      </c>
      <c r="CK42" s="55">
        <v>0</v>
      </c>
      <c r="CL42" s="505">
        <f>SUM(CG42:CK42)</f>
        <v>8.35</v>
      </c>
      <c r="CM42" s="1085">
        <f t="shared" si="5"/>
        <v>30.759258301415493</v>
      </c>
      <c r="CN42" s="1086">
        <v>132.28200000000001</v>
      </c>
      <c r="CO42" s="515">
        <v>140.047</v>
      </c>
      <c r="CP42" s="1087">
        <f>CN42/CO42</f>
        <v>0.9445543281898221</v>
      </c>
      <c r="CQ42" s="516">
        <v>0</v>
      </c>
      <c r="CR42" s="516">
        <f>CQ42*CP42</f>
        <v>0</v>
      </c>
      <c r="CS42" s="516">
        <v>0</v>
      </c>
      <c r="CT42" s="516">
        <v>0</v>
      </c>
      <c r="CU42" s="516">
        <v>0</v>
      </c>
      <c r="CV42" s="516">
        <v>0</v>
      </c>
      <c r="CW42" s="516">
        <v>0</v>
      </c>
      <c r="CX42" s="516">
        <v>0</v>
      </c>
      <c r="CY42" s="516">
        <v>0</v>
      </c>
      <c r="CZ42" s="516">
        <v>0</v>
      </c>
      <c r="DA42" s="516">
        <v>0</v>
      </c>
      <c r="DB42" s="516">
        <v>0</v>
      </c>
      <c r="DC42" s="516">
        <v>0</v>
      </c>
      <c r="DD42" s="516">
        <v>0</v>
      </c>
      <c r="DE42" s="516">
        <v>0</v>
      </c>
      <c r="DF42" s="516">
        <v>0</v>
      </c>
      <c r="DG42" s="516">
        <v>0</v>
      </c>
      <c r="DH42" s="516">
        <v>0</v>
      </c>
      <c r="DI42" s="516">
        <v>0</v>
      </c>
      <c r="DJ42" s="516">
        <v>0</v>
      </c>
      <c r="DK42" s="516">
        <f t="shared" si="10"/>
        <v>0</v>
      </c>
      <c r="DL42" s="1088">
        <v>1</v>
      </c>
    </row>
    <row r="43" spans="1:116" s="16" customFormat="1" ht="15.75" x14ac:dyDescent="0.25">
      <c r="A43" s="1089" t="s">
        <v>71</v>
      </c>
      <c r="B43" s="1089" t="s">
        <v>224</v>
      </c>
      <c r="C43" s="772"/>
      <c r="D43" s="779"/>
      <c r="E43" s="1092"/>
      <c r="F43" s="1093"/>
      <c r="G43" s="1093"/>
      <c r="H43" s="1110"/>
      <c r="I43" s="1093"/>
      <c r="J43" s="1093"/>
      <c r="K43" s="1093"/>
      <c r="L43" s="1093"/>
      <c r="M43" s="1093"/>
      <c r="N43" s="1093"/>
      <c r="O43" s="1093"/>
      <c r="P43" s="1093"/>
      <c r="Q43" s="1093"/>
      <c r="R43" s="1094"/>
      <c r="S43" s="1094"/>
      <c r="T43" s="1001"/>
      <c r="U43" s="1109"/>
      <c r="V43" s="734"/>
      <c r="W43" s="14"/>
      <c r="X43" s="106"/>
      <c r="Y43" s="66"/>
      <c r="Z43" s="66"/>
      <c r="AA43" s="83"/>
      <c r="AB43" s="66"/>
      <c r="AC43" s="65"/>
      <c r="AD43" s="65"/>
      <c r="AE43" s="6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72"/>
      <c r="AS43" s="55"/>
      <c r="AT43" s="55"/>
      <c r="AU43" s="55"/>
      <c r="AV43" s="55"/>
      <c r="AW43" s="55"/>
      <c r="AX43" s="55"/>
      <c r="AY43" s="55"/>
      <c r="AZ43" s="66"/>
      <c r="BA43" s="83"/>
      <c r="BB43" s="66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17"/>
      <c r="BN43" s="516"/>
      <c r="BO43" s="516"/>
      <c r="BP43" s="516"/>
      <c r="BQ43" s="516"/>
      <c r="BR43" s="516"/>
      <c r="BS43" s="519"/>
      <c r="BT43" s="518"/>
      <c r="BU43" s="519"/>
      <c r="BV43" s="516"/>
      <c r="BW43" s="516"/>
      <c r="BX43" s="516"/>
      <c r="BY43" s="516"/>
      <c r="BZ43" s="516"/>
      <c r="CA43" s="516"/>
      <c r="CB43" s="516"/>
      <c r="CC43" s="516"/>
      <c r="CD43" s="516"/>
      <c r="CE43" s="516"/>
      <c r="CF43" s="517"/>
      <c r="CG43" s="55"/>
      <c r="CH43" s="55"/>
      <c r="CI43" s="55"/>
      <c r="CJ43" s="55"/>
      <c r="CK43" s="55"/>
      <c r="CL43" s="505"/>
      <c r="CM43" s="1085"/>
      <c r="CN43" s="520"/>
      <c r="CO43" s="518"/>
      <c r="CP43" s="1087"/>
      <c r="CQ43" s="516"/>
      <c r="CR43" s="516"/>
      <c r="CS43" s="516"/>
      <c r="CT43" s="516"/>
      <c r="CU43" s="516"/>
      <c r="CV43" s="516"/>
      <c r="CW43" s="516"/>
      <c r="CX43" s="516"/>
      <c r="CY43" s="516"/>
      <c r="CZ43" s="516"/>
      <c r="DA43" s="516"/>
      <c r="DB43" s="516"/>
      <c r="DC43" s="516"/>
      <c r="DD43" s="516"/>
      <c r="DE43" s="516"/>
      <c r="DF43" s="516"/>
      <c r="DG43" s="516"/>
      <c r="DH43" s="516"/>
      <c r="DI43" s="516"/>
      <c r="DJ43" s="516"/>
      <c r="DK43" s="516">
        <f t="shared" si="10"/>
        <v>0</v>
      </c>
      <c r="DL43" s="516"/>
    </row>
    <row r="44" spans="1:116" s="16" customFormat="1" ht="15.75" x14ac:dyDescent="0.25">
      <c r="A44" s="1114" t="s">
        <v>223</v>
      </c>
      <c r="B44" s="1115"/>
      <c r="C44" s="772"/>
      <c r="D44" s="779"/>
      <c r="E44" s="1092"/>
      <c r="F44" s="1093"/>
      <c r="G44" s="1093"/>
      <c r="H44" s="1110"/>
      <c r="I44" s="1093"/>
      <c r="J44" s="1093"/>
      <c r="K44" s="1093"/>
      <c r="L44" s="1093"/>
      <c r="M44" s="1093"/>
      <c r="N44" s="1093"/>
      <c r="O44" s="1093"/>
      <c r="P44" s="1093"/>
      <c r="Q44" s="1093"/>
      <c r="R44" s="1094"/>
      <c r="S44" s="1094"/>
      <c r="T44" s="1001"/>
      <c r="U44" s="1109"/>
      <c r="V44" s="734"/>
      <c r="W44" s="14"/>
      <c r="X44" s="106"/>
      <c r="Y44" s="66"/>
      <c r="Z44" s="66"/>
      <c r="AA44" s="83"/>
      <c r="AB44" s="66"/>
      <c r="AC44" s="65"/>
      <c r="AD44" s="65"/>
      <c r="AE44" s="6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72"/>
      <c r="AS44" s="55"/>
      <c r="AT44" s="55"/>
      <c r="AU44" s="55"/>
      <c r="AV44" s="55"/>
      <c r="AW44" s="55"/>
      <c r="AX44" s="55"/>
      <c r="AY44" s="55"/>
      <c r="AZ44" s="66"/>
      <c r="BA44" s="83"/>
      <c r="BB44" s="66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17"/>
      <c r="BN44" s="516"/>
      <c r="BO44" s="516"/>
      <c r="BP44" s="516"/>
      <c r="BQ44" s="516"/>
      <c r="BR44" s="516"/>
      <c r="BS44" s="519"/>
      <c r="BT44" s="518"/>
      <c r="BU44" s="519"/>
      <c r="BV44" s="516"/>
      <c r="BW44" s="516"/>
      <c r="BX44" s="516"/>
      <c r="BY44" s="516"/>
      <c r="BZ44" s="516"/>
      <c r="CA44" s="516"/>
      <c r="CB44" s="516"/>
      <c r="CC44" s="516"/>
      <c r="CD44" s="516"/>
      <c r="CE44" s="516"/>
      <c r="CF44" s="517"/>
      <c r="CG44" s="55"/>
      <c r="CH44" s="55"/>
      <c r="CI44" s="55"/>
      <c r="CJ44" s="55"/>
      <c r="CK44" s="55"/>
      <c r="CL44" s="505"/>
      <c r="CM44" s="1085"/>
      <c r="CN44" s="520"/>
      <c r="CO44" s="518"/>
      <c r="CP44" s="1087"/>
      <c r="CQ44" s="516"/>
      <c r="CR44" s="516"/>
      <c r="CS44" s="516"/>
      <c r="CT44" s="516"/>
      <c r="CU44" s="516"/>
      <c r="CV44" s="516"/>
      <c r="CW44" s="516"/>
      <c r="CX44" s="516"/>
      <c r="CY44" s="516"/>
      <c r="CZ44" s="516"/>
      <c r="DA44" s="516"/>
      <c r="DB44" s="516"/>
      <c r="DC44" s="516"/>
      <c r="DD44" s="516"/>
      <c r="DE44" s="516"/>
      <c r="DF44" s="516"/>
      <c r="DG44" s="516"/>
      <c r="DH44" s="516"/>
      <c r="DI44" s="516"/>
      <c r="DJ44" s="516"/>
      <c r="DK44" s="516">
        <f t="shared" si="10"/>
        <v>0</v>
      </c>
      <c r="DL44" s="516"/>
    </row>
    <row r="45" spans="1:116" s="16" customFormat="1" ht="15.75" x14ac:dyDescent="0.25">
      <c r="A45" s="1094" t="s">
        <v>225</v>
      </c>
      <c r="B45" s="1098" t="s">
        <v>226</v>
      </c>
      <c r="C45" s="1096" t="s">
        <v>386</v>
      </c>
      <c r="D45" s="1099">
        <v>10</v>
      </c>
      <c r="E45" s="1092">
        <v>0.1</v>
      </c>
      <c r="F45" s="1101">
        <v>43281</v>
      </c>
      <c r="G45" s="1102">
        <v>120</v>
      </c>
      <c r="H45" s="1103">
        <f>100/G45</f>
        <v>0.83333333333333337</v>
      </c>
      <c r="I45" s="694">
        <f>H45*J45</f>
        <v>64.166666666666671</v>
      </c>
      <c r="J45" s="1102">
        <f>(YEAR(F45)-YEAR(S45))*12+MONTH(F45)-MONTH(S45)</f>
        <v>77</v>
      </c>
      <c r="K45" s="694">
        <f>L45*H45</f>
        <v>35.833333333333336</v>
      </c>
      <c r="L45" s="1102">
        <f>G45-J45</f>
        <v>43</v>
      </c>
      <c r="M45" s="694">
        <f>N45*H45</f>
        <v>5.8333333333333339</v>
      </c>
      <c r="N45" s="1102">
        <v>7</v>
      </c>
      <c r="O45" s="694">
        <f>K45-M45</f>
        <v>30</v>
      </c>
      <c r="P45" s="1102">
        <f>L45-N45</f>
        <v>36</v>
      </c>
      <c r="Q45" s="1104">
        <f>DATE(YEAR(S45),MONTH(S45)+G45,DAY(S45))</f>
        <v>44562</v>
      </c>
      <c r="R45" s="1101" t="s">
        <v>445</v>
      </c>
      <c r="S45" s="1094">
        <v>40909</v>
      </c>
      <c r="T45" s="1001">
        <v>240</v>
      </c>
      <c r="U45" s="1109">
        <v>170</v>
      </c>
      <c r="V45" s="735">
        <v>106.99211451555661</v>
      </c>
      <c r="W45" s="47">
        <v>2</v>
      </c>
      <c r="X45" s="106">
        <f>W45*5</f>
        <v>10</v>
      </c>
      <c r="Y45" s="165">
        <v>0</v>
      </c>
      <c r="Z45" s="57">
        <v>126.408</v>
      </c>
      <c r="AA45" s="80">
        <v>107</v>
      </c>
      <c r="AB45" s="57">
        <f>Z45/AA45</f>
        <v>1.1813831775700934</v>
      </c>
      <c r="AC45" s="55">
        <f>V45/L45</f>
        <v>2.4881887096641071</v>
      </c>
      <c r="AD45" s="55">
        <f>AC45*AB45</f>
        <v>2.9395042842170134</v>
      </c>
      <c r="AE45" s="55"/>
      <c r="AF45" s="55"/>
      <c r="AG45" s="55"/>
      <c r="AH45" s="55"/>
      <c r="AI45" s="55"/>
      <c r="AJ45" s="55">
        <f>AD45</f>
        <v>2.9395042842170134</v>
      </c>
      <c r="AK45" s="55">
        <v>2.2999999999999998</v>
      </c>
      <c r="AL45" s="55">
        <v>2.2999999999999998</v>
      </c>
      <c r="AM45" s="55">
        <v>2.2999999999999998</v>
      </c>
      <c r="AN45" s="55">
        <v>2.2999999999999998</v>
      </c>
      <c r="AO45" s="55">
        <v>2.2999999999999998</v>
      </c>
      <c r="AP45" s="55">
        <v>2.2999999999999998</v>
      </c>
      <c r="AQ45" s="55">
        <f>SUM(AJ45:AP45)</f>
        <v>16.739504284217013</v>
      </c>
      <c r="AR45" s="72">
        <f>V45-AQ45</f>
        <v>90.252610231339588</v>
      </c>
      <c r="AS45" s="55"/>
      <c r="AT45" s="55"/>
      <c r="AU45" s="55">
        <f t="shared" si="23"/>
        <v>2.2999999999999998</v>
      </c>
      <c r="AV45" s="55">
        <f t="shared" si="23"/>
        <v>2.2999999999999998</v>
      </c>
      <c r="AW45" s="55">
        <f t="shared" si="23"/>
        <v>2.2999999999999998</v>
      </c>
      <c r="AX45" s="55">
        <f t="shared" si="23"/>
        <v>2.2999999999999998</v>
      </c>
      <c r="AY45" s="55">
        <f t="shared" si="23"/>
        <v>2.2999999999999998</v>
      </c>
      <c r="AZ45" s="57">
        <v>118.901</v>
      </c>
      <c r="BA45" s="80">
        <v>107</v>
      </c>
      <c r="BB45" s="57">
        <f>AZ45/BA45</f>
        <v>1.1112242990654204</v>
      </c>
      <c r="BC45" s="55">
        <f>T45/(D45*12)</f>
        <v>2</v>
      </c>
      <c r="BD45" s="55">
        <f t="shared" si="11"/>
        <v>2.2224485981308408</v>
      </c>
      <c r="BE45" s="55">
        <f t="shared" ref="BE45:BK45" si="28">$BD45</f>
        <v>2.2224485981308408</v>
      </c>
      <c r="BF45" s="55">
        <f t="shared" si="28"/>
        <v>2.2224485981308408</v>
      </c>
      <c r="BG45" s="55">
        <f t="shared" si="28"/>
        <v>2.2224485981308408</v>
      </c>
      <c r="BH45" s="55">
        <f t="shared" si="28"/>
        <v>2.2224485981308408</v>
      </c>
      <c r="BI45" s="55">
        <f t="shared" si="28"/>
        <v>2.2224485981308408</v>
      </c>
      <c r="BJ45" s="55">
        <f t="shared" si="28"/>
        <v>2.2224485981308408</v>
      </c>
      <c r="BK45" s="55">
        <f t="shared" si="28"/>
        <v>2.2224485981308408</v>
      </c>
      <c r="BL45" s="55">
        <f t="shared" si="2"/>
        <v>27.057140186915881</v>
      </c>
      <c r="BM45" s="517">
        <f t="shared" si="3"/>
        <v>63.195470044423708</v>
      </c>
      <c r="BN45" s="516">
        <f>$BD45</f>
        <v>2.2224485981308408</v>
      </c>
      <c r="BO45" s="516">
        <f>$BD45</f>
        <v>2.2224485981308408</v>
      </c>
      <c r="BP45" s="516">
        <f>$BD45</f>
        <v>2.2224485981308408</v>
      </c>
      <c r="BQ45" s="516">
        <f>$BD45</f>
        <v>2.2224485981308408</v>
      </c>
      <c r="BR45" s="516">
        <f>$BD45</f>
        <v>2.2224485981308408</v>
      </c>
      <c r="BS45" s="514">
        <v>118.901</v>
      </c>
      <c r="BT45" s="515">
        <v>107</v>
      </c>
      <c r="BU45" s="514">
        <f>BS45/BT45</f>
        <v>1.1112242990654204</v>
      </c>
      <c r="BV45" s="516"/>
      <c r="BW45" s="516"/>
      <c r="BX45" s="516"/>
      <c r="BY45" s="516"/>
      <c r="BZ45" s="516"/>
      <c r="CA45" s="516"/>
      <c r="CB45" s="516"/>
      <c r="CC45" s="516"/>
      <c r="CD45" s="516"/>
      <c r="CE45" s="516">
        <f>SUM((BN45:BR45),(BX45:CD45))</f>
        <v>11.112242990654204</v>
      </c>
      <c r="CF45" s="517">
        <f>BM45-CE45</f>
        <v>52.083227053769505</v>
      </c>
      <c r="CG45" s="55">
        <v>2.2999999999999998</v>
      </c>
      <c r="CH45" s="55">
        <v>2.2999999999999998</v>
      </c>
      <c r="CI45" s="55">
        <v>2.2999999999999998</v>
      </c>
      <c r="CJ45" s="55">
        <v>2.2999999999999998</v>
      </c>
      <c r="CK45" s="55">
        <v>2.2999999999999998</v>
      </c>
      <c r="CL45" s="505">
        <f>SUM(CG45:CK45)</f>
        <v>11.5</v>
      </c>
      <c r="CM45" s="1085">
        <f t="shared" si="5"/>
        <v>78.752610231339588</v>
      </c>
      <c r="CN45" s="1086">
        <v>132.28200000000001</v>
      </c>
      <c r="CO45" s="515">
        <v>107</v>
      </c>
      <c r="CP45" s="1087">
        <f>CN45/CO45</f>
        <v>1.2362803738317758</v>
      </c>
      <c r="CQ45" s="516">
        <f>CM45/L45</f>
        <v>1.8314560518916183</v>
      </c>
      <c r="CR45" s="516">
        <f>CQ45*CP45</f>
        <v>2.2641931724890383</v>
      </c>
      <c r="CS45" s="516">
        <v>2.2641931724890383</v>
      </c>
      <c r="CT45" s="516">
        <v>2.2641931724890383</v>
      </c>
      <c r="CU45" s="516">
        <v>2.2641931724890383</v>
      </c>
      <c r="CV45" s="516">
        <v>2.2641931724890383</v>
      </c>
      <c r="CW45" s="516">
        <v>2.2641931724890383</v>
      </c>
      <c r="CX45" s="516">
        <v>2.2641931724890383</v>
      </c>
      <c r="CY45" s="516">
        <v>2.2641931724890383</v>
      </c>
      <c r="CZ45" s="516">
        <v>2.2641931724890383</v>
      </c>
      <c r="DA45" s="516">
        <v>2.2641931724890383</v>
      </c>
      <c r="DB45" s="516">
        <v>2.2641931724890383</v>
      </c>
      <c r="DC45" s="516">
        <v>2.2641931724890383</v>
      </c>
      <c r="DD45" s="516">
        <v>2.2641931724890383</v>
      </c>
      <c r="DE45" s="516">
        <v>2.2641931724890383</v>
      </c>
      <c r="DF45" s="516">
        <v>2.2641931724890383</v>
      </c>
      <c r="DG45" s="516">
        <v>2.2641931724890383</v>
      </c>
      <c r="DH45" s="516">
        <v>2.2641931724890383</v>
      </c>
      <c r="DI45" s="516">
        <v>2.2641931724890383</v>
      </c>
      <c r="DJ45" s="516">
        <v>2.2641931724890383</v>
      </c>
      <c r="DK45" s="516">
        <f t="shared" si="10"/>
        <v>40.755477104802679</v>
      </c>
      <c r="DL45" s="1088">
        <f>CM45-DK45</f>
        <v>37.997133126536909</v>
      </c>
    </row>
    <row r="46" spans="1:116" ht="15" x14ac:dyDescent="0.2">
      <c r="R46" s="175"/>
      <c r="V46" s="751">
        <f>SUM(V15:V45)</f>
        <v>1516.4341014730237</v>
      </c>
      <c r="X46" s="237"/>
      <c r="AD46" s="195">
        <f t="shared" ref="AD46:AK46" si="29">SUM(AD15:AD45)</f>
        <v>31.300156328484036</v>
      </c>
      <c r="AE46" s="195">
        <f t="shared" si="29"/>
        <v>0</v>
      </c>
      <c r="AF46" s="195">
        <f t="shared" si="29"/>
        <v>0</v>
      </c>
      <c r="AG46" s="195">
        <f t="shared" si="29"/>
        <v>0</v>
      </c>
      <c r="AH46" s="195">
        <f t="shared" si="29"/>
        <v>0</v>
      </c>
      <c r="AI46" s="195">
        <f t="shared" si="29"/>
        <v>0</v>
      </c>
      <c r="AJ46" s="195">
        <f t="shared" si="29"/>
        <v>38.042046125674027</v>
      </c>
      <c r="AK46" s="195">
        <f t="shared" si="29"/>
        <v>72.92</v>
      </c>
      <c r="AL46" s="195">
        <f>SUM(AL25:AL45)</f>
        <v>72.92</v>
      </c>
      <c r="AM46" s="195">
        <f>SUM(AM13:AM45)</f>
        <v>72.92</v>
      </c>
      <c r="AN46" s="195">
        <f>SUM(AN13:AN45)</f>
        <v>72.92</v>
      </c>
      <c r="AO46" s="524">
        <f>SUM(AO24:AO45)</f>
        <v>70.81</v>
      </c>
      <c r="AP46" s="524">
        <f>SUM(AP15:AP45)</f>
        <v>58.18</v>
      </c>
      <c r="AQ46" s="195">
        <f>SUM(AQ15:AQ45)</f>
        <v>458.71204612567396</v>
      </c>
      <c r="AR46" s="195">
        <f>SUM(AR15:AR45)</f>
        <v>1057.7220553473501</v>
      </c>
      <c r="AS46" s="195">
        <f t="shared" ref="AS46:DK46" si="30">SUM(AS15:AS45)</f>
        <v>0</v>
      </c>
      <c r="AT46" s="195">
        <f t="shared" si="30"/>
        <v>0</v>
      </c>
      <c r="AU46" s="195">
        <f t="shared" si="30"/>
        <v>58.18</v>
      </c>
      <c r="AV46" s="195">
        <f t="shared" si="30"/>
        <v>58.18</v>
      </c>
      <c r="AW46" s="195">
        <f t="shared" si="30"/>
        <v>58.18</v>
      </c>
      <c r="AX46" s="195">
        <f t="shared" si="30"/>
        <v>58.18</v>
      </c>
      <c r="AY46" s="195">
        <f t="shared" si="30"/>
        <v>58.18</v>
      </c>
      <c r="AZ46" s="195">
        <f t="shared" si="30"/>
        <v>2021.3170000000005</v>
      </c>
      <c r="BA46" s="195">
        <f t="shared" si="30"/>
        <v>1943.6109999999999</v>
      </c>
      <c r="BB46" s="195">
        <f t="shared" si="30"/>
        <v>17.882409186295796</v>
      </c>
      <c r="BC46" s="195" t="e">
        <f t="shared" si="30"/>
        <v>#DIV/0!</v>
      </c>
      <c r="BD46" s="195" t="e">
        <f t="shared" si="30"/>
        <v>#DIV/0!</v>
      </c>
      <c r="BE46" s="195">
        <f t="shared" si="30"/>
        <v>68.015444639509823</v>
      </c>
      <c r="BF46" s="195">
        <f t="shared" si="30"/>
        <v>68.015444639509823</v>
      </c>
      <c r="BG46" s="195">
        <f t="shared" si="30"/>
        <v>68.015444639509823</v>
      </c>
      <c r="BH46" s="195">
        <f t="shared" si="30"/>
        <v>68.015444639509823</v>
      </c>
      <c r="BI46" s="195">
        <f t="shared" si="30"/>
        <v>68.015444639509823</v>
      </c>
      <c r="BJ46" s="195">
        <f t="shared" si="30"/>
        <v>68.015444639509823</v>
      </c>
      <c r="BK46" s="195">
        <f t="shared" si="30"/>
        <v>68.015444639509823</v>
      </c>
      <c r="BL46" s="195">
        <f t="shared" si="30"/>
        <v>767.00811247656873</v>
      </c>
      <c r="BM46" s="195">
        <f t="shared" si="30"/>
        <v>290.71394287078124</v>
      </c>
      <c r="BN46" s="195">
        <f t="shared" si="30"/>
        <v>68.015444639509823</v>
      </c>
      <c r="BO46" s="195">
        <f t="shared" si="30"/>
        <v>68.015444639509823</v>
      </c>
      <c r="BP46" s="195">
        <f t="shared" si="30"/>
        <v>68.015444639509823</v>
      </c>
      <c r="BQ46" s="195">
        <f t="shared" si="30"/>
        <v>68.015444639509823</v>
      </c>
      <c r="BR46" s="195">
        <f t="shared" si="30"/>
        <v>68.015444639509823</v>
      </c>
      <c r="BS46" s="195">
        <f t="shared" si="30"/>
        <v>2021.3170000000005</v>
      </c>
      <c r="BT46" s="195">
        <f t="shared" si="30"/>
        <v>1976.6579999999999</v>
      </c>
      <c r="BU46" s="195">
        <f t="shared" si="30"/>
        <v>17.620192720314982</v>
      </c>
      <c r="BV46" s="195">
        <f t="shared" si="30"/>
        <v>0</v>
      </c>
      <c r="BW46" s="195">
        <f t="shared" si="30"/>
        <v>0</v>
      </c>
      <c r="BX46" s="195">
        <f t="shared" si="30"/>
        <v>0</v>
      </c>
      <c r="BY46" s="195">
        <f t="shared" si="30"/>
        <v>0</v>
      </c>
      <c r="BZ46" s="195">
        <f t="shared" si="30"/>
        <v>0</v>
      </c>
      <c r="CA46" s="195">
        <f t="shared" si="30"/>
        <v>0</v>
      </c>
      <c r="CB46" s="195">
        <f t="shared" si="30"/>
        <v>0</v>
      </c>
      <c r="CC46" s="195">
        <f t="shared" si="30"/>
        <v>0</v>
      </c>
      <c r="CD46" s="195">
        <f t="shared" si="30"/>
        <v>0</v>
      </c>
      <c r="CE46" s="195">
        <f t="shared" si="30"/>
        <v>340.07722319754907</v>
      </c>
      <c r="CF46" s="195">
        <f t="shared" si="30"/>
        <v>-49.363280326767864</v>
      </c>
      <c r="CG46" s="524">
        <f>SUM(CG15:CG45)</f>
        <v>52.18</v>
      </c>
      <c r="CH46" s="524">
        <f>SUM(CH15:CH45)</f>
        <v>42.05</v>
      </c>
      <c r="CI46" s="524">
        <f>SUM(CI15:CI45)</f>
        <v>42.05</v>
      </c>
      <c r="CJ46" s="524">
        <f>SUM(CJ15:CJ45)</f>
        <v>42.05</v>
      </c>
      <c r="CK46" s="524">
        <f>SUM(CK15:CK45)</f>
        <v>42.05</v>
      </c>
      <c r="CL46" s="524">
        <f t="shared" ref="CL46:CV46" si="31">SUM(CL15:CL45)</f>
        <v>220.38000000000002</v>
      </c>
      <c r="CM46" s="524">
        <f t="shared" si="31"/>
        <v>837.34205534734997</v>
      </c>
      <c r="CN46" s="524">
        <f t="shared" si="31"/>
        <v>2248.7939999999999</v>
      </c>
      <c r="CO46" s="524">
        <f t="shared" si="31"/>
        <v>1976.6579999999999</v>
      </c>
      <c r="CP46" s="524">
        <f t="shared" si="31"/>
        <v>19.603151642363869</v>
      </c>
      <c r="CQ46" s="524"/>
      <c r="CR46" s="524"/>
      <c r="CS46" s="524">
        <f t="shared" si="31"/>
        <v>38.134470041193033</v>
      </c>
      <c r="CT46" s="524">
        <f t="shared" si="31"/>
        <v>38.134470041193033</v>
      </c>
      <c r="CU46" s="524">
        <f t="shared" si="31"/>
        <v>38.134470041193033</v>
      </c>
      <c r="CV46" s="524">
        <f t="shared" si="31"/>
        <v>38.134470041193033</v>
      </c>
      <c r="CW46" s="524">
        <f t="shared" si="30"/>
        <v>38.134470041193033</v>
      </c>
      <c r="CX46" s="524">
        <f t="shared" si="30"/>
        <v>37.203005172599688</v>
      </c>
      <c r="CY46" s="524">
        <f t="shared" si="30"/>
        <v>36.395751595049482</v>
      </c>
      <c r="CZ46" s="524">
        <f t="shared" ref="CZ46:DA46" si="32">SUM(CZ15:CZ45)</f>
        <v>35.165751595049485</v>
      </c>
      <c r="DA46" s="524">
        <f t="shared" si="32"/>
        <v>35.165751595049485</v>
      </c>
      <c r="DB46" s="524">
        <f t="shared" ref="DB46:DC46" si="33">SUM(DB15:DB45)</f>
        <v>34.815751595049484</v>
      </c>
      <c r="DC46" s="524">
        <f t="shared" si="33"/>
        <v>35.165751595049485</v>
      </c>
      <c r="DD46" s="524">
        <f t="shared" ref="DD46:DJ46" si="34">SUM(DD15:DD45)</f>
        <v>35.165751595049485</v>
      </c>
      <c r="DE46" s="524">
        <f t="shared" ref="DE46:DI46" si="35">SUM(DE15:DE45)</f>
        <v>35.165751595049485</v>
      </c>
      <c r="DF46" s="524">
        <f t="shared" si="35"/>
        <v>35.165751595049485</v>
      </c>
      <c r="DG46" s="524">
        <f t="shared" si="35"/>
        <v>35.165751595049485</v>
      </c>
      <c r="DH46" s="524">
        <f t="shared" si="35"/>
        <v>21.109992839452289</v>
      </c>
      <c r="DI46" s="524">
        <f t="shared" si="35"/>
        <v>14.489992839452288</v>
      </c>
      <c r="DJ46" s="524">
        <f t="shared" si="34"/>
        <v>14.489992839452288</v>
      </c>
      <c r="DK46" s="524">
        <f t="shared" si="30"/>
        <v>595.33709825236713</v>
      </c>
      <c r="DL46" s="524">
        <f>SUM(DL13:DL45)</f>
        <v>181.74345997924632</v>
      </c>
    </row>
    <row r="47" spans="1:116" s="104" customFormat="1" ht="15" x14ac:dyDescent="0.2">
      <c r="A47" s="110" t="s">
        <v>315</v>
      </c>
      <c r="B47" s="87"/>
      <c r="C47" s="87"/>
      <c r="D47" s="88"/>
      <c r="E47" s="88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9"/>
      <c r="S47" s="89"/>
      <c r="T47" s="90"/>
      <c r="U47" s="90"/>
      <c r="V47" s="733"/>
      <c r="W47" s="90"/>
      <c r="Y47"/>
      <c r="Z47"/>
      <c r="AA47" s="7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69"/>
      <c r="AZ47"/>
      <c r="BA47" s="77"/>
      <c r="BB47"/>
      <c r="BC47"/>
      <c r="BD47"/>
      <c r="BM47" s="522">
        <f>BM46-BN46-BO46</f>
        <v>154.68305359176156</v>
      </c>
      <c r="BN47" s="522"/>
      <c r="BO47" s="522"/>
      <c r="BP47" s="522"/>
      <c r="BQ47" s="522"/>
      <c r="BR47" s="522"/>
      <c r="BS47" s="521"/>
      <c r="BT47" s="523"/>
      <c r="BU47" s="521"/>
      <c r="BV47" s="521"/>
      <c r="BW47" s="521"/>
      <c r="BX47" s="522"/>
      <c r="BY47" s="522"/>
      <c r="BZ47" s="522"/>
      <c r="CA47" s="522"/>
      <c r="CB47" s="522"/>
      <c r="CC47" s="522"/>
      <c r="CD47" s="522"/>
      <c r="CE47" s="522"/>
      <c r="CF47" s="522"/>
      <c r="CG47"/>
      <c r="CH47"/>
      <c r="CI47"/>
      <c r="CJ47"/>
      <c r="CK47"/>
      <c r="CL47"/>
      <c r="CM47" s="535">
        <f>AR46-CL46</f>
        <v>837.34205534735008</v>
      </c>
      <c r="CN47" s="521"/>
      <c r="CO47" s="521"/>
      <c r="CP47" s="521"/>
      <c r="CQ47" s="521"/>
      <c r="CR47" s="521"/>
      <c r="CS47" s="521"/>
      <c r="CT47" s="521"/>
      <c r="CU47" s="521"/>
      <c r="CV47" s="521"/>
      <c r="CW47" s="521"/>
      <c r="CX47" s="522"/>
      <c r="CY47" s="522"/>
      <c r="CZ47" s="522"/>
      <c r="DA47" s="522"/>
      <c r="DB47" s="522"/>
      <c r="DC47" s="522"/>
      <c r="DD47" s="522"/>
      <c r="DE47" s="522"/>
      <c r="DF47" s="522"/>
      <c r="DG47" s="522"/>
      <c r="DH47" s="522"/>
      <c r="DI47" s="522"/>
      <c r="DJ47" s="522"/>
      <c r="DK47" s="522"/>
      <c r="DL47" s="522">
        <f>CM46-DK46</f>
        <v>242.00495709498284</v>
      </c>
    </row>
    <row r="48" spans="1:116" s="104" customFormat="1" ht="15" x14ac:dyDescent="0.2">
      <c r="A48" s="238" t="s">
        <v>568</v>
      </c>
      <c r="B48" s="239"/>
      <c r="C48" s="239"/>
      <c r="D48" s="240"/>
      <c r="E48" s="240"/>
      <c r="F48"/>
      <c r="G48"/>
      <c r="H48"/>
      <c r="I48"/>
      <c r="J48"/>
      <c r="K48"/>
      <c r="L48"/>
      <c r="M48"/>
      <c r="N48"/>
      <c r="O48"/>
      <c r="P48"/>
      <c r="Q48"/>
      <c r="R48" s="19"/>
      <c r="S48" s="19"/>
      <c r="T48" s="12"/>
      <c r="U48" s="12"/>
      <c r="V48" s="436"/>
      <c r="W48" s="12"/>
      <c r="Y48"/>
      <c r="Z48"/>
      <c r="AA48" s="77"/>
      <c r="AB48"/>
      <c r="AC48"/>
      <c r="AE48"/>
      <c r="AF48"/>
      <c r="AG48"/>
      <c r="AH48"/>
      <c r="AI48"/>
      <c r="AJ48"/>
      <c r="AK48"/>
      <c r="AL48"/>
      <c r="AM48"/>
      <c r="AN48"/>
      <c r="AO48"/>
      <c r="AP48"/>
      <c r="AR48" s="750">
        <f>V46-AQ46</f>
        <v>1057.7220553473499</v>
      </c>
      <c r="AZ48"/>
      <c r="BA48" s="77"/>
      <c r="BB48"/>
      <c r="BC48"/>
      <c r="BS48"/>
      <c r="BT48" s="77"/>
      <c r="BU48"/>
      <c r="BV48"/>
      <c r="CG48"/>
      <c r="CH48"/>
      <c r="CI48"/>
      <c r="CJ48"/>
      <c r="CK48"/>
      <c r="CL48"/>
      <c r="CM48" s="521"/>
      <c r="CN48" s="521"/>
      <c r="CO48" s="521"/>
      <c r="CP48" s="521"/>
      <c r="CQ48" s="521"/>
      <c r="CR48" s="521"/>
      <c r="CS48" s="521"/>
      <c r="CT48" s="521"/>
      <c r="CU48" s="521"/>
      <c r="CV48" s="521"/>
      <c r="CW48" s="521"/>
      <c r="CX48" s="522"/>
      <c r="CY48" s="522"/>
      <c r="CZ48" s="522"/>
      <c r="DA48" s="522"/>
      <c r="DB48" s="522"/>
      <c r="DC48" s="522"/>
      <c r="DD48" s="522"/>
      <c r="DE48" s="522"/>
      <c r="DF48" s="522"/>
      <c r="DG48" s="522"/>
      <c r="DH48" s="522"/>
      <c r="DI48" s="522"/>
      <c r="DJ48" s="522"/>
      <c r="DK48" s="522"/>
      <c r="DL48" s="522"/>
    </row>
    <row r="49" spans="1:75" ht="30.75" hidden="1" customHeight="1" x14ac:dyDescent="0.2">
      <c r="A49" s="1271" t="s">
        <v>462</v>
      </c>
      <c r="B49" s="1271"/>
      <c r="C49" s="1271"/>
      <c r="D49" s="1271"/>
      <c r="E49" s="1271"/>
      <c r="F49" s="1271"/>
      <c r="G49" s="1271"/>
      <c r="H49" s="1271"/>
      <c r="I49" s="1271"/>
      <c r="J49" s="1271"/>
      <c r="K49" s="1271"/>
      <c r="L49" s="1271"/>
      <c r="M49" s="1271"/>
      <c r="N49" s="1271"/>
      <c r="O49" s="1271"/>
      <c r="P49" s="1271"/>
      <c r="Q49" s="1271"/>
      <c r="R49" s="1271"/>
      <c r="S49" s="1271"/>
      <c r="T49" s="1271"/>
      <c r="U49" s="1271"/>
      <c r="V49" s="1271"/>
      <c r="W49" s="1271"/>
      <c r="X49" s="1271"/>
      <c r="Y49" s="1271"/>
      <c r="Z49" s="1271"/>
      <c r="AA49" s="171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BA49" s="171"/>
      <c r="BB49" s="170"/>
      <c r="BC49" s="170"/>
      <c r="BD49" s="170"/>
      <c r="BT49" s="171"/>
      <c r="BU49" s="170"/>
      <c r="BV49" s="170"/>
      <c r="BW49" s="170"/>
    </row>
    <row r="50" spans="1:75" hidden="1" x14ac:dyDescent="0.2">
      <c r="A50" s="1271"/>
      <c r="B50" s="1271"/>
      <c r="C50" s="1271"/>
      <c r="D50" s="1271"/>
      <c r="E50" s="1271"/>
      <c r="F50" s="1271"/>
      <c r="G50" s="1271"/>
      <c r="H50" s="1271"/>
      <c r="I50" s="1271"/>
      <c r="J50" s="1271"/>
      <c r="K50" s="1271"/>
      <c r="L50" s="1271"/>
      <c r="M50" s="1271"/>
      <c r="N50" s="1271"/>
      <c r="O50" s="1271"/>
      <c r="P50" s="1271"/>
      <c r="Q50" s="1271"/>
      <c r="R50" s="1271"/>
      <c r="S50" s="1271"/>
      <c r="T50" s="1271"/>
      <c r="U50" s="1271"/>
      <c r="V50" s="1271"/>
      <c r="W50" s="1271"/>
      <c r="X50" s="1271"/>
      <c r="Y50" s="1271"/>
      <c r="Z50" s="1271"/>
    </row>
  </sheetData>
  <mergeCells count="38">
    <mergeCell ref="BD11:BD12"/>
    <mergeCell ref="D10:P10"/>
    <mergeCell ref="R10:T10"/>
    <mergeCell ref="H11:H12"/>
    <mergeCell ref="I11:I12"/>
    <mergeCell ref="AC11:AC12"/>
    <mergeCell ref="AD11:AD12"/>
    <mergeCell ref="AS11:AS12"/>
    <mergeCell ref="AT11:AT12"/>
    <mergeCell ref="V10:BC10"/>
    <mergeCell ref="AQ11:AQ12"/>
    <mergeCell ref="B11:B12"/>
    <mergeCell ref="E11:E12"/>
    <mergeCell ref="F11:F12"/>
    <mergeCell ref="G11:G12"/>
    <mergeCell ref="BC11:BC12"/>
    <mergeCell ref="BV11:BV12"/>
    <mergeCell ref="BW11:BW12"/>
    <mergeCell ref="A49:Z50"/>
    <mergeCell ref="R11:R12"/>
    <mergeCell ref="S11:S12"/>
    <mergeCell ref="T11:T12"/>
    <mergeCell ref="V11:V12"/>
    <mergeCell ref="X11:X12"/>
    <mergeCell ref="Y11:Y12"/>
    <mergeCell ref="J11:J12"/>
    <mergeCell ref="K11:K12"/>
    <mergeCell ref="L11:L12"/>
    <mergeCell ref="M11:M12"/>
    <mergeCell ref="O11:O12"/>
    <mergeCell ref="Q11:Q12"/>
    <mergeCell ref="A11:A12"/>
    <mergeCell ref="DL11:DL12"/>
    <mergeCell ref="CL11:CL12"/>
    <mergeCell ref="CM11:CM12"/>
    <mergeCell ref="CQ11:CQ12"/>
    <mergeCell ref="CR11:CR12"/>
    <mergeCell ref="DK11:DK12"/>
  </mergeCells>
  <printOptions horizontalCentered="1"/>
  <pageMargins left="0.19685039370078741" right="0.19685039370078741" top="0.39370078740157483" bottom="0.39370078740157483" header="0" footer="0"/>
  <pageSetup scale="45" orientation="landscape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DZ34"/>
  <sheetViews>
    <sheetView topLeftCell="C10" zoomScaleNormal="100" workbookViewId="0">
      <selection activeCell="DX34" sqref="DX34"/>
    </sheetView>
  </sheetViews>
  <sheetFormatPr baseColWidth="10" defaultRowHeight="12.75" x14ac:dyDescent="0.2"/>
  <cols>
    <col min="1" max="1" width="18.5703125" customWidth="1"/>
    <col min="2" max="2" width="20.5703125" customWidth="1"/>
    <col min="3" max="3" width="16.28515625" customWidth="1"/>
    <col min="4" max="4" width="6.7109375" style="18" customWidth="1"/>
    <col min="5" max="5" width="7.42578125" style="18" customWidth="1"/>
    <col min="6" max="6" width="9.7109375" customWidth="1"/>
    <col min="7" max="7" width="8.5703125" customWidth="1"/>
    <col min="8" max="11" width="8.5703125" hidden="1" customWidth="1"/>
    <col min="12" max="12" width="8.5703125" customWidth="1"/>
    <col min="13" max="14" width="8.5703125" hidden="1" customWidth="1"/>
    <col min="15" max="15" width="8.42578125" hidden="1" customWidth="1"/>
    <col min="16" max="16" width="8.5703125" hidden="1" customWidth="1"/>
    <col min="17" max="17" width="11" customWidth="1"/>
    <col min="18" max="18" width="11.5703125" style="19" customWidth="1"/>
    <col min="19" max="19" width="9.5703125" style="19" customWidth="1"/>
    <col min="20" max="20" width="8.7109375" style="12" customWidth="1"/>
    <col min="21" max="23" width="8.42578125" style="12" hidden="1" customWidth="1"/>
    <col min="24" max="24" width="9.140625" style="104" hidden="1" customWidth="1"/>
    <col min="25" max="26" width="8.7109375" hidden="1" customWidth="1"/>
    <col min="27" max="27" width="8.7109375" style="77" hidden="1" customWidth="1"/>
    <col min="28" max="28" width="7.42578125" hidden="1" customWidth="1"/>
    <col min="29" max="29" width="8.5703125" hidden="1" customWidth="1"/>
    <col min="30" max="30" width="8.42578125" hidden="1" customWidth="1"/>
    <col min="31" max="35" width="7.7109375" hidden="1" customWidth="1"/>
    <col min="36" max="36" width="11.28515625" hidden="1" customWidth="1"/>
    <col min="37" max="42" width="7.7109375" hidden="1" customWidth="1"/>
    <col min="43" max="43" width="9.28515625" hidden="1" customWidth="1"/>
    <col min="44" max="44" width="9" style="69" hidden="1" customWidth="1"/>
    <col min="45" max="45" width="8.28515625" hidden="1" customWidth="1"/>
    <col min="46" max="46" width="7.42578125" hidden="1" customWidth="1"/>
    <col min="47" max="47" width="9.28515625" hidden="1" customWidth="1"/>
    <col min="48" max="48" width="9.7109375" hidden="1" customWidth="1"/>
    <col min="49" max="49" width="9.140625" hidden="1" customWidth="1"/>
    <col min="50" max="51" width="10" hidden="1" customWidth="1"/>
    <col min="52" max="52" width="8.7109375" hidden="1" customWidth="1"/>
    <col min="53" max="53" width="8.7109375" style="77" hidden="1" customWidth="1"/>
    <col min="54" max="54" width="7.42578125" hidden="1" customWidth="1"/>
    <col min="55" max="55" width="6.140625" hidden="1" customWidth="1"/>
    <col min="56" max="56" width="6.42578125" hidden="1" customWidth="1"/>
    <col min="57" max="63" width="8.7109375" hidden="1" customWidth="1"/>
    <col min="64" max="64" width="6.85546875" hidden="1" customWidth="1"/>
    <col min="65" max="65" width="7.85546875" hidden="1" customWidth="1"/>
    <col min="66" max="66" width="9.28515625" hidden="1" customWidth="1"/>
    <col min="67" max="67" width="9.5703125" hidden="1" customWidth="1"/>
    <col min="68" max="69" width="9.140625" hidden="1" customWidth="1"/>
    <col min="70" max="70" width="6.85546875" hidden="1" customWidth="1"/>
    <col min="71" max="71" width="8.7109375" hidden="1" customWidth="1"/>
    <col min="72" max="72" width="8.7109375" style="77" hidden="1" customWidth="1"/>
    <col min="73" max="73" width="7.42578125" hidden="1" customWidth="1"/>
    <col min="74" max="74" width="8.5703125" hidden="1" customWidth="1"/>
    <col min="75" max="75" width="8.42578125" hidden="1" customWidth="1"/>
    <col min="76" max="81" width="8.7109375" hidden="1" customWidth="1"/>
    <col min="82" max="82" width="0.140625" hidden="1" customWidth="1"/>
    <col min="83" max="83" width="9.28515625" hidden="1" customWidth="1"/>
    <col min="84" max="84" width="10.140625" hidden="1" customWidth="1"/>
    <col min="85" max="85" width="8.7109375" hidden="1" customWidth="1"/>
    <col min="86" max="86" width="8.7109375" style="77" hidden="1" customWidth="1"/>
    <col min="87" max="87" width="11.42578125" hidden="1" customWidth="1"/>
    <col min="88" max="88" width="8.5703125" hidden="1" customWidth="1"/>
    <col min="89" max="89" width="8.42578125" hidden="1" customWidth="1"/>
    <col min="90" max="95" width="8.7109375" hidden="1" customWidth="1"/>
    <col min="96" max="96" width="9.5703125" hidden="1" customWidth="1"/>
    <col min="97" max="97" width="9.28515625" hidden="1" customWidth="1"/>
    <col min="98" max="98" width="10.140625" hidden="1" customWidth="1"/>
    <col min="99" max="104" width="11.42578125" hidden="1" customWidth="1"/>
    <col min="106" max="110" width="11.42578125" customWidth="1"/>
    <col min="111" max="127" width="11.42578125" hidden="1" customWidth="1"/>
    <col min="128" max="130" width="11.42578125" customWidth="1"/>
  </cols>
  <sheetData>
    <row r="1" spans="1:130" x14ac:dyDescent="0.2">
      <c r="A1" s="637"/>
      <c r="B1" s="638" t="s">
        <v>27</v>
      </c>
      <c r="C1" s="637"/>
      <c r="D1" s="639"/>
      <c r="E1" s="639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40"/>
      <c r="S1" s="640"/>
      <c r="T1" s="637"/>
      <c r="U1" s="637"/>
      <c r="V1" s="637"/>
      <c r="W1" s="637"/>
      <c r="X1" s="661"/>
      <c r="Y1" s="662"/>
      <c r="Z1" s="662"/>
      <c r="AA1" s="663"/>
      <c r="AB1" s="662"/>
      <c r="AC1" s="662"/>
      <c r="AD1" s="662"/>
      <c r="AE1" s="662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62" t="s">
        <v>1072</v>
      </c>
      <c r="AQ1" s="637"/>
      <c r="AR1" s="664"/>
      <c r="AS1" s="637"/>
      <c r="AT1" s="637"/>
      <c r="AU1" s="637"/>
      <c r="AV1" s="637"/>
      <c r="AW1" s="637"/>
      <c r="AX1" s="637"/>
      <c r="AY1" s="637"/>
      <c r="AZ1" s="662"/>
      <c r="BA1" s="663"/>
      <c r="BB1" s="662"/>
      <c r="BC1" s="662"/>
      <c r="BD1" s="662"/>
      <c r="BE1" s="637"/>
      <c r="BF1" s="637"/>
      <c r="BG1" s="637"/>
      <c r="BH1" s="637"/>
      <c r="BI1" s="637"/>
      <c r="BJ1" s="637"/>
      <c r="BK1" s="637"/>
      <c r="BL1" s="637"/>
      <c r="BM1" s="637"/>
      <c r="BN1" s="637"/>
      <c r="BO1" s="637"/>
      <c r="BP1" s="637"/>
      <c r="BQ1" s="637"/>
      <c r="BR1" s="637"/>
      <c r="BS1" s="662"/>
      <c r="BT1" s="663"/>
      <c r="BU1" s="662"/>
      <c r="BV1" s="662"/>
      <c r="BW1" s="662"/>
      <c r="BX1" s="637"/>
      <c r="BY1" s="637"/>
      <c r="BZ1" s="637"/>
      <c r="CA1" s="637"/>
      <c r="CB1" s="637"/>
      <c r="CC1" s="637"/>
      <c r="CD1" s="637"/>
      <c r="CE1" s="637"/>
      <c r="CF1" s="637"/>
      <c r="CG1" s="662"/>
      <c r="CH1" s="663"/>
      <c r="CI1" s="662"/>
      <c r="CJ1" s="662"/>
      <c r="CK1" s="662"/>
      <c r="CL1" s="637"/>
      <c r="CM1" s="637"/>
      <c r="CN1" s="637"/>
      <c r="CO1" s="637"/>
      <c r="CP1" s="637"/>
      <c r="CQ1" s="637"/>
      <c r="CR1" s="637"/>
      <c r="CS1" s="637"/>
      <c r="CT1" s="637"/>
    </row>
    <row r="2" spans="1:130" x14ac:dyDescent="0.2">
      <c r="A2" s="637"/>
      <c r="B2" s="638" t="s">
        <v>1273</v>
      </c>
      <c r="C2" s="637"/>
      <c r="D2" s="639"/>
      <c r="E2" s="639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40"/>
      <c r="S2" s="640"/>
      <c r="T2" s="637"/>
      <c r="U2" s="637"/>
      <c r="V2" s="637"/>
      <c r="W2" s="637"/>
      <c r="X2" s="661"/>
      <c r="Y2" s="662"/>
      <c r="Z2" s="662"/>
      <c r="AA2" s="663"/>
      <c r="AB2" s="662"/>
      <c r="AC2" s="662"/>
      <c r="AD2" s="662"/>
      <c r="AE2" s="662"/>
      <c r="AF2" s="637"/>
      <c r="AG2" s="637"/>
      <c r="AH2" s="637"/>
      <c r="AI2" s="637"/>
      <c r="AJ2" s="637"/>
      <c r="AK2" s="637"/>
      <c r="AL2" s="637"/>
      <c r="AM2" s="637"/>
      <c r="AN2" s="637"/>
      <c r="AO2" s="637"/>
      <c r="AP2" s="637"/>
      <c r="AQ2" s="637"/>
      <c r="AR2" s="664"/>
      <c r="AS2" s="637"/>
      <c r="AT2" s="637"/>
      <c r="AU2" s="637"/>
      <c r="AV2" s="637"/>
      <c r="AW2" s="637"/>
      <c r="AX2" s="637"/>
      <c r="AY2" s="637"/>
      <c r="AZ2" s="662"/>
      <c r="BA2" s="663"/>
      <c r="BB2" s="662"/>
      <c r="BC2" s="662"/>
      <c r="BD2" s="662"/>
      <c r="BE2" s="637"/>
      <c r="BF2" s="637"/>
      <c r="BG2" s="637"/>
      <c r="BH2" s="637"/>
      <c r="BI2" s="637"/>
      <c r="BJ2" s="637"/>
      <c r="BK2" s="637"/>
      <c r="BL2" s="637"/>
      <c r="BM2" s="637"/>
      <c r="BN2" s="637"/>
      <c r="BO2" s="637"/>
      <c r="BP2" s="637"/>
      <c r="BQ2" s="637"/>
      <c r="BR2" s="637"/>
      <c r="BS2" s="662"/>
      <c r="BT2" s="663"/>
      <c r="BU2" s="662"/>
      <c r="BV2" s="662"/>
      <c r="BW2" s="662"/>
      <c r="BX2" s="637"/>
      <c r="BY2" s="637"/>
      <c r="BZ2" s="637"/>
      <c r="CA2" s="637"/>
      <c r="CB2" s="637"/>
      <c r="CC2" s="637"/>
      <c r="CD2" s="637"/>
      <c r="CE2" s="637"/>
      <c r="CF2" s="637"/>
      <c r="CG2" s="662"/>
      <c r="CH2" s="663"/>
      <c r="CI2" s="662"/>
      <c r="CJ2" s="662"/>
      <c r="CK2" s="662"/>
      <c r="CL2" s="637"/>
      <c r="CM2" s="637"/>
      <c r="CN2" s="637"/>
      <c r="CO2" s="637"/>
      <c r="CP2" s="637"/>
      <c r="CQ2" s="637"/>
      <c r="CR2" s="637"/>
      <c r="CS2" s="637"/>
      <c r="CT2" s="637"/>
    </row>
    <row r="3" spans="1:130" x14ac:dyDescent="0.2">
      <c r="A3" s="637"/>
      <c r="B3" s="637"/>
      <c r="C3" s="638"/>
      <c r="D3" s="641"/>
      <c r="E3" s="639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38"/>
      <c r="S3" s="638"/>
      <c r="T3" s="642"/>
      <c r="U3" s="642"/>
      <c r="V3" s="642"/>
      <c r="W3" s="642"/>
      <c r="X3" s="665"/>
      <c r="Y3" s="662"/>
      <c r="Z3" s="662"/>
      <c r="AA3" s="663"/>
      <c r="AB3" s="662"/>
      <c r="AC3" s="662"/>
      <c r="AD3" s="662"/>
      <c r="AE3" s="662"/>
      <c r="AF3" s="637"/>
      <c r="AG3" s="637"/>
      <c r="AH3" s="637"/>
      <c r="AI3" s="637"/>
      <c r="AJ3" s="637"/>
      <c r="AK3" s="637"/>
      <c r="AL3" s="637"/>
      <c r="AM3" s="637"/>
      <c r="AN3" s="637"/>
      <c r="AO3" s="637"/>
      <c r="AP3" s="637"/>
      <c r="AQ3" s="637"/>
      <c r="AR3" s="664"/>
      <c r="AS3" s="637"/>
      <c r="AT3" s="637"/>
      <c r="AU3" s="637"/>
      <c r="AV3" s="637"/>
      <c r="AW3" s="637"/>
      <c r="AX3" s="637"/>
      <c r="AY3" s="637"/>
      <c r="AZ3" s="662"/>
      <c r="BA3" s="663"/>
      <c r="BB3" s="662"/>
      <c r="BC3" s="662"/>
      <c r="BD3" s="662"/>
      <c r="BE3" s="637"/>
      <c r="BF3" s="637"/>
      <c r="BG3" s="637"/>
      <c r="BH3" s="637"/>
      <c r="BI3" s="637"/>
      <c r="BJ3" s="637"/>
      <c r="BK3" s="637"/>
      <c r="BL3" s="637"/>
      <c r="BM3" s="637"/>
      <c r="BN3" s="637"/>
      <c r="BO3" s="637"/>
      <c r="BP3" s="637"/>
      <c r="BQ3" s="637"/>
      <c r="BR3" s="637"/>
      <c r="BS3" s="662"/>
      <c r="BT3" s="663"/>
      <c r="BU3" s="662"/>
      <c r="BV3" s="662"/>
      <c r="BW3" s="662"/>
      <c r="BX3" s="637"/>
      <c r="BY3" s="637"/>
      <c r="BZ3" s="637"/>
      <c r="CA3" s="637"/>
      <c r="CB3" s="637"/>
      <c r="CC3" s="637"/>
      <c r="CD3" s="637"/>
      <c r="CE3" s="637"/>
      <c r="CF3" s="637"/>
      <c r="CG3" s="662"/>
      <c r="CH3" s="663"/>
      <c r="CI3" s="662"/>
      <c r="CJ3" s="662"/>
      <c r="CK3" s="662"/>
      <c r="CL3" s="637"/>
      <c r="CM3" s="637"/>
      <c r="CN3" s="637"/>
      <c r="CO3" s="637"/>
      <c r="CP3" s="637"/>
      <c r="CQ3" s="637"/>
      <c r="CR3" s="637"/>
      <c r="CS3" s="637"/>
      <c r="CT3" s="637"/>
    </row>
    <row r="4" spans="1:130" x14ac:dyDescent="0.2">
      <c r="A4" s="637"/>
      <c r="B4" s="637" t="s">
        <v>309</v>
      </c>
      <c r="C4" s="638"/>
      <c r="D4" s="641"/>
      <c r="E4" s="639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38"/>
      <c r="S4" s="638"/>
      <c r="T4" s="642"/>
      <c r="U4" s="642"/>
      <c r="V4" s="642"/>
      <c r="W4" s="642"/>
      <c r="X4" s="665"/>
      <c r="Y4" s="662"/>
      <c r="Z4" s="662"/>
      <c r="AA4" s="663"/>
      <c r="AB4" s="662"/>
      <c r="AC4" s="662"/>
      <c r="AD4" s="662"/>
      <c r="AE4" s="662"/>
      <c r="AF4" s="637"/>
      <c r="AG4" s="637"/>
      <c r="AH4" s="637"/>
      <c r="AI4" s="637"/>
      <c r="AJ4" s="637"/>
      <c r="AK4" s="637"/>
      <c r="AL4" s="637"/>
      <c r="AM4" s="637"/>
      <c r="AN4" s="637"/>
      <c r="AO4" s="637"/>
      <c r="AP4" s="637"/>
      <c r="AQ4" s="637"/>
      <c r="AR4" s="664"/>
      <c r="AS4" s="637"/>
      <c r="AT4" s="637"/>
      <c r="AU4" s="637"/>
      <c r="AV4" s="637"/>
      <c r="AW4" s="637"/>
      <c r="AX4" s="637"/>
      <c r="AY4" s="637"/>
      <c r="AZ4" s="662"/>
      <c r="BA4" s="663"/>
      <c r="BB4" s="662"/>
      <c r="BC4" s="662"/>
      <c r="BD4" s="662"/>
      <c r="BE4" s="637"/>
      <c r="BF4" s="637"/>
      <c r="BG4" s="637"/>
      <c r="BH4" s="637"/>
      <c r="BI4" s="637"/>
      <c r="BJ4" s="637"/>
      <c r="BK4" s="637"/>
      <c r="BL4" s="637"/>
      <c r="BM4" s="637"/>
      <c r="BN4" s="637"/>
      <c r="BO4" s="637"/>
      <c r="BP4" s="637"/>
      <c r="BQ4" s="637"/>
      <c r="BR4" s="637"/>
      <c r="BS4" s="662"/>
      <c r="BT4" s="663"/>
      <c r="BU4" s="662"/>
      <c r="BV4" s="662"/>
      <c r="BW4" s="662"/>
      <c r="BX4" s="637"/>
      <c r="BY4" s="637"/>
      <c r="BZ4" s="637"/>
      <c r="CA4" s="637"/>
      <c r="CB4" s="637"/>
      <c r="CC4" s="637"/>
      <c r="CD4" s="637"/>
      <c r="CE4" s="637"/>
      <c r="CF4" s="637"/>
      <c r="CG4" s="662"/>
      <c r="CH4" s="663"/>
      <c r="CI4" s="662"/>
      <c r="CJ4" s="662"/>
      <c r="CK4" s="662"/>
      <c r="CL4" s="637"/>
      <c r="CM4" s="637"/>
      <c r="CN4" s="637"/>
      <c r="CO4" s="637"/>
      <c r="CP4" s="637"/>
      <c r="CQ4" s="637"/>
      <c r="CR4" s="637"/>
      <c r="CS4" s="637"/>
      <c r="CT4" s="637"/>
    </row>
    <row r="5" spans="1:130" x14ac:dyDescent="0.2">
      <c r="A5" s="637"/>
      <c r="B5" s="642" t="s">
        <v>346</v>
      </c>
      <c r="C5" s="637"/>
      <c r="D5" s="639"/>
      <c r="E5" s="639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40"/>
      <c r="S5" s="640"/>
      <c r="T5" s="637"/>
      <c r="U5" s="637"/>
      <c r="V5" s="637"/>
      <c r="W5" s="637"/>
      <c r="X5" s="661"/>
      <c r="Y5" s="662"/>
      <c r="Z5" s="662"/>
      <c r="AA5" s="663"/>
      <c r="AB5" s="662"/>
      <c r="AC5" s="662"/>
      <c r="AD5" s="662"/>
      <c r="AE5" s="662"/>
      <c r="AF5" s="637"/>
      <c r="AG5" s="637"/>
      <c r="AH5" s="637"/>
      <c r="AI5" s="637"/>
      <c r="AJ5" s="637"/>
      <c r="AK5" s="637"/>
      <c r="AL5" s="637"/>
      <c r="AM5" s="637"/>
      <c r="AN5" s="637"/>
      <c r="AO5" s="637"/>
      <c r="AP5" s="637"/>
      <c r="AQ5" s="637"/>
      <c r="AR5" s="664"/>
      <c r="AS5" s="637"/>
      <c r="AT5" s="637"/>
      <c r="AU5" s="637"/>
      <c r="AV5" s="637"/>
      <c r="AW5" s="637"/>
      <c r="AX5" s="637"/>
      <c r="AY5" s="637"/>
      <c r="AZ5" s="662"/>
      <c r="BA5" s="663"/>
      <c r="BB5" s="662"/>
      <c r="BC5" s="662"/>
      <c r="BD5" s="662"/>
      <c r="BE5" s="637"/>
      <c r="BF5" s="637"/>
      <c r="BG5" s="637"/>
      <c r="BH5" s="637"/>
      <c r="BI5" s="637"/>
      <c r="BJ5" s="637"/>
      <c r="BK5" s="637"/>
      <c r="BL5" s="637"/>
      <c r="BM5" s="637"/>
      <c r="BN5" s="637"/>
      <c r="BO5" s="637"/>
      <c r="BP5" s="637"/>
      <c r="BQ5" s="637"/>
      <c r="BR5" s="637"/>
      <c r="BS5" s="662"/>
      <c r="BT5" s="663"/>
      <c r="BU5" s="662"/>
      <c r="BV5" s="662"/>
      <c r="BW5" s="662"/>
      <c r="BX5" s="637"/>
      <c r="BY5" s="637"/>
      <c r="BZ5" s="637"/>
      <c r="CA5" s="637"/>
      <c r="CB5" s="637"/>
      <c r="CC5" s="637"/>
      <c r="CD5" s="637"/>
      <c r="CE5" s="637"/>
      <c r="CF5" s="637"/>
      <c r="CG5" s="662"/>
      <c r="CH5" s="663"/>
      <c r="CI5" s="662"/>
      <c r="CJ5" s="662"/>
      <c r="CK5" s="662"/>
      <c r="CL5" s="637"/>
      <c r="CM5" s="637"/>
      <c r="CN5" s="637"/>
      <c r="CO5" s="637"/>
      <c r="CP5" s="637"/>
      <c r="CQ5" s="637"/>
      <c r="CR5" s="637"/>
      <c r="CS5" s="637"/>
      <c r="CT5" s="637"/>
    </row>
    <row r="6" spans="1:130" x14ac:dyDescent="0.2">
      <c r="A6" s="637"/>
      <c r="B6" s="637" t="s">
        <v>1272</v>
      </c>
      <c r="C6" s="637"/>
      <c r="D6" s="639"/>
      <c r="E6" s="639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40"/>
      <c r="S6" s="640"/>
      <c r="T6" s="637"/>
      <c r="U6" s="637"/>
      <c r="V6" s="637"/>
      <c r="W6" s="637"/>
      <c r="X6" s="661"/>
      <c r="Y6" s="662"/>
      <c r="Z6" s="662"/>
      <c r="AA6" s="663"/>
      <c r="AB6" s="662"/>
      <c r="AC6" s="662"/>
      <c r="AD6" s="662"/>
      <c r="AE6" s="662"/>
      <c r="AF6" s="637"/>
      <c r="AG6" s="637"/>
      <c r="AH6" s="637"/>
      <c r="AI6" s="637"/>
      <c r="AJ6" s="637"/>
      <c r="AK6" s="637"/>
      <c r="AL6" s="637"/>
      <c r="AM6" s="637"/>
      <c r="AN6" s="637"/>
      <c r="AO6" s="637"/>
      <c r="AP6" s="637"/>
      <c r="AQ6" s="637"/>
      <c r="AR6" s="664"/>
      <c r="AS6" s="637"/>
      <c r="AT6" s="637"/>
      <c r="AU6" s="637"/>
      <c r="AV6" s="637"/>
      <c r="AW6" s="637"/>
      <c r="AX6" s="637"/>
      <c r="AY6" s="637"/>
      <c r="AZ6" s="662"/>
      <c r="BA6" s="663"/>
      <c r="BB6" s="662"/>
      <c r="BC6" s="662"/>
      <c r="BD6" s="662"/>
      <c r="BE6" s="637"/>
      <c r="BF6" s="637"/>
      <c r="BG6" s="637"/>
      <c r="BH6" s="637"/>
      <c r="BI6" s="637"/>
      <c r="BJ6" s="637"/>
      <c r="BK6" s="637"/>
      <c r="BL6" s="637"/>
      <c r="BM6" s="637"/>
      <c r="BN6" s="637"/>
      <c r="BO6" s="637"/>
      <c r="BP6" s="637"/>
      <c r="BQ6" s="637"/>
      <c r="BR6" s="637"/>
      <c r="BS6" s="662"/>
      <c r="BT6" s="663"/>
      <c r="BU6" s="662"/>
      <c r="BV6" s="662"/>
      <c r="BW6" s="662"/>
      <c r="BX6" s="637"/>
      <c r="BY6" s="637"/>
      <c r="BZ6" s="637"/>
      <c r="CA6" s="637"/>
      <c r="CB6" s="637"/>
      <c r="CC6" s="637"/>
      <c r="CD6" s="637"/>
      <c r="CE6" s="637"/>
      <c r="CF6" s="637"/>
      <c r="CG6" s="662"/>
      <c r="CH6" s="663"/>
      <c r="CI6" s="662"/>
      <c r="CJ6" s="662"/>
      <c r="CK6" s="662"/>
      <c r="CL6" s="637"/>
      <c r="CM6" s="637"/>
      <c r="CN6" s="637"/>
      <c r="CO6" s="637"/>
      <c r="CP6" s="637"/>
      <c r="CQ6" s="637"/>
      <c r="CR6" s="637"/>
      <c r="CS6" s="637"/>
      <c r="CT6" s="637"/>
    </row>
    <row r="7" spans="1:130" x14ac:dyDescent="0.2">
      <c r="A7" s="637"/>
      <c r="B7" s="637"/>
      <c r="C7" s="637"/>
      <c r="D7" s="639"/>
      <c r="E7" s="639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40"/>
      <c r="S7" s="640"/>
      <c r="T7" s="637"/>
      <c r="U7" s="637"/>
      <c r="V7" s="637"/>
      <c r="W7" s="637"/>
      <c r="X7" s="661"/>
      <c r="Y7" s="662"/>
      <c r="Z7" s="662"/>
      <c r="AA7" s="663"/>
      <c r="AB7" s="662"/>
      <c r="AC7" s="662"/>
      <c r="AD7" s="662"/>
      <c r="AE7" s="662"/>
      <c r="AF7" s="637"/>
      <c r="AG7" s="637"/>
      <c r="AH7" s="637"/>
      <c r="AI7" s="637"/>
      <c r="AJ7" s="637"/>
      <c r="AK7" s="637"/>
      <c r="AL7" s="637"/>
      <c r="AM7" s="637"/>
      <c r="AN7" s="637"/>
      <c r="AO7" s="637"/>
      <c r="AP7" s="637"/>
      <c r="AQ7" s="637"/>
      <c r="AR7" s="664"/>
      <c r="AS7" s="637"/>
      <c r="AT7" s="637"/>
      <c r="AU7" s="637"/>
      <c r="AV7" s="637"/>
      <c r="AW7" s="637"/>
      <c r="AX7" s="637"/>
      <c r="AY7" s="637"/>
      <c r="AZ7" s="662"/>
      <c r="BA7" s="663"/>
      <c r="BB7" s="662"/>
      <c r="BC7" s="662"/>
      <c r="BD7" s="662"/>
      <c r="BE7" s="637"/>
      <c r="BF7" s="637"/>
      <c r="BG7" s="637"/>
      <c r="BH7" s="637"/>
      <c r="BI7" s="637"/>
      <c r="BJ7" s="637"/>
      <c r="BK7" s="637"/>
      <c r="BL7" s="637"/>
      <c r="BM7" s="637"/>
      <c r="BN7" s="637"/>
      <c r="BO7" s="637"/>
      <c r="BP7" s="637"/>
      <c r="BQ7" s="637"/>
      <c r="BR7" s="637"/>
      <c r="BS7" s="662"/>
      <c r="BT7" s="663"/>
      <c r="BU7" s="662"/>
      <c r="BV7" s="662"/>
      <c r="BW7" s="662"/>
      <c r="BX7" s="637"/>
      <c r="BY7" s="637"/>
      <c r="BZ7" s="637"/>
      <c r="CA7" s="637"/>
      <c r="CB7" s="637"/>
      <c r="CC7" s="637"/>
      <c r="CD7" s="637"/>
      <c r="CE7" s="637"/>
      <c r="CF7" s="637"/>
      <c r="CG7" s="662"/>
      <c r="CH7" s="663"/>
      <c r="CI7" s="662"/>
      <c r="CJ7" s="662"/>
      <c r="CK7" s="662"/>
      <c r="CL7" s="637"/>
      <c r="CM7" s="637"/>
      <c r="CN7" s="637"/>
      <c r="CO7" s="637"/>
      <c r="CP7" s="637"/>
      <c r="CQ7" s="637"/>
      <c r="CR7" s="637"/>
      <c r="CS7" s="637"/>
      <c r="CT7" s="637"/>
    </row>
    <row r="8" spans="1:130" s="16" customFormat="1" x14ac:dyDescent="0.2">
      <c r="D8" s="38"/>
      <c r="E8" s="38"/>
      <c r="R8" s="37"/>
      <c r="S8" s="37"/>
      <c r="T8" s="35"/>
      <c r="U8" s="35"/>
      <c r="V8" s="35"/>
      <c r="W8" s="35"/>
      <c r="X8" s="103"/>
      <c r="Y8" s="39"/>
      <c r="Z8" s="39"/>
      <c r="AA8" s="76"/>
      <c r="AB8" s="39"/>
      <c r="AC8" s="39"/>
      <c r="AD8" s="39"/>
      <c r="AE8" s="39"/>
      <c r="AR8" s="68"/>
      <c r="AZ8" s="39"/>
      <c r="BA8" s="76"/>
      <c r="BB8" s="39"/>
      <c r="BC8" s="39"/>
      <c r="BD8" s="39"/>
      <c r="BS8" s="39"/>
      <c r="BT8" s="76"/>
      <c r="BU8" s="39"/>
      <c r="BV8" s="39"/>
      <c r="BW8" s="39"/>
      <c r="CG8" s="39"/>
      <c r="CH8" s="76"/>
      <c r="CI8" s="39"/>
      <c r="CJ8" s="39"/>
      <c r="CK8" s="39"/>
    </row>
    <row r="9" spans="1:130" s="16" customFormat="1" ht="20.25" customHeight="1" x14ac:dyDescent="0.2">
      <c r="D9" s="38"/>
      <c r="E9" s="38"/>
      <c r="R9" s="37"/>
      <c r="S9" s="37"/>
      <c r="T9" s="35"/>
      <c r="U9" s="35"/>
      <c r="V9" s="35"/>
      <c r="W9" s="35"/>
      <c r="X9" s="103"/>
      <c r="Y9" s="39"/>
      <c r="Z9" s="39"/>
      <c r="AA9" s="76"/>
      <c r="AB9" s="39"/>
      <c r="AC9" s="39"/>
      <c r="AD9" s="39"/>
      <c r="AE9" s="39"/>
      <c r="AR9" s="68"/>
      <c r="AZ9" s="39"/>
      <c r="BA9" s="76"/>
      <c r="BB9" s="39"/>
      <c r="BC9" s="39"/>
      <c r="BD9" s="39"/>
      <c r="BS9" s="39"/>
      <c r="BT9" s="76"/>
      <c r="BU9" s="39"/>
      <c r="BV9" s="39"/>
      <c r="BW9" s="39"/>
      <c r="CG9" s="39"/>
      <c r="CH9" s="76"/>
      <c r="CI9" s="39"/>
      <c r="CJ9" s="39"/>
      <c r="CK9" s="39"/>
    </row>
    <row r="10" spans="1:130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209"/>
      <c r="V10" s="1275" t="s">
        <v>450</v>
      </c>
      <c r="W10" s="1275"/>
      <c r="X10" s="1275"/>
      <c r="Y10" s="1275"/>
      <c r="Z10" s="1275"/>
      <c r="AA10" s="1275"/>
      <c r="AB10" s="1275"/>
      <c r="AC10" s="1275"/>
      <c r="AD10" s="1275"/>
      <c r="AE10" s="1275"/>
      <c r="AF10" s="1275"/>
      <c r="AG10" s="1275"/>
      <c r="AH10" s="1275"/>
      <c r="AI10" s="1275"/>
      <c r="AJ10" s="1275"/>
      <c r="AK10" s="1275"/>
      <c r="AL10" s="1275"/>
      <c r="AM10" s="1275"/>
      <c r="AN10" s="1275"/>
      <c r="AO10" s="1275"/>
      <c r="AP10" s="1275"/>
      <c r="AQ10" s="1275"/>
      <c r="AR10" s="1275"/>
      <c r="AS10" s="1275"/>
      <c r="AT10" s="1275"/>
      <c r="AU10" s="1275"/>
      <c r="AV10" s="1275"/>
      <c r="AW10" s="1275"/>
      <c r="AX10" s="1275"/>
      <c r="AY10" s="1275"/>
      <c r="AZ10" s="1275"/>
      <c r="BA10" s="1275"/>
      <c r="BB10" s="1275"/>
      <c r="BC10" s="1275"/>
      <c r="BD10" s="1275"/>
      <c r="BT10"/>
      <c r="CH10"/>
    </row>
    <row r="11" spans="1:130" ht="54" customHeight="1" x14ac:dyDescent="0.25">
      <c r="A11" s="1261" t="s">
        <v>57</v>
      </c>
      <c r="B11" s="1261" t="s">
        <v>0</v>
      </c>
      <c r="C11" s="210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526</v>
      </c>
      <c r="J11" s="1254" t="s">
        <v>525</v>
      </c>
      <c r="K11" s="1254" t="s">
        <v>534</v>
      </c>
      <c r="L11" s="1254" t="s">
        <v>493</v>
      </c>
      <c r="M11" s="1254" t="s">
        <v>535</v>
      </c>
      <c r="N11" s="207" t="s">
        <v>529</v>
      </c>
      <c r="O11" s="1254" t="s">
        <v>492</v>
      </c>
      <c r="P11" s="208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203"/>
      <c r="V11" s="1245" t="s">
        <v>447</v>
      </c>
      <c r="W11" s="205"/>
      <c r="X11" s="1268" t="s">
        <v>569</v>
      </c>
      <c r="Y11" s="1245" t="s">
        <v>439</v>
      </c>
      <c r="Z11" s="158" t="s">
        <v>15</v>
      </c>
      <c r="AA11" s="159" t="s">
        <v>15</v>
      </c>
      <c r="AB11" s="158" t="s">
        <v>16</v>
      </c>
      <c r="AC11" s="1245" t="s">
        <v>527</v>
      </c>
      <c r="AD11" s="1245" t="s">
        <v>536</v>
      </c>
      <c r="AE11" s="158" t="s">
        <v>3</v>
      </c>
      <c r="AF11" s="158" t="s">
        <v>4</v>
      </c>
      <c r="AG11" s="158" t="s">
        <v>5</v>
      </c>
      <c r="AH11" s="158" t="s">
        <v>6</v>
      </c>
      <c r="AI11" s="158" t="s">
        <v>7</v>
      </c>
      <c r="AJ11" s="158" t="s">
        <v>8</v>
      </c>
      <c r="AK11" s="158" t="s">
        <v>9</v>
      </c>
      <c r="AL11" s="158" t="s">
        <v>10</v>
      </c>
      <c r="AM11" s="158" t="s">
        <v>11</v>
      </c>
      <c r="AN11" s="158" t="s">
        <v>12</v>
      </c>
      <c r="AO11" s="158" t="s">
        <v>13</v>
      </c>
      <c r="AP11" s="158" t="s">
        <v>14</v>
      </c>
      <c r="AQ11" s="196" t="s">
        <v>531</v>
      </c>
      <c r="AR11" s="196" t="s">
        <v>63</v>
      </c>
      <c r="AS11" s="1245" t="s">
        <v>976</v>
      </c>
      <c r="AT11" s="1245" t="s">
        <v>536</v>
      </c>
      <c r="AU11" s="158" t="s">
        <v>3</v>
      </c>
      <c r="AV11" s="158" t="s">
        <v>4</v>
      </c>
      <c r="AW11" s="158" t="s">
        <v>5</v>
      </c>
      <c r="AX11" s="158" t="s">
        <v>6</v>
      </c>
      <c r="AY11" s="158" t="s">
        <v>7</v>
      </c>
      <c r="AZ11" s="158" t="s">
        <v>15</v>
      </c>
      <c r="BA11" s="159" t="s">
        <v>15</v>
      </c>
      <c r="BB11" s="158" t="s">
        <v>16</v>
      </c>
      <c r="BC11" s="1245" t="s">
        <v>1059</v>
      </c>
      <c r="BD11" s="1245" t="s">
        <v>536</v>
      </c>
      <c r="BE11" s="158" t="s">
        <v>8</v>
      </c>
      <c r="BF11" s="158" t="s">
        <v>9</v>
      </c>
      <c r="BG11" s="158" t="s">
        <v>10</v>
      </c>
      <c r="BH11" s="158" t="s">
        <v>11</v>
      </c>
      <c r="BI11" s="158" t="s">
        <v>12</v>
      </c>
      <c r="BJ11" s="158" t="s">
        <v>13</v>
      </c>
      <c r="BK11" s="158" t="s">
        <v>14</v>
      </c>
      <c r="BL11" s="196" t="s">
        <v>989</v>
      </c>
      <c r="BM11" s="196" t="s">
        <v>63</v>
      </c>
      <c r="BN11" s="158" t="s">
        <v>3</v>
      </c>
      <c r="BO11" s="158" t="s">
        <v>4</v>
      </c>
      <c r="BP11" s="158" t="s">
        <v>5</v>
      </c>
      <c r="BQ11" s="158" t="s">
        <v>6</v>
      </c>
      <c r="BR11" s="158" t="s">
        <v>7</v>
      </c>
      <c r="BS11" s="158" t="s">
        <v>15</v>
      </c>
      <c r="BT11" s="159" t="s">
        <v>15</v>
      </c>
      <c r="BU11" s="158" t="s">
        <v>16</v>
      </c>
      <c r="BV11" s="1245" t="s">
        <v>1059</v>
      </c>
      <c r="BW11" s="1245" t="s">
        <v>536</v>
      </c>
      <c r="BX11" s="158" t="s">
        <v>8</v>
      </c>
      <c r="BY11" s="158" t="s">
        <v>9</v>
      </c>
      <c r="BZ11" s="158" t="s">
        <v>10</v>
      </c>
      <c r="CA11" s="158" t="s">
        <v>11</v>
      </c>
      <c r="CB11" s="158" t="s">
        <v>12</v>
      </c>
      <c r="CC11" s="158" t="s">
        <v>13</v>
      </c>
      <c r="CD11" s="158" t="s">
        <v>14</v>
      </c>
      <c r="CE11" s="196" t="s">
        <v>1058</v>
      </c>
      <c r="CF11" s="196" t="s">
        <v>63</v>
      </c>
      <c r="CG11" s="158" t="s">
        <v>15</v>
      </c>
      <c r="CH11" s="159" t="s">
        <v>15</v>
      </c>
      <c r="CI11" s="158" t="s">
        <v>16</v>
      </c>
      <c r="CJ11" s="1245" t="s">
        <v>1124</v>
      </c>
      <c r="CK11" s="1245" t="s">
        <v>536</v>
      </c>
      <c r="CL11" s="158" t="s">
        <v>8</v>
      </c>
      <c r="CM11" s="158" t="s">
        <v>9</v>
      </c>
      <c r="CN11" s="158" t="s">
        <v>10</v>
      </c>
      <c r="CO11" s="158" t="s">
        <v>11</v>
      </c>
      <c r="CP11" s="158" t="s">
        <v>12</v>
      </c>
      <c r="CQ11" s="158" t="s">
        <v>13</v>
      </c>
      <c r="CR11" s="158" t="s">
        <v>14</v>
      </c>
      <c r="CS11" s="732" t="s">
        <v>1058</v>
      </c>
      <c r="CT11" s="732" t="s">
        <v>63</v>
      </c>
      <c r="CU11" s="158" t="s">
        <v>3</v>
      </c>
      <c r="CV11" s="158" t="s">
        <v>4</v>
      </c>
      <c r="CW11" s="158" t="s">
        <v>5</v>
      </c>
      <c r="CX11" s="158" t="s">
        <v>6</v>
      </c>
      <c r="CY11" s="158" t="s">
        <v>7</v>
      </c>
      <c r="CZ11" s="1247" t="s">
        <v>1252</v>
      </c>
      <c r="DA11" s="1247" t="s">
        <v>1253</v>
      </c>
      <c r="DB11" s="158" t="s">
        <v>15</v>
      </c>
      <c r="DC11" s="159" t="s">
        <v>15</v>
      </c>
      <c r="DD11" s="158" t="s">
        <v>16</v>
      </c>
      <c r="DE11" s="1245" t="s">
        <v>1262</v>
      </c>
      <c r="DF11" s="1245" t="s">
        <v>536</v>
      </c>
      <c r="DG11" s="158" t="s">
        <v>8</v>
      </c>
      <c r="DH11" s="158" t="s">
        <v>9</v>
      </c>
      <c r="DI11" s="158" t="s">
        <v>10</v>
      </c>
      <c r="DJ11" s="158" t="s">
        <v>11</v>
      </c>
      <c r="DK11" s="158" t="s">
        <v>12</v>
      </c>
      <c r="DL11" s="158" t="s">
        <v>13</v>
      </c>
      <c r="DM11" s="158" t="s">
        <v>14</v>
      </c>
      <c r="DN11" s="158" t="s">
        <v>3</v>
      </c>
      <c r="DO11" s="158" t="s">
        <v>4</v>
      </c>
      <c r="DP11" s="158" t="s">
        <v>5</v>
      </c>
      <c r="DQ11" s="158" t="s">
        <v>6</v>
      </c>
      <c r="DR11" s="158" t="s">
        <v>7</v>
      </c>
      <c r="DS11" s="158" t="s">
        <v>8</v>
      </c>
      <c r="DT11" s="158" t="s">
        <v>9</v>
      </c>
      <c r="DU11" s="158" t="s">
        <v>10</v>
      </c>
      <c r="DV11" s="158" t="s">
        <v>11</v>
      </c>
      <c r="DW11" s="158" t="s">
        <v>12</v>
      </c>
      <c r="DX11" s="158" t="s">
        <v>13</v>
      </c>
      <c r="DY11" s="1247" t="s">
        <v>1274</v>
      </c>
      <c r="DZ11" s="1247" t="s">
        <v>1263</v>
      </c>
    </row>
    <row r="12" spans="1:130" ht="32.25" customHeight="1" x14ac:dyDescent="0.25">
      <c r="A12" s="1262"/>
      <c r="B12" s="1262"/>
      <c r="C12" s="161" t="s">
        <v>574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204"/>
      <c r="V12" s="1267"/>
      <c r="W12" s="206" t="s">
        <v>570</v>
      </c>
      <c r="X12" s="1269">
        <v>41639</v>
      </c>
      <c r="Y12" s="1246"/>
      <c r="Z12" s="162" t="s">
        <v>20</v>
      </c>
      <c r="AA12" s="163" t="s">
        <v>21</v>
      </c>
      <c r="AB12" s="162" t="s">
        <v>22</v>
      </c>
      <c r="AC12" s="1246"/>
      <c r="AD12" s="1246"/>
      <c r="AE12" s="162">
        <v>2015</v>
      </c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>
        <v>2015</v>
      </c>
      <c r="AQ12" s="162">
        <v>2015</v>
      </c>
      <c r="AR12" s="162" t="s">
        <v>64</v>
      </c>
      <c r="AS12" s="1246"/>
      <c r="AT12" s="1246"/>
      <c r="AU12" s="162">
        <v>2016</v>
      </c>
      <c r="AV12" s="162">
        <v>2016</v>
      </c>
      <c r="AW12" s="162">
        <v>2016</v>
      </c>
      <c r="AX12" s="162">
        <v>2016</v>
      </c>
      <c r="AY12" s="162">
        <v>2016</v>
      </c>
      <c r="AZ12" s="162" t="s">
        <v>20</v>
      </c>
      <c r="BA12" s="163" t="s">
        <v>21</v>
      </c>
      <c r="BB12" s="162" t="s">
        <v>22</v>
      </c>
      <c r="BC12" s="1246"/>
      <c r="BD12" s="1246"/>
      <c r="BE12" s="162">
        <v>2016</v>
      </c>
      <c r="BF12" s="162">
        <v>2016</v>
      </c>
      <c r="BG12" s="162">
        <v>2016</v>
      </c>
      <c r="BH12" s="162">
        <v>2016</v>
      </c>
      <c r="BI12" s="162">
        <v>2016</v>
      </c>
      <c r="BJ12" s="162">
        <v>2016</v>
      </c>
      <c r="BK12" s="162">
        <v>2016</v>
      </c>
      <c r="BL12" s="162">
        <v>2016</v>
      </c>
      <c r="BM12" s="162" t="s">
        <v>64</v>
      </c>
      <c r="BN12" s="162">
        <v>2017</v>
      </c>
      <c r="BO12" s="162">
        <v>2017</v>
      </c>
      <c r="BP12" s="162">
        <v>2017</v>
      </c>
      <c r="BQ12" s="162">
        <v>2017</v>
      </c>
      <c r="BR12" s="162">
        <v>2017</v>
      </c>
      <c r="BS12" s="162" t="s">
        <v>20</v>
      </c>
      <c r="BT12" s="163" t="s">
        <v>21</v>
      </c>
      <c r="BU12" s="162" t="s">
        <v>22</v>
      </c>
      <c r="BV12" s="1246"/>
      <c r="BW12" s="1246"/>
      <c r="BX12" s="162">
        <v>2017</v>
      </c>
      <c r="BY12" s="162">
        <v>2017</v>
      </c>
      <c r="BZ12" s="162">
        <v>2017</v>
      </c>
      <c r="CA12" s="162">
        <v>2017</v>
      </c>
      <c r="CB12" s="162">
        <v>2017</v>
      </c>
      <c r="CC12" s="162">
        <v>2017</v>
      </c>
      <c r="CD12" s="162">
        <v>2017</v>
      </c>
      <c r="CE12" s="162">
        <v>2017</v>
      </c>
      <c r="CF12" s="162" t="s">
        <v>64</v>
      </c>
      <c r="CG12" s="162" t="s">
        <v>20</v>
      </c>
      <c r="CH12" s="163" t="s">
        <v>21</v>
      </c>
      <c r="CI12" s="162" t="s">
        <v>22</v>
      </c>
      <c r="CJ12" s="1246"/>
      <c r="CK12" s="1246"/>
      <c r="CL12" s="162">
        <v>2017</v>
      </c>
      <c r="CM12" s="162">
        <v>2017</v>
      </c>
      <c r="CN12" s="162">
        <v>2017</v>
      </c>
      <c r="CO12" s="162">
        <v>2017</v>
      </c>
      <c r="CP12" s="162">
        <v>2017</v>
      </c>
      <c r="CQ12" s="162">
        <v>2017</v>
      </c>
      <c r="CR12" s="162">
        <v>2017</v>
      </c>
      <c r="CS12" s="162">
        <v>2017</v>
      </c>
      <c r="CT12" s="162" t="s">
        <v>64</v>
      </c>
      <c r="CU12" s="162">
        <v>2018</v>
      </c>
      <c r="CV12" s="162">
        <v>2018</v>
      </c>
      <c r="CW12" s="162">
        <v>2018</v>
      </c>
      <c r="CX12" s="162">
        <v>2018</v>
      </c>
      <c r="CY12" s="162">
        <v>2018</v>
      </c>
      <c r="CZ12" s="1248"/>
      <c r="DA12" s="1248"/>
      <c r="DB12" s="162" t="s">
        <v>20</v>
      </c>
      <c r="DC12" s="163" t="s">
        <v>21</v>
      </c>
      <c r="DD12" s="162" t="s">
        <v>22</v>
      </c>
      <c r="DE12" s="1246"/>
      <c r="DF12" s="1246"/>
      <c r="DG12" s="162">
        <v>2018</v>
      </c>
      <c r="DH12" s="162">
        <v>2018</v>
      </c>
      <c r="DI12" s="162">
        <v>2018</v>
      </c>
      <c r="DJ12" s="162">
        <v>2018</v>
      </c>
      <c r="DK12" s="162">
        <v>2018</v>
      </c>
      <c r="DL12" s="162">
        <v>2018</v>
      </c>
      <c r="DM12" s="162">
        <v>2018</v>
      </c>
      <c r="DN12" s="162">
        <v>2019</v>
      </c>
      <c r="DO12" s="162">
        <v>2019</v>
      </c>
      <c r="DP12" s="162">
        <v>2019</v>
      </c>
      <c r="DQ12" s="162">
        <v>2019</v>
      </c>
      <c r="DR12" s="162">
        <v>2019</v>
      </c>
      <c r="DS12" s="162">
        <v>2019</v>
      </c>
      <c r="DT12" s="162">
        <v>2019</v>
      </c>
      <c r="DU12" s="162">
        <v>2019</v>
      </c>
      <c r="DV12" s="162">
        <v>2019</v>
      </c>
      <c r="DW12" s="162">
        <v>2019</v>
      </c>
      <c r="DX12" s="162">
        <v>2019</v>
      </c>
      <c r="DY12" s="1248"/>
      <c r="DZ12" s="1248"/>
    </row>
    <row r="13" spans="1:130" s="16" customFormat="1" ht="15" x14ac:dyDescent="0.2">
      <c r="A13" s="26" t="s">
        <v>65</v>
      </c>
      <c r="B13" s="26" t="s">
        <v>24</v>
      </c>
      <c r="C13" s="124"/>
      <c r="D13" s="27"/>
      <c r="E13" s="25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20"/>
      <c r="S13" s="20"/>
      <c r="T13" s="14"/>
      <c r="U13" s="14"/>
      <c r="V13" s="14"/>
      <c r="W13" s="14"/>
      <c r="X13" s="108"/>
      <c r="Y13" s="66"/>
      <c r="Z13" s="66"/>
      <c r="AA13" s="81"/>
      <c r="AB13" s="66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73"/>
      <c r="AS13" s="55"/>
      <c r="AT13" s="55"/>
      <c r="AU13" s="55"/>
      <c r="AV13" s="55"/>
      <c r="AW13" s="55"/>
      <c r="AX13" s="55"/>
      <c r="AY13" s="55"/>
      <c r="AZ13" s="66"/>
      <c r="BA13" s="81"/>
      <c r="BB13" s="66"/>
      <c r="BC13" s="65"/>
      <c r="BD13" s="6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66"/>
      <c r="BT13" s="81"/>
      <c r="BU13" s="66"/>
      <c r="BV13" s="65"/>
      <c r="BW13" s="65"/>
      <c r="BX13" s="55"/>
      <c r="BY13" s="55"/>
      <c r="BZ13" s="55"/>
      <c r="CA13" s="55"/>
      <c r="CB13" s="55"/>
      <c r="CC13" s="55"/>
      <c r="CD13" s="55"/>
      <c r="CE13" s="55"/>
      <c r="CF13" s="55"/>
      <c r="CG13" s="66"/>
      <c r="CH13" s="81"/>
      <c r="CI13" s="66"/>
      <c r="CJ13" s="65"/>
      <c r="CK13" s="65"/>
      <c r="CL13" s="55"/>
      <c r="CM13" s="55"/>
      <c r="CN13" s="55"/>
      <c r="CO13" s="55"/>
      <c r="CP13" s="55"/>
      <c r="CQ13" s="55"/>
      <c r="CR13" s="55"/>
      <c r="CS13" s="55"/>
      <c r="CT13" s="55"/>
      <c r="CU13" s="968"/>
      <c r="CV13" s="505"/>
      <c r="CW13" s="505"/>
      <c r="CX13" s="505"/>
      <c r="CY13" s="505"/>
      <c r="CZ13" s="505"/>
      <c r="DA13" s="516"/>
      <c r="DB13" s="516"/>
      <c r="DC13" s="516"/>
      <c r="DD13" s="516"/>
      <c r="DE13" s="516"/>
      <c r="DF13" s="516"/>
      <c r="DG13" s="516"/>
      <c r="DH13" s="516"/>
      <c r="DI13" s="516"/>
      <c r="DJ13" s="516"/>
      <c r="DK13" s="516"/>
      <c r="DL13" s="516"/>
      <c r="DM13" s="516"/>
      <c r="DN13" s="516"/>
      <c r="DO13" s="516"/>
      <c r="DP13" s="516"/>
      <c r="DQ13" s="516"/>
      <c r="DR13" s="516"/>
      <c r="DS13" s="516"/>
      <c r="DT13" s="516"/>
      <c r="DU13" s="516"/>
      <c r="DV13" s="516"/>
      <c r="DW13" s="516"/>
      <c r="DX13" s="516"/>
      <c r="DY13" s="516"/>
      <c r="DZ13" s="516"/>
    </row>
    <row r="14" spans="1:130" s="16" customFormat="1" ht="15" x14ac:dyDescent="0.2">
      <c r="A14" s="26" t="s">
        <v>66</v>
      </c>
      <c r="B14" s="34"/>
      <c r="C14" s="45"/>
      <c r="D14" s="4"/>
      <c r="E14" s="25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20"/>
      <c r="S14" s="20"/>
      <c r="T14" s="14"/>
      <c r="U14" s="14"/>
      <c r="V14" s="14"/>
      <c r="W14" s="14"/>
      <c r="X14" s="108"/>
      <c r="Y14" s="66"/>
      <c r="Z14" s="66"/>
      <c r="AA14" s="112"/>
      <c r="AB14" s="66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73"/>
      <c r="AS14" s="55"/>
      <c r="AT14" s="55"/>
      <c r="AU14" s="55"/>
      <c r="AV14" s="55"/>
      <c r="AW14" s="55"/>
      <c r="AX14" s="55"/>
      <c r="AY14" s="55"/>
      <c r="AZ14" s="66"/>
      <c r="BA14" s="112"/>
      <c r="BB14" s="66"/>
      <c r="BC14" s="65"/>
      <c r="BD14" s="6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66"/>
      <c r="BT14" s="112"/>
      <c r="BU14" s="66"/>
      <c r="BV14" s="65"/>
      <c r="BW14" s="65"/>
      <c r="BX14" s="55"/>
      <c r="BY14" s="55"/>
      <c r="BZ14" s="55"/>
      <c r="CA14" s="55"/>
      <c r="CB14" s="55"/>
      <c r="CC14" s="55"/>
      <c r="CD14" s="55"/>
      <c r="CE14" s="55"/>
      <c r="CF14" s="55"/>
      <c r="CG14" s="66"/>
      <c r="CH14" s="112"/>
      <c r="CI14" s="66"/>
      <c r="CJ14" s="65"/>
      <c r="CK14" s="65"/>
      <c r="CL14" s="55"/>
      <c r="CM14" s="55"/>
      <c r="CN14" s="55"/>
      <c r="CO14" s="55"/>
      <c r="CP14" s="55"/>
      <c r="CQ14" s="55"/>
      <c r="CR14" s="55"/>
      <c r="CS14" s="55"/>
      <c r="CT14" s="55"/>
      <c r="CU14" s="968"/>
      <c r="CV14" s="968"/>
      <c r="CW14" s="968"/>
      <c r="CX14" s="968"/>
      <c r="CY14" s="968"/>
      <c r="CZ14" s="505"/>
      <c r="DA14" s="516"/>
      <c r="DB14" s="516"/>
      <c r="DC14" s="516"/>
      <c r="DD14" s="516"/>
      <c r="DE14" s="516"/>
      <c r="DF14" s="516"/>
      <c r="DG14" s="516"/>
      <c r="DH14" s="516"/>
      <c r="DI14" s="516"/>
      <c r="DJ14" s="516"/>
      <c r="DK14" s="516"/>
      <c r="DL14" s="516"/>
      <c r="DM14" s="516"/>
      <c r="DN14" s="516"/>
      <c r="DO14" s="516"/>
      <c r="DP14" s="516"/>
      <c r="DQ14" s="516"/>
      <c r="DR14" s="516"/>
      <c r="DS14" s="516"/>
      <c r="DT14" s="516"/>
      <c r="DU14" s="516"/>
      <c r="DV14" s="516"/>
      <c r="DW14" s="516"/>
      <c r="DX14" s="516"/>
      <c r="DY14" s="516"/>
      <c r="DZ14" s="516"/>
    </row>
    <row r="15" spans="1:130" s="35" customFormat="1" ht="15" x14ac:dyDescent="0.2">
      <c r="A15" s="119" t="s">
        <v>194</v>
      </c>
      <c r="B15" s="100" t="s">
        <v>54</v>
      </c>
      <c r="C15" s="100" t="s">
        <v>346</v>
      </c>
      <c r="D15" s="8">
        <v>3</v>
      </c>
      <c r="E15" s="127">
        <v>0.33329999999999999</v>
      </c>
      <c r="F15" s="119">
        <v>43281</v>
      </c>
      <c r="G15" s="8">
        <v>36</v>
      </c>
      <c r="H15" s="146">
        <f>100/G15</f>
        <v>2.7777777777777777</v>
      </c>
      <c r="I15" s="1167">
        <f>H15*J15</f>
        <v>186.11111111111111</v>
      </c>
      <c r="J15" s="125">
        <f>(YEAR(F15)-YEAR(S15))*12+MONTH(F15)-MONTH(S15)</f>
        <v>67</v>
      </c>
      <c r="K15" s="1167">
        <f>L15*H15</f>
        <v>-86.111111111111114</v>
      </c>
      <c r="L15" s="125">
        <f>G15-J15</f>
        <v>-31</v>
      </c>
      <c r="M15" s="1167">
        <f>N15*H15</f>
        <v>19.444444444444443</v>
      </c>
      <c r="N15" s="125">
        <v>7</v>
      </c>
      <c r="O15" s="1167">
        <f>P15*H15</f>
        <v>-105.55555555555556</v>
      </c>
      <c r="P15" s="125">
        <f>L15-N15</f>
        <v>-38</v>
      </c>
      <c r="Q15" s="367">
        <f>DATE(YEAR(S15),MONTH(S15)+G15,DAY(S15))</f>
        <v>42309</v>
      </c>
      <c r="R15" s="119" t="s">
        <v>445</v>
      </c>
      <c r="S15" s="128">
        <v>41214</v>
      </c>
      <c r="T15" s="7">
        <v>799</v>
      </c>
      <c r="U15" s="1081"/>
      <c r="V15" s="134">
        <v>133.26</v>
      </c>
      <c r="W15" s="134">
        <v>22.19</v>
      </c>
      <c r="X15" s="7">
        <f>W15*5</f>
        <v>110.95</v>
      </c>
      <c r="Y15" s="1167">
        <v>0</v>
      </c>
      <c r="Z15" s="64">
        <v>115.958</v>
      </c>
      <c r="AA15" s="82">
        <v>107</v>
      </c>
      <c r="AB15" s="64">
        <f>Z15/AA15</f>
        <v>1.0837196261682243</v>
      </c>
      <c r="AC15" s="62">
        <f>V15*M15/100/K15*100/7</f>
        <v>-4.2987096774193541</v>
      </c>
      <c r="AD15" s="62">
        <f>AC15*AB15</f>
        <v>-4.6585960446186299</v>
      </c>
      <c r="AE15" s="62"/>
      <c r="AF15" s="62"/>
      <c r="AG15" s="62"/>
      <c r="AH15" s="62"/>
      <c r="AI15" s="62"/>
      <c r="AJ15" s="62">
        <f>AD15</f>
        <v>-4.6585960446186299</v>
      </c>
      <c r="AK15" s="62">
        <v>28.883295476635507</v>
      </c>
      <c r="AL15" s="62">
        <v>28.883295476635507</v>
      </c>
      <c r="AM15" s="62">
        <v>28.883295476635507</v>
      </c>
      <c r="AN15" s="62">
        <v>16.73</v>
      </c>
      <c r="AO15" s="62">
        <v>0</v>
      </c>
      <c r="AP15" s="62">
        <v>0</v>
      </c>
      <c r="AQ15" s="62">
        <f>SUM(AE15:AP15)</f>
        <v>98.721290385287901</v>
      </c>
      <c r="AR15" s="1169">
        <f>V15-AQ15</f>
        <v>34.53870961471209</v>
      </c>
      <c r="AS15" s="62"/>
      <c r="AT15" s="62"/>
      <c r="AU15" s="62"/>
      <c r="AV15" s="62"/>
      <c r="AW15" s="62"/>
      <c r="AX15" s="62"/>
      <c r="AY15" s="62"/>
      <c r="AZ15" s="64">
        <v>118.901</v>
      </c>
      <c r="BA15" s="82">
        <v>107</v>
      </c>
      <c r="BB15" s="64">
        <f>AZ15/BA15</f>
        <v>1.1112242990654204</v>
      </c>
      <c r="BC15" s="62">
        <f>AV15*AM15/100/AK15*100/7</f>
        <v>0</v>
      </c>
      <c r="BD15" s="62">
        <f>BC15*BB15</f>
        <v>0</v>
      </c>
      <c r="BE15" s="62"/>
      <c r="BF15" s="62"/>
      <c r="BG15" s="62"/>
      <c r="BH15" s="62"/>
      <c r="BI15" s="62"/>
      <c r="BJ15" s="62"/>
      <c r="BK15" s="62"/>
      <c r="BL15" s="62">
        <f>SUM((AU15:AY15),(BE15:BK15))</f>
        <v>0</v>
      </c>
      <c r="BM15" s="927">
        <f>(AR15-BL15)</f>
        <v>34.53870961471209</v>
      </c>
      <c r="BN15" s="62"/>
      <c r="BO15" s="62"/>
      <c r="BP15" s="62"/>
      <c r="BQ15" s="62"/>
      <c r="BR15" s="62"/>
      <c r="BS15" s="64">
        <v>118.901</v>
      </c>
      <c r="BT15" s="82">
        <v>107</v>
      </c>
      <c r="BU15" s="64">
        <f>BS15/BT15</f>
        <v>1.1112242990654204</v>
      </c>
      <c r="BV15" s="62"/>
      <c r="BW15" s="62"/>
      <c r="BX15" s="62"/>
      <c r="BY15" s="62"/>
      <c r="BZ15" s="62"/>
      <c r="CA15" s="62"/>
      <c r="CB15" s="62"/>
      <c r="CC15" s="62"/>
      <c r="CD15" s="62"/>
      <c r="CE15" s="62">
        <f>SUM((BN15:BR15),(BX15:CD15))</f>
        <v>0</v>
      </c>
      <c r="CF15" s="927">
        <v>1</v>
      </c>
      <c r="CG15" s="64"/>
      <c r="CH15" s="82">
        <v>107</v>
      </c>
      <c r="CI15" s="64">
        <f>CG15/CH15</f>
        <v>0</v>
      </c>
      <c r="CJ15" s="62">
        <v>0</v>
      </c>
      <c r="CK15" s="62">
        <f>CJ15*CI15</f>
        <v>0</v>
      </c>
      <c r="CL15" s="62">
        <v>0</v>
      </c>
      <c r="CM15" s="62">
        <v>0</v>
      </c>
      <c r="CN15" s="62"/>
      <c r="CO15" s="62"/>
      <c r="CP15" s="62"/>
      <c r="CQ15" s="62"/>
      <c r="CR15" s="62"/>
      <c r="CS15" s="62">
        <v>0</v>
      </c>
      <c r="CT15" s="927">
        <f>CF15-CS15</f>
        <v>1</v>
      </c>
      <c r="CU15" s="62"/>
      <c r="CV15" s="62"/>
      <c r="CW15" s="62"/>
      <c r="CX15" s="62"/>
      <c r="CY15" s="62"/>
      <c r="CZ15" s="1170">
        <f>SUM(CU15:CY15)</f>
        <v>0</v>
      </c>
      <c r="DA15" s="1085">
        <f>CT15-CZ15</f>
        <v>1</v>
      </c>
      <c r="DB15" s="1195">
        <v>132.28200000000001</v>
      </c>
      <c r="DC15" s="690">
        <v>107</v>
      </c>
      <c r="DD15" s="1196">
        <f>DB15/DC15</f>
        <v>1.2362803738317758</v>
      </c>
      <c r="DE15" s="538">
        <v>0</v>
      </c>
      <c r="DF15" s="538">
        <f>DE15*DD15</f>
        <v>0</v>
      </c>
      <c r="DG15" s="538">
        <v>0</v>
      </c>
      <c r="DH15" s="538">
        <v>0</v>
      </c>
      <c r="DI15" s="538">
        <v>0</v>
      </c>
      <c r="DJ15" s="538">
        <v>0</v>
      </c>
      <c r="DK15" s="538">
        <v>0</v>
      </c>
      <c r="DL15" s="538">
        <v>0</v>
      </c>
      <c r="DM15" s="538">
        <v>0</v>
      </c>
      <c r="DN15" s="538">
        <v>0</v>
      </c>
      <c r="DO15" s="538">
        <v>0</v>
      </c>
      <c r="DP15" s="538">
        <v>0</v>
      </c>
      <c r="DQ15" s="538">
        <v>0</v>
      </c>
      <c r="DR15" s="538">
        <v>0</v>
      </c>
      <c r="DS15" s="538">
        <v>0</v>
      </c>
      <c r="DT15" s="538">
        <v>0</v>
      </c>
      <c r="DU15" s="538">
        <v>0</v>
      </c>
      <c r="DV15" s="538">
        <v>0</v>
      </c>
      <c r="DW15" s="538">
        <v>0</v>
      </c>
      <c r="DX15" s="538">
        <v>0</v>
      </c>
      <c r="DY15" s="538">
        <f>SUM(DG15:DM15)</f>
        <v>0</v>
      </c>
      <c r="DZ15" s="1088">
        <f>DA15-DY15</f>
        <v>1</v>
      </c>
    </row>
    <row r="16" spans="1:130" s="35" customFormat="1" ht="15" x14ac:dyDescent="0.2">
      <c r="A16" s="119" t="s">
        <v>194</v>
      </c>
      <c r="B16" s="100" t="s">
        <v>195</v>
      </c>
      <c r="C16" s="100" t="s">
        <v>346</v>
      </c>
      <c r="D16" s="8">
        <v>3</v>
      </c>
      <c r="E16" s="127">
        <v>0.33329999999999999</v>
      </c>
      <c r="F16" s="119">
        <v>43281</v>
      </c>
      <c r="G16" s="8">
        <v>36</v>
      </c>
      <c r="H16" s="146">
        <f>100/G16</f>
        <v>2.7777777777777777</v>
      </c>
      <c r="I16" s="1167">
        <f>H16*J16</f>
        <v>186.11111111111111</v>
      </c>
      <c r="J16" s="125">
        <f>(YEAR(F16)-YEAR(S16))*12+MONTH(F16)-MONTH(S16)</f>
        <v>67</v>
      </c>
      <c r="K16" s="1167">
        <f>L16*H16</f>
        <v>-86.111111111111114</v>
      </c>
      <c r="L16" s="125">
        <f>G16-J16</f>
        <v>-31</v>
      </c>
      <c r="M16" s="1167">
        <f>N16*H16</f>
        <v>19.444444444444443</v>
      </c>
      <c r="N16" s="125">
        <v>7</v>
      </c>
      <c r="O16" s="1167">
        <f>P16*H16</f>
        <v>-105.55555555555556</v>
      </c>
      <c r="P16" s="125">
        <f>L16-N16</f>
        <v>-38</v>
      </c>
      <c r="Q16" s="367">
        <f>DATE(YEAR(S16),MONTH(S16)+G16,DAY(S16))</f>
        <v>42309</v>
      </c>
      <c r="R16" s="119" t="s">
        <v>445</v>
      </c>
      <c r="S16" s="128">
        <v>41214</v>
      </c>
      <c r="T16" s="7">
        <v>105</v>
      </c>
      <c r="U16" s="1081"/>
      <c r="V16" s="134">
        <v>17.47</v>
      </c>
      <c r="W16" s="134">
        <v>2.92</v>
      </c>
      <c r="X16" s="7">
        <f>W16*5</f>
        <v>14.6</v>
      </c>
      <c r="Y16" s="1167">
        <v>0</v>
      </c>
      <c r="Z16" s="64">
        <v>115.958</v>
      </c>
      <c r="AA16" s="82">
        <v>107</v>
      </c>
      <c r="AB16" s="64">
        <f>Z16/AA16</f>
        <v>1.0837196261682243</v>
      </c>
      <c r="AC16" s="62">
        <f>V16*M16/100/K16*100/7</f>
        <v>-0.56354838709677413</v>
      </c>
      <c r="AD16" s="62">
        <f>AC16*AB16</f>
        <v>-0.61072844739222176</v>
      </c>
      <c r="AE16" s="62"/>
      <c r="AF16" s="62"/>
      <c r="AG16" s="62"/>
      <c r="AH16" s="62"/>
      <c r="AI16" s="62"/>
      <c r="AJ16" s="62">
        <f>AD16</f>
        <v>-0.61072844739222176</v>
      </c>
      <c r="AK16" s="62">
        <v>3.7865163738317746</v>
      </c>
      <c r="AL16" s="62">
        <v>3.7865163738317746</v>
      </c>
      <c r="AM16" s="62">
        <v>3.7865163738317746</v>
      </c>
      <c r="AN16" s="62">
        <v>1.32</v>
      </c>
      <c r="AO16" s="62">
        <v>0</v>
      </c>
      <c r="AP16" s="62">
        <v>0</v>
      </c>
      <c r="AQ16" s="62">
        <f>SUM(AE16:AP16)</f>
        <v>12.068820674103103</v>
      </c>
      <c r="AR16" s="1169">
        <f>V16-AQ16</f>
        <v>5.4011793258968961</v>
      </c>
      <c r="AS16" s="62"/>
      <c r="AT16" s="62"/>
      <c r="AU16" s="62"/>
      <c r="AV16" s="62"/>
      <c r="AW16" s="62"/>
      <c r="AX16" s="62"/>
      <c r="AY16" s="62"/>
      <c r="AZ16" s="64">
        <v>118.901</v>
      </c>
      <c r="BA16" s="82">
        <v>107</v>
      </c>
      <c r="BB16" s="64">
        <f>AZ16/BA16</f>
        <v>1.1112242990654204</v>
      </c>
      <c r="BC16" s="62">
        <f>AV16*AM16/100/AK16*100/7</f>
        <v>0</v>
      </c>
      <c r="BD16" s="62">
        <f>BC16*BB16</f>
        <v>0</v>
      </c>
      <c r="BE16" s="62"/>
      <c r="BF16" s="62"/>
      <c r="BG16" s="62"/>
      <c r="BH16" s="62"/>
      <c r="BI16" s="62"/>
      <c r="BJ16" s="62"/>
      <c r="BK16" s="62"/>
      <c r="BL16" s="62">
        <f>SUM((AU16:AY16),(BE16:BK16))</f>
        <v>0</v>
      </c>
      <c r="BM16" s="927">
        <f>(AR16-BL16)</f>
        <v>5.4011793258968961</v>
      </c>
      <c r="BN16" s="62"/>
      <c r="BO16" s="62"/>
      <c r="BP16" s="62"/>
      <c r="BQ16" s="62"/>
      <c r="BR16" s="62"/>
      <c r="BS16" s="64">
        <v>118.901</v>
      </c>
      <c r="BT16" s="82">
        <v>107</v>
      </c>
      <c r="BU16" s="64">
        <f>BS16/BT16</f>
        <v>1.1112242990654204</v>
      </c>
      <c r="BV16" s="62"/>
      <c r="BW16" s="62"/>
      <c r="BX16" s="62"/>
      <c r="BY16" s="62"/>
      <c r="BZ16" s="62"/>
      <c r="CA16" s="62"/>
      <c r="CB16" s="62"/>
      <c r="CC16" s="62"/>
      <c r="CD16" s="62"/>
      <c r="CE16" s="62">
        <f>SUM((BN16:BR16),(BX16:CD16))</f>
        <v>0</v>
      </c>
      <c r="CF16" s="927">
        <v>1</v>
      </c>
      <c r="CG16" s="64"/>
      <c r="CH16" s="82">
        <v>107</v>
      </c>
      <c r="CI16" s="64">
        <f>CG16/CH16</f>
        <v>0</v>
      </c>
      <c r="CJ16" s="62">
        <v>0</v>
      </c>
      <c r="CK16" s="62">
        <f>CJ16*CI16</f>
        <v>0</v>
      </c>
      <c r="CL16" s="62">
        <v>0</v>
      </c>
      <c r="CM16" s="62">
        <v>0</v>
      </c>
      <c r="CN16" s="62"/>
      <c r="CO16" s="62"/>
      <c r="CP16" s="62"/>
      <c r="CQ16" s="62"/>
      <c r="CR16" s="62"/>
      <c r="CS16" s="62">
        <v>0</v>
      </c>
      <c r="CT16" s="927">
        <f>CF16-CS16</f>
        <v>1</v>
      </c>
      <c r="CU16" s="62"/>
      <c r="CV16" s="62"/>
      <c r="CW16" s="62"/>
      <c r="CX16" s="62"/>
      <c r="CY16" s="62"/>
      <c r="CZ16" s="1170">
        <f>SUM(CU16:CY16)</f>
        <v>0</v>
      </c>
      <c r="DA16" s="1085">
        <f>CT16-CZ16</f>
        <v>1</v>
      </c>
      <c r="DB16" s="1195">
        <v>132.28200000000001</v>
      </c>
      <c r="DC16" s="690">
        <v>107</v>
      </c>
      <c r="DD16" s="1196"/>
      <c r="DE16" s="538"/>
      <c r="DF16" s="538">
        <f>DE16*DD16</f>
        <v>0</v>
      </c>
      <c r="DG16" s="538">
        <v>0</v>
      </c>
      <c r="DH16" s="538">
        <v>0</v>
      </c>
      <c r="DI16" s="538">
        <v>0</v>
      </c>
      <c r="DJ16" s="538">
        <v>0</v>
      </c>
      <c r="DK16" s="538">
        <v>0</v>
      </c>
      <c r="DL16" s="538">
        <v>0</v>
      </c>
      <c r="DM16" s="538">
        <v>0</v>
      </c>
      <c r="DN16" s="538">
        <v>0</v>
      </c>
      <c r="DO16" s="538">
        <v>0</v>
      </c>
      <c r="DP16" s="538">
        <v>0</v>
      </c>
      <c r="DQ16" s="538">
        <v>0</v>
      </c>
      <c r="DR16" s="538">
        <v>0</v>
      </c>
      <c r="DS16" s="538">
        <v>0</v>
      </c>
      <c r="DT16" s="538">
        <v>0</v>
      </c>
      <c r="DU16" s="538">
        <v>0</v>
      </c>
      <c r="DV16" s="538">
        <v>0</v>
      </c>
      <c r="DW16" s="538">
        <v>0</v>
      </c>
      <c r="DX16" s="538">
        <v>0</v>
      </c>
      <c r="DY16" s="538">
        <f>SUM(DG16:DM16)</f>
        <v>0</v>
      </c>
      <c r="DZ16" s="1088">
        <f>DA16-DY16</f>
        <v>1</v>
      </c>
    </row>
    <row r="17" spans="1:130" s="16" customFormat="1" ht="15" x14ac:dyDescent="0.2">
      <c r="A17" s="26" t="s">
        <v>65</v>
      </c>
      <c r="B17" s="26" t="s">
        <v>89</v>
      </c>
      <c r="C17" s="45"/>
      <c r="D17" s="58"/>
      <c r="E17" s="30"/>
      <c r="F17" s="46"/>
      <c r="G17" s="58"/>
      <c r="H17" s="145"/>
      <c r="I17" s="165"/>
      <c r="J17" s="48"/>
      <c r="K17" s="165"/>
      <c r="L17" s="48"/>
      <c r="M17" s="165"/>
      <c r="N17" s="48"/>
      <c r="O17" s="165"/>
      <c r="P17" s="48"/>
      <c r="Q17" s="48"/>
      <c r="R17" s="119"/>
      <c r="S17" s="33"/>
      <c r="T17" s="5"/>
      <c r="U17" s="151"/>
      <c r="V17" s="47"/>
      <c r="W17" s="47"/>
      <c r="X17" s="106"/>
      <c r="Y17" s="66"/>
      <c r="Z17" s="57"/>
      <c r="AA17" s="80"/>
      <c r="AB17" s="57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72"/>
      <c r="AS17" s="55"/>
      <c r="AT17" s="55"/>
      <c r="AU17" s="55"/>
      <c r="AV17" s="55"/>
      <c r="AW17" s="55"/>
      <c r="AX17" s="55"/>
      <c r="AY17" s="55"/>
      <c r="AZ17" s="57"/>
      <c r="BA17" s="80"/>
      <c r="BB17" s="57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448"/>
      <c r="BN17" s="55"/>
      <c r="BO17" s="55"/>
      <c r="BP17" s="55"/>
      <c r="BQ17" s="55"/>
      <c r="BR17" s="55"/>
      <c r="BS17" s="57"/>
      <c r="BT17" s="80"/>
      <c r="BU17" s="57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448"/>
      <c r="CG17" s="57"/>
      <c r="CH17" s="80"/>
      <c r="CI17" s="57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448"/>
      <c r="CU17" s="55"/>
      <c r="CV17" s="55"/>
      <c r="CW17" s="55"/>
      <c r="CX17" s="55"/>
      <c r="CY17" s="55"/>
      <c r="CZ17" s="505"/>
      <c r="DA17" s="1085"/>
      <c r="DB17" s="520"/>
      <c r="DC17" s="515"/>
      <c r="DD17" s="1087"/>
      <c r="DE17" s="516"/>
      <c r="DF17" s="516"/>
      <c r="DG17" s="516"/>
      <c r="DH17" s="516"/>
      <c r="DI17" s="516"/>
      <c r="DJ17" s="516"/>
      <c r="DK17" s="516"/>
      <c r="DL17" s="516"/>
      <c r="DM17" s="516"/>
      <c r="DN17" s="516"/>
      <c r="DO17" s="516"/>
      <c r="DP17" s="516"/>
      <c r="DQ17" s="516"/>
      <c r="DR17" s="516"/>
      <c r="DS17" s="516"/>
      <c r="DT17" s="516"/>
      <c r="DU17" s="516"/>
      <c r="DV17" s="516"/>
      <c r="DW17" s="516"/>
      <c r="DX17" s="516"/>
      <c r="DY17" s="516"/>
      <c r="DZ17" s="516"/>
    </row>
    <row r="18" spans="1:130" s="16" customFormat="1" ht="15" x14ac:dyDescent="0.2">
      <c r="A18" s="26" t="s">
        <v>82</v>
      </c>
      <c r="B18" s="9"/>
      <c r="C18" s="45"/>
      <c r="D18" s="58"/>
      <c r="E18" s="30"/>
      <c r="F18" s="46"/>
      <c r="G18" s="58"/>
      <c r="H18" s="145"/>
      <c r="I18" s="165"/>
      <c r="J18" s="48"/>
      <c r="K18" s="165"/>
      <c r="L18" s="48"/>
      <c r="M18" s="165"/>
      <c r="N18" s="48"/>
      <c r="O18" s="165"/>
      <c r="P18" s="48"/>
      <c r="Q18" s="48"/>
      <c r="R18" s="46"/>
      <c r="S18" s="33"/>
      <c r="T18" s="5"/>
      <c r="U18" s="151"/>
      <c r="V18" s="47"/>
      <c r="W18" s="47"/>
      <c r="X18" s="106"/>
      <c r="Y18" s="165"/>
      <c r="Z18" s="57"/>
      <c r="AA18" s="80"/>
      <c r="AB18" s="57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72"/>
      <c r="AS18" s="55"/>
      <c r="AT18" s="55"/>
      <c r="AU18" s="55"/>
      <c r="AV18" s="55"/>
      <c r="AW18" s="55"/>
      <c r="AX18" s="55"/>
      <c r="AY18" s="55"/>
      <c r="AZ18" s="57"/>
      <c r="BA18" s="80"/>
      <c r="BB18" s="57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448"/>
      <c r="BN18" s="55"/>
      <c r="BO18" s="55"/>
      <c r="BP18" s="55"/>
      <c r="BQ18" s="55"/>
      <c r="BR18" s="55"/>
      <c r="BS18" s="57"/>
      <c r="BT18" s="80"/>
      <c r="BU18" s="57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448"/>
      <c r="CG18" s="57"/>
      <c r="CH18" s="80"/>
      <c r="CI18" s="57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448"/>
      <c r="CU18" s="55"/>
      <c r="CV18" s="55"/>
      <c r="CW18" s="55"/>
      <c r="CX18" s="55"/>
      <c r="CY18" s="55"/>
      <c r="CZ18" s="505"/>
      <c r="DA18" s="1085"/>
      <c r="DB18" s="514"/>
      <c r="DC18" s="515"/>
      <c r="DD18" s="1087"/>
      <c r="DE18" s="516"/>
      <c r="DF18" s="516"/>
      <c r="DG18" s="516"/>
      <c r="DH18" s="516"/>
      <c r="DI18" s="516"/>
      <c r="DJ18" s="516"/>
      <c r="DK18" s="516"/>
      <c r="DL18" s="516"/>
      <c r="DM18" s="516"/>
      <c r="DN18" s="516"/>
      <c r="DO18" s="516"/>
      <c r="DP18" s="516"/>
      <c r="DQ18" s="516"/>
      <c r="DR18" s="516"/>
      <c r="DS18" s="516"/>
      <c r="DT18" s="516"/>
      <c r="DU18" s="516"/>
      <c r="DV18" s="516"/>
      <c r="DW18" s="516"/>
      <c r="DX18" s="516"/>
      <c r="DY18" s="516"/>
      <c r="DZ18" s="516"/>
    </row>
    <row r="19" spans="1:130" s="16" customFormat="1" ht="15" x14ac:dyDescent="0.2">
      <c r="A19" s="20" t="s">
        <v>196</v>
      </c>
      <c r="B19" s="9" t="s">
        <v>197</v>
      </c>
      <c r="C19" s="45" t="s">
        <v>346</v>
      </c>
      <c r="D19" s="58">
        <v>10</v>
      </c>
      <c r="E19" s="25">
        <v>0.1</v>
      </c>
      <c r="F19" s="46">
        <v>43281</v>
      </c>
      <c r="G19" s="58">
        <v>120</v>
      </c>
      <c r="H19" s="145">
        <f>100/G19</f>
        <v>0.83333333333333337</v>
      </c>
      <c r="I19" s="165">
        <f>H19*J19</f>
        <v>55.833333333333336</v>
      </c>
      <c r="J19" s="48">
        <f>(YEAR(F19)-YEAR(S19))*12+MONTH(F19)-MONTH(S19)</f>
        <v>67</v>
      </c>
      <c r="K19" s="165">
        <f>L19*H19</f>
        <v>44.166666666666671</v>
      </c>
      <c r="L19" s="48">
        <f>G19-J19</f>
        <v>53</v>
      </c>
      <c r="M19" s="165">
        <f>N19*H19</f>
        <v>5.8333333333333339</v>
      </c>
      <c r="N19" s="48">
        <v>7</v>
      </c>
      <c r="O19" s="165">
        <f>K19-M19</f>
        <v>38.333333333333336</v>
      </c>
      <c r="P19" s="48">
        <f>L19-N19</f>
        <v>46</v>
      </c>
      <c r="Q19" s="462">
        <f>DATE(YEAR(S19),MONTH(S19)+G19,DAY(S19))</f>
        <v>44887</v>
      </c>
      <c r="R19" s="46" t="s">
        <v>445</v>
      </c>
      <c r="S19" s="33">
        <v>41235</v>
      </c>
      <c r="T19" s="5">
        <v>2199</v>
      </c>
      <c r="U19" s="151"/>
      <c r="V19" s="47">
        <v>1649.2</v>
      </c>
      <c r="W19" s="47">
        <v>18.329999999999998</v>
      </c>
      <c r="X19" s="106">
        <f>W19*5</f>
        <v>91.649999999999991</v>
      </c>
      <c r="Y19" s="165">
        <v>0</v>
      </c>
      <c r="Z19" s="57">
        <v>115.958</v>
      </c>
      <c r="AA19" s="80">
        <v>107</v>
      </c>
      <c r="AB19" s="57">
        <f>Z19/AA19</f>
        <v>1.0837196261682243</v>
      </c>
      <c r="AC19" s="55">
        <f>V19*M19/100/K19*100/7</f>
        <v>31.116981132075466</v>
      </c>
      <c r="AD19" s="55">
        <f>AC19*AB19</f>
        <v>33.72208315993651</v>
      </c>
      <c r="AE19" s="55"/>
      <c r="AF19" s="55"/>
      <c r="AG19" s="55"/>
      <c r="AH19" s="55"/>
      <c r="AI19" s="55"/>
      <c r="AJ19" s="55">
        <f>AD19</f>
        <v>33.72208315993651</v>
      </c>
      <c r="AK19" s="55">
        <v>20.081689971647588</v>
      </c>
      <c r="AL19" s="55">
        <v>20.081689971647588</v>
      </c>
      <c r="AM19" s="55">
        <v>20.081689971647588</v>
      </c>
      <c r="AN19" s="55">
        <v>20.081689971647588</v>
      </c>
      <c r="AO19" s="55">
        <v>20.081689971647588</v>
      </c>
      <c r="AP19" s="55">
        <v>20.081689971647588</v>
      </c>
      <c r="AQ19" s="55">
        <f>SUM(AE19:AP19)</f>
        <v>154.21222298982204</v>
      </c>
      <c r="AR19" s="72">
        <f>V19-AQ19</f>
        <v>1494.987777010178</v>
      </c>
      <c r="AS19" s="55"/>
      <c r="AT19" s="55"/>
      <c r="AU19" s="55">
        <f>$AP19</f>
        <v>20.081689971647588</v>
      </c>
      <c r="AV19" s="55">
        <f>$AP19</f>
        <v>20.081689971647588</v>
      </c>
      <c r="AW19" s="55">
        <f>$AP19</f>
        <v>20.081689971647588</v>
      </c>
      <c r="AX19" s="55">
        <f>$AP19</f>
        <v>20.081689971647588</v>
      </c>
      <c r="AY19" s="55">
        <f>$AP19</f>
        <v>20.081689971647588</v>
      </c>
      <c r="AZ19" s="57">
        <v>118.901</v>
      </c>
      <c r="BA19" s="80">
        <v>107</v>
      </c>
      <c r="BB19" s="57">
        <f>AZ19/BA19</f>
        <v>1.1112242990654204</v>
      </c>
      <c r="BC19" s="55">
        <f>T19/(D19*12)</f>
        <v>18.324999999999999</v>
      </c>
      <c r="BD19" s="55">
        <f>BC19*BB19</f>
        <v>20.363185280373827</v>
      </c>
      <c r="BE19" s="55">
        <f>$BD19</f>
        <v>20.363185280373827</v>
      </c>
      <c r="BF19" s="55">
        <f>$BD19</f>
        <v>20.363185280373827</v>
      </c>
      <c r="BG19" s="55">
        <f>$BD19</f>
        <v>20.363185280373827</v>
      </c>
      <c r="BH19" s="55">
        <f>$BD19</f>
        <v>20.363185280373827</v>
      </c>
      <c r="BI19" s="55">
        <v>20.36</v>
      </c>
      <c r="BJ19" s="55">
        <v>20.36</v>
      </c>
      <c r="BK19" s="55">
        <v>20.36</v>
      </c>
      <c r="BL19" s="55">
        <f>SUM((AU19:AY19),(BE19:BK19))</f>
        <v>242.94119097973334</v>
      </c>
      <c r="BM19" s="448">
        <f>(AR19-BL19)</f>
        <v>1252.0465860304446</v>
      </c>
      <c r="BN19" s="55">
        <v>20.36</v>
      </c>
      <c r="BO19" s="55">
        <v>20.36</v>
      </c>
      <c r="BP19" s="55">
        <v>20.36</v>
      </c>
      <c r="BQ19" s="55">
        <v>20.36</v>
      </c>
      <c r="BR19" s="55">
        <v>20.36</v>
      </c>
      <c r="BS19" s="57">
        <v>118.901</v>
      </c>
      <c r="BT19" s="80">
        <v>107</v>
      </c>
      <c r="BU19" s="57">
        <f>BS19/BT19</f>
        <v>1.1112242990654204</v>
      </c>
      <c r="BV19" s="55"/>
      <c r="BW19" s="55"/>
      <c r="BX19" s="55"/>
      <c r="BY19" s="55"/>
      <c r="BZ19" s="55"/>
      <c r="CA19" s="55"/>
      <c r="CB19" s="55"/>
      <c r="CC19" s="55"/>
      <c r="CD19" s="55"/>
      <c r="CE19" s="55">
        <f>SUM((BN19:BR19),(BX19:CD19))</f>
        <v>101.8</v>
      </c>
      <c r="CF19" s="448">
        <f>BM19-CE19</f>
        <v>1150.2465860304446</v>
      </c>
      <c r="CG19" s="57">
        <v>126.408</v>
      </c>
      <c r="CH19" s="80">
        <v>107</v>
      </c>
      <c r="CI19" s="57">
        <f>CG19/CH19</f>
        <v>1.1813831775700934</v>
      </c>
      <c r="CJ19" s="55">
        <f>CF19/L19</f>
        <v>21.702765774159332</v>
      </c>
      <c r="CK19" s="55">
        <f>CJ19*CI19</f>
        <v>25.639282392335819</v>
      </c>
      <c r="CL19" s="55">
        <v>21.01902775448287</v>
      </c>
      <c r="CM19" s="55">
        <v>21.01902775448287</v>
      </c>
      <c r="CN19" s="55">
        <v>21.01902775448287</v>
      </c>
      <c r="CO19" s="55">
        <v>21.01902775448287</v>
      </c>
      <c r="CP19" s="55">
        <v>21.01902775448287</v>
      </c>
      <c r="CQ19" s="55">
        <v>21.01902775448287</v>
      </c>
      <c r="CR19" s="55">
        <v>21.01902775448287</v>
      </c>
      <c r="CS19" s="55">
        <f>SUM(CL19:CR19)</f>
        <v>147.13319428138007</v>
      </c>
      <c r="CT19" s="448">
        <f>CF19-CS19</f>
        <v>1003.1133917490646</v>
      </c>
      <c r="CU19" s="55">
        <v>21.01902775448287</v>
      </c>
      <c r="CV19" s="55">
        <v>21.01902775448287</v>
      </c>
      <c r="CW19" s="55">
        <v>21.01902775448287</v>
      </c>
      <c r="CX19" s="55">
        <v>21.01902775448287</v>
      </c>
      <c r="CY19" s="55">
        <v>21.01902775448287</v>
      </c>
      <c r="CZ19" s="505">
        <f>SUM(CU19:CY19)</f>
        <v>105.09513877241434</v>
      </c>
      <c r="DA19" s="1085">
        <f>CT19-CZ19</f>
        <v>898.01825297665027</v>
      </c>
      <c r="DB19" s="1086">
        <v>132.28200000000001</v>
      </c>
      <c r="DC19" s="515">
        <v>107</v>
      </c>
      <c r="DD19" s="1087">
        <f>DB19/DC19</f>
        <v>1.2362803738317758</v>
      </c>
      <c r="DE19" s="516">
        <f>DA19/L19</f>
        <v>16.943740622200949</v>
      </c>
      <c r="DF19" s="516">
        <f>DE19*DD19</f>
        <v>20.947213990523235</v>
      </c>
      <c r="DG19" s="516">
        <v>20.947213990523235</v>
      </c>
      <c r="DH19" s="516">
        <v>20.947213990523235</v>
      </c>
      <c r="DI19" s="516">
        <v>20.947213990523235</v>
      </c>
      <c r="DJ19" s="516">
        <v>20.947213990523235</v>
      </c>
      <c r="DK19" s="516">
        <v>20.947213990523235</v>
      </c>
      <c r="DL19" s="516">
        <v>20.947213990523235</v>
      </c>
      <c r="DM19" s="516">
        <v>20.947213990523235</v>
      </c>
      <c r="DN19" s="516">
        <v>20.947213990523235</v>
      </c>
      <c r="DO19" s="516">
        <v>20.947213990523235</v>
      </c>
      <c r="DP19" s="516">
        <v>20.947213990523235</v>
      </c>
      <c r="DQ19" s="516">
        <v>20.947213990523235</v>
      </c>
      <c r="DR19" s="516">
        <v>20.947213990523235</v>
      </c>
      <c r="DS19" s="516">
        <v>20.947213990523235</v>
      </c>
      <c r="DT19" s="516">
        <v>20.947213990523235</v>
      </c>
      <c r="DU19" s="516">
        <v>20.947213990523235</v>
      </c>
      <c r="DV19" s="516">
        <v>20.947213990523235</v>
      </c>
      <c r="DW19" s="516">
        <v>20.947213990523235</v>
      </c>
      <c r="DX19" s="516">
        <v>20.947213990523235</v>
      </c>
      <c r="DY19" s="516">
        <f>SUM(DG19:DX19)</f>
        <v>377.04985182941812</v>
      </c>
      <c r="DZ19" s="1088">
        <f>DA19-DY19</f>
        <v>520.96840114723216</v>
      </c>
    </row>
    <row r="20" spans="1:130" s="16" customFormat="1" ht="15" x14ac:dyDescent="0.2">
      <c r="A20" s="26" t="s">
        <v>65</v>
      </c>
      <c r="B20" s="26" t="s">
        <v>87</v>
      </c>
      <c r="C20" s="45"/>
      <c r="D20" s="58"/>
      <c r="E20" s="30"/>
      <c r="F20" s="46"/>
      <c r="G20" s="58"/>
      <c r="H20" s="145"/>
      <c r="I20" s="165"/>
      <c r="J20" s="48"/>
      <c r="K20" s="165"/>
      <c r="L20" s="48"/>
      <c r="M20" s="165"/>
      <c r="N20" s="48"/>
      <c r="O20" s="165"/>
      <c r="P20" s="48"/>
      <c r="Q20" s="48"/>
      <c r="R20" s="46"/>
      <c r="S20" s="33"/>
      <c r="T20" s="5"/>
      <c r="U20" s="152"/>
      <c r="V20" s="47"/>
      <c r="W20" s="47"/>
      <c r="X20" s="106"/>
      <c r="Y20" s="165"/>
      <c r="Z20" s="57"/>
      <c r="AA20" s="135"/>
      <c r="AB20" s="57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72"/>
      <c r="AS20" s="55"/>
      <c r="AT20" s="55"/>
      <c r="AU20" s="55">
        <f t="shared" ref="AU20:AY28" si="0">$AP20</f>
        <v>0</v>
      </c>
      <c r="AV20" s="55">
        <f t="shared" si="0"/>
        <v>0</v>
      </c>
      <c r="AW20" s="55">
        <f t="shared" si="0"/>
        <v>0</v>
      </c>
      <c r="AX20" s="55">
        <f t="shared" si="0"/>
        <v>0</v>
      </c>
      <c r="AY20" s="55">
        <f t="shared" si="0"/>
        <v>0</v>
      </c>
      <c r="AZ20" s="57"/>
      <c r="BA20" s="135"/>
      <c r="BB20" s="57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448"/>
      <c r="BN20" s="55"/>
      <c r="BO20" s="55"/>
      <c r="BP20" s="55"/>
      <c r="BQ20" s="55"/>
      <c r="BR20" s="55"/>
      <c r="BS20" s="57"/>
      <c r="BT20" s="135"/>
      <c r="BU20" s="57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448"/>
      <c r="CG20" s="57"/>
      <c r="CH20" s="135"/>
      <c r="CI20" s="57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448"/>
      <c r="CU20" s="55"/>
      <c r="CV20" s="55"/>
      <c r="CW20" s="55"/>
      <c r="CX20" s="55"/>
      <c r="CY20" s="55"/>
      <c r="CZ20" s="505"/>
      <c r="DA20" s="1085"/>
      <c r="DB20" s="1086"/>
      <c r="DC20" s="1119"/>
      <c r="DD20" s="1087"/>
      <c r="DE20" s="516"/>
      <c r="DF20" s="516"/>
      <c r="DG20" s="516"/>
      <c r="DH20" s="516"/>
      <c r="DI20" s="516"/>
      <c r="DJ20" s="516"/>
      <c r="DK20" s="516"/>
      <c r="DL20" s="516"/>
      <c r="DM20" s="516"/>
      <c r="DN20" s="516"/>
      <c r="DO20" s="516"/>
      <c r="DP20" s="516"/>
      <c r="DQ20" s="516"/>
      <c r="DR20" s="516"/>
      <c r="DS20" s="516"/>
      <c r="DT20" s="516"/>
      <c r="DU20" s="516"/>
      <c r="DV20" s="516"/>
      <c r="DW20" s="516"/>
      <c r="DX20" s="516"/>
      <c r="DY20" s="516">
        <f t="shared" ref="DY20:DY29" si="1">SUM(DG20:DX20)</f>
        <v>0</v>
      </c>
      <c r="DZ20" s="1088"/>
    </row>
    <row r="21" spans="1:130" s="16" customFormat="1" ht="15" x14ac:dyDescent="0.2">
      <c r="A21" s="26" t="s">
        <v>83</v>
      </c>
      <c r="B21" s="9"/>
      <c r="C21" s="45"/>
      <c r="D21" s="58"/>
      <c r="E21" s="30"/>
      <c r="F21" s="46"/>
      <c r="G21" s="58"/>
      <c r="H21" s="145"/>
      <c r="I21" s="165"/>
      <c r="J21" s="48"/>
      <c r="K21" s="165"/>
      <c r="L21" s="48"/>
      <c r="M21" s="165"/>
      <c r="N21" s="48"/>
      <c r="O21" s="165"/>
      <c r="P21" s="48"/>
      <c r="Q21" s="48"/>
      <c r="R21" s="46"/>
      <c r="S21" s="33"/>
      <c r="T21" s="5"/>
      <c r="U21" s="152"/>
      <c r="V21" s="47"/>
      <c r="W21" s="47"/>
      <c r="X21" s="106"/>
      <c r="Y21" s="165"/>
      <c r="Z21" s="57"/>
      <c r="AA21" s="80"/>
      <c r="AB21" s="57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72"/>
      <c r="AS21" s="55"/>
      <c r="AT21" s="55"/>
      <c r="AU21" s="55">
        <f t="shared" si="0"/>
        <v>0</v>
      </c>
      <c r="AV21" s="55">
        <f t="shared" si="0"/>
        <v>0</v>
      </c>
      <c r="AW21" s="55">
        <f t="shared" si="0"/>
        <v>0</v>
      </c>
      <c r="AX21" s="55">
        <f t="shared" si="0"/>
        <v>0</v>
      </c>
      <c r="AY21" s="55">
        <f t="shared" si="0"/>
        <v>0</v>
      </c>
      <c r="AZ21" s="57"/>
      <c r="BA21" s="80"/>
      <c r="BB21" s="57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448"/>
      <c r="BN21" s="55"/>
      <c r="BO21" s="55"/>
      <c r="BP21" s="55"/>
      <c r="BQ21" s="55"/>
      <c r="BR21" s="55"/>
      <c r="BS21" s="57"/>
      <c r="BT21" s="80"/>
      <c r="BU21" s="57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448"/>
      <c r="CG21" s="57"/>
      <c r="CH21" s="80"/>
      <c r="CI21" s="57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448"/>
      <c r="CU21" s="55"/>
      <c r="CV21" s="55"/>
      <c r="CW21" s="55"/>
      <c r="CX21" s="55"/>
      <c r="CY21" s="55"/>
      <c r="CZ21" s="505"/>
      <c r="DA21" s="1085"/>
      <c r="DB21" s="516"/>
      <c r="DC21" s="515"/>
      <c r="DD21" s="1087"/>
      <c r="DE21" s="516"/>
      <c r="DF21" s="516"/>
      <c r="DG21" s="516"/>
      <c r="DH21" s="516"/>
      <c r="DI21" s="516"/>
      <c r="DJ21" s="516"/>
      <c r="DK21" s="516"/>
      <c r="DL21" s="516"/>
      <c r="DM21" s="516"/>
      <c r="DN21" s="516"/>
      <c r="DO21" s="516"/>
      <c r="DP21" s="516"/>
      <c r="DQ21" s="516"/>
      <c r="DR21" s="516"/>
      <c r="DS21" s="516"/>
      <c r="DT21" s="516"/>
      <c r="DU21" s="516"/>
      <c r="DV21" s="516"/>
      <c r="DW21" s="516"/>
      <c r="DX21" s="516"/>
      <c r="DY21" s="516">
        <f t="shared" si="1"/>
        <v>0</v>
      </c>
      <c r="DZ21" s="516"/>
    </row>
    <row r="22" spans="1:130" s="16" customFormat="1" ht="15" x14ac:dyDescent="0.2">
      <c r="A22" s="20" t="s">
        <v>198</v>
      </c>
      <c r="B22" s="9" t="s">
        <v>199</v>
      </c>
      <c r="C22" s="45" t="s">
        <v>346</v>
      </c>
      <c r="D22" s="58">
        <v>10</v>
      </c>
      <c r="E22" s="25">
        <v>0.1</v>
      </c>
      <c r="F22" s="46">
        <v>43281</v>
      </c>
      <c r="G22" s="58">
        <v>120</v>
      </c>
      <c r="H22" s="145">
        <f>100/G22</f>
        <v>0.83333333333333337</v>
      </c>
      <c r="I22" s="165">
        <f>H22*J22</f>
        <v>55.833333333333336</v>
      </c>
      <c r="J22" s="48">
        <f>(YEAR(F22)-YEAR(S22))*12+MONTH(F22)-MONTH(S22)</f>
        <v>67</v>
      </c>
      <c r="K22" s="165">
        <f>L22*H22</f>
        <v>44.166666666666671</v>
      </c>
      <c r="L22" s="48">
        <f>G22-J22</f>
        <v>53</v>
      </c>
      <c r="M22" s="165">
        <f>N22*H22</f>
        <v>5.8333333333333339</v>
      </c>
      <c r="N22" s="48">
        <v>7</v>
      </c>
      <c r="O22" s="165">
        <f>K22-M22</f>
        <v>38.333333333333336</v>
      </c>
      <c r="P22" s="48">
        <f>L22-N22</f>
        <v>46</v>
      </c>
      <c r="Q22" s="462">
        <f>DATE(YEAR(S22),MONTH(S22)+G22,DAY(S22))</f>
        <v>44866</v>
      </c>
      <c r="R22" s="46" t="s">
        <v>445</v>
      </c>
      <c r="S22" s="33">
        <v>41214</v>
      </c>
      <c r="T22" s="5">
        <v>350</v>
      </c>
      <c r="U22" s="152"/>
      <c r="V22" s="47">
        <v>262.45999999999998</v>
      </c>
      <c r="W22" s="47">
        <v>2.92</v>
      </c>
      <c r="X22" s="106">
        <f>W22*5</f>
        <v>14.6</v>
      </c>
      <c r="Y22" s="165">
        <v>0</v>
      </c>
      <c r="Z22" s="57">
        <v>115.958</v>
      </c>
      <c r="AA22" s="80">
        <v>107</v>
      </c>
      <c r="AB22" s="57">
        <f>Z22/AA22</f>
        <v>1.0837196261682243</v>
      </c>
      <c r="AC22" s="55">
        <f>V22*M22/100/K22*100/7</f>
        <v>4.9520754716981132</v>
      </c>
      <c r="AD22" s="55">
        <f>AC22*AB22</f>
        <v>5.366661378945512</v>
      </c>
      <c r="AE22" s="55"/>
      <c r="AF22" s="55"/>
      <c r="AG22" s="55"/>
      <c r="AH22" s="55"/>
      <c r="AI22" s="55"/>
      <c r="AJ22" s="55">
        <f>AD22</f>
        <v>5.366661378945512</v>
      </c>
      <c r="AK22" s="55">
        <v>3.3861077748108586</v>
      </c>
      <c r="AL22" s="55">
        <v>3.3861077748108586</v>
      </c>
      <c r="AM22" s="55">
        <v>3.3861077748108586</v>
      </c>
      <c r="AN22" s="55">
        <v>3.3861077748108586</v>
      </c>
      <c r="AO22" s="55">
        <v>3.3861077748108586</v>
      </c>
      <c r="AP22" s="55">
        <v>3.3861077748108586</v>
      </c>
      <c r="AQ22" s="55">
        <f>SUM(AE22:AP22)</f>
        <v>25.683308027810664</v>
      </c>
      <c r="AR22" s="72">
        <f>V22-AQ22</f>
        <v>236.77669197218933</v>
      </c>
      <c r="AS22" s="55"/>
      <c r="AT22" s="55"/>
      <c r="AU22" s="55">
        <f t="shared" si="0"/>
        <v>3.3861077748108586</v>
      </c>
      <c r="AV22" s="55">
        <f t="shared" si="0"/>
        <v>3.3861077748108586</v>
      </c>
      <c r="AW22" s="55">
        <f t="shared" si="0"/>
        <v>3.3861077748108586</v>
      </c>
      <c r="AX22" s="55">
        <f t="shared" si="0"/>
        <v>3.3861077748108586</v>
      </c>
      <c r="AY22" s="55">
        <f t="shared" si="0"/>
        <v>3.3861077748108586</v>
      </c>
      <c r="AZ22" s="57">
        <v>118.901</v>
      </c>
      <c r="BA22" s="80">
        <v>107</v>
      </c>
      <c r="BB22" s="57">
        <f>AZ22/BA22</f>
        <v>1.1112242990654204</v>
      </c>
      <c r="BC22" s="55">
        <f t="shared" ref="BC22:BC28" si="2">T22/(D22*12)</f>
        <v>2.9166666666666665</v>
      </c>
      <c r="BD22" s="55">
        <f>BC22*BB22</f>
        <v>3.2410708722741428</v>
      </c>
      <c r="BE22" s="55">
        <f>$BD22</f>
        <v>3.2410708722741428</v>
      </c>
      <c r="BF22" s="55">
        <f>$BD22</f>
        <v>3.2410708722741428</v>
      </c>
      <c r="BG22" s="55">
        <f>$BD22</f>
        <v>3.2410708722741428</v>
      </c>
      <c r="BH22" s="55">
        <f>$BD22</f>
        <v>3.2410708722741428</v>
      </c>
      <c r="BI22" s="55">
        <v>3.24</v>
      </c>
      <c r="BJ22" s="55">
        <v>3.24</v>
      </c>
      <c r="BK22" s="55">
        <v>3.24</v>
      </c>
      <c r="BL22" s="55">
        <f>SUM((AU22:AY22),(BE22:BK22))</f>
        <v>39.614822363150871</v>
      </c>
      <c r="BM22" s="448">
        <f>(AR22-BL22)</f>
        <v>197.16186960903846</v>
      </c>
      <c r="BN22" s="55">
        <v>3.24</v>
      </c>
      <c r="BO22" s="55">
        <v>3.24</v>
      </c>
      <c r="BP22" s="55">
        <v>3.24</v>
      </c>
      <c r="BQ22" s="55">
        <v>3.24</v>
      </c>
      <c r="BR22" s="55">
        <v>3.24</v>
      </c>
      <c r="BS22" s="57">
        <v>118.901</v>
      </c>
      <c r="BT22" s="80">
        <v>107</v>
      </c>
      <c r="BU22" s="57">
        <f>BS22/BT22</f>
        <v>1.1112242990654204</v>
      </c>
      <c r="BV22" s="55"/>
      <c r="BW22" s="55"/>
      <c r="BX22" s="55"/>
      <c r="BY22" s="55"/>
      <c r="BZ22" s="55"/>
      <c r="CA22" s="55"/>
      <c r="CB22" s="55"/>
      <c r="CC22" s="55"/>
      <c r="CD22" s="55"/>
      <c r="CE22" s="55">
        <f>SUM((BN22:BR22),(BX22:CD22))</f>
        <v>16.200000000000003</v>
      </c>
      <c r="CF22" s="448">
        <f>BM22-CE22</f>
        <v>180.96186960903844</v>
      </c>
      <c r="CG22" s="57">
        <v>126.408</v>
      </c>
      <c r="CH22" s="80">
        <v>107</v>
      </c>
      <c r="CI22" s="57">
        <f>CG22/CH22</f>
        <v>1.1813831775700934</v>
      </c>
      <c r="CJ22" s="55">
        <f>CF22/L22</f>
        <v>3.4143748982837443</v>
      </c>
      <c r="CK22" s="55">
        <f>CJ22*CI22</f>
        <v>4.0336850667500146</v>
      </c>
      <c r="CL22" s="55">
        <v>3.31</v>
      </c>
      <c r="CM22" s="55">
        <v>3.31</v>
      </c>
      <c r="CN22" s="55">
        <v>3.31</v>
      </c>
      <c r="CO22" s="55">
        <v>3.31</v>
      </c>
      <c r="CP22" s="55">
        <v>3.31</v>
      </c>
      <c r="CQ22" s="55">
        <v>3.31</v>
      </c>
      <c r="CR22" s="55">
        <v>3.31</v>
      </c>
      <c r="CS22" s="55">
        <f>SUM(CL22:CR22)</f>
        <v>23.169999999999998</v>
      </c>
      <c r="CT22" s="448">
        <f>CF22-CS22</f>
        <v>157.79186960903846</v>
      </c>
      <c r="CU22" s="55">
        <v>3.31</v>
      </c>
      <c r="CV22" s="55">
        <v>3.31</v>
      </c>
      <c r="CW22" s="55">
        <v>3.31</v>
      </c>
      <c r="CX22" s="55">
        <v>3.31</v>
      </c>
      <c r="CY22" s="55">
        <v>3.31</v>
      </c>
      <c r="CZ22" s="505">
        <f>SUM(CU22:CY22)</f>
        <v>16.55</v>
      </c>
      <c r="DA22" s="1085">
        <f>CT22-CZ22</f>
        <v>141.24186960903845</v>
      </c>
      <c r="DB22" s="1086">
        <v>132.28200000000001</v>
      </c>
      <c r="DC22" s="515">
        <v>107</v>
      </c>
      <c r="DD22" s="1087">
        <f>DB22/DC22</f>
        <v>1.2362803738317758</v>
      </c>
      <c r="DE22" s="516">
        <f>DA22/L22</f>
        <v>2.6649409360195935</v>
      </c>
      <c r="DF22" s="516">
        <f>DE22*DD22</f>
        <v>3.2946141766219057</v>
      </c>
      <c r="DG22" s="516">
        <v>3.2946141766219057</v>
      </c>
      <c r="DH22" s="516">
        <v>3.2946141766219057</v>
      </c>
      <c r="DI22" s="516">
        <v>3.2946141766219057</v>
      </c>
      <c r="DJ22" s="516">
        <v>3.2946141766219057</v>
      </c>
      <c r="DK22" s="516">
        <v>3.2946141766219057</v>
      </c>
      <c r="DL22" s="516">
        <v>3.2946141766219057</v>
      </c>
      <c r="DM22" s="516">
        <v>3.2946141766219057</v>
      </c>
      <c r="DN22" s="516">
        <v>3.2946141766219057</v>
      </c>
      <c r="DO22" s="516">
        <v>3.2946141766219057</v>
      </c>
      <c r="DP22" s="516">
        <v>3.2946141766219057</v>
      </c>
      <c r="DQ22" s="516">
        <v>3.2946141766219057</v>
      </c>
      <c r="DR22" s="516">
        <v>3.2946141766219057</v>
      </c>
      <c r="DS22" s="516">
        <v>3.2946141766219057</v>
      </c>
      <c r="DT22" s="516">
        <v>3.2946141766219057</v>
      </c>
      <c r="DU22" s="516">
        <v>3.2946141766219057</v>
      </c>
      <c r="DV22" s="516">
        <v>3.2946141766219057</v>
      </c>
      <c r="DW22" s="516">
        <v>3.2946141766219057</v>
      </c>
      <c r="DX22" s="516">
        <v>3.2946141766219057</v>
      </c>
      <c r="DY22" s="516">
        <f t="shared" si="1"/>
        <v>59.303055179194303</v>
      </c>
      <c r="DZ22" s="1088">
        <f>DA22-DY22</f>
        <v>81.938814429844143</v>
      </c>
    </row>
    <row r="23" spans="1:130" s="16" customFormat="1" ht="15" x14ac:dyDescent="0.2">
      <c r="A23" s="26" t="s">
        <v>71</v>
      </c>
      <c r="B23" s="26" t="s">
        <v>84</v>
      </c>
      <c r="C23" s="45"/>
      <c r="D23" s="58"/>
      <c r="E23" s="25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20"/>
      <c r="S23" s="20"/>
      <c r="T23" s="5"/>
      <c r="U23" s="14"/>
      <c r="V23" s="14"/>
      <c r="W23" s="14"/>
      <c r="X23" s="108"/>
      <c r="Y23" s="66"/>
      <c r="Z23" s="66"/>
      <c r="AA23" s="80"/>
      <c r="AB23" s="66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73"/>
      <c r="AS23" s="55"/>
      <c r="AT23" s="55"/>
      <c r="AU23" s="55">
        <f t="shared" si="0"/>
        <v>0</v>
      </c>
      <c r="AV23" s="55">
        <f t="shared" si="0"/>
        <v>0</v>
      </c>
      <c r="AW23" s="55">
        <f t="shared" si="0"/>
        <v>0</v>
      </c>
      <c r="AX23" s="55">
        <f t="shared" si="0"/>
        <v>0</v>
      </c>
      <c r="AY23" s="55">
        <f t="shared" si="0"/>
        <v>0</v>
      </c>
      <c r="AZ23" s="66"/>
      <c r="BA23" s="80"/>
      <c r="BB23" s="66"/>
      <c r="BC23" s="55"/>
      <c r="BD23" s="65"/>
      <c r="BE23" s="55"/>
      <c r="BF23" s="55"/>
      <c r="BG23" s="55"/>
      <c r="BH23" s="55"/>
      <c r="BI23" s="55"/>
      <c r="BJ23" s="55"/>
      <c r="BK23" s="55"/>
      <c r="BL23" s="55"/>
      <c r="BM23" s="448"/>
      <c r="BN23" s="55"/>
      <c r="BO23" s="55"/>
      <c r="BP23" s="55"/>
      <c r="BQ23" s="55"/>
      <c r="BR23" s="55"/>
      <c r="BS23" s="66"/>
      <c r="BT23" s="80"/>
      <c r="BU23" s="66"/>
      <c r="BV23" s="55"/>
      <c r="BW23" s="65"/>
      <c r="BX23" s="55"/>
      <c r="BY23" s="55"/>
      <c r="BZ23" s="55"/>
      <c r="CA23" s="55"/>
      <c r="CB23" s="55"/>
      <c r="CC23" s="55"/>
      <c r="CD23" s="55"/>
      <c r="CE23" s="55"/>
      <c r="CF23" s="448"/>
      <c r="CG23" s="66"/>
      <c r="CH23" s="80"/>
      <c r="CI23" s="66"/>
      <c r="CJ23" s="55"/>
      <c r="CK23" s="65"/>
      <c r="CL23" s="65"/>
      <c r="CM23" s="65"/>
      <c r="CN23" s="65"/>
      <c r="CO23" s="65"/>
      <c r="CP23" s="65"/>
      <c r="CQ23" s="65"/>
      <c r="CR23" s="65"/>
      <c r="CS23" s="55"/>
      <c r="CT23" s="448"/>
      <c r="CU23" s="65"/>
      <c r="CV23" s="65"/>
      <c r="CW23" s="65"/>
      <c r="CX23" s="65"/>
      <c r="CY23" s="65"/>
      <c r="CZ23" s="505"/>
      <c r="DA23" s="1085"/>
      <c r="DB23" s="514"/>
      <c r="DC23" s="515"/>
      <c r="DD23" s="1087"/>
      <c r="DE23" s="516"/>
      <c r="DF23" s="516"/>
      <c r="DG23" s="516"/>
      <c r="DH23" s="516"/>
      <c r="DI23" s="516"/>
      <c r="DJ23" s="516"/>
      <c r="DK23" s="516"/>
      <c r="DL23" s="516"/>
      <c r="DM23" s="516"/>
      <c r="DN23" s="516"/>
      <c r="DO23" s="516"/>
      <c r="DP23" s="516"/>
      <c r="DQ23" s="516"/>
      <c r="DR23" s="516"/>
      <c r="DS23" s="516"/>
      <c r="DT23" s="516"/>
      <c r="DU23" s="516"/>
      <c r="DV23" s="516"/>
      <c r="DW23" s="516"/>
      <c r="DX23" s="516"/>
      <c r="DY23" s="516">
        <f t="shared" si="1"/>
        <v>0</v>
      </c>
      <c r="DZ23" s="516"/>
    </row>
    <row r="24" spans="1:130" s="16" customFormat="1" ht="15" x14ac:dyDescent="0.2">
      <c r="A24" s="26" t="s">
        <v>97</v>
      </c>
      <c r="B24" s="9"/>
      <c r="C24" s="45"/>
      <c r="D24" s="58"/>
      <c r="E24" s="25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20"/>
      <c r="S24" s="20"/>
      <c r="T24" s="5"/>
      <c r="U24" s="14"/>
      <c r="V24" s="14"/>
      <c r="W24" s="14"/>
      <c r="X24" s="108"/>
      <c r="Y24" s="66"/>
      <c r="Z24" s="66"/>
      <c r="AA24" s="80"/>
      <c r="AB24" s="66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73"/>
      <c r="AS24" s="55"/>
      <c r="AT24" s="55"/>
      <c r="AU24" s="55">
        <f t="shared" si="0"/>
        <v>0</v>
      </c>
      <c r="AV24" s="55">
        <f t="shared" si="0"/>
        <v>0</v>
      </c>
      <c r="AW24" s="55">
        <f t="shared" si="0"/>
        <v>0</v>
      </c>
      <c r="AX24" s="55">
        <f t="shared" si="0"/>
        <v>0</v>
      </c>
      <c r="AY24" s="55">
        <f t="shared" si="0"/>
        <v>0</v>
      </c>
      <c r="AZ24" s="66"/>
      <c r="BA24" s="80"/>
      <c r="BB24" s="66"/>
      <c r="BC24" s="55"/>
      <c r="BD24" s="65"/>
      <c r="BE24" s="55"/>
      <c r="BF24" s="55"/>
      <c r="BG24" s="55"/>
      <c r="BH24" s="55"/>
      <c r="BI24" s="55"/>
      <c r="BJ24" s="55"/>
      <c r="BK24" s="55"/>
      <c r="BL24" s="55"/>
      <c r="BM24" s="448"/>
      <c r="BN24" s="55"/>
      <c r="BO24" s="55"/>
      <c r="BP24" s="55"/>
      <c r="BQ24" s="55"/>
      <c r="BR24" s="55"/>
      <c r="BS24" s="66"/>
      <c r="BT24" s="80"/>
      <c r="BU24" s="66"/>
      <c r="BV24" s="55"/>
      <c r="BW24" s="65"/>
      <c r="BX24" s="55"/>
      <c r="BY24" s="55"/>
      <c r="BZ24" s="55"/>
      <c r="CA24" s="55"/>
      <c r="CB24" s="55"/>
      <c r="CC24" s="55"/>
      <c r="CD24" s="55"/>
      <c r="CE24" s="55"/>
      <c r="CF24" s="448"/>
      <c r="CG24" s="66"/>
      <c r="CH24" s="80"/>
      <c r="CI24" s="66"/>
      <c r="CJ24" s="55"/>
      <c r="CK24" s="65"/>
      <c r="CL24" s="65"/>
      <c r="CM24" s="65"/>
      <c r="CN24" s="65"/>
      <c r="CO24" s="65"/>
      <c r="CP24" s="65"/>
      <c r="CQ24" s="65"/>
      <c r="CR24" s="65"/>
      <c r="CS24" s="55"/>
      <c r="CT24" s="448"/>
      <c r="CU24" s="65"/>
      <c r="CV24" s="65"/>
      <c r="CW24" s="65"/>
      <c r="CX24" s="65"/>
      <c r="CY24" s="65"/>
      <c r="CZ24" s="505"/>
      <c r="DA24" s="1085"/>
      <c r="DB24" s="520"/>
      <c r="DC24" s="515"/>
      <c r="DD24" s="1087"/>
      <c r="DE24" s="516"/>
      <c r="DF24" s="516"/>
      <c r="DG24" s="516"/>
      <c r="DH24" s="516"/>
      <c r="DI24" s="516"/>
      <c r="DJ24" s="516"/>
      <c r="DK24" s="516"/>
      <c r="DL24" s="516"/>
      <c r="DM24" s="516"/>
      <c r="DN24" s="516"/>
      <c r="DO24" s="516"/>
      <c r="DP24" s="516"/>
      <c r="DQ24" s="516"/>
      <c r="DR24" s="516"/>
      <c r="DS24" s="516"/>
      <c r="DT24" s="516"/>
      <c r="DU24" s="516"/>
      <c r="DV24" s="516"/>
      <c r="DW24" s="516"/>
      <c r="DX24" s="516"/>
      <c r="DY24" s="516">
        <f t="shared" si="1"/>
        <v>0</v>
      </c>
      <c r="DZ24" s="516"/>
    </row>
    <row r="25" spans="1:130" s="16" customFormat="1" ht="15" x14ac:dyDescent="0.2">
      <c r="A25" s="20" t="s">
        <v>200</v>
      </c>
      <c r="B25" s="9" t="s">
        <v>166</v>
      </c>
      <c r="C25" s="45" t="s">
        <v>346</v>
      </c>
      <c r="D25" s="58">
        <v>10</v>
      </c>
      <c r="E25" s="25">
        <v>0.1</v>
      </c>
      <c r="F25" s="46">
        <v>43281</v>
      </c>
      <c r="G25" s="58">
        <v>120</v>
      </c>
      <c r="H25" s="145">
        <f>100/G25</f>
        <v>0.83333333333333337</v>
      </c>
      <c r="I25" s="165">
        <f>H25*J25</f>
        <v>55.833333333333336</v>
      </c>
      <c r="J25" s="48">
        <f>(YEAR(F25)-YEAR(S25))*12+MONTH(F25)-MONTH(S25)</f>
        <v>67</v>
      </c>
      <c r="K25" s="165">
        <f>L25*H25</f>
        <v>44.166666666666671</v>
      </c>
      <c r="L25" s="48">
        <f>G25-J25</f>
        <v>53</v>
      </c>
      <c r="M25" s="165">
        <f>N25*H25</f>
        <v>5.8333333333333339</v>
      </c>
      <c r="N25" s="48">
        <v>7</v>
      </c>
      <c r="O25" s="165">
        <f>P25*H25</f>
        <v>38.333333333333336</v>
      </c>
      <c r="P25" s="48">
        <f>L25-N25</f>
        <v>46</v>
      </c>
      <c r="Q25" s="462">
        <f>DATE(YEAR(S25),MONTH(S25)+G25,DAY(S25))</f>
        <v>44866</v>
      </c>
      <c r="R25" s="46" t="s">
        <v>445</v>
      </c>
      <c r="S25" s="20">
        <v>41214</v>
      </c>
      <c r="T25" s="5">
        <v>2790</v>
      </c>
      <c r="U25" s="151"/>
      <c r="V25" s="47">
        <v>2092.5</v>
      </c>
      <c r="W25" s="47">
        <v>23.25</v>
      </c>
      <c r="X25" s="106">
        <f>W25*5</f>
        <v>116.25</v>
      </c>
      <c r="Y25" s="165">
        <v>0</v>
      </c>
      <c r="Z25" s="57">
        <v>115.958</v>
      </c>
      <c r="AA25" s="80">
        <v>107</v>
      </c>
      <c r="AB25" s="57">
        <f>Z25/AA25</f>
        <v>1.0837196261682243</v>
      </c>
      <c r="AC25" s="55">
        <f>V25*M25/100/K25*100/7</f>
        <v>39.481132075471699</v>
      </c>
      <c r="AD25" s="55">
        <f>AC25*AB25</f>
        <v>42.786477693528475</v>
      </c>
      <c r="AE25" s="55"/>
      <c r="AF25" s="55"/>
      <c r="AG25" s="55"/>
      <c r="AH25" s="55"/>
      <c r="AI25" s="55"/>
      <c r="AJ25" s="55">
        <f>AD25</f>
        <v>42.786477693528475</v>
      </c>
      <c r="AK25" s="55">
        <v>25.479587839966399</v>
      </c>
      <c r="AL25" s="55">
        <v>25.479587839966399</v>
      </c>
      <c r="AM25" s="55">
        <v>25.479587839966399</v>
      </c>
      <c r="AN25" s="55">
        <v>25.479587839966399</v>
      </c>
      <c r="AO25" s="55">
        <v>25.479587839966399</v>
      </c>
      <c r="AP25" s="55">
        <v>25.479587839966399</v>
      </c>
      <c r="AQ25" s="55">
        <f>SUM(AE25:AP25)</f>
        <v>195.66400473332686</v>
      </c>
      <c r="AR25" s="72">
        <f>V25-AQ25</f>
        <v>1896.8359952666731</v>
      </c>
      <c r="AS25" s="55"/>
      <c r="AT25" s="55"/>
      <c r="AU25" s="55">
        <f t="shared" si="0"/>
        <v>25.479587839966399</v>
      </c>
      <c r="AV25" s="55">
        <f t="shared" si="0"/>
        <v>25.479587839966399</v>
      </c>
      <c r="AW25" s="55">
        <f t="shared" si="0"/>
        <v>25.479587839966399</v>
      </c>
      <c r="AX25" s="55">
        <f t="shared" si="0"/>
        <v>25.479587839966399</v>
      </c>
      <c r="AY25" s="55">
        <f t="shared" si="0"/>
        <v>25.479587839966399</v>
      </c>
      <c r="AZ25" s="57">
        <v>118.901</v>
      </c>
      <c r="BA25" s="80">
        <v>107</v>
      </c>
      <c r="BB25" s="57">
        <f>AZ25/BA25</f>
        <v>1.1112242990654204</v>
      </c>
      <c r="BC25" s="55">
        <f t="shared" si="2"/>
        <v>23.25</v>
      </c>
      <c r="BD25" s="55">
        <f>BC25*BB25</f>
        <v>25.835964953271024</v>
      </c>
      <c r="BE25" s="55">
        <f>$BD25</f>
        <v>25.835964953271024</v>
      </c>
      <c r="BF25" s="55">
        <f>$BD25</f>
        <v>25.835964953271024</v>
      </c>
      <c r="BG25" s="55">
        <f>$BD25</f>
        <v>25.835964953271024</v>
      </c>
      <c r="BH25" s="55">
        <f>$BD25</f>
        <v>25.835964953271024</v>
      </c>
      <c r="BI25" s="55">
        <v>25.84</v>
      </c>
      <c r="BJ25" s="55">
        <v>25.84</v>
      </c>
      <c r="BK25" s="55">
        <v>25.84</v>
      </c>
      <c r="BL25" s="55">
        <f>SUM((AU25:AY25),(BE25:BK25))</f>
        <v>308.26179901291607</v>
      </c>
      <c r="BM25" s="448">
        <f>(AR25-BL25)</f>
        <v>1588.574196253757</v>
      </c>
      <c r="BN25" s="55">
        <v>25.84</v>
      </c>
      <c r="BO25" s="55">
        <v>25.84</v>
      </c>
      <c r="BP25" s="55">
        <v>25.84</v>
      </c>
      <c r="BQ25" s="55">
        <v>25.84</v>
      </c>
      <c r="BR25" s="55">
        <v>25.84</v>
      </c>
      <c r="BS25" s="57">
        <v>118.901</v>
      </c>
      <c r="BT25" s="80">
        <v>107</v>
      </c>
      <c r="BU25" s="57">
        <f>BS25/BT25</f>
        <v>1.1112242990654204</v>
      </c>
      <c r="BV25" s="55"/>
      <c r="BW25" s="55"/>
      <c r="BX25" s="55"/>
      <c r="BY25" s="55"/>
      <c r="BZ25" s="55"/>
      <c r="CA25" s="55"/>
      <c r="CB25" s="55"/>
      <c r="CC25" s="55"/>
      <c r="CD25" s="55"/>
      <c r="CE25" s="55">
        <f>SUM((BN25:BR25),(BX25:CD25))</f>
        <v>129.19999999999999</v>
      </c>
      <c r="CF25" s="448">
        <f>BM25-CE25</f>
        <v>1459.374196253757</v>
      </c>
      <c r="CG25" s="57">
        <v>126.408</v>
      </c>
      <c r="CH25" s="80">
        <v>107</v>
      </c>
      <c r="CI25" s="57">
        <f>CG25/CH25</f>
        <v>1.1813831775700934</v>
      </c>
      <c r="CJ25" s="55">
        <f>CF25/L25</f>
        <v>27.535362193467112</v>
      </c>
      <c r="CK25" s="55">
        <f>CJ25*CI25</f>
        <v>32.529813683661594</v>
      </c>
      <c r="CL25" s="55">
        <v>26.667875701753736</v>
      </c>
      <c r="CM25" s="55">
        <v>26.667875701753736</v>
      </c>
      <c r="CN25" s="55">
        <v>26.667875701753736</v>
      </c>
      <c r="CO25" s="55">
        <v>26.667875701753736</v>
      </c>
      <c r="CP25" s="55">
        <v>26.667875701753736</v>
      </c>
      <c r="CQ25" s="55">
        <v>26.667875701753736</v>
      </c>
      <c r="CR25" s="55">
        <v>26.667875701753736</v>
      </c>
      <c r="CS25" s="55">
        <f>SUM(CL25:CR25)</f>
        <v>186.67512991227613</v>
      </c>
      <c r="CT25" s="448">
        <f>CF25-CS25</f>
        <v>1272.6990663414808</v>
      </c>
      <c r="CU25" s="55">
        <v>26.667875701753736</v>
      </c>
      <c r="CV25" s="55">
        <v>26.667875701753736</v>
      </c>
      <c r="CW25" s="55">
        <v>26.667875701753736</v>
      </c>
      <c r="CX25" s="55">
        <v>26.667875701753736</v>
      </c>
      <c r="CY25" s="55">
        <v>26.667875701753736</v>
      </c>
      <c r="CZ25" s="505">
        <f>SUM(CU25:CY25)</f>
        <v>133.33937850876868</v>
      </c>
      <c r="DA25" s="1085">
        <f>CT25-CZ25</f>
        <v>1139.3596878327121</v>
      </c>
      <c r="DB25" s="1086">
        <v>132.28200000000001</v>
      </c>
      <c r="DC25" s="515">
        <v>107</v>
      </c>
      <c r="DD25" s="1087">
        <f>DB25/DC25</f>
        <v>1.2362803738317758</v>
      </c>
      <c r="DE25" s="516">
        <f>DA25/L25</f>
        <v>21.497352600617209</v>
      </c>
      <c r="DF25" s="516">
        <f>DE25*DD25</f>
        <v>26.576755109484541</v>
      </c>
      <c r="DG25" s="516">
        <v>26.576755109484541</v>
      </c>
      <c r="DH25" s="516">
        <v>26.576755109484541</v>
      </c>
      <c r="DI25" s="516">
        <v>26.576755109484541</v>
      </c>
      <c r="DJ25" s="516">
        <v>26.576755109484541</v>
      </c>
      <c r="DK25" s="516">
        <v>26.576755109484541</v>
      </c>
      <c r="DL25" s="516">
        <v>26.576755109484541</v>
      </c>
      <c r="DM25" s="516">
        <v>26.576755109484541</v>
      </c>
      <c r="DN25" s="516">
        <v>26.576755109484541</v>
      </c>
      <c r="DO25" s="516">
        <v>26.576755109484541</v>
      </c>
      <c r="DP25" s="516">
        <v>26.576755109484541</v>
      </c>
      <c r="DQ25" s="516">
        <v>26.576755109484541</v>
      </c>
      <c r="DR25" s="516">
        <v>26.576755109484541</v>
      </c>
      <c r="DS25" s="516">
        <v>26.576755109484541</v>
      </c>
      <c r="DT25" s="516">
        <v>26.576755109484541</v>
      </c>
      <c r="DU25" s="516">
        <v>26.576755109484541</v>
      </c>
      <c r="DV25" s="516">
        <v>26.576755109484541</v>
      </c>
      <c r="DW25" s="516">
        <v>26.576755109484541</v>
      </c>
      <c r="DX25" s="516">
        <v>26.576755109484541</v>
      </c>
      <c r="DY25" s="516">
        <f t="shared" si="1"/>
        <v>478.38159197072196</v>
      </c>
      <c r="DZ25" s="1088">
        <f>DA25-DY25</f>
        <v>660.97809586199014</v>
      </c>
    </row>
    <row r="26" spans="1:130" s="16" customFormat="1" ht="15" x14ac:dyDescent="0.2">
      <c r="A26" s="26" t="s">
        <v>126</v>
      </c>
      <c r="B26" s="26" t="s">
        <v>202</v>
      </c>
      <c r="C26" s="45"/>
      <c r="D26" s="58"/>
      <c r="E26" s="25"/>
      <c r="F26" s="46"/>
      <c r="G26" s="58"/>
      <c r="H26" s="145"/>
      <c r="I26" s="165"/>
      <c r="J26" s="48"/>
      <c r="K26" s="165"/>
      <c r="L26" s="48"/>
      <c r="M26" s="165"/>
      <c r="N26" s="48"/>
      <c r="O26" s="165"/>
      <c r="P26" s="48"/>
      <c r="Q26" s="48"/>
      <c r="R26" s="119"/>
      <c r="S26" s="20"/>
      <c r="T26" s="5"/>
      <c r="U26" s="151"/>
      <c r="V26" s="47"/>
      <c r="W26" s="47"/>
      <c r="X26" s="106"/>
      <c r="Y26" s="66"/>
      <c r="Z26" s="57"/>
      <c r="AA26" s="136"/>
      <c r="AB26" s="57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72"/>
      <c r="AS26" s="55"/>
      <c r="AT26" s="55"/>
      <c r="AU26" s="55">
        <f t="shared" si="0"/>
        <v>0</v>
      </c>
      <c r="AV26" s="55">
        <f t="shared" si="0"/>
        <v>0</v>
      </c>
      <c r="AW26" s="55">
        <f t="shared" si="0"/>
        <v>0</v>
      </c>
      <c r="AX26" s="55">
        <f t="shared" si="0"/>
        <v>0</v>
      </c>
      <c r="AY26" s="55">
        <f t="shared" si="0"/>
        <v>0</v>
      </c>
      <c r="AZ26" s="57"/>
      <c r="BA26" s="136"/>
      <c r="BB26" s="57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448"/>
      <c r="BN26" s="55"/>
      <c r="BO26" s="55"/>
      <c r="BP26" s="55"/>
      <c r="BQ26" s="55"/>
      <c r="BR26" s="55"/>
      <c r="BS26" s="57"/>
      <c r="BT26" s="136"/>
      <c r="BU26" s="57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448"/>
      <c r="CG26" s="57"/>
      <c r="CH26" s="136"/>
      <c r="CI26" s="57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448"/>
      <c r="CU26" s="55"/>
      <c r="CV26" s="55"/>
      <c r="CW26" s="55"/>
      <c r="CX26" s="55"/>
      <c r="CY26" s="55"/>
      <c r="CZ26" s="505"/>
      <c r="DA26" s="1085"/>
      <c r="DB26" s="516"/>
      <c r="DC26" s="1120"/>
      <c r="DD26" s="1087"/>
      <c r="DE26" s="516"/>
      <c r="DF26" s="516"/>
      <c r="DG26" s="516"/>
      <c r="DH26" s="516"/>
      <c r="DI26" s="516"/>
      <c r="DJ26" s="516"/>
      <c r="DK26" s="516"/>
      <c r="DL26" s="516"/>
      <c r="DM26" s="516"/>
      <c r="DN26" s="516"/>
      <c r="DO26" s="516"/>
      <c r="DP26" s="516"/>
      <c r="DQ26" s="516"/>
      <c r="DR26" s="516"/>
      <c r="DS26" s="516"/>
      <c r="DT26" s="516"/>
      <c r="DU26" s="516"/>
      <c r="DV26" s="516"/>
      <c r="DW26" s="516"/>
      <c r="DX26" s="516"/>
      <c r="DY26" s="516">
        <f t="shared" si="1"/>
        <v>0</v>
      </c>
      <c r="DZ26" s="516"/>
    </row>
    <row r="27" spans="1:130" s="16" customFormat="1" ht="15" x14ac:dyDescent="0.2">
      <c r="A27" s="26" t="s">
        <v>201</v>
      </c>
      <c r="B27" s="9"/>
      <c r="C27" s="45"/>
      <c r="D27" s="58"/>
      <c r="E27" s="25"/>
      <c r="F27" s="46"/>
      <c r="G27" s="58"/>
      <c r="H27" s="145"/>
      <c r="I27" s="165"/>
      <c r="J27" s="48"/>
      <c r="K27" s="165"/>
      <c r="L27" s="48"/>
      <c r="M27" s="165"/>
      <c r="N27" s="48"/>
      <c r="O27" s="165"/>
      <c r="P27" s="48"/>
      <c r="Q27" s="48"/>
      <c r="R27" s="119"/>
      <c r="S27" s="20"/>
      <c r="T27" s="5"/>
      <c r="U27" s="151"/>
      <c r="V27" s="47"/>
      <c r="W27" s="47"/>
      <c r="X27" s="106"/>
      <c r="Y27" s="66"/>
      <c r="Z27" s="57"/>
      <c r="AA27" s="80"/>
      <c r="AB27" s="57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72"/>
      <c r="AS27" s="55"/>
      <c r="AT27" s="55"/>
      <c r="AU27" s="55">
        <f t="shared" si="0"/>
        <v>0</v>
      </c>
      <c r="AV27" s="55">
        <f t="shared" si="0"/>
        <v>0</v>
      </c>
      <c r="AW27" s="55">
        <f t="shared" si="0"/>
        <v>0</v>
      </c>
      <c r="AX27" s="55">
        <f t="shared" si="0"/>
        <v>0</v>
      </c>
      <c r="AY27" s="55">
        <f t="shared" si="0"/>
        <v>0</v>
      </c>
      <c r="AZ27" s="57"/>
      <c r="BA27" s="80"/>
      <c r="BB27" s="57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448"/>
      <c r="BN27" s="55"/>
      <c r="BO27" s="55"/>
      <c r="BP27" s="55"/>
      <c r="BQ27" s="55"/>
      <c r="BR27" s="55"/>
      <c r="BS27" s="57"/>
      <c r="BT27" s="80"/>
      <c r="BU27" s="57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448"/>
      <c r="CG27" s="57"/>
      <c r="CH27" s="80"/>
      <c r="CI27" s="57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448"/>
      <c r="CU27" s="55"/>
      <c r="CV27" s="55"/>
      <c r="CW27" s="55"/>
      <c r="CX27" s="55"/>
      <c r="CY27" s="55"/>
      <c r="CZ27" s="505"/>
      <c r="DA27" s="1085"/>
      <c r="DB27" s="520"/>
      <c r="DC27" s="515"/>
      <c r="DD27" s="1087"/>
      <c r="DE27" s="516"/>
      <c r="DF27" s="516"/>
      <c r="DG27" s="516"/>
      <c r="DH27" s="516"/>
      <c r="DI27" s="516"/>
      <c r="DJ27" s="516"/>
      <c r="DK27" s="516"/>
      <c r="DL27" s="516"/>
      <c r="DM27" s="516"/>
      <c r="DN27" s="516"/>
      <c r="DO27" s="516"/>
      <c r="DP27" s="516"/>
      <c r="DQ27" s="516"/>
      <c r="DR27" s="516"/>
      <c r="DS27" s="516"/>
      <c r="DT27" s="516"/>
      <c r="DU27" s="516"/>
      <c r="DV27" s="516"/>
      <c r="DW27" s="516"/>
      <c r="DX27" s="516"/>
      <c r="DY27" s="516">
        <f t="shared" si="1"/>
        <v>0</v>
      </c>
      <c r="DZ27" s="516"/>
    </row>
    <row r="28" spans="1:130" s="16" customFormat="1" ht="15" x14ac:dyDescent="0.2">
      <c r="A28" s="20" t="s">
        <v>203</v>
      </c>
      <c r="B28" s="100" t="s">
        <v>347</v>
      </c>
      <c r="C28" s="45" t="s">
        <v>346</v>
      </c>
      <c r="D28" s="58">
        <v>10</v>
      </c>
      <c r="E28" s="25">
        <v>0.1</v>
      </c>
      <c r="F28" s="46">
        <v>43281</v>
      </c>
      <c r="G28" s="58">
        <v>120</v>
      </c>
      <c r="H28" s="145">
        <f>100/G28</f>
        <v>0.83333333333333337</v>
      </c>
      <c r="I28" s="165">
        <f>H28*J28</f>
        <v>43.333333333333336</v>
      </c>
      <c r="J28" s="48">
        <f>(YEAR(F28)-YEAR(S28))*12+MONTH(F28)-MONTH(S28)</f>
        <v>52</v>
      </c>
      <c r="K28" s="165">
        <f>L28*H28</f>
        <v>56.666666666666671</v>
      </c>
      <c r="L28" s="48">
        <f>G28-J28</f>
        <v>68</v>
      </c>
      <c r="M28" s="165">
        <f>N28*H28</f>
        <v>5.8333333333333339</v>
      </c>
      <c r="N28" s="48">
        <v>7</v>
      </c>
      <c r="O28" s="165">
        <f>K28-M28</f>
        <v>50.833333333333336</v>
      </c>
      <c r="P28" s="48">
        <f>L28-N28</f>
        <v>61</v>
      </c>
      <c r="Q28" s="462">
        <f>DATE(YEAR(S28),MONTH(S28)+G28,DAY(S28))</f>
        <v>45335</v>
      </c>
      <c r="R28" s="46" t="s">
        <v>575</v>
      </c>
      <c r="S28" s="20">
        <v>41683</v>
      </c>
      <c r="T28" s="5">
        <v>3385</v>
      </c>
      <c r="U28" s="151"/>
      <c r="V28" s="47">
        <v>2905.44</v>
      </c>
      <c r="W28" s="47">
        <v>28.21</v>
      </c>
      <c r="X28" s="106">
        <f>W28*5</f>
        <v>141.05000000000001</v>
      </c>
      <c r="Y28" s="165">
        <v>0</v>
      </c>
      <c r="Z28" s="57">
        <v>115.958</v>
      </c>
      <c r="AA28" s="80">
        <v>112.79</v>
      </c>
      <c r="AB28" s="57">
        <f>Z28/AA28</f>
        <v>1.0280875964181222</v>
      </c>
      <c r="AC28" s="55">
        <f>V28*M28/100/K28*100/7</f>
        <v>42.727058823529411</v>
      </c>
      <c r="AD28" s="55">
        <f>AC28*AB28</f>
        <v>43.927159207898072</v>
      </c>
      <c r="AE28" s="55"/>
      <c r="AF28" s="55"/>
      <c r="AG28" s="55"/>
      <c r="AH28" s="55"/>
      <c r="AI28" s="55"/>
      <c r="AJ28" s="55">
        <f>AD28</f>
        <v>43.927159207898072</v>
      </c>
      <c r="AK28" s="55">
        <v>28.721604097471818</v>
      </c>
      <c r="AL28" s="55">
        <v>28.721604097471818</v>
      </c>
      <c r="AM28" s="55">
        <v>28.721604097471818</v>
      </c>
      <c r="AN28" s="55">
        <v>28.721604097471818</v>
      </c>
      <c r="AO28" s="55">
        <v>28.721604097471818</v>
      </c>
      <c r="AP28" s="55">
        <v>28.721604097471818</v>
      </c>
      <c r="AQ28" s="55">
        <f>SUM(AE28:AP28)</f>
        <v>216.25678379272895</v>
      </c>
      <c r="AR28" s="72">
        <f>V28-AQ28</f>
        <v>2689.183216207271</v>
      </c>
      <c r="AS28" s="55"/>
      <c r="AT28" s="55"/>
      <c r="AU28" s="55">
        <f t="shared" si="0"/>
        <v>28.721604097471818</v>
      </c>
      <c r="AV28" s="55">
        <f t="shared" si="0"/>
        <v>28.721604097471818</v>
      </c>
      <c r="AW28" s="55">
        <f t="shared" si="0"/>
        <v>28.721604097471818</v>
      </c>
      <c r="AX28" s="55">
        <f t="shared" si="0"/>
        <v>28.721604097471818</v>
      </c>
      <c r="AY28" s="55">
        <f t="shared" si="0"/>
        <v>28.721604097471818</v>
      </c>
      <c r="AZ28" s="57">
        <v>118.901</v>
      </c>
      <c r="BA28" s="80">
        <v>112.79</v>
      </c>
      <c r="BB28" s="57">
        <f>AZ28/BA28</f>
        <v>1.0541803351360934</v>
      </c>
      <c r="BC28" s="55">
        <f t="shared" si="2"/>
        <v>28.208333333333332</v>
      </c>
      <c r="BD28" s="55">
        <f>BC28*BB28</f>
        <v>29.736670286963967</v>
      </c>
      <c r="BE28" s="55">
        <f>$BD28</f>
        <v>29.736670286963967</v>
      </c>
      <c r="BF28" s="55">
        <f>$BD28</f>
        <v>29.736670286963967</v>
      </c>
      <c r="BG28" s="55">
        <f>$BD28</f>
        <v>29.736670286963967</v>
      </c>
      <c r="BH28" s="55">
        <f>$BD28</f>
        <v>29.736670286963967</v>
      </c>
      <c r="BI28" s="55">
        <v>29.74</v>
      </c>
      <c r="BJ28" s="55">
        <v>29.74</v>
      </c>
      <c r="BK28" s="55">
        <v>29.74</v>
      </c>
      <c r="BL28" s="55">
        <f>SUM((AU28:AY28),(BE28:BK28))</f>
        <v>351.77470163521497</v>
      </c>
      <c r="BM28" s="448">
        <f>(AR28-BL28)</f>
        <v>2337.408514572056</v>
      </c>
      <c r="BN28" s="55">
        <v>29.74</v>
      </c>
      <c r="BO28" s="55">
        <v>29.74</v>
      </c>
      <c r="BP28" s="55">
        <v>29.74</v>
      </c>
      <c r="BQ28" s="55">
        <v>29.74</v>
      </c>
      <c r="BR28" s="55">
        <v>29.74</v>
      </c>
      <c r="BS28" s="57">
        <v>118.901</v>
      </c>
      <c r="BT28" s="80">
        <v>112.79</v>
      </c>
      <c r="BU28" s="57">
        <f>BS28/BT28</f>
        <v>1.0541803351360934</v>
      </c>
      <c r="BV28" s="55"/>
      <c r="BW28" s="55"/>
      <c r="BX28" s="55"/>
      <c r="BY28" s="55"/>
      <c r="BZ28" s="55"/>
      <c r="CA28" s="55"/>
      <c r="CB28" s="55"/>
      <c r="CC28" s="55"/>
      <c r="CD28" s="55"/>
      <c r="CE28" s="55">
        <f>SUM((BN28:BR28),(BX28:CD28))</f>
        <v>148.69999999999999</v>
      </c>
      <c r="CF28" s="448">
        <f>BM28-CE28</f>
        <v>2188.7085145720562</v>
      </c>
      <c r="CG28" s="57">
        <v>126.408</v>
      </c>
      <c r="CH28" s="80">
        <v>112.79</v>
      </c>
      <c r="CI28" s="57">
        <f>CG28/CH28</f>
        <v>1.1207376540473446</v>
      </c>
      <c r="CJ28" s="55">
        <f>CF28/L28</f>
        <v>32.186889920177293</v>
      </c>
      <c r="CK28" s="55">
        <f>CJ28*CI28</f>
        <v>36.073059500219621</v>
      </c>
      <c r="CL28" s="55">
        <v>30.754408365235982</v>
      </c>
      <c r="CM28" s="55">
        <v>30.754408365235982</v>
      </c>
      <c r="CN28" s="55">
        <v>30.754408365235982</v>
      </c>
      <c r="CO28" s="55">
        <v>30.754408365235982</v>
      </c>
      <c r="CP28" s="55">
        <v>30.754408365235982</v>
      </c>
      <c r="CQ28" s="55">
        <v>30.754408365235982</v>
      </c>
      <c r="CR28" s="55">
        <v>30.754408365235982</v>
      </c>
      <c r="CS28" s="55">
        <f>SUM(CL28:CR28)</f>
        <v>215.28085855665185</v>
      </c>
      <c r="CT28" s="448">
        <f>CF28-CS28</f>
        <v>1973.4276560154044</v>
      </c>
      <c r="CU28" s="55">
        <v>30.754408365235982</v>
      </c>
      <c r="CV28" s="55">
        <v>30.754408365235982</v>
      </c>
      <c r="CW28" s="55">
        <v>30.754408365235982</v>
      </c>
      <c r="CX28" s="55">
        <v>30.754408365235982</v>
      </c>
      <c r="CY28" s="55">
        <v>30.754408365235982</v>
      </c>
      <c r="CZ28" s="505">
        <f>SUM(CU28:CY28)</f>
        <v>153.7720418261799</v>
      </c>
      <c r="DA28" s="1085">
        <f>CT28-CZ28</f>
        <v>1819.6556141892245</v>
      </c>
      <c r="DB28" s="1086">
        <v>132.28200000000001</v>
      </c>
      <c r="DC28" s="515">
        <v>112.79</v>
      </c>
      <c r="DD28" s="1087">
        <f>DB28/DC28</f>
        <v>1.1728167390726127</v>
      </c>
      <c r="DE28" s="516">
        <f>DA28/L28</f>
        <v>26.759641385135655</v>
      </c>
      <c r="DF28" s="516">
        <f>DE28*DD28</f>
        <v>31.384155348067335</v>
      </c>
      <c r="DG28" s="516">
        <v>31.384155348067335</v>
      </c>
      <c r="DH28" s="516">
        <v>31.384155348067335</v>
      </c>
      <c r="DI28" s="516">
        <v>31.384155348067335</v>
      </c>
      <c r="DJ28" s="516">
        <v>31.384155348067335</v>
      </c>
      <c r="DK28" s="516">
        <v>31.384155348067335</v>
      </c>
      <c r="DL28" s="516">
        <v>31.384155348067335</v>
      </c>
      <c r="DM28" s="516">
        <v>31.384155348067335</v>
      </c>
      <c r="DN28" s="516">
        <v>31.384155348067335</v>
      </c>
      <c r="DO28" s="516">
        <v>31.384155348067335</v>
      </c>
      <c r="DP28" s="516">
        <v>31.384155348067335</v>
      </c>
      <c r="DQ28" s="516">
        <v>31.384155348067335</v>
      </c>
      <c r="DR28" s="516">
        <v>31.384155348067335</v>
      </c>
      <c r="DS28" s="516">
        <v>31.384155348067335</v>
      </c>
      <c r="DT28" s="516">
        <v>31.384155348067335</v>
      </c>
      <c r="DU28" s="516">
        <v>31.384155348067335</v>
      </c>
      <c r="DV28" s="516">
        <v>31.384155348067335</v>
      </c>
      <c r="DW28" s="516">
        <v>31.384155348067335</v>
      </c>
      <c r="DX28" s="516">
        <v>31.384155348067335</v>
      </c>
      <c r="DY28" s="516">
        <f t="shared" si="1"/>
        <v>564.91479626521198</v>
      </c>
      <c r="DZ28" s="1088">
        <f>DA28-DY28</f>
        <v>1254.7408179240124</v>
      </c>
    </row>
    <row r="29" spans="1:130" ht="15.75" x14ac:dyDescent="0.25">
      <c r="R29" s="175"/>
      <c r="X29" s="103"/>
      <c r="AC29" s="195"/>
      <c r="AD29" s="195"/>
      <c r="AE29" s="195">
        <f>SUM(AE25:AE28)</f>
        <v>0</v>
      </c>
      <c r="AF29" s="195">
        <f>SUM(AF25:AF28)</f>
        <v>0</v>
      </c>
      <c r="AG29" s="195">
        <f>SUM(AG25:AG28)</f>
        <v>0</v>
      </c>
      <c r="AH29" s="195">
        <f>SUM(AH25:AH28)</f>
        <v>0</v>
      </c>
      <c r="AI29" s="195">
        <f>SUM(AI25:AI28)</f>
        <v>0</v>
      </c>
      <c r="AJ29" s="195">
        <f>SUM(AJ15:AJ28)</f>
        <v>120.53305694829773</v>
      </c>
      <c r="AK29" s="195"/>
      <c r="AL29" s="195"/>
      <c r="AM29" s="195"/>
      <c r="AN29" s="195"/>
      <c r="AO29" s="195"/>
      <c r="AP29" s="195">
        <f>SUM(AP15:AP28)</f>
        <v>77.668989683896655</v>
      </c>
      <c r="AQ29" s="195">
        <f>SUM(AQ15:AQ28)</f>
        <v>702.6064306030795</v>
      </c>
      <c r="AR29" s="195">
        <f>SUM(AR15:AR28)</f>
        <v>6357.7235693969205</v>
      </c>
      <c r="AU29" s="13">
        <f>SUM(AU14:AU28)</f>
        <v>77.668989683896655</v>
      </c>
      <c r="AV29" s="13">
        <f>SUM(AV18:AV28)</f>
        <v>77.668989683896655</v>
      </c>
      <c r="AW29" s="13">
        <f>SUM(AW16:AW28)</f>
        <v>77.668989683896655</v>
      </c>
      <c r="AX29" s="13">
        <f>SUM(AX15:AX28)</f>
        <v>77.668989683896655</v>
      </c>
      <c r="AY29" s="13">
        <f>SUM(AY15:AY28)</f>
        <v>77.668989683896655</v>
      </c>
      <c r="BC29" s="195"/>
      <c r="BD29" s="195"/>
      <c r="BE29" s="13">
        <f>SUM(BE14:BE28)</f>
        <v>79.176891392882965</v>
      </c>
      <c r="BF29" s="13">
        <f>SUM(BF14:BF28)</f>
        <v>79.176891392882965</v>
      </c>
      <c r="BG29" s="13">
        <f>SUM(BG14:BG28)</f>
        <v>79.176891392882965</v>
      </c>
      <c r="BH29" s="13">
        <f>SUM(BH16:BH28)</f>
        <v>79.176891392882965</v>
      </c>
      <c r="BI29" s="13">
        <f>SUM(BI16:BI28)</f>
        <v>79.179999999999993</v>
      </c>
      <c r="BJ29" s="13">
        <f>SUM(BJ16:BJ28)</f>
        <v>79.179999999999993</v>
      </c>
      <c r="BK29" s="13">
        <f>SUM(BK16:BK28)</f>
        <v>79.179999999999993</v>
      </c>
      <c r="BL29" s="459">
        <f>SUM(AU29:BK29)</f>
        <v>942.59251399101493</v>
      </c>
      <c r="BM29" s="460">
        <f>SUM(BM13:BM28)</f>
        <v>5415.1310554059055</v>
      </c>
      <c r="BN29" s="13">
        <f>SUM(BN14:BN28)</f>
        <v>79.179999999999993</v>
      </c>
      <c r="BO29" s="13">
        <f>SUM(BO18:BO28)</f>
        <v>79.179999999999993</v>
      </c>
      <c r="BP29" s="13">
        <f>SUM(BP16:BP28)</f>
        <v>79.179999999999993</v>
      </c>
      <c r="BQ29" s="13">
        <f>SUM(BQ16:BQ28)</f>
        <v>79.179999999999993</v>
      </c>
      <c r="BR29" s="13">
        <f>SUM(BR15:BR28)</f>
        <v>79.179999999999993</v>
      </c>
      <c r="BV29" s="195"/>
      <c r="BW29" s="195"/>
      <c r="BX29" s="13">
        <f>SUM(BX14:BX28)</f>
        <v>0</v>
      </c>
      <c r="BY29" s="13">
        <f>SUM(BY14:BY28)</f>
        <v>0</v>
      </c>
      <c r="BZ29" s="13">
        <f>SUM(BZ14:BZ28)</f>
        <v>0</v>
      </c>
      <c r="CA29" s="13">
        <f>SUM(CA16:CA28)</f>
        <v>0</v>
      </c>
      <c r="CB29" s="13">
        <f>SUM(CB16:CB28)</f>
        <v>0</v>
      </c>
      <c r="CC29" s="13">
        <f>SUM(CC16:CC28)</f>
        <v>0</v>
      </c>
      <c r="CD29" s="13">
        <f>SUM(CD16:CD28)</f>
        <v>0</v>
      </c>
      <c r="CE29" s="459">
        <f>SUM(BN29:CD29)</f>
        <v>395.9</v>
      </c>
      <c r="CF29" s="448">
        <f>SUM(CF14:CF28)</f>
        <v>4981.2911664652966</v>
      </c>
      <c r="CJ29" s="195"/>
      <c r="CK29" s="13">
        <f>SUM(CK14:CK28)</f>
        <v>98.27584064296704</v>
      </c>
      <c r="CL29" s="634">
        <f>SUM(CL14:CL28)</f>
        <v>81.751311821472598</v>
      </c>
      <c r="CM29" s="634">
        <f>SUM(CM14:CM28)</f>
        <v>81.751311821472598</v>
      </c>
      <c r="CN29" s="13">
        <f>SUM(CN14:CN28)</f>
        <v>81.751311821472598</v>
      </c>
      <c r="CO29" s="13">
        <f>SUM(CO13:CO28)</f>
        <v>81.751311821472598</v>
      </c>
      <c r="CP29" s="13">
        <f>SUM(CP13:CP28)</f>
        <v>81.751311821472598</v>
      </c>
      <c r="CQ29" s="524">
        <f>SUM(CQ16:CQ28)</f>
        <v>81.751311821472598</v>
      </c>
      <c r="CR29" s="524">
        <f>SUM(CR16:CR28)</f>
        <v>81.751311821472598</v>
      </c>
      <c r="CS29" s="459">
        <f t="shared" ref="CS29:CY29" si="3">SUM(CS14:CS28)</f>
        <v>572.25918275030801</v>
      </c>
      <c r="CT29" s="448">
        <f t="shared" si="3"/>
        <v>4409.0319837149882</v>
      </c>
      <c r="CU29" s="448">
        <f t="shared" si="3"/>
        <v>81.751311821472598</v>
      </c>
      <c r="CV29" s="448">
        <f t="shared" si="3"/>
        <v>81.751311821472598</v>
      </c>
      <c r="CW29" s="517">
        <f t="shared" si="3"/>
        <v>81.751311821472598</v>
      </c>
      <c r="CX29" s="517">
        <f t="shared" si="3"/>
        <v>81.751311821472598</v>
      </c>
      <c r="CY29" s="517">
        <f t="shared" si="3"/>
        <v>81.751311821472598</v>
      </c>
      <c r="CZ29" s="505">
        <f>SUM(CU29:CY29)</f>
        <v>408.75655910736299</v>
      </c>
      <c r="DA29" s="1085">
        <f>CT29-CZ29</f>
        <v>4000.2754246076252</v>
      </c>
      <c r="DB29" s="520"/>
      <c r="DC29" s="1087"/>
      <c r="DD29" s="1087"/>
      <c r="DE29" s="516"/>
      <c r="DF29" s="516"/>
      <c r="DG29" s="516"/>
      <c r="DH29" s="516"/>
      <c r="DI29" s="516"/>
      <c r="DJ29" s="516"/>
      <c r="DK29" s="516"/>
      <c r="DL29" s="516"/>
      <c r="DM29" s="516"/>
      <c r="DN29" s="516"/>
      <c r="DO29" s="516"/>
      <c r="DP29" s="516"/>
      <c r="DQ29" s="516"/>
      <c r="DR29" s="516"/>
      <c r="DS29" s="516"/>
      <c r="DT29" s="516"/>
      <c r="DU29" s="516"/>
      <c r="DV29" s="516"/>
      <c r="DW29" s="516"/>
      <c r="DX29" s="516"/>
      <c r="DY29" s="516">
        <f t="shared" si="1"/>
        <v>0</v>
      </c>
      <c r="DZ29" s="516"/>
    </row>
    <row r="30" spans="1:130" s="104" customFormat="1" ht="15" x14ac:dyDescent="0.2">
      <c r="A30" s="110" t="s">
        <v>315</v>
      </c>
      <c r="B30" s="87"/>
      <c r="C30" s="87"/>
      <c r="D30" s="88"/>
      <c r="E30" s="88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9"/>
      <c r="S30" s="89"/>
      <c r="T30" s="90"/>
      <c r="U30" s="90"/>
      <c r="V30" s="90"/>
      <c r="W30" s="90"/>
      <c r="Y30"/>
      <c r="Z30"/>
      <c r="AA30" s="77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 s="69"/>
      <c r="AZ30"/>
      <c r="BA30" s="77"/>
      <c r="BB30"/>
      <c r="BC30"/>
      <c r="BD30"/>
      <c r="BM30" s="104">
        <f>BM29-BN29-BO29</f>
        <v>5256.7710554059049</v>
      </c>
      <c r="BS30"/>
      <c r="BT30" s="77"/>
      <c r="BU30"/>
      <c r="BV30"/>
      <c r="BW30"/>
      <c r="CG30"/>
      <c r="CH30" s="77"/>
      <c r="CI30"/>
      <c r="CJ30"/>
      <c r="CK30"/>
      <c r="DA30" s="522">
        <f>CT29-CZ29</f>
        <v>4000.2754246076252</v>
      </c>
      <c r="DB30" s="522"/>
      <c r="DC30" s="522"/>
      <c r="DD30" s="522"/>
      <c r="DE30" s="522"/>
      <c r="DF30" s="522"/>
      <c r="DG30" s="522">
        <f t="shared" ref="DG30:DL30" si="4">SUM(DG13:DG29)</f>
        <v>82.20273862469702</v>
      </c>
      <c r="DH30" s="522">
        <f t="shared" si="4"/>
        <v>82.20273862469702</v>
      </c>
      <c r="DI30" s="522">
        <f t="shared" si="4"/>
        <v>82.20273862469702</v>
      </c>
      <c r="DJ30" s="522">
        <f t="shared" si="4"/>
        <v>82.20273862469702</v>
      </c>
      <c r="DK30" s="522">
        <f t="shared" si="4"/>
        <v>82.20273862469702</v>
      </c>
      <c r="DL30" s="522">
        <f t="shared" si="4"/>
        <v>82.20273862469702</v>
      </c>
      <c r="DM30" s="522">
        <f t="shared" ref="DM30:DX30" si="5">SUM(DM14:DM29)</f>
        <v>82.20273862469702</v>
      </c>
      <c r="DN30" s="522">
        <f t="shared" si="5"/>
        <v>82.20273862469702</v>
      </c>
      <c r="DO30" s="522">
        <f t="shared" si="5"/>
        <v>82.20273862469702</v>
      </c>
      <c r="DP30" s="522">
        <f t="shared" si="5"/>
        <v>82.20273862469702</v>
      </c>
      <c r="DQ30" s="522">
        <f t="shared" si="5"/>
        <v>82.20273862469702</v>
      </c>
      <c r="DR30" s="522">
        <f t="shared" ref="DR30:DW30" si="6">SUM(DR14:DR29)</f>
        <v>82.20273862469702</v>
      </c>
      <c r="DS30" s="522">
        <f t="shared" si="6"/>
        <v>82.20273862469702</v>
      </c>
      <c r="DT30" s="522">
        <f t="shared" si="6"/>
        <v>82.20273862469702</v>
      </c>
      <c r="DU30" s="522">
        <f t="shared" si="6"/>
        <v>82.20273862469702</v>
      </c>
      <c r="DV30" s="522">
        <f t="shared" si="6"/>
        <v>82.20273862469702</v>
      </c>
      <c r="DW30" s="522">
        <f t="shared" si="6"/>
        <v>82.20273862469702</v>
      </c>
      <c r="DX30" s="522">
        <f t="shared" si="5"/>
        <v>82.20273862469702</v>
      </c>
      <c r="DY30" s="522">
        <f>SUM(DY14:DY29)</f>
        <v>1479.6492952445465</v>
      </c>
      <c r="DZ30" s="522">
        <f>SUM(DZ13:DZ29)</f>
        <v>2520.6261293630787</v>
      </c>
    </row>
    <row r="31" spans="1:130" s="104" customFormat="1" ht="15" x14ac:dyDescent="0.2">
      <c r="A31" s="238" t="s">
        <v>568</v>
      </c>
      <c r="B31" s="239"/>
      <c r="C31" s="239"/>
      <c r="D31" s="240"/>
      <c r="E31" s="240"/>
      <c r="F31"/>
      <c r="G31"/>
      <c r="H31"/>
      <c r="I31"/>
      <c r="J31"/>
      <c r="K31"/>
      <c r="L31"/>
      <c r="M31"/>
      <c r="N31"/>
      <c r="O31"/>
      <c r="P31"/>
      <c r="Q31"/>
      <c r="R31" s="19"/>
      <c r="S31" s="19"/>
      <c r="T31" s="12"/>
      <c r="U31" s="12"/>
      <c r="V31" s="12"/>
      <c r="W31" s="12"/>
      <c r="Y31"/>
      <c r="Z31"/>
      <c r="AA31" s="77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 s="69"/>
      <c r="AZ31"/>
      <c r="BA31" s="77"/>
      <c r="BB31"/>
      <c r="BC31"/>
      <c r="BD31"/>
      <c r="BS31"/>
      <c r="BT31" s="77"/>
      <c r="BU31"/>
      <c r="BV31"/>
      <c r="BW31"/>
      <c r="CG31"/>
      <c r="CH31" s="77"/>
      <c r="CI31"/>
      <c r="CJ31"/>
      <c r="CK31"/>
      <c r="CT31" s="104">
        <f>CF29-CS29</f>
        <v>4409.0319837149882</v>
      </c>
      <c r="DA31" s="522"/>
      <c r="DB31" s="522"/>
      <c r="DC31" s="522"/>
      <c r="DD31" s="522"/>
      <c r="DE31" s="522"/>
      <c r="DF31" s="522"/>
      <c r="DG31" s="522"/>
      <c r="DH31" s="522"/>
      <c r="DI31" s="522"/>
      <c r="DJ31" s="522"/>
      <c r="DK31" s="522"/>
      <c r="DL31" s="522"/>
      <c r="DM31" s="522"/>
      <c r="DN31" s="522"/>
      <c r="DO31" s="522"/>
      <c r="DP31" s="522"/>
      <c r="DQ31" s="522"/>
      <c r="DR31" s="522"/>
      <c r="DS31" s="522"/>
      <c r="DT31" s="522"/>
      <c r="DU31" s="522"/>
      <c r="DV31" s="522"/>
      <c r="DW31" s="522"/>
      <c r="DX31" s="522"/>
      <c r="DY31" s="522"/>
      <c r="DZ31" s="522">
        <f>DA29-DG30</f>
        <v>3918.0726859829283</v>
      </c>
    </row>
    <row r="32" spans="1:130" ht="30.75" hidden="1" customHeight="1" x14ac:dyDescent="0.2">
      <c r="A32" s="1271" t="s">
        <v>462</v>
      </c>
      <c r="B32" s="1271"/>
      <c r="C32" s="1271"/>
      <c r="D32" s="1271"/>
      <c r="E32" s="1271"/>
      <c r="F32" s="1271"/>
      <c r="G32" s="1271"/>
      <c r="H32" s="1271"/>
      <c r="I32" s="1271"/>
      <c r="J32" s="1271"/>
      <c r="K32" s="1271"/>
      <c r="L32" s="1271"/>
      <c r="M32" s="1271"/>
      <c r="N32" s="1271"/>
      <c r="O32" s="1271"/>
      <c r="P32" s="1271"/>
      <c r="Q32" s="1271"/>
      <c r="R32" s="1271"/>
      <c r="S32" s="1271"/>
      <c r="T32" s="1271"/>
      <c r="U32" s="1271"/>
      <c r="V32" s="1271"/>
      <c r="W32" s="1271"/>
      <c r="X32" s="1271"/>
      <c r="Y32" s="1271"/>
      <c r="Z32" s="1271"/>
      <c r="AA32" s="171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BA32" s="171"/>
      <c r="BB32" s="170"/>
      <c r="BC32" s="170"/>
      <c r="BD32" s="170"/>
      <c r="BT32" s="171"/>
      <c r="BU32" s="170"/>
      <c r="BV32" s="170"/>
      <c r="BW32" s="170"/>
      <c r="CH32" s="171"/>
      <c r="CI32" s="170"/>
      <c r="CJ32" s="170"/>
      <c r="CK32" s="170"/>
    </row>
    <row r="33" spans="1:43" hidden="1" x14ac:dyDescent="0.2">
      <c r="A33" s="1271"/>
      <c r="B33" s="1271"/>
      <c r="C33" s="1271"/>
      <c r="D33" s="1271"/>
      <c r="E33" s="1271"/>
      <c r="F33" s="1271"/>
      <c r="G33" s="1271"/>
      <c r="H33" s="1271"/>
      <c r="I33" s="1271"/>
      <c r="J33" s="1271"/>
      <c r="K33" s="1271"/>
      <c r="L33" s="1271"/>
      <c r="M33" s="1271"/>
      <c r="N33" s="1271"/>
      <c r="O33" s="1271"/>
      <c r="P33" s="1271"/>
      <c r="Q33" s="1271"/>
      <c r="R33" s="1271"/>
      <c r="S33" s="1271"/>
      <c r="T33" s="1271"/>
      <c r="U33" s="1271"/>
      <c r="V33" s="1271"/>
      <c r="W33" s="1271"/>
      <c r="X33" s="1271"/>
      <c r="Y33" s="1271"/>
      <c r="Z33" s="1271"/>
    </row>
    <row r="34" spans="1:43" x14ac:dyDescent="0.2">
      <c r="AQ34" s="104"/>
    </row>
  </sheetData>
  <mergeCells count="39">
    <mergeCell ref="D10:P10"/>
    <mergeCell ref="R10:T10"/>
    <mergeCell ref="H11:H12"/>
    <mergeCell ref="I11:I12"/>
    <mergeCell ref="AC11:AC12"/>
    <mergeCell ref="V10:BD10"/>
    <mergeCell ref="F11:F12"/>
    <mergeCell ref="G11:G12"/>
    <mergeCell ref="BC11:BC12"/>
    <mergeCell ref="CJ11:CJ12"/>
    <mergeCell ref="CK11:CK12"/>
    <mergeCell ref="BD11:BD12"/>
    <mergeCell ref="AD11:AD12"/>
    <mergeCell ref="AS11:AS12"/>
    <mergeCell ref="AT11:AT12"/>
    <mergeCell ref="BV11:BV12"/>
    <mergeCell ref="BW11:BW12"/>
    <mergeCell ref="A32:Z33"/>
    <mergeCell ref="R11:R12"/>
    <mergeCell ref="S11:S12"/>
    <mergeCell ref="T11:T12"/>
    <mergeCell ref="V11:V12"/>
    <mergeCell ref="X11:X12"/>
    <mergeCell ref="Y11:Y12"/>
    <mergeCell ref="J11:J12"/>
    <mergeCell ref="K11:K12"/>
    <mergeCell ref="L11:L12"/>
    <mergeCell ref="M11:M12"/>
    <mergeCell ref="O11:O12"/>
    <mergeCell ref="Q11:Q12"/>
    <mergeCell ref="A11:A12"/>
    <mergeCell ref="B11:B12"/>
    <mergeCell ref="E11:E12"/>
    <mergeCell ref="DZ11:DZ12"/>
    <mergeCell ref="CZ11:CZ12"/>
    <mergeCell ref="DA11:DA12"/>
    <mergeCell ref="DE11:DE12"/>
    <mergeCell ref="DF11:DF12"/>
    <mergeCell ref="DY11:DY12"/>
  </mergeCells>
  <printOptions horizontalCentered="1"/>
  <pageMargins left="0.19685039370078741" right="0.19685039370078741" top="0.39370078740157483" bottom="0.39370078740157483" header="0" footer="0"/>
  <pageSetup scale="45" orientation="landscape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DY42"/>
  <sheetViews>
    <sheetView topLeftCell="D10" zoomScaleNormal="100" workbookViewId="0">
      <selection activeCell="DW35" sqref="DW35"/>
    </sheetView>
  </sheetViews>
  <sheetFormatPr baseColWidth="10" defaultRowHeight="12.75" x14ac:dyDescent="0.2"/>
  <cols>
    <col min="1" max="1" width="19.7109375" customWidth="1"/>
    <col min="2" max="2" width="18.28515625" customWidth="1"/>
    <col min="3" max="3" width="17.85546875" customWidth="1"/>
    <col min="4" max="4" width="6.7109375" style="18" customWidth="1"/>
    <col min="5" max="5" width="7.42578125" style="18" customWidth="1"/>
    <col min="6" max="6" width="9.7109375" customWidth="1"/>
    <col min="7" max="7" width="8.5703125" customWidth="1"/>
    <col min="8" max="11" width="8.5703125" hidden="1" customWidth="1"/>
    <col min="12" max="12" width="8.5703125" customWidth="1"/>
    <col min="13" max="13" width="8.5703125" hidden="1" customWidth="1"/>
    <col min="14" max="14" width="5.85546875" hidden="1" customWidth="1"/>
    <col min="15" max="15" width="8.42578125" hidden="1" customWidth="1"/>
    <col min="16" max="16" width="7.5703125" hidden="1" customWidth="1"/>
    <col min="17" max="17" width="9.140625" customWidth="1"/>
    <col min="18" max="18" width="11.5703125" style="19" customWidth="1"/>
    <col min="19" max="19" width="9.5703125" style="19" customWidth="1"/>
    <col min="20" max="20" width="8.42578125" style="12" customWidth="1"/>
    <col min="21" max="21" width="7.42578125" style="12" customWidth="1"/>
    <col min="22" max="23" width="8.42578125" style="12" hidden="1" customWidth="1"/>
    <col min="24" max="24" width="10.140625" style="104" hidden="1" customWidth="1"/>
    <col min="25" max="25" width="8.7109375" hidden="1" customWidth="1"/>
    <col min="26" max="26" width="8.7109375" style="77" hidden="1" customWidth="1"/>
    <col min="27" max="27" width="7.42578125" hidden="1" customWidth="1"/>
    <col min="28" max="28" width="8" hidden="1" customWidth="1"/>
    <col min="29" max="29" width="9" hidden="1" customWidth="1"/>
    <col min="30" max="34" width="7.7109375" hidden="1" customWidth="1"/>
    <col min="35" max="35" width="11.28515625" hidden="1" customWidth="1"/>
    <col min="36" max="37" width="7.7109375" hidden="1" customWidth="1"/>
    <col min="38" max="38" width="8.5703125" hidden="1" customWidth="1"/>
    <col min="39" max="41" width="7.7109375" hidden="1" customWidth="1"/>
    <col min="42" max="42" width="9.28515625" hidden="1" customWidth="1"/>
    <col min="43" max="43" width="9.140625" style="69" hidden="1" customWidth="1"/>
    <col min="44" max="44" width="7.42578125" style="16" hidden="1" customWidth="1"/>
    <col min="45" max="45" width="7.140625" style="16" hidden="1" customWidth="1"/>
    <col min="46" max="46" width="8.42578125" hidden="1" customWidth="1"/>
    <col min="47" max="48" width="9.5703125" hidden="1" customWidth="1"/>
    <col min="49" max="49" width="9.140625" hidden="1" customWidth="1"/>
    <col min="50" max="50" width="9.7109375" hidden="1" customWidth="1"/>
    <col min="51" max="51" width="8.7109375" hidden="1" customWidth="1"/>
    <col min="52" max="52" width="8.140625" style="77" hidden="1" customWidth="1"/>
    <col min="53" max="53" width="7.42578125" hidden="1" customWidth="1"/>
    <col min="54" max="54" width="7" hidden="1" customWidth="1"/>
    <col min="55" max="55" width="7.5703125" hidden="1" customWidth="1"/>
    <col min="56" max="62" width="8.7109375" hidden="1" customWidth="1"/>
    <col min="63" max="63" width="9.7109375" hidden="1" customWidth="1"/>
    <col min="64" max="64" width="9.7109375" style="436" hidden="1" customWidth="1"/>
    <col min="65" max="65" width="7.140625" hidden="1" customWidth="1"/>
    <col min="66" max="66" width="8" hidden="1" customWidth="1"/>
    <col min="67" max="68" width="9.5703125" hidden="1" customWidth="1"/>
    <col min="69" max="69" width="8.140625" hidden="1" customWidth="1"/>
    <col min="70" max="70" width="8.7109375" hidden="1" customWidth="1"/>
    <col min="71" max="71" width="8.140625" style="77" hidden="1" customWidth="1"/>
    <col min="72" max="72" width="7.42578125" hidden="1" customWidth="1"/>
    <col min="73" max="73" width="8.5703125" hidden="1" customWidth="1"/>
    <col min="74" max="74" width="8.28515625" hidden="1" customWidth="1"/>
    <col min="75" max="81" width="8.7109375" hidden="1" customWidth="1"/>
    <col min="82" max="82" width="7.85546875" hidden="1" customWidth="1"/>
    <col min="83" max="83" width="12.42578125" style="436" hidden="1" customWidth="1"/>
    <col min="84" max="84" width="8.7109375" hidden="1" customWidth="1"/>
    <col min="85" max="85" width="8.140625" style="77" hidden="1" customWidth="1"/>
    <col min="86" max="86" width="7.42578125" hidden="1" customWidth="1"/>
    <col min="87" max="87" width="10" hidden="1" customWidth="1"/>
    <col min="88" max="88" width="7.5703125" hidden="1" customWidth="1"/>
    <col min="89" max="95" width="8.7109375" hidden="1" customWidth="1"/>
    <col min="96" max="96" width="9.7109375" hidden="1" customWidth="1"/>
    <col min="97" max="97" width="10.85546875" style="436" hidden="1" customWidth="1"/>
    <col min="98" max="98" width="0" hidden="1" customWidth="1"/>
    <col min="99" max="102" width="11.42578125" hidden="1" customWidth="1"/>
    <col min="103" max="103" width="0" hidden="1" customWidth="1"/>
    <col min="105" max="109" width="11.42578125" customWidth="1"/>
    <col min="110" max="126" width="11.42578125" hidden="1" customWidth="1"/>
    <col min="127" max="129" width="11.42578125" customWidth="1"/>
  </cols>
  <sheetData>
    <row r="1" spans="1:129" x14ac:dyDescent="0.2">
      <c r="A1" s="637"/>
      <c r="B1" s="638" t="s">
        <v>27</v>
      </c>
      <c r="C1" s="637"/>
      <c r="D1" s="639"/>
      <c r="E1" s="639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40"/>
      <c r="S1" s="640"/>
      <c r="T1" s="637"/>
      <c r="U1" s="637"/>
      <c r="V1" s="637"/>
      <c r="W1" s="637"/>
      <c r="X1" s="661"/>
      <c r="Y1" s="662"/>
      <c r="Z1" s="663"/>
      <c r="AA1" s="662"/>
      <c r="AB1" s="662"/>
      <c r="AC1" s="662"/>
      <c r="AD1" s="662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62"/>
      <c r="AP1" s="637"/>
      <c r="AQ1" s="664"/>
      <c r="AR1" s="637"/>
      <c r="AS1" s="637"/>
      <c r="AT1" s="637"/>
      <c r="AU1" s="637"/>
      <c r="AV1" s="637"/>
      <c r="AW1" s="637"/>
      <c r="AX1" s="637"/>
      <c r="AY1" s="662"/>
      <c r="AZ1" s="663"/>
      <c r="BA1" s="662"/>
      <c r="BB1" s="662"/>
      <c r="BC1" s="662"/>
      <c r="BD1" s="637"/>
      <c r="BE1" s="637"/>
      <c r="BF1" s="637"/>
      <c r="BG1" s="637"/>
      <c r="BH1" s="637"/>
      <c r="BI1" s="637"/>
      <c r="BJ1" s="637"/>
      <c r="BK1" s="637"/>
      <c r="BL1" s="642"/>
      <c r="BM1" s="637"/>
      <c r="BN1" s="637"/>
      <c r="BO1" s="637"/>
      <c r="BP1" s="637"/>
      <c r="BQ1" s="637"/>
      <c r="BR1" s="662"/>
      <c r="BS1" s="663"/>
      <c r="BT1" s="662"/>
      <c r="BU1" s="662"/>
      <c r="BV1" s="662"/>
      <c r="BW1" s="637"/>
      <c r="BX1" s="637"/>
      <c r="BY1" s="637"/>
      <c r="BZ1" s="637"/>
      <c r="CA1" s="637"/>
      <c r="CB1" s="637"/>
      <c r="CC1" s="637"/>
      <c r="CD1" s="637"/>
      <c r="CE1" s="642"/>
      <c r="CF1" s="662"/>
      <c r="CG1" s="663"/>
      <c r="CH1" s="662"/>
      <c r="CI1" s="662"/>
      <c r="CJ1" s="662"/>
      <c r="CK1" s="637"/>
      <c r="CL1" s="637"/>
      <c r="CM1" s="637"/>
      <c r="CN1" s="637"/>
      <c r="CO1" s="637"/>
      <c r="CP1" s="637"/>
      <c r="CQ1" s="637"/>
      <c r="CR1" s="637"/>
      <c r="CS1" s="642"/>
    </row>
    <row r="2" spans="1:129" x14ac:dyDescent="0.2">
      <c r="A2" s="637"/>
      <c r="B2" s="638" t="s">
        <v>1273</v>
      </c>
      <c r="C2" s="637"/>
      <c r="D2" s="639"/>
      <c r="E2" s="639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40"/>
      <c r="S2" s="640"/>
      <c r="T2" s="637"/>
      <c r="U2" s="637"/>
      <c r="V2" s="637"/>
      <c r="W2" s="637"/>
      <c r="X2" s="661"/>
      <c r="Y2" s="662"/>
      <c r="Z2" s="663"/>
      <c r="AA2" s="662"/>
      <c r="AB2" s="662"/>
      <c r="AC2" s="662"/>
      <c r="AD2" s="662"/>
      <c r="AE2" s="637"/>
      <c r="AF2" s="637"/>
      <c r="AG2" s="637"/>
      <c r="AH2" s="637"/>
      <c r="AI2" s="637"/>
      <c r="AJ2" s="637"/>
      <c r="AK2" s="637"/>
      <c r="AL2" s="637"/>
      <c r="AM2" s="637"/>
      <c r="AN2" s="637"/>
      <c r="AO2" s="637"/>
      <c r="AP2" s="637"/>
      <c r="AQ2" s="664"/>
      <c r="AR2" s="637"/>
      <c r="AS2" s="637"/>
      <c r="AT2" s="637"/>
      <c r="AU2" s="637"/>
      <c r="AV2" s="637"/>
      <c r="AW2" s="637"/>
      <c r="AX2" s="637"/>
      <c r="AY2" s="662"/>
      <c r="AZ2" s="663"/>
      <c r="BA2" s="662"/>
      <c r="BB2" s="662"/>
      <c r="BC2" s="662"/>
      <c r="BD2" s="637"/>
      <c r="BE2" s="637"/>
      <c r="BF2" s="637"/>
      <c r="BG2" s="637"/>
      <c r="BH2" s="637"/>
      <c r="BI2" s="637"/>
      <c r="BJ2" s="637"/>
      <c r="BK2" s="637"/>
      <c r="BL2" s="642"/>
      <c r="BM2" s="637"/>
      <c r="BN2" s="637"/>
      <c r="BO2" s="637"/>
      <c r="BP2" s="637"/>
      <c r="BQ2" s="637"/>
      <c r="BR2" s="662"/>
      <c r="BS2" s="663"/>
      <c r="BT2" s="662"/>
      <c r="BU2" s="662"/>
      <c r="BV2" s="662"/>
      <c r="BW2" s="637"/>
      <c r="BX2" s="637"/>
      <c r="BY2" s="637"/>
      <c r="BZ2" s="637"/>
      <c r="CA2" s="637"/>
      <c r="CB2" s="637"/>
      <c r="CC2" s="637"/>
      <c r="CD2" s="637"/>
      <c r="CE2" s="642"/>
      <c r="CF2" s="662"/>
      <c r="CG2" s="663"/>
      <c r="CH2" s="662"/>
      <c r="CI2" s="662"/>
      <c r="CJ2" s="662"/>
      <c r="CK2" s="637"/>
      <c r="CL2" s="637"/>
      <c r="CM2" s="637"/>
      <c r="CN2" s="637"/>
      <c r="CO2" s="637"/>
      <c r="CP2" s="637"/>
      <c r="CQ2" s="637"/>
      <c r="CR2" s="637"/>
      <c r="CS2" s="642"/>
    </row>
    <row r="3" spans="1:129" x14ac:dyDescent="0.2">
      <c r="A3" s="637"/>
      <c r="B3" s="637"/>
      <c r="C3" s="638"/>
      <c r="D3" s="641"/>
      <c r="E3" s="639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38"/>
      <c r="S3" s="638"/>
      <c r="T3" s="642"/>
      <c r="U3" s="642"/>
      <c r="V3" s="642"/>
      <c r="W3" s="642"/>
      <c r="X3" s="665"/>
      <c r="Y3" s="662"/>
      <c r="Z3" s="663"/>
      <c r="AA3" s="662"/>
      <c r="AB3" s="662"/>
      <c r="AC3" s="662"/>
      <c r="AD3" s="662"/>
      <c r="AE3" s="637"/>
      <c r="AF3" s="637"/>
      <c r="AG3" s="637"/>
      <c r="AH3" s="637"/>
      <c r="AI3" s="637"/>
      <c r="AJ3" s="637"/>
      <c r="AK3" s="637"/>
      <c r="AL3" s="637"/>
      <c r="AM3" s="637"/>
      <c r="AN3" s="637"/>
      <c r="AO3" s="637"/>
      <c r="AP3" s="637"/>
      <c r="AQ3" s="664"/>
      <c r="AR3" s="637"/>
      <c r="AS3" s="637"/>
      <c r="AT3" s="637"/>
      <c r="AU3" s="637"/>
      <c r="AV3" s="637"/>
      <c r="AW3" s="637"/>
      <c r="AX3" s="637"/>
      <c r="AY3" s="662"/>
      <c r="AZ3" s="663"/>
      <c r="BA3" s="662"/>
      <c r="BB3" s="662"/>
      <c r="BC3" s="662"/>
      <c r="BD3" s="637"/>
      <c r="BE3" s="637"/>
      <c r="BF3" s="637"/>
      <c r="BG3" s="637"/>
      <c r="BH3" s="637"/>
      <c r="BI3" s="637"/>
      <c r="BJ3" s="637"/>
      <c r="BK3" s="637"/>
      <c r="BL3" s="642"/>
      <c r="BM3" s="637"/>
      <c r="BN3" s="637"/>
      <c r="BO3" s="637"/>
      <c r="BP3" s="637"/>
      <c r="BQ3" s="637"/>
      <c r="BR3" s="662"/>
      <c r="BS3" s="663"/>
      <c r="BT3" s="662"/>
      <c r="BU3" s="662"/>
      <c r="BV3" s="662"/>
      <c r="BW3" s="637"/>
      <c r="BX3" s="637"/>
      <c r="BY3" s="637"/>
      <c r="BZ3" s="637"/>
      <c r="CA3" s="637"/>
      <c r="CB3" s="637"/>
      <c r="CC3" s="637"/>
      <c r="CD3" s="637"/>
      <c r="CE3" s="642"/>
      <c r="CF3" s="662"/>
      <c r="CG3" s="663"/>
      <c r="CH3" s="662"/>
      <c r="CI3" s="662"/>
      <c r="CJ3" s="662"/>
      <c r="CK3" s="637"/>
      <c r="CL3" s="637"/>
      <c r="CM3" s="637"/>
      <c r="CN3" s="637"/>
      <c r="CO3" s="637"/>
      <c r="CP3" s="637"/>
      <c r="CQ3" s="637"/>
      <c r="CR3" s="637"/>
      <c r="CS3" s="642"/>
    </row>
    <row r="4" spans="1:129" x14ac:dyDescent="0.2">
      <c r="A4" s="637"/>
      <c r="B4" s="637" t="s">
        <v>309</v>
      </c>
      <c r="C4" s="638"/>
      <c r="D4" s="641"/>
      <c r="E4" s="639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38"/>
      <c r="S4" s="638"/>
      <c r="T4" s="642"/>
      <c r="U4" s="642"/>
      <c r="V4" s="642"/>
      <c r="W4" s="642"/>
      <c r="X4" s="665"/>
      <c r="Y4" s="662"/>
      <c r="Z4" s="663"/>
      <c r="AA4" s="662"/>
      <c r="AB4" s="662"/>
      <c r="AC4" s="662"/>
      <c r="AD4" s="662"/>
      <c r="AE4" s="637"/>
      <c r="AF4" s="637"/>
      <c r="AG4" s="637"/>
      <c r="AH4" s="637"/>
      <c r="AI4" s="637"/>
      <c r="AJ4" s="637"/>
      <c r="AK4" s="637"/>
      <c r="AL4" s="637"/>
      <c r="AM4" s="637"/>
      <c r="AN4" s="637"/>
      <c r="AO4" s="637"/>
      <c r="AP4" s="637"/>
      <c r="AQ4" s="664"/>
      <c r="AR4" s="637"/>
      <c r="AS4" s="637"/>
      <c r="AT4" s="637"/>
      <c r="AU4" s="637"/>
      <c r="AV4" s="637"/>
      <c r="AW4" s="637"/>
      <c r="AX4" s="637"/>
      <c r="AY4" s="662"/>
      <c r="AZ4" s="663"/>
      <c r="BA4" s="662"/>
      <c r="BB4" s="662"/>
      <c r="BC4" s="662"/>
      <c r="BD4" s="637"/>
      <c r="BE4" s="637"/>
      <c r="BF4" s="637"/>
      <c r="BG4" s="637"/>
      <c r="BH4" s="637"/>
      <c r="BI4" s="637"/>
      <c r="BJ4" s="637"/>
      <c r="BK4" s="637"/>
      <c r="BL4" s="642"/>
      <c r="BM4" s="637"/>
      <c r="BN4" s="637"/>
      <c r="BO4" s="637"/>
      <c r="BP4" s="637"/>
      <c r="BQ4" s="637"/>
      <c r="BR4" s="662"/>
      <c r="BS4" s="663"/>
      <c r="BT4" s="662"/>
      <c r="BU4" s="662"/>
      <c r="BV4" s="662"/>
      <c r="BW4" s="637"/>
      <c r="BX4" s="637"/>
      <c r="BY4" s="637"/>
      <c r="BZ4" s="637"/>
      <c r="CA4" s="637"/>
      <c r="CB4" s="637"/>
      <c r="CC4" s="637"/>
      <c r="CD4" s="637"/>
      <c r="CE4" s="642"/>
      <c r="CF4" s="662"/>
      <c r="CG4" s="663"/>
      <c r="CH4" s="662"/>
      <c r="CI4" s="662"/>
      <c r="CJ4" s="662"/>
      <c r="CK4" s="637"/>
      <c r="CL4" s="637"/>
      <c r="CM4" s="637"/>
      <c r="CN4" s="637"/>
      <c r="CO4" s="637"/>
      <c r="CP4" s="637"/>
      <c r="CQ4" s="637"/>
      <c r="CR4" s="637"/>
      <c r="CS4" s="642"/>
    </row>
    <row r="5" spans="1:129" x14ac:dyDescent="0.2">
      <c r="A5" s="637"/>
      <c r="B5" s="642" t="s">
        <v>343</v>
      </c>
      <c r="C5" s="637"/>
      <c r="D5" s="639"/>
      <c r="E5" s="639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40"/>
      <c r="S5" s="640"/>
      <c r="T5" s="637"/>
      <c r="U5" s="637"/>
      <c r="V5" s="637"/>
      <c r="W5" s="637"/>
      <c r="X5" s="661"/>
      <c r="Y5" s="662"/>
      <c r="Z5" s="663"/>
      <c r="AA5" s="662"/>
      <c r="AB5" s="662"/>
      <c r="AC5" s="662"/>
      <c r="AD5" s="662"/>
      <c r="AE5" s="637"/>
      <c r="AF5" s="637"/>
      <c r="AG5" s="637"/>
      <c r="AH5" s="637"/>
      <c r="AI5" s="637"/>
      <c r="AJ5" s="637"/>
      <c r="AK5" s="637"/>
      <c r="AL5" s="637"/>
      <c r="AM5" s="637"/>
      <c r="AN5" s="637"/>
      <c r="AO5" s="637"/>
      <c r="AP5" s="637"/>
      <c r="AQ5" s="664"/>
      <c r="AR5" s="637"/>
      <c r="AS5" s="637"/>
      <c r="AT5" s="637"/>
      <c r="AU5" s="637"/>
      <c r="AV5" s="637"/>
      <c r="AW5" s="637"/>
      <c r="AX5" s="637"/>
      <c r="AY5" s="662"/>
      <c r="AZ5" s="663"/>
      <c r="BA5" s="662"/>
      <c r="BB5" s="662"/>
      <c r="BC5" s="662"/>
      <c r="BD5" s="637"/>
      <c r="BE5" s="637"/>
      <c r="BF5" s="637"/>
      <c r="BG5" s="637"/>
      <c r="BH5" s="637"/>
      <c r="BI5" s="637"/>
      <c r="BJ5" s="637"/>
      <c r="BK5" s="637"/>
      <c r="BL5" s="642"/>
      <c r="BM5" s="637"/>
      <c r="BN5" s="637"/>
      <c r="BO5" s="637"/>
      <c r="BP5" s="637"/>
      <c r="BQ5" s="637"/>
      <c r="BR5" s="662"/>
      <c r="BS5" s="663"/>
      <c r="BT5" s="662"/>
      <c r="BU5" s="662"/>
      <c r="BV5" s="662"/>
      <c r="BW5" s="637"/>
      <c r="BX5" s="637"/>
      <c r="BY5" s="637"/>
      <c r="BZ5" s="637"/>
      <c r="CA5" s="637"/>
      <c r="CB5" s="637"/>
      <c r="CC5" s="637"/>
      <c r="CD5" s="637"/>
      <c r="CE5" s="642"/>
      <c r="CF5" s="662"/>
      <c r="CG5" s="663"/>
      <c r="CH5" s="662"/>
      <c r="CI5" s="662"/>
      <c r="CJ5" s="662"/>
      <c r="CK5" s="637"/>
      <c r="CL5" s="637"/>
      <c r="CM5" s="637"/>
      <c r="CN5" s="637"/>
      <c r="CO5" s="637"/>
      <c r="CP5" s="637"/>
      <c r="CQ5" s="637"/>
      <c r="CR5" s="637"/>
      <c r="CS5" s="642"/>
    </row>
    <row r="6" spans="1:129" x14ac:dyDescent="0.2">
      <c r="A6" s="637"/>
      <c r="B6" s="637" t="s">
        <v>1272</v>
      </c>
      <c r="C6" s="637"/>
      <c r="D6" s="639"/>
      <c r="E6" s="639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40"/>
      <c r="S6" s="640"/>
      <c r="T6" s="637"/>
      <c r="U6" s="637"/>
      <c r="V6" s="637"/>
      <c r="W6" s="637"/>
      <c r="X6" s="661"/>
      <c r="Y6" s="662"/>
      <c r="Z6" s="663"/>
      <c r="AA6" s="662"/>
      <c r="AB6" s="662"/>
      <c r="AC6" s="662"/>
      <c r="AD6" s="662"/>
      <c r="AE6" s="637"/>
      <c r="AF6" s="637"/>
      <c r="AG6" s="637"/>
      <c r="AH6" s="637"/>
      <c r="AI6" s="637"/>
      <c r="AJ6" s="637"/>
      <c r="AK6" s="637"/>
      <c r="AL6" s="637"/>
      <c r="AM6" s="637"/>
      <c r="AN6" s="637"/>
      <c r="AO6" s="637"/>
      <c r="AP6" s="637"/>
      <c r="AQ6" s="664"/>
      <c r="AR6" s="637"/>
      <c r="AS6" s="637"/>
      <c r="AT6" s="637"/>
      <c r="AU6" s="637"/>
      <c r="AV6" s="637"/>
      <c r="AW6" s="637"/>
      <c r="AX6" s="637"/>
      <c r="AY6" s="662"/>
      <c r="AZ6" s="663"/>
      <c r="BA6" s="662"/>
      <c r="BB6" s="662"/>
      <c r="BC6" s="662"/>
      <c r="BD6" s="637"/>
      <c r="BE6" s="637"/>
      <c r="BF6" s="637"/>
      <c r="BG6" s="637"/>
      <c r="BH6" s="637"/>
      <c r="BI6" s="637"/>
      <c r="BJ6" s="637"/>
      <c r="BK6" s="637"/>
      <c r="BL6" s="642"/>
      <c r="BM6" s="637"/>
      <c r="BN6" s="637"/>
      <c r="BO6" s="637"/>
      <c r="BP6" s="637"/>
      <c r="BQ6" s="637"/>
      <c r="BR6" s="662"/>
      <c r="BS6" s="663"/>
      <c r="BT6" s="662"/>
      <c r="BU6" s="662"/>
      <c r="BV6" s="662"/>
      <c r="BW6" s="637"/>
      <c r="BX6" s="637"/>
      <c r="BY6" s="637"/>
      <c r="BZ6" s="637"/>
      <c r="CA6" s="637"/>
      <c r="CB6" s="637"/>
      <c r="CC6" s="637"/>
      <c r="CD6" s="637"/>
      <c r="CE6" s="642"/>
      <c r="CF6" s="662"/>
      <c r="CG6" s="663"/>
      <c r="CH6" s="662"/>
      <c r="CI6" s="662"/>
      <c r="CJ6" s="662"/>
      <c r="CK6" s="637"/>
      <c r="CL6" s="637"/>
      <c r="CM6" s="637"/>
      <c r="CN6" s="637"/>
      <c r="CO6" s="637"/>
      <c r="CP6" s="637"/>
      <c r="CQ6" s="637"/>
      <c r="CR6" s="637"/>
      <c r="CS6" s="642"/>
    </row>
    <row r="7" spans="1:129" x14ac:dyDescent="0.2">
      <c r="A7" s="637"/>
      <c r="B7" s="637"/>
      <c r="C7" s="637"/>
      <c r="D7" s="639"/>
      <c r="E7" s="639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40"/>
      <c r="S7" s="640"/>
      <c r="T7" s="637"/>
      <c r="U7" s="637"/>
      <c r="V7" s="637"/>
      <c r="W7" s="637"/>
      <c r="X7" s="661"/>
      <c r="Y7" s="662"/>
      <c r="Z7" s="663"/>
      <c r="AA7" s="662"/>
      <c r="AB7" s="662"/>
      <c r="AC7" s="662"/>
      <c r="AD7" s="662"/>
      <c r="AE7" s="637"/>
      <c r="AF7" s="637"/>
      <c r="AG7" s="637"/>
      <c r="AH7" s="637"/>
      <c r="AI7" s="637"/>
      <c r="AJ7" s="637"/>
      <c r="AK7" s="637"/>
      <c r="AL7" s="637"/>
      <c r="AM7" s="637"/>
      <c r="AN7" s="637"/>
      <c r="AO7" s="637"/>
      <c r="AP7" s="637"/>
      <c r="AQ7" s="664"/>
      <c r="AR7" s="637"/>
      <c r="AS7" s="637"/>
      <c r="AT7" s="637"/>
      <c r="AU7" s="637"/>
      <c r="AV7" s="637"/>
      <c r="AW7" s="637"/>
      <c r="AX7" s="637"/>
      <c r="AY7" s="662"/>
      <c r="AZ7" s="663"/>
      <c r="BA7" s="662"/>
      <c r="BB7" s="662"/>
      <c r="BC7" s="662"/>
      <c r="BD7" s="637"/>
      <c r="BE7" s="637"/>
      <c r="BF7" s="637"/>
      <c r="BG7" s="637"/>
      <c r="BH7" s="637"/>
      <c r="BI7" s="637"/>
      <c r="BJ7" s="637"/>
      <c r="BK7" s="637"/>
      <c r="BL7" s="642"/>
      <c r="BM7" s="637"/>
      <c r="BN7" s="637"/>
      <c r="BO7" s="637"/>
      <c r="BP7" s="637"/>
      <c r="BQ7" s="637"/>
      <c r="BR7" s="662"/>
      <c r="BS7" s="663"/>
      <c r="BT7" s="662"/>
      <c r="BU7" s="662"/>
      <c r="BV7" s="662"/>
      <c r="BW7" s="637"/>
      <c r="BX7" s="637"/>
      <c r="BY7" s="637"/>
      <c r="BZ7" s="637"/>
      <c r="CA7" s="637"/>
      <c r="CB7" s="637"/>
      <c r="CC7" s="637"/>
      <c r="CD7" s="637"/>
      <c r="CE7" s="642"/>
      <c r="CF7" s="662"/>
      <c r="CG7" s="663"/>
      <c r="CH7" s="662"/>
      <c r="CI7" s="662"/>
      <c r="CJ7" s="662"/>
      <c r="CK7" s="637"/>
      <c r="CL7" s="637"/>
      <c r="CM7" s="637"/>
      <c r="CN7" s="637"/>
      <c r="CO7" s="637"/>
      <c r="CP7" s="637"/>
      <c r="CQ7" s="637"/>
      <c r="CR7" s="637"/>
      <c r="CS7" s="642"/>
    </row>
    <row r="8" spans="1:129" s="16" customFormat="1" x14ac:dyDescent="0.2">
      <c r="D8" s="38"/>
      <c r="E8" s="38"/>
      <c r="R8" s="37"/>
      <c r="S8" s="37"/>
      <c r="T8" s="35"/>
      <c r="U8" s="35"/>
      <c r="V8" s="35"/>
      <c r="W8" s="35"/>
      <c r="X8" s="103"/>
      <c r="Y8" s="39"/>
      <c r="Z8" s="76"/>
      <c r="AA8" s="39"/>
      <c r="AB8" s="39"/>
      <c r="AC8" s="39"/>
      <c r="AD8" s="39"/>
      <c r="AQ8" s="68"/>
      <c r="AY8" s="39"/>
      <c r="AZ8" s="76"/>
      <c r="BA8" s="39"/>
      <c r="BB8" s="39"/>
      <c r="BC8" s="39"/>
      <c r="BL8" s="437"/>
      <c r="BR8" s="39"/>
      <c r="BS8" s="76"/>
      <c r="BT8" s="39"/>
      <c r="BU8" s="39"/>
      <c r="BV8" s="39"/>
      <c r="CE8" s="437"/>
      <c r="CF8" s="39"/>
      <c r="CG8" s="76"/>
      <c r="CH8" s="39"/>
      <c r="CI8" s="39"/>
      <c r="CJ8" s="39"/>
      <c r="CS8" s="437"/>
      <c r="CT8"/>
      <c r="CU8"/>
      <c r="CV8"/>
      <c r="CW8"/>
      <c r="CX8"/>
      <c r="CY8"/>
      <c r="CZ8"/>
      <c r="DA8"/>
      <c r="DB8"/>
      <c r="DC8"/>
      <c r="DD8"/>
    </row>
    <row r="9" spans="1:129" s="16" customFormat="1" ht="20.25" customHeight="1" x14ac:dyDescent="0.2">
      <c r="D9" s="38"/>
      <c r="E9" s="38"/>
      <c r="R9" s="37"/>
      <c r="S9" s="37"/>
      <c r="T9" s="35"/>
      <c r="U9" s="35"/>
      <c r="V9" s="35"/>
      <c r="W9" s="35"/>
      <c r="X9" s="103"/>
      <c r="Y9" s="39"/>
      <c r="Z9" s="76"/>
      <c r="AA9" s="39"/>
      <c r="AB9" s="39"/>
      <c r="AC9" s="39"/>
      <c r="AD9" s="39"/>
      <c r="AQ9" s="68"/>
      <c r="AY9" s="39"/>
      <c r="AZ9" s="76"/>
      <c r="BA9" s="39"/>
      <c r="BB9" s="39"/>
      <c r="BC9" s="39"/>
      <c r="BL9" s="437"/>
      <c r="BR9" s="39"/>
      <c r="BS9" s="76"/>
      <c r="BT9" s="39"/>
      <c r="BU9" s="39"/>
      <c r="BV9" s="39"/>
      <c r="CE9" s="437"/>
      <c r="CF9" s="39"/>
      <c r="CG9" s="76"/>
      <c r="CH9" s="39"/>
      <c r="CI9" s="39"/>
      <c r="CJ9" s="39"/>
      <c r="CS9" s="437"/>
      <c r="CT9"/>
      <c r="CU9"/>
      <c r="CV9"/>
      <c r="CW9"/>
      <c r="CX9"/>
      <c r="CY9"/>
      <c r="CZ9"/>
      <c r="DA9"/>
      <c r="DB9"/>
      <c r="DC9"/>
      <c r="DD9"/>
    </row>
    <row r="10" spans="1:129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229"/>
      <c r="V10" s="1275" t="s">
        <v>450</v>
      </c>
      <c r="W10" s="1275"/>
      <c r="X10" s="1275"/>
      <c r="Y10" s="1275"/>
      <c r="Z10" s="1275"/>
      <c r="AA10" s="1275"/>
      <c r="AB10" s="1275"/>
      <c r="AC10" s="1275"/>
      <c r="AD10" s="1275"/>
      <c r="AE10" s="1275"/>
      <c r="AF10" s="1275"/>
      <c r="AG10" s="1275"/>
      <c r="AH10" s="1275"/>
      <c r="AI10" s="1275"/>
      <c r="AJ10" s="1275"/>
      <c r="AK10" s="1275"/>
      <c r="AL10" s="1275"/>
      <c r="AM10" s="1275"/>
      <c r="AN10" s="1275"/>
      <c r="AO10" s="1275"/>
      <c r="AP10" s="1275"/>
      <c r="AQ10" s="1275"/>
      <c r="AR10" s="1275"/>
      <c r="AS10" s="1275"/>
      <c r="AT10" s="1275"/>
      <c r="AU10" s="1275"/>
      <c r="AV10" s="1275"/>
      <c r="AW10" s="1275"/>
      <c r="AX10" s="1275"/>
      <c r="AY10" s="1275"/>
      <c r="AZ10" s="1275"/>
      <c r="BM10" s="436"/>
      <c r="BN10" s="436"/>
      <c r="BO10" s="436"/>
      <c r="BP10" s="436"/>
      <c r="BQ10" s="436"/>
      <c r="BR10" s="436"/>
      <c r="BS10" s="436"/>
      <c r="CG10"/>
    </row>
    <row r="11" spans="1:129" ht="54" customHeight="1" x14ac:dyDescent="0.25">
      <c r="A11" s="1261" t="s">
        <v>57</v>
      </c>
      <c r="B11" s="1261" t="s">
        <v>0</v>
      </c>
      <c r="C11" s="230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1126</v>
      </c>
      <c r="J11" s="1254" t="s">
        <v>1127</v>
      </c>
      <c r="K11" s="1254" t="s">
        <v>534</v>
      </c>
      <c r="L11" s="1254" t="s">
        <v>493</v>
      </c>
      <c r="M11" s="1254" t="s">
        <v>1145</v>
      </c>
      <c r="N11" s="231" t="s">
        <v>529</v>
      </c>
      <c r="O11" s="1254" t="s">
        <v>492</v>
      </c>
      <c r="P11" s="236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233"/>
      <c r="V11" s="1245" t="s">
        <v>447</v>
      </c>
      <c r="W11" s="232"/>
      <c r="X11" s="1268" t="s">
        <v>569</v>
      </c>
      <c r="Y11" s="158" t="s">
        <v>15</v>
      </c>
      <c r="Z11" s="159" t="s">
        <v>15</v>
      </c>
      <c r="AA11" s="158" t="s">
        <v>16</v>
      </c>
      <c r="AB11" s="1245" t="s">
        <v>527</v>
      </c>
      <c r="AC11" s="1245" t="s">
        <v>536</v>
      </c>
      <c r="AD11" s="158" t="s">
        <v>3</v>
      </c>
      <c r="AE11" s="158" t="s">
        <v>4</v>
      </c>
      <c r="AF11" s="158" t="s">
        <v>5</v>
      </c>
      <c r="AG11" s="158" t="s">
        <v>6</v>
      </c>
      <c r="AH11" s="158" t="s">
        <v>7</v>
      </c>
      <c r="AI11" s="158" t="s">
        <v>8</v>
      </c>
      <c r="AJ11" s="158" t="s">
        <v>9</v>
      </c>
      <c r="AK11" s="158" t="s">
        <v>10</v>
      </c>
      <c r="AL11" s="158" t="s">
        <v>11</v>
      </c>
      <c r="AM11" s="158" t="s">
        <v>12</v>
      </c>
      <c r="AN11" s="158" t="s">
        <v>13</v>
      </c>
      <c r="AO11" s="158" t="s">
        <v>14</v>
      </c>
      <c r="AP11" s="196" t="s">
        <v>598</v>
      </c>
      <c r="AQ11" s="486" t="s">
        <v>63</v>
      </c>
      <c r="AR11" s="1245" t="s">
        <v>976</v>
      </c>
      <c r="AS11" s="1245" t="s">
        <v>536</v>
      </c>
      <c r="AT11" s="158" t="s">
        <v>3</v>
      </c>
      <c r="AU11" s="158" t="s">
        <v>4</v>
      </c>
      <c r="AV11" s="158" t="s">
        <v>5</v>
      </c>
      <c r="AW11" s="158" t="s">
        <v>6</v>
      </c>
      <c r="AX11" s="158" t="s">
        <v>7</v>
      </c>
      <c r="AY11" s="158" t="s">
        <v>15</v>
      </c>
      <c r="AZ11" s="159" t="s">
        <v>15</v>
      </c>
      <c r="BA11" s="158" t="s">
        <v>16</v>
      </c>
      <c r="BB11" s="1245" t="s">
        <v>1059</v>
      </c>
      <c r="BC11" s="1245" t="s">
        <v>536</v>
      </c>
      <c r="BD11" s="158" t="s">
        <v>8</v>
      </c>
      <c r="BE11" s="158" t="s">
        <v>9</v>
      </c>
      <c r="BF11" s="158" t="s">
        <v>10</v>
      </c>
      <c r="BG11" s="158" t="s">
        <v>11</v>
      </c>
      <c r="BH11" s="158" t="s">
        <v>12</v>
      </c>
      <c r="BI11" s="158" t="s">
        <v>13</v>
      </c>
      <c r="BJ11" s="158" t="s">
        <v>14</v>
      </c>
      <c r="BK11" s="196" t="s">
        <v>989</v>
      </c>
      <c r="BL11" s="196" t="s">
        <v>63</v>
      </c>
      <c r="BM11" s="158" t="s">
        <v>3</v>
      </c>
      <c r="BN11" s="158" t="s">
        <v>4</v>
      </c>
      <c r="BO11" s="158" t="s">
        <v>5</v>
      </c>
      <c r="BP11" s="158" t="s">
        <v>6</v>
      </c>
      <c r="BQ11" s="158" t="s">
        <v>7</v>
      </c>
      <c r="BR11" s="158" t="s">
        <v>15</v>
      </c>
      <c r="BS11" s="159" t="s">
        <v>15</v>
      </c>
      <c r="BT11" s="158" t="s">
        <v>16</v>
      </c>
      <c r="BU11" s="1245" t="s">
        <v>1004</v>
      </c>
      <c r="BV11" s="1245" t="s">
        <v>536</v>
      </c>
      <c r="BW11" s="158" t="s">
        <v>8</v>
      </c>
      <c r="BX11" s="158" t="s">
        <v>9</v>
      </c>
      <c r="BY11" s="158" t="s">
        <v>10</v>
      </c>
      <c r="BZ11" s="158" t="s">
        <v>11</v>
      </c>
      <c r="CA11" s="158" t="s">
        <v>12</v>
      </c>
      <c r="CB11" s="158" t="s">
        <v>13</v>
      </c>
      <c r="CC11" s="158" t="s">
        <v>14</v>
      </c>
      <c r="CD11" s="196" t="s">
        <v>1058</v>
      </c>
      <c r="CE11" s="486" t="s">
        <v>63</v>
      </c>
      <c r="CF11" s="158" t="s">
        <v>15</v>
      </c>
      <c r="CG11" s="159" t="s">
        <v>15</v>
      </c>
      <c r="CH11" s="158" t="s">
        <v>16</v>
      </c>
      <c r="CI11" s="1245" t="s">
        <v>1124</v>
      </c>
      <c r="CJ11" s="1245" t="s">
        <v>536</v>
      </c>
      <c r="CK11" s="158" t="s">
        <v>8</v>
      </c>
      <c r="CL11" s="158" t="s">
        <v>9</v>
      </c>
      <c r="CM11" s="158" t="s">
        <v>10</v>
      </c>
      <c r="CN11" s="158" t="s">
        <v>11</v>
      </c>
      <c r="CO11" s="158" t="s">
        <v>12</v>
      </c>
      <c r="CP11" s="158" t="s">
        <v>13</v>
      </c>
      <c r="CQ11" s="158" t="s">
        <v>14</v>
      </c>
      <c r="CR11" s="732" t="s">
        <v>1144</v>
      </c>
      <c r="CS11" s="732" t="s">
        <v>63</v>
      </c>
      <c r="CT11" s="158" t="s">
        <v>3</v>
      </c>
      <c r="CU11" s="158" t="s">
        <v>4</v>
      </c>
      <c r="CV11" s="158" t="s">
        <v>5</v>
      </c>
      <c r="CW11" s="158" t="s">
        <v>6</v>
      </c>
      <c r="CX11" s="158" t="s">
        <v>7</v>
      </c>
      <c r="CY11" s="1247" t="s">
        <v>1252</v>
      </c>
      <c r="CZ11" s="1247" t="s">
        <v>1253</v>
      </c>
      <c r="DA11" s="158" t="s">
        <v>15</v>
      </c>
      <c r="DB11" s="159" t="s">
        <v>15</v>
      </c>
      <c r="DC11" s="158" t="s">
        <v>16</v>
      </c>
      <c r="DD11" s="1245" t="s">
        <v>1265</v>
      </c>
      <c r="DE11" s="1245" t="s">
        <v>536</v>
      </c>
      <c r="DF11" s="158" t="s">
        <v>8</v>
      </c>
      <c r="DG11" s="158" t="s">
        <v>9</v>
      </c>
      <c r="DH11" s="158" t="s">
        <v>10</v>
      </c>
      <c r="DI11" s="158" t="s">
        <v>11</v>
      </c>
      <c r="DJ11" s="158" t="s">
        <v>12</v>
      </c>
      <c r="DK11" s="158" t="s">
        <v>13</v>
      </c>
      <c r="DL11" s="158" t="s">
        <v>14</v>
      </c>
      <c r="DM11" s="158" t="s">
        <v>3</v>
      </c>
      <c r="DN11" s="158" t="s">
        <v>4</v>
      </c>
      <c r="DO11" s="158" t="s">
        <v>5</v>
      </c>
      <c r="DP11" s="158" t="s">
        <v>6</v>
      </c>
      <c r="DQ11" s="158" t="s">
        <v>7</v>
      </c>
      <c r="DR11" s="158" t="s">
        <v>8</v>
      </c>
      <c r="DS11" s="158" t="s">
        <v>9</v>
      </c>
      <c r="DT11" s="158" t="s">
        <v>10</v>
      </c>
      <c r="DU11" s="158" t="s">
        <v>11</v>
      </c>
      <c r="DV11" s="158" t="s">
        <v>12</v>
      </c>
      <c r="DW11" s="158" t="s">
        <v>13</v>
      </c>
      <c r="DX11" s="1247" t="s">
        <v>1274</v>
      </c>
      <c r="DY11" s="1247" t="s">
        <v>1263</v>
      </c>
    </row>
    <row r="12" spans="1:129" ht="32.25" customHeight="1" x14ac:dyDescent="0.25">
      <c r="A12" s="1262"/>
      <c r="B12" s="1262"/>
      <c r="C12" s="161" t="s">
        <v>571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43100</v>
      </c>
      <c r="O12" s="1255"/>
      <c r="P12" s="193">
        <v>43101</v>
      </c>
      <c r="Q12" s="1257"/>
      <c r="R12" s="1251" t="s">
        <v>18</v>
      </c>
      <c r="S12" s="1251" t="s">
        <v>18</v>
      </c>
      <c r="T12" s="1253"/>
      <c r="U12" s="234"/>
      <c r="V12" s="1267"/>
      <c r="W12" s="235" t="s">
        <v>570</v>
      </c>
      <c r="X12" s="1269">
        <v>41639</v>
      </c>
      <c r="Y12" s="162" t="s">
        <v>20</v>
      </c>
      <c r="Z12" s="163" t="s">
        <v>21</v>
      </c>
      <c r="AA12" s="162" t="s">
        <v>22</v>
      </c>
      <c r="AB12" s="1246"/>
      <c r="AC12" s="1246"/>
      <c r="AD12" s="162">
        <v>2015</v>
      </c>
      <c r="AE12" s="162">
        <v>2015</v>
      </c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>
        <v>2015</v>
      </c>
      <c r="AQ12" s="162" t="s">
        <v>64</v>
      </c>
      <c r="AR12" s="1265"/>
      <c r="AS12" s="1265"/>
      <c r="AT12" s="430">
        <v>2016</v>
      </c>
      <c r="AU12" s="430">
        <v>2016</v>
      </c>
      <c r="AV12" s="430">
        <v>2016</v>
      </c>
      <c r="AW12" s="430">
        <v>2016</v>
      </c>
      <c r="AX12" s="430">
        <v>2016</v>
      </c>
      <c r="AY12" s="162" t="s">
        <v>20</v>
      </c>
      <c r="AZ12" s="163" t="s">
        <v>21</v>
      </c>
      <c r="BA12" s="162" t="s">
        <v>22</v>
      </c>
      <c r="BB12" s="1246"/>
      <c r="BC12" s="1246"/>
      <c r="BD12" s="430">
        <v>2016</v>
      </c>
      <c r="BE12" s="430">
        <v>2016</v>
      </c>
      <c r="BF12" s="430">
        <v>2016</v>
      </c>
      <c r="BG12" s="430">
        <v>2016</v>
      </c>
      <c r="BH12" s="430">
        <v>2016</v>
      </c>
      <c r="BI12" s="430">
        <v>2016</v>
      </c>
      <c r="BJ12" s="430">
        <v>2016</v>
      </c>
      <c r="BK12" s="162">
        <v>2016</v>
      </c>
      <c r="BL12" s="162" t="s">
        <v>64</v>
      </c>
      <c r="BM12" s="430">
        <v>2017</v>
      </c>
      <c r="BN12" s="430">
        <v>2017</v>
      </c>
      <c r="BO12" s="430">
        <v>2017</v>
      </c>
      <c r="BP12" s="430">
        <v>2017</v>
      </c>
      <c r="BQ12" s="430">
        <v>2017</v>
      </c>
      <c r="BR12" s="162" t="s">
        <v>20</v>
      </c>
      <c r="BS12" s="163" t="s">
        <v>21</v>
      </c>
      <c r="BT12" s="162" t="s">
        <v>22</v>
      </c>
      <c r="BU12" s="1246"/>
      <c r="BV12" s="1246"/>
      <c r="BW12" s="430">
        <v>2017</v>
      </c>
      <c r="BX12" s="430">
        <v>2017</v>
      </c>
      <c r="BY12" s="430">
        <v>2017</v>
      </c>
      <c r="BZ12" s="430">
        <v>2017</v>
      </c>
      <c r="CA12" s="430">
        <v>2017</v>
      </c>
      <c r="CB12" s="430">
        <v>2017</v>
      </c>
      <c r="CC12" s="430">
        <v>2017</v>
      </c>
      <c r="CD12" s="162">
        <v>2017</v>
      </c>
      <c r="CE12" s="162" t="s">
        <v>64</v>
      </c>
      <c r="CF12" s="162" t="s">
        <v>20</v>
      </c>
      <c r="CG12" s="163" t="s">
        <v>21</v>
      </c>
      <c r="CH12" s="162" t="s">
        <v>22</v>
      </c>
      <c r="CI12" s="1246"/>
      <c r="CJ12" s="1246"/>
      <c r="CK12" s="430">
        <v>2017</v>
      </c>
      <c r="CL12" s="430">
        <v>2017</v>
      </c>
      <c r="CM12" s="430">
        <v>2017</v>
      </c>
      <c r="CN12" s="430">
        <v>2017</v>
      </c>
      <c r="CO12" s="430">
        <v>2017</v>
      </c>
      <c r="CP12" s="430">
        <v>2017</v>
      </c>
      <c r="CQ12" s="430">
        <v>2017</v>
      </c>
      <c r="CR12" s="430">
        <v>2017</v>
      </c>
      <c r="CS12" s="162" t="s">
        <v>64</v>
      </c>
      <c r="CT12" s="162">
        <v>2018</v>
      </c>
      <c r="CU12" s="162">
        <v>2018</v>
      </c>
      <c r="CV12" s="162">
        <v>2018</v>
      </c>
      <c r="CW12" s="162">
        <v>2018</v>
      </c>
      <c r="CX12" s="162">
        <v>2018</v>
      </c>
      <c r="CY12" s="1248"/>
      <c r="CZ12" s="1248"/>
      <c r="DA12" s="162" t="s">
        <v>20</v>
      </c>
      <c r="DB12" s="163" t="s">
        <v>21</v>
      </c>
      <c r="DC12" s="162" t="s">
        <v>22</v>
      </c>
      <c r="DD12" s="1246"/>
      <c r="DE12" s="1246"/>
      <c r="DF12" s="162">
        <v>2018</v>
      </c>
      <c r="DG12" s="162">
        <v>2018</v>
      </c>
      <c r="DH12" s="162">
        <v>2018</v>
      </c>
      <c r="DI12" s="162">
        <v>2018</v>
      </c>
      <c r="DJ12" s="162">
        <v>2018</v>
      </c>
      <c r="DK12" s="162">
        <v>2018</v>
      </c>
      <c r="DL12" s="162">
        <v>2018</v>
      </c>
      <c r="DM12" s="162">
        <v>2019</v>
      </c>
      <c r="DN12" s="162">
        <v>2019</v>
      </c>
      <c r="DO12" s="162">
        <v>2019</v>
      </c>
      <c r="DP12" s="162">
        <v>2019</v>
      </c>
      <c r="DQ12" s="162">
        <v>2019</v>
      </c>
      <c r="DR12" s="162">
        <v>2019</v>
      </c>
      <c r="DS12" s="162">
        <v>2019</v>
      </c>
      <c r="DT12" s="162">
        <v>2019</v>
      </c>
      <c r="DU12" s="162">
        <v>2019</v>
      </c>
      <c r="DV12" s="162">
        <v>2019</v>
      </c>
      <c r="DW12" s="162">
        <v>2019</v>
      </c>
      <c r="DX12" s="1248"/>
      <c r="DY12" s="1248"/>
    </row>
    <row r="13" spans="1:129" s="16" customFormat="1" x14ac:dyDescent="0.2">
      <c r="A13" s="26" t="s">
        <v>65</v>
      </c>
      <c r="B13" s="26" t="s">
        <v>24</v>
      </c>
      <c r="C13" s="124"/>
      <c r="D13" s="27"/>
      <c r="E13" s="25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20"/>
      <c r="S13" s="20"/>
      <c r="T13" s="14"/>
      <c r="U13" s="14"/>
      <c r="V13" s="14"/>
      <c r="W13" s="14"/>
      <c r="X13" s="108"/>
      <c r="Y13" s="66"/>
      <c r="Z13" s="81"/>
      <c r="AA13" s="66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391"/>
      <c r="AR13" s="55"/>
      <c r="AS13" s="55"/>
      <c r="AT13" s="55"/>
      <c r="AU13" s="55"/>
      <c r="AV13" s="55"/>
      <c r="AW13" s="55"/>
      <c r="AX13" s="55"/>
      <c r="AY13" s="66"/>
      <c r="AZ13" s="81"/>
      <c r="BA13" s="66"/>
      <c r="BB13" s="65"/>
      <c r="BC13" s="65"/>
      <c r="BD13" s="55"/>
      <c r="BE13" s="55"/>
      <c r="BF13" s="55"/>
      <c r="BG13" s="55"/>
      <c r="BH13" s="55"/>
      <c r="BI13" s="55"/>
      <c r="BJ13" s="55"/>
      <c r="BK13" s="55"/>
      <c r="BL13" s="448"/>
      <c r="BM13" s="55"/>
      <c r="BN13" s="55"/>
      <c r="BO13" s="55"/>
      <c r="BP13" s="55"/>
      <c r="BQ13" s="55"/>
      <c r="BR13" s="66"/>
      <c r="BS13" s="81"/>
      <c r="BT13" s="66"/>
      <c r="BU13" s="65"/>
      <c r="BV13" s="65"/>
      <c r="BW13" s="55"/>
      <c r="BX13" s="55"/>
      <c r="BY13" s="55"/>
      <c r="BZ13" s="55"/>
      <c r="CA13" s="55"/>
      <c r="CB13" s="55"/>
      <c r="CC13" s="55"/>
      <c r="CD13" s="55"/>
      <c r="CE13" s="448"/>
      <c r="CF13" s="66"/>
      <c r="CG13" s="81"/>
      <c r="CH13" s="66"/>
      <c r="CI13" s="65"/>
      <c r="CJ13" s="65"/>
      <c r="CK13" s="55"/>
      <c r="CL13" s="55"/>
      <c r="CM13" s="55"/>
      <c r="CN13" s="55"/>
      <c r="CO13" s="55"/>
      <c r="CP13" s="55"/>
      <c r="CQ13" s="55"/>
      <c r="CR13" s="55"/>
      <c r="CS13" s="448"/>
      <c r="CT13" s="968"/>
      <c r="CU13" s="505"/>
      <c r="CV13" s="505"/>
      <c r="CW13" s="505"/>
      <c r="CX13" s="505"/>
      <c r="CY13" s="505"/>
      <c r="CZ13" s="50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</row>
    <row r="14" spans="1:129" s="16" customFormat="1" x14ac:dyDescent="0.2">
      <c r="A14" s="26" t="s">
        <v>66</v>
      </c>
      <c r="B14" s="34"/>
      <c r="C14" s="45"/>
      <c r="D14" s="4"/>
      <c r="E14" s="25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20"/>
      <c r="S14" s="20"/>
      <c r="T14" s="14"/>
      <c r="U14" s="14"/>
      <c r="V14" s="14"/>
      <c r="W14" s="14"/>
      <c r="X14" s="108"/>
      <c r="Y14" s="66"/>
      <c r="Z14" s="112"/>
      <c r="AA14" s="66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391"/>
      <c r="AR14" s="55"/>
      <c r="AS14" s="55"/>
      <c r="AT14" s="55"/>
      <c r="AU14" s="55"/>
      <c r="AV14" s="55"/>
      <c r="AW14" s="55"/>
      <c r="AX14" s="55"/>
      <c r="AY14" s="66"/>
      <c r="AZ14" s="112"/>
      <c r="BA14" s="66"/>
      <c r="BB14" s="65"/>
      <c r="BC14" s="65"/>
      <c r="BD14" s="55"/>
      <c r="BE14" s="55"/>
      <c r="BF14" s="55"/>
      <c r="BG14" s="55"/>
      <c r="BH14" s="55"/>
      <c r="BI14" s="55"/>
      <c r="BJ14" s="55"/>
      <c r="BK14" s="55"/>
      <c r="BL14" s="448"/>
      <c r="BM14" s="55"/>
      <c r="BN14" s="55"/>
      <c r="BO14" s="55"/>
      <c r="BP14" s="55"/>
      <c r="BQ14" s="55"/>
      <c r="BR14" s="66"/>
      <c r="BS14" s="112"/>
      <c r="BT14" s="66"/>
      <c r="BU14" s="65"/>
      <c r="BV14" s="65"/>
      <c r="BW14" s="55"/>
      <c r="BX14" s="55"/>
      <c r="BY14" s="55"/>
      <c r="BZ14" s="55"/>
      <c r="CA14" s="55"/>
      <c r="CB14" s="55"/>
      <c r="CC14" s="55"/>
      <c r="CD14" s="55"/>
      <c r="CE14" s="448"/>
      <c r="CF14" s="66"/>
      <c r="CG14" s="112"/>
      <c r="CH14" s="66"/>
      <c r="CI14" s="65"/>
      <c r="CJ14" s="65"/>
      <c r="CK14" s="55"/>
      <c r="CL14" s="55"/>
      <c r="CM14" s="55"/>
      <c r="CN14" s="55"/>
      <c r="CO14" s="55"/>
      <c r="CP14" s="55"/>
      <c r="CQ14" s="55"/>
      <c r="CR14" s="55"/>
      <c r="CS14" s="448"/>
      <c r="CT14" s="55"/>
      <c r="CU14" s="55"/>
      <c r="CV14" s="55"/>
      <c r="CW14" s="55"/>
      <c r="CX14" s="55"/>
      <c r="CY14" s="505"/>
      <c r="CZ14" s="50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</row>
    <row r="15" spans="1:129" s="35" customFormat="1" x14ac:dyDescent="0.2">
      <c r="A15" s="119" t="s">
        <v>241</v>
      </c>
      <c r="B15" s="100" t="s">
        <v>246</v>
      </c>
      <c r="C15" s="100" t="s">
        <v>344</v>
      </c>
      <c r="D15" s="8">
        <v>3</v>
      </c>
      <c r="E15" s="127">
        <v>0.33329999999999999</v>
      </c>
      <c r="F15" s="119">
        <v>43281</v>
      </c>
      <c r="G15" s="8">
        <v>36</v>
      </c>
      <c r="H15" s="146">
        <f>100/G15</f>
        <v>2.7777777777777777</v>
      </c>
      <c r="I15" s="1167">
        <f>H15*J15</f>
        <v>141.66666666666666</v>
      </c>
      <c r="J15" s="125">
        <f>(YEAR(F15)-YEAR(S15))*12+MONTH(F15)-MONTH(S15)</f>
        <v>51</v>
      </c>
      <c r="K15" s="1167">
        <f>L15*H15</f>
        <v>-41.666666666666664</v>
      </c>
      <c r="L15" s="125">
        <f>G15-J15</f>
        <v>-15</v>
      </c>
      <c r="M15" s="1167">
        <f>N15*H15</f>
        <v>19.444444444444443</v>
      </c>
      <c r="N15" s="125">
        <v>7</v>
      </c>
      <c r="O15" s="1167">
        <f>P15*H15</f>
        <v>-61.111111111111107</v>
      </c>
      <c r="P15" s="125">
        <f>L15-N15</f>
        <v>-22</v>
      </c>
      <c r="Q15" s="367">
        <f>DATE(YEAR(S15),MONTH(S15)+G15,DAY(S15))</f>
        <v>42798</v>
      </c>
      <c r="R15" s="119" t="s">
        <v>572</v>
      </c>
      <c r="S15" s="128">
        <v>41702</v>
      </c>
      <c r="T15" s="129">
        <v>7801</v>
      </c>
      <c r="U15" s="1081">
        <v>4117.59</v>
      </c>
      <c r="V15" s="776">
        <v>4117.59</v>
      </c>
      <c r="W15" s="62">
        <v>216.67</v>
      </c>
      <c r="X15" s="7">
        <f>W15*5</f>
        <v>1083.3499999999999</v>
      </c>
      <c r="Y15" s="64">
        <v>115.958</v>
      </c>
      <c r="Z15" s="82">
        <v>113.099</v>
      </c>
      <c r="AA15" s="64">
        <f>Y15/Z15</f>
        <v>1.0252787380967117</v>
      </c>
      <c r="AB15" s="62">
        <f>V15*M15/100/K15*100/7</f>
        <v>-274.50600000000003</v>
      </c>
      <c r="AC15" s="62">
        <f>AB15*AA15</f>
        <v>-281.44516527997598</v>
      </c>
      <c r="AD15" s="62"/>
      <c r="AE15" s="62"/>
      <c r="AF15" s="62"/>
      <c r="AG15" s="62"/>
      <c r="AH15" s="62"/>
      <c r="AI15" s="62">
        <f>AC15</f>
        <v>-281.44516527997598</v>
      </c>
      <c r="AJ15" s="62">
        <v>201.03226091426856</v>
      </c>
      <c r="AK15" s="62">
        <v>201.03226091426856</v>
      </c>
      <c r="AL15" s="62">
        <v>201.03226091426856</v>
      </c>
      <c r="AM15" s="62">
        <v>201.03226091426856</v>
      </c>
      <c r="AN15" s="62">
        <v>201.03226091426856</v>
      </c>
      <c r="AO15" s="62">
        <v>201.03226091426856</v>
      </c>
      <c r="AP15" s="62">
        <f>SUM(AD15:AO15)+X15</f>
        <v>2008.0984002056352</v>
      </c>
      <c r="AQ15" s="1172">
        <f>V15-AP15</f>
        <v>2109.4915997943649</v>
      </c>
      <c r="AR15" s="62"/>
      <c r="AS15" s="62"/>
      <c r="AT15" s="62">
        <f>$AO15</f>
        <v>201.03226091426856</v>
      </c>
      <c r="AU15" s="62">
        <f>$AO15</f>
        <v>201.03226091426856</v>
      </c>
      <c r="AV15" s="62">
        <f>$AO15</f>
        <v>201.03226091426856</v>
      </c>
      <c r="AW15" s="62">
        <f>$AO15</f>
        <v>201.03226091426856</v>
      </c>
      <c r="AX15" s="62">
        <f>$AO15</f>
        <v>201.03226091426856</v>
      </c>
      <c r="AY15" s="64">
        <v>118.901</v>
      </c>
      <c r="AZ15" s="82">
        <v>113.099</v>
      </c>
      <c r="BA15" s="64">
        <f>AY15/AZ15</f>
        <v>1.0513001883305775</v>
      </c>
      <c r="BB15" s="62">
        <f>T15/(D15*12)</f>
        <v>216.69444444444446</v>
      </c>
      <c r="BC15" s="62">
        <f>BB15*BA15</f>
        <v>227.81091025463431</v>
      </c>
      <c r="BD15" s="62">
        <f>$BC15</f>
        <v>227.81091025463431</v>
      </c>
      <c r="BE15" s="62">
        <f>$BC15</f>
        <v>227.81091025463431</v>
      </c>
      <c r="BF15" s="62">
        <v>165.23</v>
      </c>
      <c r="BG15" s="62">
        <v>0</v>
      </c>
      <c r="BH15" s="62"/>
      <c r="BI15" s="62"/>
      <c r="BJ15" s="62"/>
      <c r="BK15" s="62">
        <f>SUM((AT15:AX15),(BD15:BJ15))</f>
        <v>1626.0131250806114</v>
      </c>
      <c r="BL15" s="927">
        <f t="shared" ref="BL15:BL33" si="0">(AQ15-BK15)</f>
        <v>483.47847471375349</v>
      </c>
      <c r="BM15" s="62"/>
      <c r="BN15" s="62"/>
      <c r="BO15" s="62"/>
      <c r="BP15" s="62"/>
      <c r="BQ15" s="62"/>
      <c r="BR15" s="64">
        <v>118.901</v>
      </c>
      <c r="BS15" s="82">
        <v>113.099</v>
      </c>
      <c r="BT15" s="64">
        <f>BR15/BS15</f>
        <v>1.0513001883305775</v>
      </c>
      <c r="BU15" s="62"/>
      <c r="BV15" s="62"/>
      <c r="BW15" s="62"/>
      <c r="BX15" s="62"/>
      <c r="BY15" s="62"/>
      <c r="BZ15" s="62"/>
      <c r="CA15" s="62"/>
      <c r="CB15" s="62"/>
      <c r="CC15" s="62"/>
      <c r="CD15" s="62">
        <f>SUM((BM15:BQ15),(BW15:CC15))</f>
        <v>0</v>
      </c>
      <c r="CE15" s="927">
        <v>1</v>
      </c>
      <c r="CF15" s="64"/>
      <c r="CG15" s="82">
        <v>113.099</v>
      </c>
      <c r="CH15" s="64">
        <f>CF15/CG15</f>
        <v>0</v>
      </c>
      <c r="CI15" s="62">
        <f>BA15/(AK15*12)</f>
        <v>4.3579248738046699E-4</v>
      </c>
      <c r="CJ15" s="62">
        <f>CI15*CH15</f>
        <v>0</v>
      </c>
      <c r="CK15" s="62"/>
      <c r="CL15" s="62"/>
      <c r="CM15" s="62"/>
      <c r="CN15" s="62"/>
      <c r="CO15" s="62"/>
      <c r="CP15" s="62"/>
      <c r="CQ15" s="62"/>
      <c r="CR15" s="62"/>
      <c r="CS15" s="927">
        <v>1</v>
      </c>
      <c r="CT15" s="62">
        <v>0</v>
      </c>
      <c r="CU15" s="62">
        <v>0</v>
      </c>
      <c r="CV15" s="62">
        <v>0</v>
      </c>
      <c r="CW15" s="62">
        <v>0</v>
      </c>
      <c r="CX15" s="62">
        <v>0</v>
      </c>
      <c r="CY15" s="1170">
        <f>SUM(CT15:CX15)</f>
        <v>0</v>
      </c>
      <c r="CZ15" s="679">
        <f>CS15-CY15</f>
        <v>1</v>
      </c>
      <c r="DA15" s="1171">
        <v>132.28200000000001</v>
      </c>
      <c r="DB15" s="82">
        <v>113.099</v>
      </c>
      <c r="DC15" s="1200">
        <f>DA15/DB15</f>
        <v>1.1696124634170064</v>
      </c>
      <c r="DD15" s="510">
        <v>0</v>
      </c>
      <c r="DE15" s="510">
        <f>DD15*DC15</f>
        <v>0</v>
      </c>
      <c r="DF15" s="510">
        <v>0</v>
      </c>
      <c r="DG15" s="510">
        <v>0</v>
      </c>
      <c r="DH15" s="510">
        <v>0</v>
      </c>
      <c r="DI15" s="510">
        <v>0</v>
      </c>
      <c r="DJ15" s="510">
        <v>0</v>
      </c>
      <c r="DK15" s="510">
        <v>0</v>
      </c>
      <c r="DL15" s="510">
        <v>0</v>
      </c>
      <c r="DM15" s="510">
        <v>0</v>
      </c>
      <c r="DN15" s="510">
        <v>0</v>
      </c>
      <c r="DO15" s="510">
        <v>0</v>
      </c>
      <c r="DP15" s="510">
        <v>0</v>
      </c>
      <c r="DQ15" s="510">
        <v>0</v>
      </c>
      <c r="DR15" s="510">
        <v>0</v>
      </c>
      <c r="DS15" s="510">
        <v>0</v>
      </c>
      <c r="DT15" s="510">
        <v>0</v>
      </c>
      <c r="DU15" s="510">
        <v>0</v>
      </c>
      <c r="DV15" s="510">
        <v>0</v>
      </c>
      <c r="DW15" s="510">
        <v>0</v>
      </c>
      <c r="DX15" s="510">
        <f>SUM(DF15:DL15)</f>
        <v>0</v>
      </c>
      <c r="DY15" s="960">
        <f>CZ15-DX15</f>
        <v>1</v>
      </c>
    </row>
    <row r="16" spans="1:129" s="35" customFormat="1" x14ac:dyDescent="0.2">
      <c r="A16" s="120" t="s">
        <v>65</v>
      </c>
      <c r="B16" s="120" t="s">
        <v>163</v>
      </c>
      <c r="C16" s="100"/>
      <c r="D16" s="8"/>
      <c r="E16" s="127"/>
      <c r="F16" s="119"/>
      <c r="G16" s="8"/>
      <c r="H16" s="146"/>
      <c r="I16" s="1167"/>
      <c r="J16" s="125"/>
      <c r="K16" s="1167"/>
      <c r="L16" s="125"/>
      <c r="M16" s="1167"/>
      <c r="N16" s="125"/>
      <c r="O16" s="1167"/>
      <c r="P16" s="125"/>
      <c r="Q16" s="125"/>
      <c r="R16" s="119"/>
      <c r="S16" s="128"/>
      <c r="T16" s="129"/>
      <c r="U16" s="1081"/>
      <c r="V16" s="776"/>
      <c r="W16" s="509"/>
      <c r="X16" s="7"/>
      <c r="Y16" s="64"/>
      <c r="Z16" s="1201"/>
      <c r="AA16" s="64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1172"/>
      <c r="AR16" s="62"/>
      <c r="AS16" s="62"/>
      <c r="AT16" s="62">
        <f t="shared" ref="AT16:AX32" si="1">$AO16</f>
        <v>0</v>
      </c>
      <c r="AU16" s="62">
        <f t="shared" si="1"/>
        <v>0</v>
      </c>
      <c r="AV16" s="62">
        <f t="shared" si="1"/>
        <v>0</v>
      </c>
      <c r="AW16" s="62">
        <f t="shared" si="1"/>
        <v>0</v>
      </c>
      <c r="AX16" s="62">
        <f t="shared" si="1"/>
        <v>0</v>
      </c>
      <c r="AY16" s="64"/>
      <c r="AZ16" s="1201"/>
      <c r="BA16" s="64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927"/>
      <c r="BM16" s="62"/>
      <c r="BN16" s="62"/>
      <c r="BO16" s="62"/>
      <c r="BP16" s="62"/>
      <c r="BQ16" s="62"/>
      <c r="BR16" s="64"/>
      <c r="BS16" s="1201"/>
      <c r="BT16" s="64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927"/>
      <c r="CF16" s="64"/>
      <c r="CG16" s="1201"/>
      <c r="CH16" s="64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927"/>
      <c r="CT16" s="62"/>
      <c r="CU16" s="62"/>
      <c r="CV16" s="62"/>
      <c r="CW16" s="62"/>
      <c r="CX16" s="62"/>
      <c r="CY16" s="1170"/>
      <c r="CZ16" s="679"/>
      <c r="DA16" s="510"/>
      <c r="DB16" s="1201"/>
      <c r="DC16" s="1200"/>
      <c r="DD16" s="510"/>
      <c r="DE16" s="510"/>
      <c r="DF16" s="510"/>
      <c r="DG16" s="510"/>
      <c r="DH16" s="510"/>
      <c r="DI16" s="510"/>
      <c r="DJ16" s="510"/>
      <c r="DK16" s="510"/>
      <c r="DL16" s="510"/>
      <c r="DM16" s="510"/>
      <c r="DN16" s="510"/>
      <c r="DO16" s="510"/>
      <c r="DP16" s="510"/>
      <c r="DQ16" s="510"/>
      <c r="DR16" s="510"/>
      <c r="DS16" s="510"/>
      <c r="DT16" s="510"/>
      <c r="DU16" s="510"/>
      <c r="DV16" s="510"/>
      <c r="DW16" s="510"/>
      <c r="DX16" s="510"/>
      <c r="DY16" s="960"/>
    </row>
    <row r="17" spans="1:129" s="35" customFormat="1" x14ac:dyDescent="0.2">
      <c r="A17" s="120" t="s">
        <v>162</v>
      </c>
      <c r="B17" s="100"/>
      <c r="C17" s="100"/>
      <c r="D17" s="8"/>
      <c r="E17" s="127"/>
      <c r="F17" s="119"/>
      <c r="G17" s="8"/>
      <c r="H17" s="146"/>
      <c r="I17" s="1167"/>
      <c r="J17" s="125"/>
      <c r="K17" s="1167"/>
      <c r="L17" s="125"/>
      <c r="M17" s="1167"/>
      <c r="N17" s="125"/>
      <c r="O17" s="1167"/>
      <c r="P17" s="125"/>
      <c r="Q17" s="125"/>
      <c r="R17" s="119"/>
      <c r="S17" s="128"/>
      <c r="T17" s="129"/>
      <c r="U17" s="1081"/>
      <c r="V17" s="776"/>
      <c r="W17" s="509"/>
      <c r="X17" s="7"/>
      <c r="Y17" s="64"/>
      <c r="Z17" s="1201"/>
      <c r="AA17" s="64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1172"/>
      <c r="AR17" s="62"/>
      <c r="AS17" s="62"/>
      <c r="AT17" s="62">
        <f t="shared" si="1"/>
        <v>0</v>
      </c>
      <c r="AU17" s="62">
        <f t="shared" si="1"/>
        <v>0</v>
      </c>
      <c r="AV17" s="62">
        <f t="shared" si="1"/>
        <v>0</v>
      </c>
      <c r="AW17" s="62">
        <f t="shared" si="1"/>
        <v>0</v>
      </c>
      <c r="AX17" s="62">
        <f t="shared" si="1"/>
        <v>0</v>
      </c>
      <c r="AY17" s="64"/>
      <c r="AZ17" s="1201"/>
      <c r="BA17" s="64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927"/>
      <c r="BM17" s="62"/>
      <c r="BN17" s="62"/>
      <c r="BO17" s="62"/>
      <c r="BP17" s="62"/>
      <c r="BQ17" s="62"/>
      <c r="BR17" s="64"/>
      <c r="BS17" s="1201"/>
      <c r="BT17" s="64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927"/>
      <c r="CF17" s="64"/>
      <c r="CG17" s="1201"/>
      <c r="CH17" s="64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927"/>
      <c r="CT17" s="62"/>
      <c r="CU17" s="62"/>
      <c r="CV17" s="62"/>
      <c r="CW17" s="62"/>
      <c r="CX17" s="62"/>
      <c r="CY17" s="1170"/>
      <c r="CZ17" s="679"/>
      <c r="DA17" s="510"/>
      <c r="DB17" s="1201"/>
      <c r="DC17" s="1200"/>
      <c r="DD17" s="510"/>
      <c r="DE17" s="510"/>
      <c r="DF17" s="510"/>
      <c r="DG17" s="510"/>
      <c r="DH17" s="510"/>
      <c r="DI17" s="510"/>
      <c r="DJ17" s="510"/>
      <c r="DK17" s="510"/>
      <c r="DL17" s="510"/>
      <c r="DM17" s="510"/>
      <c r="DN17" s="510"/>
      <c r="DO17" s="510"/>
      <c r="DP17" s="510"/>
      <c r="DQ17" s="510"/>
      <c r="DR17" s="510"/>
      <c r="DS17" s="510"/>
      <c r="DT17" s="510"/>
      <c r="DU17" s="510"/>
      <c r="DV17" s="510"/>
      <c r="DW17" s="510"/>
      <c r="DX17" s="510"/>
      <c r="DY17" s="960"/>
    </row>
    <row r="18" spans="1:129" s="35" customFormat="1" x14ac:dyDescent="0.2">
      <c r="A18" s="119" t="s">
        <v>242</v>
      </c>
      <c r="B18" s="100" t="s">
        <v>164</v>
      </c>
      <c r="C18" s="100" t="s">
        <v>344</v>
      </c>
      <c r="D18" s="8">
        <v>10</v>
      </c>
      <c r="E18" s="127">
        <v>0.1</v>
      </c>
      <c r="F18" s="119">
        <v>43281</v>
      </c>
      <c r="G18" s="8">
        <v>120</v>
      </c>
      <c r="H18" s="146">
        <f>100/G18</f>
        <v>0.83333333333333337</v>
      </c>
      <c r="I18" s="1167">
        <f>H18*J18</f>
        <v>64.166666666666671</v>
      </c>
      <c r="J18" s="125">
        <f>(YEAR(F18)-YEAR(S18))*12+MONTH(F18)-MONTH(S18)</f>
        <v>77</v>
      </c>
      <c r="K18" s="1167">
        <f>L18*H18</f>
        <v>35.833333333333336</v>
      </c>
      <c r="L18" s="125">
        <f>G18-J18</f>
        <v>43</v>
      </c>
      <c r="M18" s="1167">
        <f>N18*H18</f>
        <v>5.8333333333333339</v>
      </c>
      <c r="N18" s="125">
        <v>7</v>
      </c>
      <c r="O18" s="1167">
        <f>K18-M18</f>
        <v>30</v>
      </c>
      <c r="P18" s="125">
        <f>L18-N18</f>
        <v>36</v>
      </c>
      <c r="Q18" s="367">
        <f>DATE(YEAR(S18),MONTH(S18)+G18,DAY(S18))</f>
        <v>44562</v>
      </c>
      <c r="R18" s="119" t="s">
        <v>445</v>
      </c>
      <c r="S18" s="128">
        <v>40909</v>
      </c>
      <c r="T18" s="129">
        <v>2199</v>
      </c>
      <c r="U18" s="1081">
        <v>1447.62</v>
      </c>
      <c r="V18" s="776">
        <v>1447.62</v>
      </c>
      <c r="W18" s="62">
        <v>18.329999999999998</v>
      </c>
      <c r="X18" s="7">
        <f>W18*5</f>
        <v>91.649999999999991</v>
      </c>
      <c r="Y18" s="64">
        <v>115.958</v>
      </c>
      <c r="Z18" s="82">
        <v>104.28400000000001</v>
      </c>
      <c r="AA18" s="64">
        <f>Y18/Z18</f>
        <v>1.1119443059337961</v>
      </c>
      <c r="AB18" s="62">
        <f>V18*M18/100/K18*100/7</f>
        <v>33.665581395348838</v>
      </c>
      <c r="AC18" s="62">
        <f>AB18*AA18</f>
        <v>37.434251538508882</v>
      </c>
      <c r="AD18" s="62"/>
      <c r="AE18" s="62"/>
      <c r="AF18" s="62"/>
      <c r="AG18" s="62"/>
      <c r="AH18" s="62"/>
      <c r="AI18" s="62">
        <f>AC18</f>
        <v>37.434251538508882</v>
      </c>
      <c r="AJ18" s="62">
        <v>20.375605267795972</v>
      </c>
      <c r="AK18" s="62">
        <v>20.375605267795972</v>
      </c>
      <c r="AL18" s="62">
        <v>20.375605267795972</v>
      </c>
      <c r="AM18" s="62">
        <v>20.375605267795972</v>
      </c>
      <c r="AN18" s="62">
        <v>20.375605267795972</v>
      </c>
      <c r="AO18" s="62">
        <v>20.375605267795972</v>
      </c>
      <c r="AP18" s="62">
        <f>SUM(AD18:AO18)+X18</f>
        <v>251.33788314528471</v>
      </c>
      <c r="AQ18" s="1172">
        <f>V18-AP18</f>
        <v>1196.2821168547152</v>
      </c>
      <c r="AR18" s="62"/>
      <c r="AS18" s="62"/>
      <c r="AT18" s="62">
        <f t="shared" si="1"/>
        <v>20.375605267795972</v>
      </c>
      <c r="AU18" s="62">
        <f t="shared" si="1"/>
        <v>20.375605267795972</v>
      </c>
      <c r="AV18" s="62">
        <f t="shared" si="1"/>
        <v>20.375605267795972</v>
      </c>
      <c r="AW18" s="62">
        <f t="shared" si="1"/>
        <v>20.375605267795972</v>
      </c>
      <c r="AX18" s="62">
        <f t="shared" si="1"/>
        <v>20.375605267795972</v>
      </c>
      <c r="AY18" s="64">
        <v>118.901</v>
      </c>
      <c r="AZ18" s="82">
        <v>104.28400000000001</v>
      </c>
      <c r="BA18" s="64">
        <f>AY18/AZ18</f>
        <v>1.1401653177860458</v>
      </c>
      <c r="BB18" s="62">
        <f t="shared" ref="BB18:BB32" si="2">T18/(D18*12)</f>
        <v>18.324999999999999</v>
      </c>
      <c r="BC18" s="62">
        <f t="shared" ref="BC18:BC32" si="3">BB18*BA18</f>
        <v>20.893529448429287</v>
      </c>
      <c r="BD18" s="62">
        <f>$BC18</f>
        <v>20.893529448429287</v>
      </c>
      <c r="BE18" s="62">
        <f>$BC18</f>
        <v>20.893529448429287</v>
      </c>
      <c r="BF18" s="62">
        <f>$BC18</f>
        <v>20.893529448429287</v>
      </c>
      <c r="BG18" s="62">
        <f>$BC18</f>
        <v>20.893529448429287</v>
      </c>
      <c r="BH18" s="62">
        <v>20.89</v>
      </c>
      <c r="BI18" s="62">
        <v>20.89</v>
      </c>
      <c r="BJ18" s="62">
        <v>20.89</v>
      </c>
      <c r="BK18" s="62">
        <f t="shared" ref="BK18:BK32" si="4">SUM((AT18:AX18),(BD18:BJ18))</f>
        <v>248.12214413269697</v>
      </c>
      <c r="BL18" s="927">
        <f t="shared" si="0"/>
        <v>948.15997272201821</v>
      </c>
      <c r="BM18" s="62">
        <v>20.89</v>
      </c>
      <c r="BN18" s="62">
        <v>20.89</v>
      </c>
      <c r="BO18" s="62">
        <v>20.89</v>
      </c>
      <c r="BP18" s="62">
        <v>20.89</v>
      </c>
      <c r="BQ18" s="62">
        <v>20.89</v>
      </c>
      <c r="BR18" s="64">
        <v>118.901</v>
      </c>
      <c r="BS18" s="82">
        <v>104.28400000000001</v>
      </c>
      <c r="BT18" s="64">
        <f>BR18/BS18</f>
        <v>1.1401653177860458</v>
      </c>
      <c r="BU18" s="62"/>
      <c r="BV18" s="62"/>
      <c r="BW18" s="62"/>
      <c r="BX18" s="62"/>
      <c r="BY18" s="62"/>
      <c r="BZ18" s="62"/>
      <c r="CA18" s="62"/>
      <c r="CB18" s="62"/>
      <c r="CC18" s="62"/>
      <c r="CD18" s="62">
        <f>SUM((BM18:BQ18),(BW18:CC18))</f>
        <v>104.45</v>
      </c>
      <c r="CE18" s="927">
        <f>BL18-CD18</f>
        <v>843.70997272201816</v>
      </c>
      <c r="CF18" s="64">
        <v>126.408</v>
      </c>
      <c r="CG18" s="82">
        <v>104.28400000000001</v>
      </c>
      <c r="CH18" s="64">
        <f>CF18/CG18</f>
        <v>1.2121514326262897</v>
      </c>
      <c r="CI18" s="62">
        <f>CE18/L18</f>
        <v>19.621162156326005</v>
      </c>
      <c r="CJ18" s="62">
        <f>CI18*CH18</f>
        <v>23.783819817583304</v>
      </c>
      <c r="CK18" s="62">
        <v>18.77</v>
      </c>
      <c r="CL18" s="62">
        <v>18.77</v>
      </c>
      <c r="CM18" s="62">
        <v>18.77</v>
      </c>
      <c r="CN18" s="62">
        <v>18.77</v>
      </c>
      <c r="CO18" s="62">
        <v>18.77</v>
      </c>
      <c r="CP18" s="62">
        <v>18.77</v>
      </c>
      <c r="CQ18" s="62">
        <v>18.77</v>
      </c>
      <c r="CR18" s="62">
        <f>SUM(CK18:CQ18)</f>
        <v>131.38999999999999</v>
      </c>
      <c r="CS18" s="927">
        <f>CE18-CR18</f>
        <v>712.31997272201818</v>
      </c>
      <c r="CT18" s="62">
        <v>18.77</v>
      </c>
      <c r="CU18" s="62">
        <v>18.77</v>
      </c>
      <c r="CV18" s="62">
        <v>18.77</v>
      </c>
      <c r="CW18" s="62">
        <v>18.77</v>
      </c>
      <c r="CX18" s="62">
        <v>18.77</v>
      </c>
      <c r="CY18" s="1170">
        <f t="shared" ref="CY18:CY32" si="5">SUM(CT18:CX18)</f>
        <v>93.85</v>
      </c>
      <c r="CZ18" s="679">
        <f t="shared" ref="CZ18:CZ32" si="6">CS18-CY18</f>
        <v>618.46997272201816</v>
      </c>
      <c r="DA18" s="1171">
        <v>132.28200000000001</v>
      </c>
      <c r="DB18" s="82">
        <v>104.28400000000001</v>
      </c>
      <c r="DC18" s="1200">
        <f>DA18/DB18</f>
        <v>1.2684783859460704</v>
      </c>
      <c r="DD18" s="510">
        <f>CZ18/L18</f>
        <v>14.383022621442283</v>
      </c>
      <c r="DE18" s="510">
        <f>DD18*DC18</f>
        <v>18.244553319872924</v>
      </c>
      <c r="DF18" s="510">
        <v>18.244553319872924</v>
      </c>
      <c r="DG18" s="510">
        <v>18.244553319872924</v>
      </c>
      <c r="DH18" s="510">
        <v>18.244553319872924</v>
      </c>
      <c r="DI18" s="510">
        <v>18.244553319872924</v>
      </c>
      <c r="DJ18" s="510">
        <v>18.244553319872924</v>
      </c>
      <c r="DK18" s="510">
        <v>18.244553319872924</v>
      </c>
      <c r="DL18" s="510">
        <v>18.244553319872924</v>
      </c>
      <c r="DM18" s="510">
        <v>18.244553319872924</v>
      </c>
      <c r="DN18" s="510">
        <v>18.244553319872924</v>
      </c>
      <c r="DO18" s="510">
        <v>18.244553319872924</v>
      </c>
      <c r="DP18" s="510">
        <v>18.244553319872924</v>
      </c>
      <c r="DQ18" s="510">
        <v>18.244553319872924</v>
      </c>
      <c r="DR18" s="510">
        <v>18.244553319872924</v>
      </c>
      <c r="DS18" s="510">
        <v>18.244553319872924</v>
      </c>
      <c r="DT18" s="510">
        <v>18.244553319872924</v>
      </c>
      <c r="DU18" s="510">
        <v>18.244553319872924</v>
      </c>
      <c r="DV18" s="510">
        <v>18.244553319872924</v>
      </c>
      <c r="DW18" s="510">
        <v>18.244553319872924</v>
      </c>
      <c r="DX18" s="510">
        <f>SUM(DF18:DW18)</f>
        <v>328.40195975771263</v>
      </c>
      <c r="DY18" s="960">
        <f>CZ18-DX18</f>
        <v>290.06801296430552</v>
      </c>
    </row>
    <row r="19" spans="1:129" s="35" customFormat="1" x14ac:dyDescent="0.2">
      <c r="A19" s="120" t="s">
        <v>71</v>
      </c>
      <c r="B19" s="120" t="s">
        <v>26</v>
      </c>
      <c r="C19" s="100"/>
      <c r="D19" s="8"/>
      <c r="E19" s="6"/>
      <c r="F19" s="119"/>
      <c r="G19" s="8"/>
      <c r="H19" s="146"/>
      <c r="I19" s="1167"/>
      <c r="J19" s="125"/>
      <c r="K19" s="1167"/>
      <c r="L19" s="125"/>
      <c r="M19" s="1167"/>
      <c r="N19" s="125"/>
      <c r="O19" s="1167"/>
      <c r="P19" s="125"/>
      <c r="Q19" s="125"/>
      <c r="R19" s="119"/>
      <c r="S19" s="132"/>
      <c r="T19" s="773"/>
      <c r="U19" s="1081"/>
      <c r="V19" s="776"/>
      <c r="W19" s="134"/>
      <c r="X19" s="7"/>
      <c r="Y19" s="64"/>
      <c r="Z19" s="777"/>
      <c r="AA19" s="64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1172"/>
      <c r="AR19" s="62"/>
      <c r="AS19" s="62"/>
      <c r="AT19" s="62">
        <f t="shared" si="1"/>
        <v>0</v>
      </c>
      <c r="AU19" s="62">
        <f t="shared" si="1"/>
        <v>0</v>
      </c>
      <c r="AV19" s="62">
        <f t="shared" si="1"/>
        <v>0</v>
      </c>
      <c r="AW19" s="62">
        <f t="shared" si="1"/>
        <v>0</v>
      </c>
      <c r="AX19" s="62">
        <f t="shared" si="1"/>
        <v>0</v>
      </c>
      <c r="AY19" s="64"/>
      <c r="AZ19" s="777"/>
      <c r="BA19" s="64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927"/>
      <c r="BM19" s="62"/>
      <c r="BN19" s="62"/>
      <c r="BO19" s="62"/>
      <c r="BP19" s="62"/>
      <c r="BQ19" s="62"/>
      <c r="BR19" s="64"/>
      <c r="BS19" s="777"/>
      <c r="BT19" s="64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927"/>
      <c r="CF19" s="64"/>
      <c r="CG19" s="1201"/>
      <c r="CH19" s="64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927"/>
      <c r="CT19" s="62"/>
      <c r="CU19" s="62"/>
      <c r="CV19" s="62"/>
      <c r="CW19" s="62"/>
      <c r="CX19" s="62"/>
      <c r="CY19" s="1170"/>
      <c r="CZ19" s="679"/>
      <c r="DA19" s="510"/>
      <c r="DB19" s="1201"/>
      <c r="DC19" s="1200"/>
      <c r="DD19" s="510"/>
      <c r="DE19" s="510"/>
      <c r="DF19" s="510"/>
      <c r="DG19" s="510"/>
      <c r="DH19" s="510"/>
      <c r="DI19" s="510"/>
      <c r="DJ19" s="510"/>
      <c r="DK19" s="510"/>
      <c r="DL19" s="510"/>
      <c r="DM19" s="510"/>
      <c r="DN19" s="510"/>
      <c r="DO19" s="510"/>
      <c r="DP19" s="510"/>
      <c r="DQ19" s="510"/>
      <c r="DR19" s="510"/>
      <c r="DS19" s="510"/>
      <c r="DT19" s="510"/>
      <c r="DU19" s="510"/>
      <c r="DV19" s="510"/>
      <c r="DW19" s="510"/>
      <c r="DX19" s="510">
        <f t="shared" ref="DX19:DX32" si="7">SUM(DF19:DW19)</f>
        <v>0</v>
      </c>
      <c r="DY19" s="960"/>
    </row>
    <row r="20" spans="1:129" s="35" customFormat="1" x14ac:dyDescent="0.2">
      <c r="A20" s="120" t="s">
        <v>76</v>
      </c>
      <c r="B20" s="772"/>
      <c r="C20" s="100"/>
      <c r="D20" s="8"/>
      <c r="E20" s="111"/>
      <c r="F20" s="119"/>
      <c r="G20" s="8"/>
      <c r="H20" s="146"/>
      <c r="I20" s="1167"/>
      <c r="J20" s="125"/>
      <c r="K20" s="1167"/>
      <c r="L20" s="125"/>
      <c r="M20" s="1167"/>
      <c r="N20" s="125"/>
      <c r="O20" s="1167"/>
      <c r="P20" s="125"/>
      <c r="Q20" s="125"/>
      <c r="R20" s="119"/>
      <c r="S20" s="132"/>
      <c r="T20" s="773"/>
      <c r="U20" s="1083"/>
      <c r="V20" s="776"/>
      <c r="W20" s="134"/>
      <c r="X20" s="7"/>
      <c r="Y20" s="64"/>
      <c r="Z20" s="777"/>
      <c r="AA20" s="64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1172"/>
      <c r="AR20" s="62"/>
      <c r="AS20" s="62"/>
      <c r="AT20" s="62">
        <f t="shared" si="1"/>
        <v>0</v>
      </c>
      <c r="AU20" s="62">
        <f t="shared" si="1"/>
        <v>0</v>
      </c>
      <c r="AV20" s="62">
        <f t="shared" si="1"/>
        <v>0</v>
      </c>
      <c r="AW20" s="62">
        <f t="shared" si="1"/>
        <v>0</v>
      </c>
      <c r="AX20" s="62">
        <f t="shared" si="1"/>
        <v>0</v>
      </c>
      <c r="AY20" s="64"/>
      <c r="AZ20" s="777"/>
      <c r="BA20" s="64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927"/>
      <c r="BM20" s="62"/>
      <c r="BN20" s="62"/>
      <c r="BO20" s="62"/>
      <c r="BP20" s="62"/>
      <c r="BQ20" s="62"/>
      <c r="BR20" s="64"/>
      <c r="BS20" s="777"/>
      <c r="BT20" s="64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927"/>
      <c r="CF20" s="64"/>
      <c r="CG20" s="1201"/>
      <c r="CH20" s="64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927"/>
      <c r="CT20" s="62"/>
      <c r="CU20" s="62"/>
      <c r="CV20" s="62"/>
      <c r="CW20" s="62"/>
      <c r="CX20" s="62"/>
      <c r="CY20" s="1170"/>
      <c r="CZ20" s="679"/>
      <c r="DA20" s="62"/>
      <c r="DB20" s="1201"/>
      <c r="DC20" s="1200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510">
        <f t="shared" si="7"/>
        <v>0</v>
      </c>
      <c r="DY20" s="63"/>
    </row>
    <row r="21" spans="1:129" s="35" customFormat="1" x14ac:dyDescent="0.2">
      <c r="A21" s="100" t="s">
        <v>243</v>
      </c>
      <c r="B21" s="100" t="s">
        <v>737</v>
      </c>
      <c r="C21" s="100" t="s">
        <v>344</v>
      </c>
      <c r="D21" s="8">
        <v>10</v>
      </c>
      <c r="E21" s="130">
        <v>0.1</v>
      </c>
      <c r="F21" s="119">
        <v>43281</v>
      </c>
      <c r="G21" s="125">
        <v>120</v>
      </c>
      <c r="H21" s="146">
        <f>100/G21</f>
        <v>0.83333333333333337</v>
      </c>
      <c r="I21" s="1167">
        <f>H21*J21</f>
        <v>25.833333333333336</v>
      </c>
      <c r="J21" s="125">
        <f>(YEAR(F21)-YEAR(S21))*12+MONTH(F21)-MONTH(S21)</f>
        <v>31</v>
      </c>
      <c r="K21" s="1167">
        <f>L21*H21</f>
        <v>74.166666666666671</v>
      </c>
      <c r="L21" s="125">
        <f>G21-J21</f>
        <v>89</v>
      </c>
      <c r="M21" s="1167">
        <f>N21*H21</f>
        <v>0.83333333333333337</v>
      </c>
      <c r="N21" s="125">
        <v>1</v>
      </c>
      <c r="O21" s="1167">
        <f>P21*H21</f>
        <v>73.333333333333343</v>
      </c>
      <c r="P21" s="125">
        <f>L21-N21</f>
        <v>88</v>
      </c>
      <c r="Q21" s="119">
        <f>DATE(YEAR(S21),MONTH(S21)+G21,DAY(S21))</f>
        <v>45986</v>
      </c>
      <c r="R21" s="119" t="s">
        <v>736</v>
      </c>
      <c r="S21" s="119">
        <v>42333</v>
      </c>
      <c r="T21" s="134">
        <v>839.19</v>
      </c>
      <c r="U21" s="134">
        <v>0</v>
      </c>
      <c r="V21" s="7">
        <v>0</v>
      </c>
      <c r="W21" s="1167">
        <v>0</v>
      </c>
      <c r="Y21" s="64">
        <v>115.958</v>
      </c>
      <c r="Z21" s="1168">
        <v>118.051</v>
      </c>
      <c r="AA21" s="64">
        <f>Y21/Z21</f>
        <v>0.98227037466857536</v>
      </c>
      <c r="AB21" s="62">
        <f>H21*T21/100</f>
        <v>6.9932500000000006</v>
      </c>
      <c r="AC21" s="62">
        <f>AB21*AA21</f>
        <v>6.8692622976510149</v>
      </c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>
        <f>SUM(AC21:AN21)+V21</f>
        <v>6.8692622976510149</v>
      </c>
      <c r="AP21" s="1169">
        <f>SUM(AI21:AO21)</f>
        <v>6.8692622976510149</v>
      </c>
      <c r="AQ21" s="1202">
        <f>T21-AP21</f>
        <v>832.32073770234899</v>
      </c>
      <c r="AR21" s="62"/>
      <c r="AS21" s="62"/>
      <c r="AT21" s="62">
        <f t="shared" si="1"/>
        <v>6.8692622976510149</v>
      </c>
      <c r="AU21" s="62">
        <f t="shared" si="1"/>
        <v>6.8692622976510149</v>
      </c>
      <c r="AV21" s="62">
        <f t="shared" si="1"/>
        <v>6.8692622976510149</v>
      </c>
      <c r="AW21" s="62">
        <f t="shared" si="1"/>
        <v>6.8692622976510149</v>
      </c>
      <c r="AX21" s="62">
        <f t="shared" si="1"/>
        <v>6.8692622976510149</v>
      </c>
      <c r="AY21" s="64">
        <v>118.901</v>
      </c>
      <c r="AZ21" s="1168">
        <v>118.051</v>
      </c>
      <c r="BA21" s="64">
        <f>AY21/AZ21</f>
        <v>1.0072002778460156</v>
      </c>
      <c r="BB21" s="62">
        <f t="shared" si="2"/>
        <v>6.9932500000000006</v>
      </c>
      <c r="BC21" s="62">
        <f t="shared" si="3"/>
        <v>7.0436033430466498</v>
      </c>
      <c r="BD21" s="62">
        <f>$BC21</f>
        <v>7.0436033430466498</v>
      </c>
      <c r="BE21" s="62">
        <f>$BC21</f>
        <v>7.0436033430466498</v>
      </c>
      <c r="BF21" s="62">
        <f>$BC21</f>
        <v>7.0436033430466498</v>
      </c>
      <c r="BG21" s="62">
        <f>$BC21</f>
        <v>7.0436033430466498</v>
      </c>
      <c r="BH21" s="62">
        <v>7.04</v>
      </c>
      <c r="BI21" s="62">
        <v>7.04</v>
      </c>
      <c r="BJ21" s="62">
        <v>7.04</v>
      </c>
      <c r="BK21" s="62">
        <f t="shared" si="4"/>
        <v>83.640724860441679</v>
      </c>
      <c r="BL21" s="927">
        <f t="shared" si="0"/>
        <v>748.68001284190734</v>
      </c>
      <c r="BM21" s="62">
        <v>7.04</v>
      </c>
      <c r="BN21" s="62">
        <v>7.04</v>
      </c>
      <c r="BO21" s="62">
        <v>7.04</v>
      </c>
      <c r="BP21" s="62">
        <v>7.04</v>
      </c>
      <c r="BQ21" s="62">
        <v>7.04</v>
      </c>
      <c r="BR21" s="64">
        <v>118.901</v>
      </c>
      <c r="BS21" s="1168">
        <v>118.051</v>
      </c>
      <c r="BT21" s="64">
        <f>BR21/BS21</f>
        <v>1.0072002778460156</v>
      </c>
      <c r="BU21" s="62"/>
      <c r="BV21" s="62"/>
      <c r="BW21" s="62"/>
      <c r="BX21" s="62"/>
      <c r="BY21" s="62"/>
      <c r="BZ21" s="62"/>
      <c r="CA21" s="62"/>
      <c r="CB21" s="62"/>
      <c r="CC21" s="62"/>
      <c r="CD21" s="62">
        <f>SUM((BM21:BQ21),(BW21:CC21))</f>
        <v>35.200000000000003</v>
      </c>
      <c r="CE21" s="927">
        <f>BL21-CD21</f>
        <v>713.4800128419073</v>
      </c>
      <c r="CF21" s="64">
        <v>126.408</v>
      </c>
      <c r="CG21" s="1168">
        <v>118.051</v>
      </c>
      <c r="CH21" s="64">
        <f>CF21/CG21</f>
        <v>1.0707914375990037</v>
      </c>
      <c r="CI21" s="62">
        <f>CE21/L21</f>
        <v>8.0166293577742387</v>
      </c>
      <c r="CJ21" s="62">
        <f>CI21*CH21</f>
        <v>8.5841380747094558</v>
      </c>
      <c r="CK21" s="62">
        <v>7.96</v>
      </c>
      <c r="CL21" s="62">
        <v>7.96</v>
      </c>
      <c r="CM21" s="62">
        <v>7.96</v>
      </c>
      <c r="CN21" s="62">
        <v>7.96</v>
      </c>
      <c r="CO21" s="62">
        <v>7.96</v>
      </c>
      <c r="CP21" s="62">
        <v>7.96</v>
      </c>
      <c r="CQ21" s="62">
        <v>7.96</v>
      </c>
      <c r="CR21" s="62">
        <f>SUM(CK21:CQ21)</f>
        <v>55.72</v>
      </c>
      <c r="CS21" s="927">
        <f>CE21-CR21</f>
        <v>657.76001284190727</v>
      </c>
      <c r="CT21" s="62">
        <v>7.96</v>
      </c>
      <c r="CU21" s="62">
        <v>7.96</v>
      </c>
      <c r="CV21" s="62">
        <v>7.96</v>
      </c>
      <c r="CW21" s="62">
        <v>7.96</v>
      </c>
      <c r="CX21" s="62">
        <v>7.96</v>
      </c>
      <c r="CY21" s="1170">
        <f t="shared" si="5"/>
        <v>39.799999999999997</v>
      </c>
      <c r="CZ21" s="679">
        <f t="shared" si="6"/>
        <v>617.96001284190731</v>
      </c>
      <c r="DA21" s="1171">
        <v>132.28200000000001</v>
      </c>
      <c r="DB21" s="1168">
        <v>118.051</v>
      </c>
      <c r="DC21" s="1200">
        <f>DA21/DB21</f>
        <v>1.1205495929725289</v>
      </c>
      <c r="DD21" s="510">
        <f>CZ21/L21</f>
        <v>6.943370930807947</v>
      </c>
      <c r="DE21" s="510">
        <f>DD21*DC21</f>
        <v>7.7803914703741341</v>
      </c>
      <c r="DF21" s="510">
        <v>7.7803914703741341</v>
      </c>
      <c r="DG21" s="510">
        <v>7.7803914703741341</v>
      </c>
      <c r="DH21" s="510">
        <v>7.7803914703741341</v>
      </c>
      <c r="DI21" s="510">
        <v>7.7803914703741341</v>
      </c>
      <c r="DJ21" s="510">
        <v>7.7803914703741341</v>
      </c>
      <c r="DK21" s="510">
        <v>7.7803914703741341</v>
      </c>
      <c r="DL21" s="510">
        <v>7.7803914703741341</v>
      </c>
      <c r="DM21" s="510">
        <v>7.7803914703741341</v>
      </c>
      <c r="DN21" s="510">
        <v>7.7803914703741341</v>
      </c>
      <c r="DO21" s="510">
        <v>7.7803914703741341</v>
      </c>
      <c r="DP21" s="510">
        <v>7.7803914703741341</v>
      </c>
      <c r="DQ21" s="510">
        <v>7.7803914703741341</v>
      </c>
      <c r="DR21" s="510">
        <v>7.7803914703741341</v>
      </c>
      <c r="DS21" s="510">
        <v>7.7803914703741341</v>
      </c>
      <c r="DT21" s="510">
        <v>7.7803914703741341</v>
      </c>
      <c r="DU21" s="510">
        <v>7.7803914703741341</v>
      </c>
      <c r="DV21" s="510">
        <v>7.7803914703741341</v>
      </c>
      <c r="DW21" s="510">
        <v>7.7803914703741341</v>
      </c>
      <c r="DX21" s="510">
        <f t="shared" si="7"/>
        <v>140.04704646673434</v>
      </c>
      <c r="DY21" s="960">
        <f>CZ21-DX21</f>
        <v>477.91296637517297</v>
      </c>
    </row>
    <row r="22" spans="1:129" s="35" customFormat="1" x14ac:dyDescent="0.2">
      <c r="A22" s="119" t="s">
        <v>243</v>
      </c>
      <c r="B22" s="100" t="s">
        <v>40</v>
      </c>
      <c r="C22" s="100" t="s">
        <v>344</v>
      </c>
      <c r="D22" s="8">
        <v>10</v>
      </c>
      <c r="E22" s="130">
        <v>0.1</v>
      </c>
      <c r="F22" s="119">
        <v>43281</v>
      </c>
      <c r="G22" s="8">
        <v>120</v>
      </c>
      <c r="H22" s="146">
        <f>100/G22</f>
        <v>0.83333333333333337</v>
      </c>
      <c r="I22" s="1167">
        <f>H22*J22</f>
        <v>164.16666666666669</v>
      </c>
      <c r="J22" s="125">
        <f>(YEAR(F22)-YEAR(S22))*12+MONTH(F22)-MONTH(S22)</f>
        <v>197</v>
      </c>
      <c r="K22" s="1167">
        <f>L22*H22</f>
        <v>-64.166666666666671</v>
      </c>
      <c r="L22" s="125">
        <f>G22-J22</f>
        <v>-77</v>
      </c>
      <c r="M22" s="1167">
        <f>N22*H22</f>
        <v>5.8333333333333339</v>
      </c>
      <c r="N22" s="125">
        <v>7</v>
      </c>
      <c r="O22" s="1167">
        <f>K22-M22</f>
        <v>-70</v>
      </c>
      <c r="P22" s="125">
        <f>L22-N22</f>
        <v>-84</v>
      </c>
      <c r="Q22" s="119">
        <f>DATE(YEAR(S22),MONTH(S22)+G22,DAY(S22))</f>
        <v>40909</v>
      </c>
      <c r="R22" s="119" t="s">
        <v>573</v>
      </c>
      <c r="S22" s="119">
        <v>37257</v>
      </c>
      <c r="T22" s="63">
        <v>1731.13</v>
      </c>
      <c r="U22" s="1083">
        <v>274.05</v>
      </c>
      <c r="V22" s="776">
        <v>274.05</v>
      </c>
      <c r="W22" s="134">
        <v>14.43</v>
      </c>
      <c r="X22" s="7">
        <f>W22*5</f>
        <v>72.150000000000006</v>
      </c>
      <c r="Y22" s="64">
        <v>115.958</v>
      </c>
      <c r="Z22" s="82">
        <v>98.253</v>
      </c>
      <c r="AA22" s="64">
        <f>Y22/Z22</f>
        <v>1.1801980601101238</v>
      </c>
      <c r="AB22" s="62">
        <f>V22*M22/100/K22*100/7</f>
        <v>-3.5590909090909091</v>
      </c>
      <c r="AC22" s="62">
        <f>AB22*AA22</f>
        <v>-4.2004321866646679</v>
      </c>
      <c r="AD22" s="62"/>
      <c r="AE22" s="62"/>
      <c r="AF22" s="62"/>
      <c r="AG22" s="62"/>
      <c r="AH22" s="62"/>
      <c r="AI22" s="62">
        <v>0</v>
      </c>
      <c r="AJ22" s="62"/>
      <c r="AK22" s="62"/>
      <c r="AL22" s="62"/>
      <c r="AM22" s="62"/>
      <c r="AN22" s="62"/>
      <c r="AO22" s="62">
        <v>47.18</v>
      </c>
      <c r="AP22" s="62">
        <f>SUM(AD22:AO22)+X22</f>
        <v>119.33000000000001</v>
      </c>
      <c r="AQ22" s="1172">
        <f>V22-AP22</f>
        <v>154.72</v>
      </c>
      <c r="AR22" s="62"/>
      <c r="AS22" s="62"/>
      <c r="AT22" s="62">
        <f t="shared" si="1"/>
        <v>47.18</v>
      </c>
      <c r="AU22" s="62">
        <f t="shared" si="1"/>
        <v>47.18</v>
      </c>
      <c r="AV22" s="62">
        <f t="shared" si="1"/>
        <v>47.18</v>
      </c>
      <c r="AW22" s="62">
        <v>12.18</v>
      </c>
      <c r="AX22" s="62">
        <v>0</v>
      </c>
      <c r="AY22" s="64">
        <v>118.901</v>
      </c>
      <c r="AZ22" s="82">
        <v>98.253</v>
      </c>
      <c r="BA22" s="64">
        <f>AY22/AZ22</f>
        <v>1.2101513439793186</v>
      </c>
      <c r="BB22" s="62">
        <f t="shared" si="2"/>
        <v>14.426083333333334</v>
      </c>
      <c r="BC22" s="62">
        <f t="shared" si="3"/>
        <v>17.457744134190982</v>
      </c>
      <c r="BD22" s="62"/>
      <c r="BE22" s="62"/>
      <c r="BF22" s="62"/>
      <c r="BG22" s="62"/>
      <c r="BH22" s="62"/>
      <c r="BI22" s="62"/>
      <c r="BJ22" s="62"/>
      <c r="BK22" s="62">
        <f t="shared" si="4"/>
        <v>153.72</v>
      </c>
      <c r="BL22" s="927">
        <f t="shared" si="0"/>
        <v>1</v>
      </c>
      <c r="BM22" s="62"/>
      <c r="BN22" s="62"/>
      <c r="BO22" s="62"/>
      <c r="BP22" s="62"/>
      <c r="BQ22" s="62"/>
      <c r="BR22" s="64">
        <v>118.901</v>
      </c>
      <c r="BS22" s="82">
        <v>98.253</v>
      </c>
      <c r="BT22" s="64">
        <f>BR22/BS22</f>
        <v>1.2101513439793186</v>
      </c>
      <c r="BU22" s="62"/>
      <c r="BV22" s="62"/>
      <c r="BW22" s="62"/>
      <c r="BX22" s="62"/>
      <c r="BY22" s="62"/>
      <c r="BZ22" s="62"/>
      <c r="CA22" s="62"/>
      <c r="CB22" s="62"/>
      <c r="CC22" s="62"/>
      <c r="CD22" s="62">
        <f>SUM((BM22:BQ22),(BW22:CC22))</f>
        <v>0</v>
      </c>
      <c r="CE22" s="927">
        <f>BL22-CD22</f>
        <v>1</v>
      </c>
      <c r="CF22" s="64"/>
      <c r="CG22" s="82">
        <v>98.253</v>
      </c>
      <c r="CH22" s="64">
        <f>CF22/CG22</f>
        <v>0</v>
      </c>
      <c r="CI22" s="62"/>
      <c r="CJ22" s="62">
        <f>CI22*CH22</f>
        <v>0</v>
      </c>
      <c r="CK22" s="62"/>
      <c r="CL22" s="62"/>
      <c r="CM22" s="62"/>
      <c r="CN22" s="62"/>
      <c r="CO22" s="62"/>
      <c r="CP22" s="62"/>
      <c r="CQ22" s="62"/>
      <c r="CR22" s="62">
        <f>SUM(CK22:CQ22)</f>
        <v>0</v>
      </c>
      <c r="CS22" s="927">
        <v>1</v>
      </c>
      <c r="CT22" s="62"/>
      <c r="CU22" s="62"/>
      <c r="CV22" s="62"/>
      <c r="CW22" s="62"/>
      <c r="CX22" s="62"/>
      <c r="CY22" s="1170">
        <f t="shared" si="5"/>
        <v>0</v>
      </c>
      <c r="CZ22" s="679">
        <f t="shared" si="6"/>
        <v>1</v>
      </c>
      <c r="DA22" s="1171">
        <v>132.28200000000001</v>
      </c>
      <c r="DB22" s="82">
        <v>98.253</v>
      </c>
      <c r="DC22" s="1200">
        <f>DA22/DB22</f>
        <v>1.3463405697535955</v>
      </c>
      <c r="DD22" s="510"/>
      <c r="DE22" s="510"/>
      <c r="DF22" s="510"/>
      <c r="DG22" s="510"/>
      <c r="DH22" s="510"/>
      <c r="DI22" s="510"/>
      <c r="DJ22" s="510"/>
      <c r="DK22" s="510"/>
      <c r="DL22" s="510"/>
      <c r="DM22" s="510"/>
      <c r="DN22" s="510"/>
      <c r="DO22" s="510"/>
      <c r="DP22" s="510"/>
      <c r="DQ22" s="510"/>
      <c r="DR22" s="510"/>
      <c r="DS22" s="510"/>
      <c r="DT22" s="510"/>
      <c r="DU22" s="510"/>
      <c r="DV22" s="510"/>
      <c r="DW22" s="510"/>
      <c r="DX22" s="510">
        <f t="shared" si="7"/>
        <v>0</v>
      </c>
      <c r="DY22" s="960">
        <f>CZ22-DX22</f>
        <v>1</v>
      </c>
    </row>
    <row r="23" spans="1:129" s="16" customFormat="1" x14ac:dyDescent="0.2">
      <c r="A23" s="29" t="s">
        <v>65</v>
      </c>
      <c r="B23" s="29"/>
      <c r="C23" s="45"/>
      <c r="D23" s="58"/>
      <c r="E23" s="30"/>
      <c r="F23" s="46"/>
      <c r="G23" s="58"/>
      <c r="H23" s="145"/>
      <c r="I23" s="165"/>
      <c r="J23" s="48"/>
      <c r="K23" s="165"/>
      <c r="L23" s="48"/>
      <c r="M23" s="165"/>
      <c r="N23" s="48"/>
      <c r="O23" s="165"/>
      <c r="P23" s="48"/>
      <c r="Q23" s="48"/>
      <c r="R23" s="46"/>
      <c r="S23" s="33"/>
      <c r="T23" s="121"/>
      <c r="U23" s="152"/>
      <c r="V23" s="154"/>
      <c r="W23" s="47"/>
      <c r="X23" s="106"/>
      <c r="Y23" s="57"/>
      <c r="Z23" s="135"/>
      <c r="AA23" s="57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392"/>
      <c r="AR23" s="55"/>
      <c r="AS23" s="55"/>
      <c r="AT23" s="55">
        <f t="shared" si="1"/>
        <v>0</v>
      </c>
      <c r="AU23" s="55">
        <f t="shared" si="1"/>
        <v>0</v>
      </c>
      <c r="AV23" s="55">
        <f t="shared" si="1"/>
        <v>0</v>
      </c>
      <c r="AW23" s="55">
        <f t="shared" si="1"/>
        <v>0</v>
      </c>
      <c r="AX23" s="55">
        <f t="shared" si="1"/>
        <v>0</v>
      </c>
      <c r="AY23" s="57"/>
      <c r="AZ23" s="135"/>
      <c r="BA23" s="57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448"/>
      <c r="BM23" s="55"/>
      <c r="BN23" s="55"/>
      <c r="BO23" s="55"/>
      <c r="BP23" s="55"/>
      <c r="BQ23" s="55"/>
      <c r="BR23" s="57"/>
      <c r="BS23" s="135"/>
      <c r="BT23" s="57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448"/>
      <c r="CF23" s="57"/>
      <c r="CG23" s="135"/>
      <c r="CH23" s="57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448"/>
      <c r="CT23" s="55"/>
      <c r="CU23" s="55"/>
      <c r="CV23" s="55"/>
      <c r="CW23" s="55"/>
      <c r="CX23" s="55"/>
      <c r="CY23" s="505"/>
      <c r="CZ23" s="679"/>
      <c r="DA23" s="623"/>
      <c r="DB23" s="135"/>
      <c r="DC23" s="957"/>
      <c r="DD23" s="511"/>
      <c r="DE23" s="511"/>
      <c r="DF23" s="511"/>
      <c r="DG23" s="511"/>
      <c r="DH23" s="511"/>
      <c r="DI23" s="511"/>
      <c r="DJ23" s="511"/>
      <c r="DK23" s="511"/>
      <c r="DL23" s="511"/>
      <c r="DM23" s="511"/>
      <c r="DN23" s="511"/>
      <c r="DO23" s="511"/>
      <c r="DP23" s="511"/>
      <c r="DQ23" s="511"/>
      <c r="DR23" s="511"/>
      <c r="DS23" s="511"/>
      <c r="DT23" s="511"/>
      <c r="DU23" s="511"/>
      <c r="DV23" s="511"/>
      <c r="DW23" s="511"/>
      <c r="DX23" s="511">
        <f t="shared" si="7"/>
        <v>0</v>
      </c>
      <c r="DY23" s="1029"/>
    </row>
    <row r="24" spans="1:129" s="16" customFormat="1" x14ac:dyDescent="0.2">
      <c r="A24" s="29" t="s">
        <v>83</v>
      </c>
      <c r="B24" s="9"/>
      <c r="C24" s="45"/>
      <c r="D24" s="58"/>
      <c r="E24" s="30"/>
      <c r="F24" s="46"/>
      <c r="G24" s="58"/>
      <c r="H24" s="145"/>
      <c r="I24" s="48"/>
      <c r="J24" s="48"/>
      <c r="K24" s="48"/>
      <c r="L24" s="48"/>
      <c r="M24" s="48"/>
      <c r="N24" s="48"/>
      <c r="O24" s="48"/>
      <c r="P24" s="48"/>
      <c r="Q24" s="48"/>
      <c r="R24" s="46"/>
      <c r="S24" s="33"/>
      <c r="T24" s="121"/>
      <c r="U24" s="151"/>
      <c r="V24" s="154"/>
      <c r="W24" s="47"/>
      <c r="X24" s="106"/>
      <c r="Y24" s="57"/>
      <c r="Z24" s="135"/>
      <c r="AA24" s="57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392"/>
      <c r="AR24" s="55"/>
      <c r="AS24" s="55"/>
      <c r="AT24" s="55">
        <f t="shared" si="1"/>
        <v>0</v>
      </c>
      <c r="AU24" s="55">
        <f t="shared" si="1"/>
        <v>0</v>
      </c>
      <c r="AV24" s="55">
        <f t="shared" si="1"/>
        <v>0</v>
      </c>
      <c r="AW24" s="55">
        <f t="shared" si="1"/>
        <v>0</v>
      </c>
      <c r="AX24" s="55">
        <f t="shared" si="1"/>
        <v>0</v>
      </c>
      <c r="AY24" s="57"/>
      <c r="AZ24" s="135"/>
      <c r="BA24" s="57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448"/>
      <c r="BM24" s="55"/>
      <c r="BN24" s="55"/>
      <c r="BO24" s="55"/>
      <c r="BP24" s="55"/>
      <c r="BQ24" s="55"/>
      <c r="BR24" s="57"/>
      <c r="BS24" s="135"/>
      <c r="BT24" s="57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448"/>
      <c r="CF24" s="57"/>
      <c r="CG24" s="135"/>
      <c r="CH24" s="57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448"/>
      <c r="CT24" s="55"/>
      <c r="CU24" s="55"/>
      <c r="CV24" s="55"/>
      <c r="CW24" s="55"/>
      <c r="CX24" s="55"/>
      <c r="CY24" s="505"/>
      <c r="CZ24" s="679"/>
      <c r="DA24" s="656"/>
      <c r="DB24" s="135"/>
      <c r="DC24" s="957"/>
      <c r="DD24" s="511"/>
      <c r="DE24" s="511"/>
      <c r="DF24" s="511"/>
      <c r="DG24" s="511"/>
      <c r="DH24" s="511"/>
      <c r="DI24" s="511"/>
      <c r="DJ24" s="511"/>
      <c r="DK24" s="511"/>
      <c r="DL24" s="511"/>
      <c r="DM24" s="511"/>
      <c r="DN24" s="511"/>
      <c r="DO24" s="511"/>
      <c r="DP24" s="511"/>
      <c r="DQ24" s="511"/>
      <c r="DR24" s="511"/>
      <c r="DS24" s="511"/>
      <c r="DT24" s="511"/>
      <c r="DU24" s="511"/>
      <c r="DV24" s="511"/>
      <c r="DW24" s="511"/>
      <c r="DX24" s="511">
        <f t="shared" si="7"/>
        <v>0</v>
      </c>
      <c r="DY24" s="1029"/>
    </row>
    <row r="25" spans="1:129" s="16" customFormat="1" x14ac:dyDescent="0.2">
      <c r="A25" s="100" t="s">
        <v>244</v>
      </c>
      <c r="B25" s="100" t="s">
        <v>719</v>
      </c>
      <c r="C25" s="45" t="s">
        <v>344</v>
      </c>
      <c r="D25" s="58">
        <v>10</v>
      </c>
      <c r="E25" s="53">
        <v>0.1</v>
      </c>
      <c r="F25" s="46">
        <v>43281</v>
      </c>
      <c r="G25" s="48">
        <v>120</v>
      </c>
      <c r="H25" s="145">
        <f>100/G25</f>
        <v>0.83333333333333337</v>
      </c>
      <c r="I25" s="165">
        <f>H25*J25</f>
        <v>25</v>
      </c>
      <c r="J25" s="48">
        <f>(YEAR(F25)-YEAR(S25))*12+MONTH(F25)-MONTH(S25)</f>
        <v>30</v>
      </c>
      <c r="K25" s="165">
        <f>L25*H25</f>
        <v>75</v>
      </c>
      <c r="L25" s="48">
        <f>G25-J25</f>
        <v>90</v>
      </c>
      <c r="M25" s="165">
        <f>N25*H25</f>
        <v>0.83333333333333337</v>
      </c>
      <c r="N25" s="48">
        <v>1</v>
      </c>
      <c r="O25" s="165">
        <f>P25*H25</f>
        <v>74.166666666666671</v>
      </c>
      <c r="P25" s="48">
        <f>L25-N25</f>
        <v>89</v>
      </c>
      <c r="Q25" s="46">
        <f>DATE(YEAR(S25),MONTH(S25)+G25,DAY(S25))</f>
        <v>45997</v>
      </c>
      <c r="R25" s="48">
        <v>3336</v>
      </c>
      <c r="S25" s="46">
        <v>42344</v>
      </c>
      <c r="T25" s="47">
        <f>2*734</f>
        <v>1468</v>
      </c>
      <c r="U25" s="57">
        <v>0</v>
      </c>
      <c r="V25" s="55">
        <v>0</v>
      </c>
      <c r="W25" s="55">
        <v>118.051</v>
      </c>
      <c r="Y25" s="57">
        <v>115.958</v>
      </c>
      <c r="Z25" s="55">
        <v>118.532</v>
      </c>
      <c r="AA25" s="55">
        <f>Y25/Z25</f>
        <v>0.97828434515573859</v>
      </c>
      <c r="AB25" s="55">
        <f>T25*H25/100</f>
        <v>12.233333333333334</v>
      </c>
      <c r="AC25" s="55">
        <f>AB25*AA25</f>
        <v>11.96767848907187</v>
      </c>
      <c r="AD25" s="55"/>
      <c r="AE25" s="55"/>
      <c r="AF25" s="55"/>
      <c r="AG25" s="55"/>
      <c r="AH25" s="55"/>
      <c r="AI25" s="55"/>
      <c r="AJ25" s="55"/>
      <c r="AK25" s="72"/>
      <c r="AL25" s="72">
        <v>0</v>
      </c>
      <c r="AM25" s="72">
        <v>0</v>
      </c>
      <c r="AN25" s="55">
        <v>0</v>
      </c>
      <c r="AO25" s="55">
        <f>AC25</f>
        <v>11.96767848907187</v>
      </c>
      <c r="AP25" s="72">
        <f>AO25</f>
        <v>11.96767848907187</v>
      </c>
      <c r="AQ25" s="392">
        <f>T25-AP25</f>
        <v>1456.0323215109281</v>
      </c>
      <c r="AR25" s="55"/>
      <c r="AS25" s="55"/>
      <c r="AT25" s="55">
        <f t="shared" si="1"/>
        <v>11.96767848907187</v>
      </c>
      <c r="AU25" s="55">
        <f t="shared" si="1"/>
        <v>11.96767848907187</v>
      </c>
      <c r="AV25" s="55">
        <f t="shared" si="1"/>
        <v>11.96767848907187</v>
      </c>
      <c r="AW25" s="55">
        <f t="shared" si="1"/>
        <v>11.96767848907187</v>
      </c>
      <c r="AX25" s="55">
        <f t="shared" si="1"/>
        <v>11.96767848907187</v>
      </c>
      <c r="AY25" s="57">
        <v>118.901</v>
      </c>
      <c r="AZ25" s="55">
        <v>118.532</v>
      </c>
      <c r="BA25" s="55">
        <f>AY25/AZ25</f>
        <v>1.0031130833867647</v>
      </c>
      <c r="BB25" s="55">
        <f t="shared" si="2"/>
        <v>12.233333333333333</v>
      </c>
      <c r="BC25" s="55">
        <f t="shared" si="3"/>
        <v>12.271416720098088</v>
      </c>
      <c r="BD25" s="55">
        <f>$BC25</f>
        <v>12.271416720098088</v>
      </c>
      <c r="BE25" s="55">
        <f>$BC25</f>
        <v>12.271416720098088</v>
      </c>
      <c r="BF25" s="55">
        <f>$BC25</f>
        <v>12.271416720098088</v>
      </c>
      <c r="BG25" s="55">
        <f>$BC25</f>
        <v>12.271416720098088</v>
      </c>
      <c r="BH25" s="55">
        <v>12.27</v>
      </c>
      <c r="BI25" s="55">
        <v>12.27</v>
      </c>
      <c r="BJ25" s="55">
        <v>12.27</v>
      </c>
      <c r="BK25" s="55">
        <f t="shared" si="4"/>
        <v>145.73405932575173</v>
      </c>
      <c r="BL25" s="448">
        <f t="shared" si="0"/>
        <v>1310.2982621851763</v>
      </c>
      <c r="BM25" s="55">
        <v>12.27</v>
      </c>
      <c r="BN25" s="55">
        <v>12.27</v>
      </c>
      <c r="BO25" s="55">
        <v>12.27</v>
      </c>
      <c r="BP25" s="55">
        <v>12.27</v>
      </c>
      <c r="BQ25" s="55">
        <v>12.27</v>
      </c>
      <c r="BR25" s="57">
        <v>118.901</v>
      </c>
      <c r="BS25" s="55">
        <v>118.532</v>
      </c>
      <c r="BT25" s="55">
        <f>BR25/BS25</f>
        <v>1.0031130833867647</v>
      </c>
      <c r="BU25" s="55"/>
      <c r="BV25" s="55"/>
      <c r="BW25" s="55"/>
      <c r="BX25" s="55"/>
      <c r="BY25" s="55"/>
      <c r="BZ25" s="55"/>
      <c r="CA25" s="55"/>
      <c r="CB25" s="55"/>
      <c r="CC25" s="55"/>
      <c r="CD25" s="55">
        <f>SUM((BM25:BQ25),(BW25:CC25))</f>
        <v>61.349999999999994</v>
      </c>
      <c r="CE25" s="448">
        <f>BL25-CD25</f>
        <v>1248.9482621851764</v>
      </c>
      <c r="CF25" s="57">
        <v>126.408</v>
      </c>
      <c r="CG25" s="55">
        <v>118.532</v>
      </c>
      <c r="CH25" s="55">
        <f>CF25/CG25</f>
        <v>1.0664461917456889</v>
      </c>
      <c r="CI25" s="55">
        <f>CE25/L25</f>
        <v>13.877202913168627</v>
      </c>
      <c r="CJ25" s="55">
        <f>CI25*CH25</f>
        <v>14.799290198830862</v>
      </c>
      <c r="CK25" s="55">
        <v>11.1</v>
      </c>
      <c r="CL25" s="55">
        <v>11.1</v>
      </c>
      <c r="CM25" s="55">
        <v>11.1</v>
      </c>
      <c r="CN25" s="55">
        <v>11.1</v>
      </c>
      <c r="CO25" s="55">
        <v>11.1</v>
      </c>
      <c r="CP25" s="55">
        <v>11.1</v>
      </c>
      <c r="CQ25" s="55">
        <v>11.1</v>
      </c>
      <c r="CR25" s="55">
        <f>SUM(CK25:CQ25)</f>
        <v>77.699999999999989</v>
      </c>
      <c r="CS25" s="448">
        <f>CE25-CR25</f>
        <v>1171.2482621851764</v>
      </c>
      <c r="CT25" s="55">
        <v>11.1</v>
      </c>
      <c r="CU25" s="55">
        <v>13.06</v>
      </c>
      <c r="CV25" s="55">
        <v>13.06</v>
      </c>
      <c r="CW25" s="55">
        <v>13.06</v>
      </c>
      <c r="CX25" s="55">
        <v>13.06</v>
      </c>
      <c r="CY25" s="505">
        <f t="shared" si="5"/>
        <v>63.34</v>
      </c>
      <c r="CZ25" s="679">
        <f t="shared" si="6"/>
        <v>1107.9082621851765</v>
      </c>
      <c r="DA25" s="956">
        <v>132.28200000000001</v>
      </c>
      <c r="DB25" s="55">
        <v>118.532</v>
      </c>
      <c r="DC25" s="957">
        <f>DA25/DB25</f>
        <v>1.1160024297236191</v>
      </c>
      <c r="DD25" s="511">
        <f>CZ25/L25</f>
        <v>12.310091802057515</v>
      </c>
      <c r="DE25" s="511">
        <f>DD25*DC25</f>
        <v>13.738092361216992</v>
      </c>
      <c r="DF25" s="511">
        <v>13.738092361216992</v>
      </c>
      <c r="DG25" s="511">
        <v>13.738092361216992</v>
      </c>
      <c r="DH25" s="511">
        <v>13.738092361216992</v>
      </c>
      <c r="DI25" s="511">
        <v>13.738092361216992</v>
      </c>
      <c r="DJ25" s="511">
        <v>13.738092361216992</v>
      </c>
      <c r="DK25" s="511">
        <v>13.738092361216992</v>
      </c>
      <c r="DL25" s="511">
        <v>13.738092361216992</v>
      </c>
      <c r="DM25" s="511">
        <v>13.738092361216992</v>
      </c>
      <c r="DN25" s="511">
        <v>13.738092361216992</v>
      </c>
      <c r="DO25" s="511">
        <v>13.738092361216992</v>
      </c>
      <c r="DP25" s="511">
        <v>13.738092361216992</v>
      </c>
      <c r="DQ25" s="511">
        <v>13.738092361216992</v>
      </c>
      <c r="DR25" s="511">
        <v>13.738092361216992</v>
      </c>
      <c r="DS25" s="511">
        <v>13.738092361216992</v>
      </c>
      <c r="DT25" s="511">
        <v>13.738092361216992</v>
      </c>
      <c r="DU25" s="511">
        <v>13.738092361216992</v>
      </c>
      <c r="DV25" s="511">
        <v>13.738092361216992</v>
      </c>
      <c r="DW25" s="511">
        <v>13.738092361216992</v>
      </c>
      <c r="DX25" s="511">
        <f t="shared" si="7"/>
        <v>247.28566250190576</v>
      </c>
      <c r="DY25" s="960">
        <f>CZ25-DX25</f>
        <v>860.62259968327066</v>
      </c>
    </row>
    <row r="26" spans="1:129" s="16" customFormat="1" x14ac:dyDescent="0.2">
      <c r="A26" s="20" t="s">
        <v>244</v>
      </c>
      <c r="B26" s="9" t="s">
        <v>165</v>
      </c>
      <c r="C26" s="45" t="s">
        <v>344</v>
      </c>
      <c r="D26" s="58">
        <v>10</v>
      </c>
      <c r="E26" s="25">
        <v>0.1</v>
      </c>
      <c r="F26" s="46">
        <v>43281</v>
      </c>
      <c r="G26" s="58">
        <v>120</v>
      </c>
      <c r="H26" s="145">
        <f>100/G26</f>
        <v>0.83333333333333337</v>
      </c>
      <c r="I26" s="165">
        <f>H26*J26</f>
        <v>174.16666666666669</v>
      </c>
      <c r="J26" s="48">
        <f>(YEAR(F26)-YEAR(S26))*12+MONTH(F26)-MONTH(S26)</f>
        <v>209</v>
      </c>
      <c r="K26" s="165">
        <f>L26*H26</f>
        <v>-74.166666666666671</v>
      </c>
      <c r="L26" s="48">
        <f>G26-J26</f>
        <v>-89</v>
      </c>
      <c r="M26" s="165">
        <f>N26*H26</f>
        <v>5.8333333333333339</v>
      </c>
      <c r="N26" s="48">
        <v>7</v>
      </c>
      <c r="O26" s="165">
        <f>K26-M26</f>
        <v>-80</v>
      </c>
      <c r="P26" s="48">
        <f>L26-N26</f>
        <v>-96</v>
      </c>
      <c r="Q26" s="46">
        <f>DATE(YEAR(S26),MONTH(S26)+G26,DAY(S26))</f>
        <v>40544</v>
      </c>
      <c r="R26" s="125" t="s">
        <v>445</v>
      </c>
      <c r="S26" s="33">
        <v>36892</v>
      </c>
      <c r="T26" s="121">
        <v>1038</v>
      </c>
      <c r="U26" s="151">
        <v>60.56</v>
      </c>
      <c r="V26" s="154">
        <v>60.56</v>
      </c>
      <c r="W26" s="47">
        <v>8.65</v>
      </c>
      <c r="X26" s="106">
        <f>W26*5</f>
        <v>43.25</v>
      </c>
      <c r="Y26" s="57">
        <v>115.958</v>
      </c>
      <c r="Z26" s="80">
        <v>93.765000000000001</v>
      </c>
      <c r="AA26" s="57">
        <f>Y26/Z26</f>
        <v>1.2366874633391991</v>
      </c>
      <c r="AB26" s="55">
        <f>V26*M26/100/K26*100/7</f>
        <v>-0.68044943820224724</v>
      </c>
      <c r="AC26" s="55">
        <f>AB26*AA26</f>
        <v>-0.84150328966092025</v>
      </c>
      <c r="AD26" s="55"/>
      <c r="AE26" s="55"/>
      <c r="AF26" s="55"/>
      <c r="AG26" s="55"/>
      <c r="AH26" s="55"/>
      <c r="AI26" s="55">
        <v>0</v>
      </c>
      <c r="AJ26" s="55"/>
      <c r="AK26" s="55"/>
      <c r="AL26" s="55"/>
      <c r="AM26" s="55"/>
      <c r="AN26" s="55"/>
      <c r="AO26" s="55">
        <v>10.92</v>
      </c>
      <c r="AP26" s="55">
        <f>SUM(AD26:AO26)+X26</f>
        <v>54.17</v>
      </c>
      <c r="AQ26" s="392">
        <f>V26-AP26</f>
        <v>6.3900000000000006</v>
      </c>
      <c r="AR26" s="55"/>
      <c r="AS26" s="55"/>
      <c r="AT26" s="55">
        <v>5.39</v>
      </c>
      <c r="AU26" s="55"/>
      <c r="AV26" s="55"/>
      <c r="AW26" s="55"/>
      <c r="AX26" s="55"/>
      <c r="AY26" s="57">
        <v>118.901</v>
      </c>
      <c r="AZ26" s="80">
        <v>93.765000000000001</v>
      </c>
      <c r="BA26" s="57">
        <f>AY26/AZ26</f>
        <v>1.2680744414227056</v>
      </c>
      <c r="BB26" s="55">
        <f t="shared" si="2"/>
        <v>8.65</v>
      </c>
      <c r="BC26" s="55">
        <f t="shared" si="3"/>
        <v>10.968843918306405</v>
      </c>
      <c r="BD26" s="55"/>
      <c r="BE26" s="55"/>
      <c r="BF26" s="55"/>
      <c r="BG26" s="55"/>
      <c r="BH26" s="55"/>
      <c r="BI26" s="55"/>
      <c r="BJ26" s="55"/>
      <c r="BK26" s="55">
        <f t="shared" si="4"/>
        <v>5.39</v>
      </c>
      <c r="BL26" s="448">
        <f t="shared" si="0"/>
        <v>1.0000000000000009</v>
      </c>
      <c r="BM26" s="55"/>
      <c r="BN26" s="55"/>
      <c r="BO26" s="55"/>
      <c r="BP26" s="55"/>
      <c r="BQ26" s="55"/>
      <c r="BR26" s="57">
        <v>118.901</v>
      </c>
      <c r="BS26" s="80">
        <v>93.765000000000001</v>
      </c>
      <c r="BT26" s="57">
        <f>BR26/BS26</f>
        <v>1.2680744414227056</v>
      </c>
      <c r="BU26" s="55"/>
      <c r="BV26" s="55"/>
      <c r="BW26" s="55"/>
      <c r="BX26" s="55"/>
      <c r="BY26" s="55"/>
      <c r="BZ26" s="55"/>
      <c r="CA26" s="55"/>
      <c r="CB26" s="55"/>
      <c r="CC26" s="55"/>
      <c r="CD26" s="55">
        <f>SUM((BM26:BQ26),(BW26:CC26))</f>
        <v>0</v>
      </c>
      <c r="CE26" s="448">
        <f>BL26-CD26</f>
        <v>1.0000000000000009</v>
      </c>
      <c r="CF26" s="57"/>
      <c r="CG26" s="80">
        <v>93.765000000000001</v>
      </c>
      <c r="CH26" s="57">
        <f>CF26/CG26</f>
        <v>0</v>
      </c>
      <c r="CI26" s="55"/>
      <c r="CJ26" s="55">
        <f>CI26*CH26</f>
        <v>0</v>
      </c>
      <c r="CK26" s="55"/>
      <c r="CL26" s="55"/>
      <c r="CM26" s="55"/>
      <c r="CN26" s="55"/>
      <c r="CO26" s="55"/>
      <c r="CP26" s="55"/>
      <c r="CQ26" s="55"/>
      <c r="CR26" s="55">
        <f>SUM(CK26:CQ26)</f>
        <v>0</v>
      </c>
      <c r="CS26" s="448">
        <v>1</v>
      </c>
      <c r="CT26" s="55"/>
      <c r="CU26" s="55"/>
      <c r="CV26" s="55"/>
      <c r="CW26" s="55"/>
      <c r="CX26" s="55"/>
      <c r="CY26" s="505">
        <f t="shared" si="5"/>
        <v>0</v>
      </c>
      <c r="CZ26" s="679">
        <f t="shared" si="6"/>
        <v>1</v>
      </c>
      <c r="DA26" s="956">
        <v>132.28200000000001</v>
      </c>
      <c r="DB26" s="80">
        <v>93.765000000000001</v>
      </c>
      <c r="DC26" s="957">
        <f>DA26/DB26</f>
        <v>1.4107822748360264</v>
      </c>
      <c r="DD26" s="511">
        <v>0</v>
      </c>
      <c r="DE26" s="511">
        <f>DD26*DC26</f>
        <v>0</v>
      </c>
      <c r="DF26" s="55">
        <v>0</v>
      </c>
      <c r="DG26" s="55">
        <v>0</v>
      </c>
      <c r="DH26" s="55">
        <v>0</v>
      </c>
      <c r="DI26" s="55">
        <v>0</v>
      </c>
      <c r="DJ26" s="55">
        <v>0</v>
      </c>
      <c r="DK26" s="55">
        <v>0</v>
      </c>
      <c r="DL26" s="55">
        <v>0</v>
      </c>
      <c r="DM26" s="55">
        <v>0</v>
      </c>
      <c r="DN26" s="55">
        <v>0</v>
      </c>
      <c r="DO26" s="55">
        <v>0</v>
      </c>
      <c r="DP26" s="55">
        <v>0</v>
      </c>
      <c r="DQ26" s="55">
        <v>0</v>
      </c>
      <c r="DR26" s="55">
        <v>0</v>
      </c>
      <c r="DS26" s="55">
        <v>0</v>
      </c>
      <c r="DT26" s="55">
        <v>0</v>
      </c>
      <c r="DU26" s="55">
        <v>0</v>
      </c>
      <c r="DV26" s="55">
        <v>0</v>
      </c>
      <c r="DW26" s="55">
        <v>0</v>
      </c>
      <c r="DX26" s="511">
        <f t="shared" si="7"/>
        <v>0</v>
      </c>
      <c r="DY26" s="960">
        <f>CZ26-DX26</f>
        <v>1</v>
      </c>
    </row>
    <row r="27" spans="1:129" s="16" customFormat="1" x14ac:dyDescent="0.2">
      <c r="A27" s="26" t="s">
        <v>71</v>
      </c>
      <c r="B27" s="26" t="s">
        <v>240</v>
      </c>
      <c r="C27" s="45"/>
      <c r="D27" s="58"/>
      <c r="E27" s="25"/>
      <c r="F27" s="46"/>
      <c r="G27" s="58"/>
      <c r="H27" s="145"/>
      <c r="I27" s="165"/>
      <c r="J27" s="48"/>
      <c r="K27" s="165"/>
      <c r="L27" s="48"/>
      <c r="M27" s="165"/>
      <c r="N27" s="48"/>
      <c r="O27" s="165"/>
      <c r="P27" s="48"/>
      <c r="Q27" s="48"/>
      <c r="R27" s="125"/>
      <c r="S27" s="20"/>
      <c r="T27" s="15"/>
      <c r="U27" s="151"/>
      <c r="V27" s="154"/>
      <c r="W27" s="47"/>
      <c r="X27" s="106"/>
      <c r="Y27" s="57"/>
      <c r="Z27" s="136"/>
      <c r="AA27" s="57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392"/>
      <c r="AR27" s="55"/>
      <c r="AS27" s="55"/>
      <c r="AT27" s="55">
        <f t="shared" si="1"/>
        <v>0</v>
      </c>
      <c r="AU27" s="55">
        <f t="shared" si="1"/>
        <v>0</v>
      </c>
      <c r="AV27" s="55">
        <f t="shared" si="1"/>
        <v>0</v>
      </c>
      <c r="AW27" s="55">
        <f t="shared" si="1"/>
        <v>0</v>
      </c>
      <c r="AX27" s="55">
        <f t="shared" si="1"/>
        <v>0</v>
      </c>
      <c r="AY27" s="57"/>
      <c r="AZ27" s="136"/>
      <c r="BA27" s="57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448"/>
      <c r="BM27" s="55"/>
      <c r="BN27" s="55"/>
      <c r="BO27" s="55"/>
      <c r="BP27" s="55"/>
      <c r="BQ27" s="55"/>
      <c r="BR27" s="57"/>
      <c r="BS27" s="136"/>
      <c r="BT27" s="57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448"/>
      <c r="CF27" s="57"/>
      <c r="CG27" s="136"/>
      <c r="CH27" s="57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448"/>
      <c r="CT27" s="55"/>
      <c r="CU27" s="55"/>
      <c r="CV27" s="55"/>
      <c r="CW27" s="55"/>
      <c r="CX27" s="55"/>
      <c r="CY27" s="505"/>
      <c r="CZ27" s="679"/>
      <c r="DA27" s="956"/>
      <c r="DB27" s="136"/>
      <c r="DC27" s="957"/>
      <c r="DD27" s="511"/>
      <c r="DE27" s="511"/>
      <c r="DF27" s="511"/>
      <c r="DG27" s="511"/>
      <c r="DH27" s="511"/>
      <c r="DI27" s="511"/>
      <c r="DJ27" s="511"/>
      <c r="DK27" s="511"/>
      <c r="DL27" s="511"/>
      <c r="DM27" s="511"/>
      <c r="DN27" s="511"/>
      <c r="DO27" s="511"/>
      <c r="DP27" s="511"/>
      <c r="DQ27" s="511"/>
      <c r="DR27" s="511"/>
      <c r="DS27" s="511"/>
      <c r="DT27" s="511"/>
      <c r="DU27" s="511"/>
      <c r="DV27" s="511"/>
      <c r="DW27" s="511"/>
      <c r="DX27" s="511">
        <f t="shared" si="7"/>
        <v>0</v>
      </c>
      <c r="DY27" s="960"/>
    </row>
    <row r="28" spans="1:129" s="16" customFormat="1" x14ac:dyDescent="0.2">
      <c r="A28" s="26" t="s">
        <v>260</v>
      </c>
      <c r="B28" s="9"/>
      <c r="C28" s="45"/>
      <c r="D28" s="58"/>
      <c r="E28" s="25"/>
      <c r="F28" s="46"/>
      <c r="G28" s="58"/>
      <c r="H28" s="145"/>
      <c r="I28" s="165"/>
      <c r="J28" s="48"/>
      <c r="K28" s="165"/>
      <c r="L28" s="48"/>
      <c r="M28" s="165"/>
      <c r="N28" s="48"/>
      <c r="O28" s="165"/>
      <c r="P28" s="48"/>
      <c r="Q28" s="48"/>
      <c r="R28" s="125"/>
      <c r="S28" s="20"/>
      <c r="T28" s="15"/>
      <c r="U28" s="151"/>
      <c r="V28" s="154"/>
      <c r="W28" s="47"/>
      <c r="X28" s="106"/>
      <c r="Y28" s="57"/>
      <c r="Z28" s="136"/>
      <c r="AA28" s="57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392"/>
      <c r="AR28" s="55"/>
      <c r="AS28" s="55"/>
      <c r="AT28" s="55">
        <f t="shared" si="1"/>
        <v>0</v>
      </c>
      <c r="AU28" s="55">
        <f t="shared" si="1"/>
        <v>0</v>
      </c>
      <c r="AV28" s="55">
        <f t="shared" si="1"/>
        <v>0</v>
      </c>
      <c r="AW28" s="55">
        <f t="shared" si="1"/>
        <v>0</v>
      </c>
      <c r="AX28" s="55">
        <f t="shared" si="1"/>
        <v>0</v>
      </c>
      <c r="AY28" s="57"/>
      <c r="AZ28" s="136"/>
      <c r="BA28" s="57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448"/>
      <c r="BM28" s="55"/>
      <c r="BN28" s="55"/>
      <c r="BO28" s="55"/>
      <c r="BP28" s="55"/>
      <c r="BQ28" s="55"/>
      <c r="BR28" s="57"/>
      <c r="BS28" s="136"/>
      <c r="BT28" s="57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448"/>
      <c r="CF28" s="57"/>
      <c r="CG28" s="136"/>
      <c r="CH28" s="57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448"/>
      <c r="CT28" s="55"/>
      <c r="CU28" s="55"/>
      <c r="CV28" s="55"/>
      <c r="CW28" s="55"/>
      <c r="CX28" s="55"/>
      <c r="CY28" s="505"/>
      <c r="CZ28" s="679"/>
      <c r="DA28" s="511"/>
      <c r="DB28" s="136"/>
      <c r="DC28" s="957"/>
      <c r="DD28" s="511"/>
      <c r="DE28" s="511"/>
      <c r="DF28" s="511"/>
      <c r="DG28" s="511"/>
      <c r="DH28" s="511"/>
      <c r="DI28" s="511"/>
      <c r="DJ28" s="511"/>
      <c r="DK28" s="511"/>
      <c r="DL28" s="511"/>
      <c r="DM28" s="511"/>
      <c r="DN28" s="511"/>
      <c r="DO28" s="511"/>
      <c r="DP28" s="511"/>
      <c r="DQ28" s="511"/>
      <c r="DR28" s="511"/>
      <c r="DS28" s="511"/>
      <c r="DT28" s="511"/>
      <c r="DU28" s="511"/>
      <c r="DV28" s="511"/>
      <c r="DW28" s="511"/>
      <c r="DX28" s="511">
        <f t="shared" si="7"/>
        <v>0</v>
      </c>
      <c r="DY28" s="1029"/>
    </row>
    <row r="29" spans="1:129" s="16" customFormat="1" x14ac:dyDescent="0.2">
      <c r="A29" s="20" t="s">
        <v>261</v>
      </c>
      <c r="B29" s="100" t="s">
        <v>345</v>
      </c>
      <c r="C29" s="45" t="s">
        <v>344</v>
      </c>
      <c r="D29" s="58">
        <v>10</v>
      </c>
      <c r="E29" s="25">
        <v>0.1</v>
      </c>
      <c r="F29" s="46">
        <v>43281</v>
      </c>
      <c r="G29" s="58">
        <v>120</v>
      </c>
      <c r="H29" s="145">
        <f>100/G29</f>
        <v>0.83333333333333337</v>
      </c>
      <c r="I29" s="165">
        <f>H29*J29</f>
        <v>42.5</v>
      </c>
      <c r="J29" s="48">
        <f>(YEAR(F29)-YEAR(S29))*12+MONTH(F29)-MONTH(S29)</f>
        <v>51</v>
      </c>
      <c r="K29" s="165">
        <f>L29*H29</f>
        <v>57.5</v>
      </c>
      <c r="L29" s="48">
        <f>G29-J29</f>
        <v>69</v>
      </c>
      <c r="M29" s="165">
        <f>N29*H29</f>
        <v>5.8333333333333339</v>
      </c>
      <c r="N29" s="48">
        <v>7</v>
      </c>
      <c r="O29" s="165">
        <f>K29-M29</f>
        <v>51.666666666666664</v>
      </c>
      <c r="P29" s="48">
        <f>L29-N29</f>
        <v>62</v>
      </c>
      <c r="Q29" s="462">
        <f>DATE(YEAR(S29),MONTH(S29)+G29,DAY(S29))</f>
        <v>45355</v>
      </c>
      <c r="R29" s="125" t="s">
        <v>572</v>
      </c>
      <c r="S29" s="20">
        <v>41702</v>
      </c>
      <c r="T29" s="15">
        <v>6478.6</v>
      </c>
      <c r="U29" s="151">
        <v>5560.78</v>
      </c>
      <c r="V29" s="154">
        <v>5560.78</v>
      </c>
      <c r="W29" s="47">
        <v>53.99</v>
      </c>
      <c r="X29" s="106">
        <f>W29*5</f>
        <v>269.95</v>
      </c>
      <c r="Y29" s="57">
        <v>115.958</v>
      </c>
      <c r="Z29" s="80">
        <v>113.099</v>
      </c>
      <c r="AA29" s="57">
        <f>Y29/Z29</f>
        <v>1.0252787380967117</v>
      </c>
      <c r="AB29" s="55">
        <f>V29*M29/100/K29*100/7</f>
        <v>80.591014492753629</v>
      </c>
      <c r="AC29" s="55">
        <f>AB29*AA29</f>
        <v>82.628253641064248</v>
      </c>
      <c r="AD29" s="55"/>
      <c r="AE29" s="55"/>
      <c r="AF29" s="55"/>
      <c r="AG29" s="55"/>
      <c r="AH29" s="55"/>
      <c r="AI29" s="55">
        <f>AC29</f>
        <v>82.628253641064248</v>
      </c>
      <c r="AJ29" s="55">
        <v>54.29856667841365</v>
      </c>
      <c r="AK29" s="55">
        <v>54.29856667841365</v>
      </c>
      <c r="AL29" s="55">
        <v>54.29856667841365</v>
      </c>
      <c r="AM29" s="55">
        <v>54.29856667841365</v>
      </c>
      <c r="AN29" s="55">
        <v>54.29856667841365</v>
      </c>
      <c r="AO29" s="55">
        <v>54.29856667841365</v>
      </c>
      <c r="AP29" s="55">
        <f>SUM(AD29:AO29)+X29</f>
        <v>678.36965371154611</v>
      </c>
      <c r="AQ29" s="392">
        <f>V29-AP29</f>
        <v>4882.4103462884541</v>
      </c>
      <c r="AR29" s="55"/>
      <c r="AS29" s="55"/>
      <c r="AT29" s="55">
        <f t="shared" si="1"/>
        <v>54.29856667841365</v>
      </c>
      <c r="AU29" s="55">
        <f t="shared" si="1"/>
        <v>54.29856667841365</v>
      </c>
      <c r="AV29" s="55">
        <f t="shared" si="1"/>
        <v>54.29856667841365</v>
      </c>
      <c r="AW29" s="55">
        <f t="shared" si="1"/>
        <v>54.29856667841365</v>
      </c>
      <c r="AX29" s="55">
        <f t="shared" si="1"/>
        <v>54.29856667841365</v>
      </c>
      <c r="AY29" s="57">
        <v>118.901</v>
      </c>
      <c r="AZ29" s="80">
        <v>113.099</v>
      </c>
      <c r="BA29" s="57">
        <f>AY29/AZ29</f>
        <v>1.0513001883305775</v>
      </c>
      <c r="BB29" s="55">
        <f t="shared" si="2"/>
        <v>53.988333333333337</v>
      </c>
      <c r="BC29" s="55">
        <f t="shared" si="3"/>
        <v>56.757945000987334</v>
      </c>
      <c r="BD29" s="55">
        <f>$BC29</f>
        <v>56.757945000987334</v>
      </c>
      <c r="BE29" s="55">
        <f>$BC29</f>
        <v>56.757945000987334</v>
      </c>
      <c r="BF29" s="55">
        <f>$BC29</f>
        <v>56.757945000987334</v>
      </c>
      <c r="BG29" s="55">
        <f>$BC29</f>
        <v>56.757945000987334</v>
      </c>
      <c r="BH29" s="55">
        <v>56.76</v>
      </c>
      <c r="BI29" s="55">
        <v>56.76</v>
      </c>
      <c r="BJ29" s="55">
        <v>56.76</v>
      </c>
      <c r="BK29" s="55">
        <f t="shared" si="4"/>
        <v>668.80461339601754</v>
      </c>
      <c r="BL29" s="448">
        <f t="shared" si="0"/>
        <v>4213.6057328924362</v>
      </c>
      <c r="BM29" s="55">
        <v>56.76</v>
      </c>
      <c r="BN29" s="55">
        <v>56.76</v>
      </c>
      <c r="BO29" s="55">
        <v>56.76</v>
      </c>
      <c r="BP29" s="55">
        <v>56.76</v>
      </c>
      <c r="BQ29" s="55">
        <v>56.76</v>
      </c>
      <c r="BR29" s="57">
        <v>118.901</v>
      </c>
      <c r="BS29" s="80">
        <v>113.099</v>
      </c>
      <c r="BT29" s="57">
        <f>BR29/BS29</f>
        <v>1.0513001883305775</v>
      </c>
      <c r="BU29" s="55"/>
      <c r="BV29" s="55"/>
      <c r="BW29" s="55"/>
      <c r="BX29" s="55"/>
      <c r="BY29" s="55"/>
      <c r="BZ29" s="55"/>
      <c r="CA29" s="55"/>
      <c r="CB29" s="55"/>
      <c r="CC29" s="55"/>
      <c r="CD29" s="55">
        <f>SUM((BM29:BQ29),(BW29:CC29))</f>
        <v>283.8</v>
      </c>
      <c r="CE29" s="448">
        <f>BL29-CD29</f>
        <v>3929.805732892436</v>
      </c>
      <c r="CF29" s="57">
        <v>126.408</v>
      </c>
      <c r="CG29" s="80">
        <v>113.099</v>
      </c>
      <c r="CH29" s="57">
        <f>CF29/CG29</f>
        <v>1.1176756646831536</v>
      </c>
      <c r="CI29" s="55">
        <f>CE29/L29</f>
        <v>56.953706273803419</v>
      </c>
      <c r="CJ29" s="55">
        <f>CI29*CH29</f>
        <v>63.65577151574233</v>
      </c>
      <c r="CK29" s="55">
        <v>54.39</v>
      </c>
      <c r="CL29" s="55">
        <v>54.39</v>
      </c>
      <c r="CM29" s="55">
        <v>54.39</v>
      </c>
      <c r="CN29" s="55">
        <v>54.39</v>
      </c>
      <c r="CO29" s="55">
        <v>54.39</v>
      </c>
      <c r="CP29" s="55">
        <v>54.39</v>
      </c>
      <c r="CQ29" s="55">
        <v>54.39</v>
      </c>
      <c r="CR29" s="55">
        <f>SUM(CK29:CQ29)</f>
        <v>380.72999999999996</v>
      </c>
      <c r="CS29" s="448">
        <f>CE29-CR29</f>
        <v>3549.075732892436</v>
      </c>
      <c r="CT29" s="55">
        <v>54.39</v>
      </c>
      <c r="CU29" s="55">
        <v>54.39</v>
      </c>
      <c r="CV29" s="55">
        <v>54.39</v>
      </c>
      <c r="CW29" s="55">
        <v>54.39</v>
      </c>
      <c r="CX29" s="55">
        <v>54.39</v>
      </c>
      <c r="CY29" s="505">
        <f t="shared" si="5"/>
        <v>271.95</v>
      </c>
      <c r="CZ29" s="679">
        <f t="shared" si="6"/>
        <v>3277.1257328924362</v>
      </c>
      <c r="DA29" s="956">
        <v>132.28200000000001</v>
      </c>
      <c r="DB29" s="80">
        <v>113.099</v>
      </c>
      <c r="DC29" s="957">
        <f>DA29/DB29</f>
        <v>1.1696124634170064</v>
      </c>
      <c r="DD29" s="511">
        <f>CZ29/L29</f>
        <v>47.494575839020811</v>
      </c>
      <c r="DE29" s="511">
        <f>DD29*DC29</f>
        <v>55.550247846022963</v>
      </c>
      <c r="DF29" s="511">
        <v>55.550247846022963</v>
      </c>
      <c r="DG29" s="511">
        <v>55.550247846022963</v>
      </c>
      <c r="DH29" s="511">
        <v>55.550247846022963</v>
      </c>
      <c r="DI29" s="511">
        <v>55.550247846022963</v>
      </c>
      <c r="DJ29" s="511">
        <v>55.550247846022963</v>
      </c>
      <c r="DK29" s="511">
        <v>55.550247846022963</v>
      </c>
      <c r="DL29" s="511">
        <v>55.550247846022963</v>
      </c>
      <c r="DM29" s="511">
        <v>55.550247846022963</v>
      </c>
      <c r="DN29" s="511">
        <v>55.550247846022963</v>
      </c>
      <c r="DO29" s="511">
        <v>55.550247846022963</v>
      </c>
      <c r="DP29" s="511">
        <v>55.550247846022963</v>
      </c>
      <c r="DQ29" s="511">
        <v>55.550247846022963</v>
      </c>
      <c r="DR29" s="511">
        <v>55.550247846022963</v>
      </c>
      <c r="DS29" s="511">
        <v>55.550247846022963</v>
      </c>
      <c r="DT29" s="511">
        <v>55.550247846022963</v>
      </c>
      <c r="DU29" s="511">
        <v>55.550247846022963</v>
      </c>
      <c r="DV29" s="511">
        <v>55.550247846022963</v>
      </c>
      <c r="DW29" s="511">
        <v>55.550247846022963</v>
      </c>
      <c r="DX29" s="511">
        <f t="shared" si="7"/>
        <v>999.90446122841377</v>
      </c>
      <c r="DY29" s="960">
        <f>CZ29-DX29</f>
        <v>2277.2212716640224</v>
      </c>
    </row>
    <row r="30" spans="1:129" s="16" customFormat="1" x14ac:dyDescent="0.2">
      <c r="A30" s="26" t="s">
        <v>71</v>
      </c>
      <c r="B30" s="26" t="s">
        <v>85</v>
      </c>
      <c r="C30" s="45"/>
      <c r="D30" s="58"/>
      <c r="E30" s="25"/>
      <c r="F30" s="46"/>
      <c r="G30" s="58"/>
      <c r="H30" s="145"/>
      <c r="I30" s="165"/>
      <c r="J30" s="48"/>
      <c r="K30" s="165"/>
      <c r="L30" s="48"/>
      <c r="M30" s="165"/>
      <c r="N30" s="48"/>
      <c r="O30" s="165"/>
      <c r="P30" s="48"/>
      <c r="Q30" s="48"/>
      <c r="R30" s="17"/>
      <c r="S30" s="20"/>
      <c r="T30" s="15"/>
      <c r="U30" s="153"/>
      <c r="V30" s="156"/>
      <c r="W30" s="14"/>
      <c r="X30" s="106"/>
      <c r="Y30" s="57"/>
      <c r="Z30" s="136"/>
      <c r="AA30" s="57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392"/>
      <c r="AR30" s="55"/>
      <c r="AS30" s="55"/>
      <c r="AT30" s="55">
        <f t="shared" si="1"/>
        <v>0</v>
      </c>
      <c r="AU30" s="55">
        <f t="shared" si="1"/>
        <v>0</v>
      </c>
      <c r="AV30" s="55">
        <f t="shared" si="1"/>
        <v>0</v>
      </c>
      <c r="AW30" s="55">
        <f t="shared" si="1"/>
        <v>0</v>
      </c>
      <c r="AX30" s="55">
        <f t="shared" si="1"/>
        <v>0</v>
      </c>
      <c r="AY30" s="57"/>
      <c r="AZ30" s="136"/>
      <c r="BA30" s="57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448"/>
      <c r="BM30" s="55"/>
      <c r="BN30" s="55"/>
      <c r="BO30" s="55"/>
      <c r="BP30" s="55"/>
      <c r="BQ30" s="55"/>
      <c r="BR30" s="57"/>
      <c r="BS30" s="136"/>
      <c r="BT30" s="57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448"/>
      <c r="CF30" s="57"/>
      <c r="CG30" s="136"/>
      <c r="CH30" s="57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448"/>
      <c r="CT30" s="55"/>
      <c r="CU30" s="55"/>
      <c r="CV30" s="55"/>
      <c r="CW30" s="55"/>
      <c r="CX30" s="55"/>
      <c r="CY30" s="505"/>
      <c r="CZ30" s="679"/>
      <c r="DA30" s="656"/>
      <c r="DB30" s="136"/>
      <c r="DC30" s="957"/>
      <c r="DD30" s="511"/>
      <c r="DE30" s="511"/>
      <c r="DF30" s="511"/>
      <c r="DG30" s="511"/>
      <c r="DH30" s="511"/>
      <c r="DI30" s="511"/>
      <c r="DJ30" s="511"/>
      <c r="DK30" s="511"/>
      <c r="DL30" s="511"/>
      <c r="DM30" s="511"/>
      <c r="DN30" s="511"/>
      <c r="DO30" s="511"/>
      <c r="DP30" s="511"/>
      <c r="DQ30" s="511"/>
      <c r="DR30" s="511"/>
      <c r="DS30" s="511"/>
      <c r="DT30" s="511"/>
      <c r="DU30" s="511"/>
      <c r="DV30" s="511"/>
      <c r="DW30" s="511"/>
      <c r="DX30" s="511">
        <f t="shared" si="7"/>
        <v>0</v>
      </c>
      <c r="DY30" s="1029"/>
    </row>
    <row r="31" spans="1:129" s="16" customFormat="1" x14ac:dyDescent="0.2">
      <c r="A31" s="26" t="s">
        <v>105</v>
      </c>
      <c r="B31" s="9"/>
      <c r="C31" s="45"/>
      <c r="D31" s="58"/>
      <c r="E31" s="25"/>
      <c r="F31" s="46"/>
      <c r="G31" s="58"/>
      <c r="H31" s="145"/>
      <c r="I31" s="165"/>
      <c r="J31" s="48"/>
      <c r="K31" s="165"/>
      <c r="L31" s="48"/>
      <c r="M31" s="165"/>
      <c r="N31" s="48"/>
      <c r="O31" s="165"/>
      <c r="P31" s="48"/>
      <c r="Q31" s="48"/>
      <c r="R31" s="46"/>
      <c r="S31" s="20"/>
      <c r="T31" s="15"/>
      <c r="U31" s="151"/>
      <c r="V31" s="154"/>
      <c r="W31" s="47"/>
      <c r="X31" s="106"/>
      <c r="Y31" s="57"/>
      <c r="Z31" s="136"/>
      <c r="AA31" s="57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392"/>
      <c r="AR31" s="55"/>
      <c r="AS31" s="55"/>
      <c r="AT31" s="55">
        <f t="shared" si="1"/>
        <v>0</v>
      </c>
      <c r="AU31" s="55">
        <f t="shared" si="1"/>
        <v>0</v>
      </c>
      <c r="AV31" s="55">
        <f t="shared" si="1"/>
        <v>0</v>
      </c>
      <c r="AW31" s="55">
        <f t="shared" si="1"/>
        <v>0</v>
      </c>
      <c r="AX31" s="55">
        <f t="shared" si="1"/>
        <v>0</v>
      </c>
      <c r="AY31" s="57"/>
      <c r="AZ31" s="136"/>
      <c r="BA31" s="57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448"/>
      <c r="BM31" s="55"/>
      <c r="BN31" s="55"/>
      <c r="BO31" s="55"/>
      <c r="BP31" s="55"/>
      <c r="BQ31" s="55"/>
      <c r="BR31" s="57"/>
      <c r="BS31" s="136"/>
      <c r="BT31" s="57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448"/>
      <c r="CF31" s="57"/>
      <c r="CG31" s="136"/>
      <c r="CH31" s="57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448"/>
      <c r="CT31" s="55"/>
      <c r="CU31" s="55"/>
      <c r="CV31" s="55"/>
      <c r="CW31" s="55"/>
      <c r="CX31" s="55"/>
      <c r="CY31" s="505"/>
      <c r="CZ31" s="679"/>
      <c r="DA31" s="623"/>
      <c r="DB31" s="136"/>
      <c r="DC31" s="957"/>
      <c r="DD31" s="511"/>
      <c r="DE31" s="511"/>
      <c r="DF31" s="511"/>
      <c r="DG31" s="511"/>
      <c r="DH31" s="511"/>
      <c r="DI31" s="511"/>
      <c r="DJ31" s="511"/>
      <c r="DK31" s="511"/>
      <c r="DL31" s="511"/>
      <c r="DM31" s="511"/>
      <c r="DN31" s="511"/>
      <c r="DO31" s="511"/>
      <c r="DP31" s="511"/>
      <c r="DQ31" s="511"/>
      <c r="DR31" s="511"/>
      <c r="DS31" s="511"/>
      <c r="DT31" s="511"/>
      <c r="DU31" s="511"/>
      <c r="DV31" s="511"/>
      <c r="DW31" s="511"/>
      <c r="DX31" s="511">
        <f t="shared" si="7"/>
        <v>0</v>
      </c>
      <c r="DY31" s="1029"/>
    </row>
    <row r="32" spans="1:129" s="16" customFormat="1" x14ac:dyDescent="0.2">
      <c r="A32" s="20" t="s">
        <v>245</v>
      </c>
      <c r="B32" s="9" t="s">
        <v>167</v>
      </c>
      <c r="C32" s="45" t="s">
        <v>344</v>
      </c>
      <c r="D32" s="58">
        <v>10</v>
      </c>
      <c r="E32" s="25">
        <v>0.1</v>
      </c>
      <c r="F32" s="46">
        <v>43281</v>
      </c>
      <c r="G32" s="58">
        <v>120</v>
      </c>
      <c r="H32" s="145">
        <f>100/G32</f>
        <v>0.83333333333333337</v>
      </c>
      <c r="I32" s="165">
        <f>H32*J32</f>
        <v>74.166666666666671</v>
      </c>
      <c r="J32" s="48">
        <f>(YEAR(F32)-YEAR(S32))*12+MONTH(F32)-MONTH(S32)</f>
        <v>89</v>
      </c>
      <c r="K32" s="165">
        <f>L32*H32</f>
        <v>25.833333333333336</v>
      </c>
      <c r="L32" s="48">
        <f>G32-J32</f>
        <v>31</v>
      </c>
      <c r="M32" s="165">
        <f>N32*H32</f>
        <v>5.8333333333333339</v>
      </c>
      <c r="N32" s="48">
        <v>7</v>
      </c>
      <c r="O32" s="165">
        <f>K32-M32</f>
        <v>20</v>
      </c>
      <c r="P32" s="48">
        <f>L32-N32</f>
        <v>24</v>
      </c>
      <c r="Q32" s="462">
        <f>DATE(YEAR(S32),MONTH(S32)+G32,DAY(S32))</f>
        <v>44197</v>
      </c>
      <c r="R32" s="119" t="s">
        <v>445</v>
      </c>
      <c r="S32" s="20">
        <v>40544</v>
      </c>
      <c r="T32" s="15">
        <v>330</v>
      </c>
      <c r="U32" s="151">
        <v>184.25</v>
      </c>
      <c r="V32" s="154">
        <v>184.25</v>
      </c>
      <c r="W32" s="47">
        <v>2.75</v>
      </c>
      <c r="X32" s="106">
        <f>W32*5</f>
        <v>13.75</v>
      </c>
      <c r="Y32" s="57">
        <v>115.958</v>
      </c>
      <c r="Z32" s="80">
        <v>113.099</v>
      </c>
      <c r="AA32" s="57">
        <f>Y32/Z32</f>
        <v>1.0252787380967117</v>
      </c>
      <c r="AB32" s="55">
        <f>V32*M32/100/K32*100/7</f>
        <v>5.943548387096774</v>
      </c>
      <c r="AC32" s="55">
        <f>AB32*AA32</f>
        <v>6.0937937901393262</v>
      </c>
      <c r="AD32" s="55"/>
      <c r="AE32" s="55"/>
      <c r="AF32" s="55"/>
      <c r="AG32" s="55"/>
      <c r="AH32" s="55"/>
      <c r="AI32" s="55">
        <f>AC32</f>
        <v>6.0937937901393262</v>
      </c>
      <c r="AJ32" s="55">
        <v>2.2489000892180848</v>
      </c>
      <c r="AK32" s="55">
        <v>2.2489000892180848</v>
      </c>
      <c r="AL32" s="55">
        <v>2.2489000892180848</v>
      </c>
      <c r="AM32" s="55">
        <v>2.2489000892180848</v>
      </c>
      <c r="AN32" s="55">
        <v>2.2489000892180848</v>
      </c>
      <c r="AO32" s="55">
        <v>2.2489000892180848</v>
      </c>
      <c r="AP32" s="55">
        <f>SUM(AD32:AO32)+X32</f>
        <v>33.33719432544784</v>
      </c>
      <c r="AQ32" s="392">
        <f>V32-AP32</f>
        <v>150.91280567455215</v>
      </c>
      <c r="AR32" s="55"/>
      <c r="AS32" s="55"/>
      <c r="AT32" s="55">
        <f t="shared" si="1"/>
        <v>2.2489000892180848</v>
      </c>
      <c r="AU32" s="55">
        <f t="shared" si="1"/>
        <v>2.2489000892180848</v>
      </c>
      <c r="AV32" s="55">
        <f t="shared" si="1"/>
        <v>2.2489000892180848</v>
      </c>
      <c r="AW32" s="55">
        <f t="shared" si="1"/>
        <v>2.2489000892180848</v>
      </c>
      <c r="AX32" s="55">
        <f t="shared" si="1"/>
        <v>2.2489000892180848</v>
      </c>
      <c r="AY32" s="57">
        <v>118.901</v>
      </c>
      <c r="AZ32" s="80">
        <v>113.099</v>
      </c>
      <c r="BA32" s="57">
        <f>AY32/AZ32</f>
        <v>1.0513001883305775</v>
      </c>
      <c r="BB32" s="55">
        <f t="shared" si="2"/>
        <v>2.75</v>
      </c>
      <c r="BC32" s="55">
        <f t="shared" si="3"/>
        <v>2.8910755179090879</v>
      </c>
      <c r="BD32" s="55">
        <f>$BC32</f>
        <v>2.8910755179090879</v>
      </c>
      <c r="BE32" s="55">
        <f>$BC32</f>
        <v>2.8910755179090879</v>
      </c>
      <c r="BF32" s="55">
        <f>$BC32</f>
        <v>2.8910755179090879</v>
      </c>
      <c r="BG32" s="55">
        <f>$BC32</f>
        <v>2.8910755179090879</v>
      </c>
      <c r="BH32" s="55">
        <v>2.89</v>
      </c>
      <c r="BI32" s="55">
        <v>2.89</v>
      </c>
      <c r="BJ32" s="55">
        <v>2.89</v>
      </c>
      <c r="BK32" s="55">
        <f t="shared" si="4"/>
        <v>31.478802517726773</v>
      </c>
      <c r="BL32" s="448">
        <f t="shared" si="0"/>
        <v>119.43400315682537</v>
      </c>
      <c r="BM32" s="55">
        <v>2.89</v>
      </c>
      <c r="BN32" s="55">
        <v>2.89</v>
      </c>
      <c r="BO32" s="55">
        <v>2.89</v>
      </c>
      <c r="BP32" s="55">
        <v>2.89</v>
      </c>
      <c r="BQ32" s="55">
        <v>2.89</v>
      </c>
      <c r="BR32" s="57">
        <v>118.901</v>
      </c>
      <c r="BS32" s="80">
        <v>113.099</v>
      </c>
      <c r="BT32" s="57">
        <f>BR32/BS32</f>
        <v>1.0513001883305775</v>
      </c>
      <c r="BU32" s="55"/>
      <c r="BV32" s="55"/>
      <c r="BW32" s="55"/>
      <c r="BX32" s="55"/>
      <c r="BY32" s="55"/>
      <c r="BZ32" s="55"/>
      <c r="CA32" s="55"/>
      <c r="CB32" s="55"/>
      <c r="CC32" s="55"/>
      <c r="CD32" s="55">
        <f>SUM((BM32:BQ32),(BW32:CC32))</f>
        <v>14.450000000000001</v>
      </c>
      <c r="CE32" s="448">
        <f>BL32-CD32</f>
        <v>104.98400315682537</v>
      </c>
      <c r="CF32" s="57">
        <v>126.408</v>
      </c>
      <c r="CG32" s="80">
        <v>113.099</v>
      </c>
      <c r="CH32" s="57">
        <f>CF32/CG32</f>
        <v>1.1176756646831536</v>
      </c>
      <c r="CI32" s="55">
        <f>CE32/L32</f>
        <v>3.3865807469943667</v>
      </c>
      <c r="CJ32" s="55">
        <f>CI32*CH32</f>
        <v>3.7850988874000997</v>
      </c>
      <c r="CK32" s="55">
        <v>1.45</v>
      </c>
      <c r="CL32" s="55">
        <v>1.45</v>
      </c>
      <c r="CM32" s="55">
        <v>1.45</v>
      </c>
      <c r="CN32" s="55">
        <v>1.45</v>
      </c>
      <c r="CO32" s="55">
        <v>1.45</v>
      </c>
      <c r="CP32" s="55">
        <v>1.45</v>
      </c>
      <c r="CQ32" s="55">
        <v>1.45</v>
      </c>
      <c r="CR32" s="55">
        <f>SUM(CK32:CQ32)</f>
        <v>10.149999999999999</v>
      </c>
      <c r="CS32" s="448">
        <f>CE32-CR32</f>
        <v>94.834003156825361</v>
      </c>
      <c r="CT32" s="55">
        <v>1.45</v>
      </c>
      <c r="CU32" s="55">
        <v>2.77</v>
      </c>
      <c r="CV32" s="55">
        <v>2.77</v>
      </c>
      <c r="CW32" s="55">
        <v>2.77</v>
      </c>
      <c r="CX32" s="55">
        <v>2.77</v>
      </c>
      <c r="CY32" s="505">
        <f t="shared" si="5"/>
        <v>12.53</v>
      </c>
      <c r="CZ32" s="679">
        <f t="shared" si="6"/>
        <v>82.30400315682536</v>
      </c>
      <c r="DA32" s="956">
        <v>132.28200000000001</v>
      </c>
      <c r="DB32" s="80">
        <v>113.099</v>
      </c>
      <c r="DC32" s="957">
        <f>DA32/DB32</f>
        <v>1.1696124634170064</v>
      </c>
      <c r="DD32" s="511">
        <f>CZ32/L32</f>
        <v>2.65496784376856</v>
      </c>
      <c r="DE32" s="511">
        <f>DD32*DC32</f>
        <v>3.1052834800430831</v>
      </c>
      <c r="DF32" s="429">
        <v>3.1052834800430831</v>
      </c>
      <c r="DG32" s="429">
        <v>3.1052834800430831</v>
      </c>
      <c r="DH32" s="429">
        <v>3.1052834800430831</v>
      </c>
      <c r="DI32" s="429">
        <v>3.1052834800430831</v>
      </c>
      <c r="DJ32" s="429">
        <v>3.1052834800430831</v>
      </c>
      <c r="DK32" s="429">
        <v>3.1052834800430831</v>
      </c>
      <c r="DL32" s="429">
        <v>3.1052834800430831</v>
      </c>
      <c r="DM32" s="429">
        <v>3.1052834800430831</v>
      </c>
      <c r="DN32" s="429">
        <v>3.1052834800430831</v>
      </c>
      <c r="DO32" s="429">
        <v>3.1052834800430831</v>
      </c>
      <c r="DP32" s="429">
        <v>3.1052834800430831</v>
      </c>
      <c r="DQ32" s="429">
        <v>3.1052834800430831</v>
      </c>
      <c r="DR32" s="429">
        <v>3.1052834800430831</v>
      </c>
      <c r="DS32" s="429">
        <v>3.1052834800430831</v>
      </c>
      <c r="DT32" s="429">
        <v>3.1052834800430831</v>
      </c>
      <c r="DU32" s="429">
        <v>3.1052834800430831</v>
      </c>
      <c r="DV32" s="429">
        <v>3.1052834800430831</v>
      </c>
      <c r="DW32" s="429">
        <v>3.1052834800430831</v>
      </c>
      <c r="DX32" s="511">
        <f t="shared" si="7"/>
        <v>55.895102640775512</v>
      </c>
      <c r="DY32" s="960">
        <f>CZ32-DX32</f>
        <v>26.408900516049847</v>
      </c>
    </row>
    <row r="33" spans="1:129" ht="15" x14ac:dyDescent="0.2">
      <c r="R33" s="175"/>
      <c r="X33" s="237"/>
      <c r="AB33" s="195"/>
      <c r="AC33" s="195"/>
      <c r="AD33" s="195">
        <f t="shared" ref="AD33:AI33" si="8">SUM(AD15:AD32)</f>
        <v>0</v>
      </c>
      <c r="AE33" s="195">
        <f t="shared" si="8"/>
        <v>0</v>
      </c>
      <c r="AF33" s="195">
        <f t="shared" si="8"/>
        <v>0</v>
      </c>
      <c r="AG33" s="195">
        <f t="shared" si="8"/>
        <v>0</v>
      </c>
      <c r="AH33" s="195">
        <f t="shared" si="8"/>
        <v>0</v>
      </c>
      <c r="AI33" s="195">
        <f t="shared" si="8"/>
        <v>-155.28886631026353</v>
      </c>
      <c r="AJ33" s="195"/>
      <c r="AK33" s="195"/>
      <c r="AL33" s="195"/>
      <c r="AM33" s="195"/>
      <c r="AN33" s="195"/>
      <c r="AO33" s="290">
        <f>SUM(AO15:AO32)</f>
        <v>354.89227373641916</v>
      </c>
      <c r="AP33" s="195">
        <f>SUM(AP15:AP32)</f>
        <v>3163.4800721746365</v>
      </c>
      <c r="AQ33" s="195">
        <f>SUM(AQ15:AQ32)</f>
        <v>10788.559927825363</v>
      </c>
      <c r="AT33" s="13">
        <f>SUM(AT14:AT32)</f>
        <v>349.36227373641913</v>
      </c>
      <c r="AU33" s="13">
        <f>SUM(AU14:AU32)</f>
        <v>343.97227373641914</v>
      </c>
      <c r="AV33" s="13">
        <f>SUM(AV14:AV32)</f>
        <v>343.97227373641914</v>
      </c>
      <c r="AW33" s="13">
        <f>SUM(AW14:AW32)</f>
        <v>308.97227373641914</v>
      </c>
      <c r="AX33" s="13">
        <f>SUM(AX14:AX32)</f>
        <v>296.79227373641913</v>
      </c>
      <c r="BB33" s="195"/>
      <c r="BC33" s="195"/>
      <c r="BD33" s="13">
        <f>SUM(BD15:BD32)</f>
        <v>327.66848028510475</v>
      </c>
      <c r="BE33" s="13">
        <f t="shared" ref="BE33:BK33" si="9">SUM(BE14:BE32)</f>
        <v>327.66848028510475</v>
      </c>
      <c r="BF33" s="13">
        <f t="shared" si="9"/>
        <v>265.08757003047043</v>
      </c>
      <c r="BG33" s="13">
        <f t="shared" si="9"/>
        <v>99.857570030470441</v>
      </c>
      <c r="BH33" s="13">
        <f t="shared" si="9"/>
        <v>99.850000000000009</v>
      </c>
      <c r="BI33" s="13">
        <f t="shared" si="9"/>
        <v>99.850000000000009</v>
      </c>
      <c r="BJ33" s="13">
        <f t="shared" si="9"/>
        <v>99.850000000000009</v>
      </c>
      <c r="BK33" s="13">
        <f t="shared" si="9"/>
        <v>2962.9034693132458</v>
      </c>
      <c r="BL33" s="441">
        <f t="shared" si="0"/>
        <v>7825.6564585121178</v>
      </c>
      <c r="BM33" s="13">
        <f>SUM(BM14:BM32)</f>
        <v>99.850000000000009</v>
      </c>
      <c r="BN33" s="13">
        <f>SUM(BN14:BN32)</f>
        <v>99.850000000000009</v>
      </c>
      <c r="BO33" s="13">
        <f>SUM(BO15:BO32)</f>
        <v>99.850000000000009</v>
      </c>
      <c r="BP33" s="13">
        <f>SUM(BP15:BP32)</f>
        <v>99.850000000000009</v>
      </c>
      <c r="BQ33" s="13">
        <f>SUM(BQ14:BQ32)</f>
        <v>99.850000000000009</v>
      </c>
      <c r="BU33" s="195"/>
      <c r="BV33" s="195"/>
      <c r="BW33" s="13">
        <f>SUM(BW15:BW32)</f>
        <v>0</v>
      </c>
      <c r="BX33" s="13">
        <f t="shared" ref="BX33:CD33" si="10">SUM(BX14:BX32)</f>
        <v>0</v>
      </c>
      <c r="BY33" s="13">
        <f t="shared" si="10"/>
        <v>0</v>
      </c>
      <c r="BZ33" s="13">
        <f t="shared" si="10"/>
        <v>0</v>
      </c>
      <c r="CA33" s="13">
        <f t="shared" si="10"/>
        <v>0</v>
      </c>
      <c r="CB33" s="13">
        <f t="shared" si="10"/>
        <v>0</v>
      </c>
      <c r="CC33" s="13">
        <f t="shared" si="10"/>
        <v>0</v>
      </c>
      <c r="CD33" s="13">
        <f t="shared" si="10"/>
        <v>499.25</v>
      </c>
      <c r="CE33" s="441">
        <f>SUM(CE13:CE32)</f>
        <v>6843.9279837983631</v>
      </c>
      <c r="CI33" s="195"/>
      <c r="CJ33" s="195"/>
      <c r="CK33" s="13">
        <f>SUM(CK15:CK32)</f>
        <v>93.67</v>
      </c>
      <c r="CL33" s="13">
        <f>SUM(CL15:CL32)</f>
        <v>93.67</v>
      </c>
      <c r="CM33" s="13">
        <f t="shared" ref="CM33:CR33" si="11">SUM(CM14:CM32)</f>
        <v>93.67</v>
      </c>
      <c r="CN33" s="13">
        <f>SUM(CN13:CN32)</f>
        <v>93.67</v>
      </c>
      <c r="CO33" s="13">
        <f t="shared" si="11"/>
        <v>93.67</v>
      </c>
      <c r="CP33" s="524">
        <f t="shared" si="11"/>
        <v>93.67</v>
      </c>
      <c r="CQ33" s="13">
        <f t="shared" si="11"/>
        <v>93.67</v>
      </c>
      <c r="CR33" s="13">
        <f t="shared" si="11"/>
        <v>655.68999999999994</v>
      </c>
      <c r="CS33" s="441">
        <f t="shared" ref="CS33:CY33" si="12">SUM(CS14:CS32)</f>
        <v>6188.2379837983635</v>
      </c>
      <c r="CT33" s="13">
        <f t="shared" si="12"/>
        <v>93.67</v>
      </c>
      <c r="CU33" s="13">
        <f t="shared" si="12"/>
        <v>96.95</v>
      </c>
      <c r="CV33" s="524">
        <f t="shared" si="12"/>
        <v>96.95</v>
      </c>
      <c r="CW33" s="524">
        <f t="shared" si="12"/>
        <v>96.95</v>
      </c>
      <c r="CX33" s="524">
        <f t="shared" si="12"/>
        <v>96.95</v>
      </c>
      <c r="CY33" s="13">
        <f t="shared" si="12"/>
        <v>481.46999999999991</v>
      </c>
      <c r="CZ33" s="13">
        <f>SUM(CZ13:CZ32)</f>
        <v>5706.7679837983633</v>
      </c>
      <c r="DF33" s="13">
        <f t="shared" ref="DF33:DK33" si="13">SUM(DF14:DF32)</f>
        <v>98.418568477530101</v>
      </c>
      <c r="DG33" s="13">
        <f t="shared" si="13"/>
        <v>98.418568477530101</v>
      </c>
      <c r="DH33" s="13">
        <f t="shared" si="13"/>
        <v>98.418568477530101</v>
      </c>
      <c r="DI33" s="13">
        <f t="shared" si="13"/>
        <v>98.418568477530101</v>
      </c>
      <c r="DJ33" s="13">
        <f t="shared" si="13"/>
        <v>98.418568477530101</v>
      </c>
      <c r="DK33" s="13">
        <f t="shared" si="13"/>
        <v>98.418568477530101</v>
      </c>
      <c r="DL33" s="524">
        <f t="shared" ref="DL33:DW33" si="14">SUM(DL14:DL32)</f>
        <v>98.418568477530101</v>
      </c>
      <c r="DM33" s="524">
        <f t="shared" si="14"/>
        <v>98.418568477530101</v>
      </c>
      <c r="DN33" s="524">
        <f t="shared" si="14"/>
        <v>98.418568477530101</v>
      </c>
      <c r="DO33" s="524">
        <f t="shared" si="14"/>
        <v>98.418568477530101</v>
      </c>
      <c r="DP33" s="524">
        <f t="shared" si="14"/>
        <v>98.418568477530101</v>
      </c>
      <c r="DQ33" s="524">
        <f t="shared" ref="DQ33:DV33" si="15">SUM(DQ14:DQ32)</f>
        <v>98.418568477530101</v>
      </c>
      <c r="DR33" s="524">
        <f t="shared" si="15"/>
        <v>98.418568477530101</v>
      </c>
      <c r="DS33" s="524">
        <f t="shared" si="15"/>
        <v>98.418568477530101</v>
      </c>
      <c r="DT33" s="524">
        <f t="shared" si="15"/>
        <v>98.418568477530101</v>
      </c>
      <c r="DU33" s="524">
        <f t="shared" si="15"/>
        <v>98.418568477530101</v>
      </c>
      <c r="DV33" s="524">
        <f t="shared" si="15"/>
        <v>98.418568477530101</v>
      </c>
      <c r="DW33" s="524">
        <f t="shared" si="14"/>
        <v>98.418568477530101</v>
      </c>
      <c r="DX33" s="13">
        <f>SUM(DX13:DX32)</f>
        <v>1771.5342325955421</v>
      </c>
      <c r="DY33" s="104">
        <f>SUM(DY13:DY32)</f>
        <v>3935.2337512028216</v>
      </c>
    </row>
    <row r="34" spans="1:129" s="104" customFormat="1" x14ac:dyDescent="0.2">
      <c r="A34" s="110" t="s">
        <v>315</v>
      </c>
      <c r="B34" s="87"/>
      <c r="C34" s="87"/>
      <c r="D34" s="88"/>
      <c r="E34" s="88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9"/>
      <c r="S34" s="89"/>
      <c r="T34" s="90"/>
      <c r="U34" s="90"/>
      <c r="V34" s="90"/>
      <c r="W34" s="90"/>
      <c r="Y34"/>
      <c r="Z34" s="77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 s="69"/>
      <c r="AR34" s="103"/>
      <c r="AS34" s="103"/>
      <c r="AY34"/>
      <c r="AZ34" s="77"/>
      <c r="BA34"/>
      <c r="BB34"/>
      <c r="BC34"/>
      <c r="BL34" s="441">
        <f>BL33-BM33-BN33</f>
        <v>7625.956458512117</v>
      </c>
      <c r="BR34"/>
      <c r="BS34" s="77"/>
      <c r="BT34"/>
      <c r="BU34"/>
      <c r="BV34"/>
      <c r="CE34" s="441"/>
      <c r="CF34"/>
      <c r="CG34" s="77"/>
      <c r="CH34"/>
      <c r="CI34"/>
      <c r="CJ34"/>
      <c r="CS34" s="441"/>
      <c r="CT34"/>
      <c r="CU34"/>
      <c r="CV34"/>
      <c r="CW34"/>
      <c r="CX34"/>
      <c r="CY34"/>
      <c r="CZ34" s="104">
        <f>CS33-CY33</f>
        <v>5706.7679837983633</v>
      </c>
      <c r="DA34"/>
      <c r="DB34"/>
      <c r="DC34"/>
      <c r="DD34"/>
      <c r="DY34" s="104">
        <f>CZ33-DX33</f>
        <v>3935.2337512028212</v>
      </c>
    </row>
    <row r="35" spans="1:129" s="104" customFormat="1" x14ac:dyDescent="0.2">
      <c r="A35" s="238" t="s">
        <v>568</v>
      </c>
      <c r="B35" s="239"/>
      <c r="C35" s="239"/>
      <c r="D35" s="240"/>
      <c r="E35" s="240"/>
      <c r="F35"/>
      <c r="G35"/>
      <c r="H35"/>
      <c r="I35"/>
      <c r="J35"/>
      <c r="K35"/>
      <c r="L35"/>
      <c r="M35"/>
      <c r="N35"/>
      <c r="O35"/>
      <c r="P35"/>
      <c r="Q35"/>
      <c r="R35" s="19"/>
      <c r="S35" s="19"/>
      <c r="T35" s="12"/>
      <c r="U35" s="12"/>
      <c r="V35" s="12"/>
      <c r="W35" s="12"/>
      <c r="Y35"/>
      <c r="Z35" s="77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 s="69"/>
      <c r="AR35" s="103"/>
      <c r="AS35" s="103"/>
      <c r="AY35"/>
      <c r="AZ35" s="77"/>
      <c r="BA35"/>
      <c r="BB35"/>
      <c r="BC35"/>
      <c r="BL35" s="441"/>
      <c r="BR35"/>
      <c r="BS35" s="77"/>
      <c r="BT35"/>
      <c r="BU35"/>
      <c r="BV35"/>
      <c r="CE35" s="441"/>
      <c r="CF35"/>
      <c r="CG35" s="77"/>
      <c r="CH35"/>
      <c r="CI35"/>
      <c r="CJ35"/>
      <c r="CS35" s="441">
        <f>CE33-CR33</f>
        <v>6188.2379837983635</v>
      </c>
      <c r="CT35"/>
      <c r="CU35"/>
      <c r="CV35"/>
      <c r="CW35"/>
      <c r="CX35"/>
      <c r="CY35"/>
      <c r="CZ35"/>
      <c r="DA35"/>
      <c r="DB35"/>
      <c r="DC35"/>
      <c r="DD35"/>
    </row>
    <row r="36" spans="1:129" ht="30.75" hidden="1" customHeight="1" x14ac:dyDescent="0.2">
      <c r="A36" s="1271" t="s">
        <v>462</v>
      </c>
      <c r="B36" s="1271"/>
      <c r="C36" s="1271"/>
      <c r="D36" s="1271"/>
      <c r="E36" s="1271"/>
      <c r="F36" s="1271"/>
      <c r="G36" s="1271"/>
      <c r="H36" s="1271"/>
      <c r="I36" s="1271"/>
      <c r="J36" s="1271"/>
      <c r="K36" s="1271"/>
      <c r="L36" s="1271"/>
      <c r="M36" s="1271"/>
      <c r="N36" s="1271"/>
      <c r="O36" s="1271"/>
      <c r="P36" s="1271"/>
      <c r="Q36" s="1271"/>
      <c r="R36" s="1271"/>
      <c r="S36" s="1271"/>
      <c r="T36" s="1271"/>
      <c r="U36" s="1271"/>
      <c r="V36" s="1271"/>
      <c r="W36" s="1271"/>
      <c r="X36" s="1271"/>
      <c r="Y36" s="1271"/>
      <c r="Z36" s="171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Z36" s="171"/>
      <c r="BA36" s="170"/>
      <c r="BB36" s="170"/>
      <c r="BC36" s="170"/>
      <c r="BS36" s="171"/>
      <c r="BT36" s="170"/>
      <c r="BU36" s="170"/>
      <c r="BV36" s="170"/>
      <c r="CG36" s="171"/>
      <c r="CH36" s="170"/>
      <c r="CI36" s="170"/>
      <c r="CJ36" s="170"/>
    </row>
    <row r="37" spans="1:129" hidden="1" x14ac:dyDescent="0.2">
      <c r="A37" s="1271"/>
      <c r="B37" s="1271"/>
      <c r="C37" s="1271"/>
      <c r="D37" s="1271"/>
      <c r="E37" s="1271"/>
      <c r="F37" s="1271"/>
      <c r="G37" s="1271"/>
      <c r="H37" s="1271"/>
      <c r="I37" s="1271"/>
      <c r="J37" s="1271"/>
      <c r="K37" s="1271"/>
      <c r="L37" s="1271"/>
      <c r="M37" s="1271"/>
      <c r="N37" s="1271"/>
      <c r="O37" s="1271"/>
      <c r="P37" s="1271"/>
      <c r="Q37" s="1271"/>
      <c r="R37" s="1271"/>
      <c r="S37" s="1271"/>
      <c r="T37" s="1271"/>
      <c r="U37" s="1271"/>
      <c r="V37" s="1271"/>
      <c r="W37" s="1271"/>
      <c r="X37" s="1271"/>
      <c r="Y37" s="1271"/>
    </row>
    <row r="38" spans="1:129" x14ac:dyDescent="0.2">
      <c r="AP38" s="289"/>
    </row>
    <row r="39" spans="1:129" x14ac:dyDescent="0.2">
      <c r="X39" s="1266"/>
      <c r="Y39" s="1270"/>
      <c r="Z39" s="1270"/>
      <c r="AA39" s="1270"/>
      <c r="AB39" s="1270"/>
      <c r="AO39" s="292">
        <f>SUM(AO33-(AO25+AO21))</f>
        <v>336.05533294969626</v>
      </c>
      <c r="AZ39"/>
      <c r="BS39"/>
      <c r="CG39"/>
    </row>
    <row r="40" spans="1:129" x14ac:dyDescent="0.2">
      <c r="X40" s="1270"/>
      <c r="Y40" s="1270"/>
      <c r="Z40" s="1270"/>
      <c r="AA40" s="1270"/>
      <c r="AB40" s="1270"/>
      <c r="AO40" s="400"/>
      <c r="AZ40"/>
      <c r="BS40"/>
      <c r="CG40"/>
    </row>
    <row r="41" spans="1:129" x14ac:dyDescent="0.2">
      <c r="X41" s="1270"/>
      <c r="Y41" s="1270"/>
      <c r="Z41" s="1270"/>
      <c r="AA41" s="1270"/>
      <c r="AB41" s="1270"/>
      <c r="AZ41"/>
      <c r="BS41"/>
      <c r="CG41"/>
    </row>
    <row r="42" spans="1:129" x14ac:dyDescent="0.2">
      <c r="X42" s="1270"/>
      <c r="Y42" s="1270"/>
      <c r="Z42" s="1270"/>
      <c r="AA42" s="1270"/>
      <c r="AB42" s="1270"/>
      <c r="AZ42"/>
      <c r="BS42"/>
      <c r="CG42"/>
    </row>
  </sheetData>
  <mergeCells count="39">
    <mergeCell ref="L11:L12"/>
    <mergeCell ref="M11:M12"/>
    <mergeCell ref="O11:O12"/>
    <mergeCell ref="CI11:CI12"/>
    <mergeCell ref="CJ11:CJ12"/>
    <mergeCell ref="BB11:BB12"/>
    <mergeCell ref="BC11:BC12"/>
    <mergeCell ref="Q11:Q12"/>
    <mergeCell ref="AR11:AR12"/>
    <mergeCell ref="AS11:AS12"/>
    <mergeCell ref="BU11:BU12"/>
    <mergeCell ref="BV11:BV12"/>
    <mergeCell ref="E11:E12"/>
    <mergeCell ref="F11:F12"/>
    <mergeCell ref="G11:G12"/>
    <mergeCell ref="J11:J12"/>
    <mergeCell ref="K11:K12"/>
    <mergeCell ref="V10:AZ10"/>
    <mergeCell ref="X39:AB42"/>
    <mergeCell ref="D10:P10"/>
    <mergeCell ref="R10:T10"/>
    <mergeCell ref="H11:H12"/>
    <mergeCell ref="I11:I12"/>
    <mergeCell ref="AB11:AB12"/>
    <mergeCell ref="AC11:AC12"/>
    <mergeCell ref="A36:Y37"/>
    <mergeCell ref="R11:R12"/>
    <mergeCell ref="S11:S12"/>
    <mergeCell ref="T11:T12"/>
    <mergeCell ref="V11:V12"/>
    <mergeCell ref="X11:X12"/>
    <mergeCell ref="A11:A12"/>
    <mergeCell ref="B11:B12"/>
    <mergeCell ref="DY11:DY12"/>
    <mergeCell ref="CY11:CY12"/>
    <mergeCell ref="CZ11:CZ12"/>
    <mergeCell ref="DD11:DD12"/>
    <mergeCell ref="DE11:DE12"/>
    <mergeCell ref="DX11:DX12"/>
  </mergeCells>
  <printOptions horizontalCentered="1"/>
  <pageMargins left="0.19685039370078741" right="0.19685039370078741" top="0.39370078740157483" bottom="0.39370078740157483" header="0" footer="0"/>
  <pageSetup scale="45" orientation="landscape" r:id="rId1"/>
  <headerFooter alignWithMargins="0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DZ39"/>
  <sheetViews>
    <sheetView topLeftCell="E10" workbookViewId="0">
      <selection activeCell="DX35" sqref="DX35"/>
    </sheetView>
  </sheetViews>
  <sheetFormatPr baseColWidth="10" defaultRowHeight="12.75" x14ac:dyDescent="0.2"/>
  <cols>
    <col min="1" max="2" width="17.7109375" customWidth="1"/>
    <col min="3" max="3" width="18.28515625" customWidth="1"/>
    <col min="4" max="4" width="6.7109375" style="18" customWidth="1"/>
    <col min="5" max="5" width="7.42578125" style="18" customWidth="1"/>
    <col min="6" max="6" width="9.7109375" customWidth="1"/>
    <col min="7" max="7" width="8.5703125" customWidth="1"/>
    <col min="8" max="11" width="8.5703125" hidden="1" customWidth="1"/>
    <col min="12" max="12" width="8.5703125" customWidth="1"/>
    <col min="13" max="14" width="8.5703125" hidden="1" customWidth="1"/>
    <col min="15" max="15" width="8.42578125" hidden="1" customWidth="1"/>
    <col min="16" max="16" width="8.5703125" hidden="1" customWidth="1"/>
    <col min="17" max="17" width="11" customWidth="1"/>
    <col min="18" max="18" width="11.5703125" style="19" customWidth="1"/>
    <col min="19" max="19" width="9.5703125" style="19" customWidth="1"/>
    <col min="20" max="20" width="8.42578125" style="12" customWidth="1"/>
    <col min="21" max="23" width="8.42578125" style="12" hidden="1" customWidth="1"/>
    <col min="24" max="24" width="10.140625" style="104" hidden="1" customWidth="1"/>
    <col min="25" max="26" width="8.7109375" hidden="1" customWidth="1"/>
    <col min="27" max="27" width="8.7109375" style="77" hidden="1" customWidth="1"/>
    <col min="28" max="28" width="7.42578125" hidden="1" customWidth="1"/>
    <col min="29" max="30" width="10.42578125" hidden="1" customWidth="1"/>
    <col min="31" max="35" width="7.7109375" hidden="1" customWidth="1"/>
    <col min="36" max="36" width="11.28515625" hidden="1" customWidth="1"/>
    <col min="37" max="38" width="7.7109375" hidden="1" customWidth="1"/>
    <col min="39" max="39" width="8.85546875" hidden="1" customWidth="1"/>
    <col min="40" max="42" width="7.7109375" hidden="1" customWidth="1"/>
    <col min="43" max="43" width="9.28515625" hidden="1" customWidth="1"/>
    <col min="44" max="44" width="10" style="69" hidden="1" customWidth="1"/>
    <col min="45" max="45" width="8.85546875" hidden="1" customWidth="1"/>
    <col min="46" max="46" width="7.5703125" hidden="1" customWidth="1"/>
    <col min="47" max="47" width="9.28515625" hidden="1" customWidth="1"/>
    <col min="48" max="48" width="10.140625" hidden="1" customWidth="1"/>
    <col min="49" max="49" width="9.42578125" hidden="1" customWidth="1"/>
    <col min="50" max="50" width="10.42578125" hidden="1" customWidth="1"/>
    <col min="51" max="51" width="10.140625" hidden="1" customWidth="1"/>
    <col min="52" max="52" width="8.7109375" hidden="1" customWidth="1"/>
    <col min="53" max="53" width="8.7109375" style="77" hidden="1" customWidth="1"/>
    <col min="54" max="54" width="7.42578125" hidden="1" customWidth="1"/>
    <col min="55" max="55" width="8" hidden="1" customWidth="1"/>
    <col min="56" max="56" width="7.42578125" hidden="1" customWidth="1"/>
    <col min="57" max="57" width="8.85546875" hidden="1" customWidth="1"/>
    <col min="58" max="58" width="9.140625" hidden="1" customWidth="1"/>
    <col min="59" max="59" width="10" hidden="1" customWidth="1"/>
    <col min="60" max="60" width="9.42578125" hidden="1" customWidth="1"/>
    <col min="61" max="61" width="11.42578125" hidden="1" customWidth="1"/>
    <col min="62" max="62" width="9.140625" hidden="1" customWidth="1"/>
    <col min="63" max="63" width="8.7109375" hidden="1" customWidth="1"/>
    <col min="64" max="64" width="10.5703125" hidden="1" customWidth="1"/>
    <col min="65" max="65" width="9.140625" hidden="1" customWidth="1"/>
    <col min="66" max="66" width="9.28515625" hidden="1" customWidth="1"/>
    <col min="67" max="67" width="10.140625" hidden="1" customWidth="1"/>
    <col min="68" max="69" width="9.42578125" hidden="1" customWidth="1"/>
    <col min="70" max="70" width="7.85546875" hidden="1" customWidth="1"/>
    <col min="71" max="71" width="8.7109375" hidden="1" customWidth="1"/>
    <col min="72" max="72" width="8.7109375" style="77" hidden="1" customWidth="1"/>
    <col min="73" max="73" width="7.42578125" hidden="1" customWidth="1"/>
    <col min="74" max="74" width="8" hidden="1" customWidth="1"/>
    <col min="75" max="75" width="7.42578125" hidden="1" customWidth="1"/>
    <col min="76" max="76" width="8.85546875" hidden="1" customWidth="1"/>
    <col min="77" max="77" width="9.140625" hidden="1" customWidth="1"/>
    <col min="78" max="78" width="10" hidden="1" customWidth="1"/>
    <col min="79" max="79" width="9.42578125" hidden="1" customWidth="1"/>
    <col min="80" max="80" width="11.42578125" hidden="1" customWidth="1"/>
    <col min="81" max="81" width="9.140625" hidden="1" customWidth="1"/>
    <col min="82" max="82" width="8.7109375" hidden="1" customWidth="1"/>
    <col min="83" max="83" width="8.28515625" hidden="1" customWidth="1"/>
    <col min="84" max="84" width="0" hidden="1" customWidth="1"/>
    <col min="85" max="85" width="8.7109375" hidden="1" customWidth="1"/>
    <col min="86" max="86" width="8.7109375" style="77" hidden="1" customWidth="1"/>
    <col min="87" max="87" width="8.7109375" hidden="1" customWidth="1"/>
    <col min="88" max="88" width="8" hidden="1" customWidth="1"/>
    <col min="89" max="89" width="8.7109375" hidden="1" customWidth="1"/>
    <col min="90" max="90" width="8.85546875" hidden="1" customWidth="1"/>
    <col min="91" max="91" width="9.140625" hidden="1" customWidth="1"/>
    <col min="92" max="92" width="10" hidden="1" customWidth="1"/>
    <col min="93" max="93" width="9.42578125" hidden="1" customWidth="1"/>
    <col min="94" max="94" width="11.42578125" hidden="1" customWidth="1"/>
    <col min="95" max="95" width="9.140625" hidden="1" customWidth="1"/>
    <col min="96" max="96" width="8.7109375" hidden="1" customWidth="1"/>
    <col min="97" max="97" width="10.5703125" hidden="1" customWidth="1"/>
    <col min="98" max="98" width="11.5703125" hidden="1" customWidth="1"/>
    <col min="99" max="99" width="0" hidden="1" customWidth="1"/>
    <col min="100" max="103" width="11.42578125" hidden="1" customWidth="1"/>
    <col min="104" max="104" width="0" hidden="1" customWidth="1"/>
    <col min="106" max="110" width="11.42578125" customWidth="1"/>
    <col min="111" max="127" width="11.42578125" hidden="1" customWidth="1"/>
    <col min="128" max="130" width="11.42578125" customWidth="1"/>
  </cols>
  <sheetData>
    <row r="1" spans="1:130" x14ac:dyDescent="0.2">
      <c r="A1" s="637"/>
      <c r="B1" s="638" t="s">
        <v>27</v>
      </c>
      <c r="C1" s="637"/>
      <c r="D1" s="639"/>
      <c r="E1" s="639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40"/>
      <c r="S1" s="640"/>
      <c r="T1" s="637"/>
      <c r="U1" s="637"/>
      <c r="V1" s="637"/>
      <c r="W1" s="637"/>
      <c r="X1" s="661"/>
      <c r="Y1" s="662"/>
      <c r="Z1" s="662"/>
      <c r="AA1" s="663"/>
      <c r="AB1" s="662"/>
      <c r="AC1" s="662"/>
      <c r="AD1" s="662"/>
      <c r="AE1" s="662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62"/>
      <c r="AQ1" s="637"/>
      <c r="AR1" s="664"/>
      <c r="AS1" s="637"/>
      <c r="AT1" s="637"/>
      <c r="AU1" s="637"/>
      <c r="AV1" s="637"/>
      <c r="AW1" s="637"/>
      <c r="AX1" s="637"/>
      <c r="AY1" s="637"/>
      <c r="AZ1" s="662"/>
      <c r="BA1" s="663"/>
      <c r="BB1" s="662"/>
      <c r="BC1" s="662"/>
      <c r="BD1" s="662"/>
      <c r="BE1" s="637"/>
      <c r="BF1" s="637"/>
      <c r="BG1" s="637"/>
      <c r="BH1" s="637"/>
      <c r="BI1" s="637"/>
      <c r="BJ1" s="637"/>
      <c r="BK1" s="637"/>
      <c r="BL1" s="637"/>
      <c r="BM1" s="637"/>
      <c r="BN1" s="637"/>
      <c r="BO1" s="637"/>
      <c r="BP1" s="637"/>
      <c r="BQ1" s="637"/>
      <c r="BR1" s="637"/>
      <c r="BS1" s="662"/>
      <c r="BT1" s="663"/>
      <c r="BU1" s="662"/>
      <c r="BV1" s="662"/>
      <c r="BW1" s="662"/>
      <c r="BX1" s="637"/>
      <c r="BY1" s="637"/>
      <c r="BZ1" s="637"/>
      <c r="CA1" s="637"/>
      <c r="CB1" s="637"/>
      <c r="CC1" s="637"/>
      <c r="CD1" s="637"/>
      <c r="CE1" s="637"/>
      <c r="CF1" s="637"/>
      <c r="CG1" s="662"/>
      <c r="CH1" s="663"/>
      <c r="CI1" s="662"/>
      <c r="CJ1" s="662"/>
      <c r="CK1" s="662"/>
      <c r="CL1" s="637"/>
      <c r="CM1" s="637"/>
      <c r="CN1" s="637"/>
      <c r="CO1" s="637"/>
      <c r="CP1" s="637"/>
      <c r="CQ1" s="637"/>
      <c r="CR1" s="637"/>
      <c r="CS1" s="637"/>
      <c r="CT1" s="637"/>
    </row>
    <row r="2" spans="1:130" x14ac:dyDescent="0.2">
      <c r="A2" s="637"/>
      <c r="B2" s="638" t="s">
        <v>1273</v>
      </c>
      <c r="C2" s="637"/>
      <c r="D2" s="639"/>
      <c r="E2" s="639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40"/>
      <c r="S2" s="640"/>
      <c r="T2" s="637"/>
      <c r="U2" s="637"/>
      <c r="V2" s="637"/>
      <c r="W2" s="637"/>
      <c r="X2" s="661"/>
      <c r="Y2" s="662"/>
      <c r="Z2" s="662"/>
      <c r="AA2" s="663"/>
      <c r="AB2" s="662"/>
      <c r="AC2" s="662"/>
      <c r="AD2" s="662"/>
      <c r="AE2" s="662"/>
      <c r="AF2" s="637"/>
      <c r="AG2" s="637"/>
      <c r="AH2" s="637"/>
      <c r="AI2" s="637"/>
      <c r="AJ2" s="637"/>
      <c r="AK2" s="637"/>
      <c r="AL2" s="637"/>
      <c r="AM2" s="637"/>
      <c r="AN2" s="637"/>
      <c r="AO2" s="637"/>
      <c r="AP2" s="637"/>
      <c r="AQ2" s="637"/>
      <c r="AR2" s="664"/>
      <c r="AS2" s="637"/>
      <c r="AT2" s="637"/>
      <c r="AU2" s="637"/>
      <c r="AV2" s="637"/>
      <c r="AW2" s="637"/>
      <c r="AX2" s="637"/>
      <c r="AY2" s="637"/>
      <c r="AZ2" s="662"/>
      <c r="BA2" s="663"/>
      <c r="BB2" s="662"/>
      <c r="BC2" s="662"/>
      <c r="BD2" s="662"/>
      <c r="BE2" s="637"/>
      <c r="BF2" s="637"/>
      <c r="BG2" s="637"/>
      <c r="BH2" s="637"/>
      <c r="BI2" s="637"/>
      <c r="BJ2" s="637"/>
      <c r="BK2" s="637"/>
      <c r="BL2" s="637"/>
      <c r="BM2" s="637"/>
      <c r="BN2" s="637"/>
      <c r="BO2" s="637"/>
      <c r="BP2" s="637"/>
      <c r="BQ2" s="637"/>
      <c r="BR2" s="637"/>
      <c r="BS2" s="662"/>
      <c r="BT2" s="663"/>
      <c r="BU2" s="662"/>
      <c r="BV2" s="662"/>
      <c r="BW2" s="662"/>
      <c r="BX2" s="637"/>
      <c r="BY2" s="637"/>
      <c r="BZ2" s="637"/>
      <c r="CA2" s="637"/>
      <c r="CB2" s="637"/>
      <c r="CC2" s="637"/>
      <c r="CD2" s="637"/>
      <c r="CE2" s="637"/>
      <c r="CF2" s="637"/>
      <c r="CG2" s="662"/>
      <c r="CH2" s="663"/>
      <c r="CI2" s="662"/>
      <c r="CJ2" s="662"/>
      <c r="CK2" s="662"/>
      <c r="CL2" s="637"/>
      <c r="CM2" s="637"/>
      <c r="CN2" s="637"/>
      <c r="CO2" s="637"/>
      <c r="CP2" s="637"/>
      <c r="CQ2" s="637"/>
      <c r="CR2" s="637"/>
      <c r="CS2" s="637"/>
      <c r="CT2" s="637"/>
    </row>
    <row r="3" spans="1:130" x14ac:dyDescent="0.2">
      <c r="A3" s="637"/>
      <c r="B3" s="637"/>
      <c r="C3" s="638"/>
      <c r="D3" s="641"/>
      <c r="E3" s="639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38"/>
      <c r="S3" s="638"/>
      <c r="T3" s="642"/>
      <c r="U3" s="642"/>
      <c r="V3" s="642"/>
      <c r="W3" s="642"/>
      <c r="X3" s="665"/>
      <c r="Y3" s="662"/>
      <c r="Z3" s="662"/>
      <c r="AA3" s="663"/>
      <c r="AB3" s="662"/>
      <c r="AC3" s="662"/>
      <c r="AD3" s="662"/>
      <c r="AE3" s="662"/>
      <c r="AF3" s="637"/>
      <c r="AG3" s="637"/>
      <c r="AH3" s="637"/>
      <c r="AI3" s="637"/>
      <c r="AJ3" s="637"/>
      <c r="AK3" s="637"/>
      <c r="AL3" s="637"/>
      <c r="AM3" s="637"/>
      <c r="AN3" s="637"/>
      <c r="AO3" s="637"/>
      <c r="AP3" s="637"/>
      <c r="AQ3" s="637"/>
      <c r="AR3" s="664"/>
      <c r="AS3" s="637"/>
      <c r="AT3" s="637"/>
      <c r="AU3" s="637"/>
      <c r="AV3" s="637"/>
      <c r="AW3" s="637"/>
      <c r="AX3" s="637"/>
      <c r="AY3" s="637"/>
      <c r="AZ3" s="662"/>
      <c r="BA3" s="663"/>
      <c r="BB3" s="662"/>
      <c r="BC3" s="662"/>
      <c r="BD3" s="662"/>
      <c r="BE3" s="637"/>
      <c r="BF3" s="637"/>
      <c r="BG3" s="637"/>
      <c r="BH3" s="637"/>
      <c r="BI3" s="637"/>
      <c r="BJ3" s="637"/>
      <c r="BK3" s="637"/>
      <c r="BL3" s="637"/>
      <c r="BM3" s="637"/>
      <c r="BN3" s="637"/>
      <c r="BO3" s="637"/>
      <c r="BP3" s="637"/>
      <c r="BQ3" s="637"/>
      <c r="BR3" s="637"/>
      <c r="BS3" s="662"/>
      <c r="BT3" s="663"/>
      <c r="BU3" s="662"/>
      <c r="BV3" s="662"/>
      <c r="BW3" s="662"/>
      <c r="BX3" s="637"/>
      <c r="BY3" s="637"/>
      <c r="BZ3" s="637"/>
      <c r="CA3" s="637"/>
      <c r="CB3" s="637"/>
      <c r="CC3" s="637"/>
      <c r="CD3" s="637"/>
      <c r="CE3" s="637"/>
      <c r="CF3" s="637"/>
      <c r="CG3" s="662"/>
      <c r="CH3" s="663"/>
      <c r="CI3" s="662"/>
      <c r="CJ3" s="662"/>
      <c r="CK3" s="662"/>
      <c r="CL3" s="637"/>
      <c r="CM3" s="637"/>
      <c r="CN3" s="637"/>
      <c r="CO3" s="637"/>
      <c r="CP3" s="637"/>
      <c r="CQ3" s="637"/>
      <c r="CR3" s="637"/>
      <c r="CS3" s="637"/>
      <c r="CT3" s="637"/>
    </row>
    <row r="4" spans="1:130" x14ac:dyDescent="0.2">
      <c r="A4" s="637"/>
      <c r="B4" s="637" t="s">
        <v>309</v>
      </c>
      <c r="C4" s="638"/>
      <c r="D4" s="641"/>
      <c r="E4" s="639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38"/>
      <c r="S4" s="638"/>
      <c r="T4" s="642"/>
      <c r="U4" s="642"/>
      <c r="V4" s="642"/>
      <c r="W4" s="642"/>
      <c r="X4" s="665"/>
      <c r="Y4" s="662"/>
      <c r="Z4" s="662"/>
      <c r="AA4" s="663"/>
      <c r="AB4" s="662"/>
      <c r="AC4" s="662"/>
      <c r="AD4" s="662"/>
      <c r="AE4" s="662"/>
      <c r="AF4" s="637"/>
      <c r="AG4" s="637"/>
      <c r="AH4" s="637"/>
      <c r="AI4" s="637"/>
      <c r="AJ4" s="637"/>
      <c r="AK4" s="637"/>
      <c r="AL4" s="637"/>
      <c r="AM4" s="637"/>
      <c r="AN4" s="637"/>
      <c r="AO4" s="637"/>
      <c r="AP4" s="637"/>
      <c r="AQ4" s="637"/>
      <c r="AR4" s="664"/>
      <c r="AS4" s="637"/>
      <c r="AT4" s="637"/>
      <c r="AU4" s="637"/>
      <c r="AV4" s="637"/>
      <c r="AW4" s="637"/>
      <c r="AX4" s="637"/>
      <c r="AY4" s="637"/>
      <c r="AZ4" s="662"/>
      <c r="BA4" s="663"/>
      <c r="BB4" s="662"/>
      <c r="BC4" s="662"/>
      <c r="BD4" s="662"/>
      <c r="BE4" s="637"/>
      <c r="BF4" s="637"/>
      <c r="BG4" s="637"/>
      <c r="BH4" s="637"/>
      <c r="BI4" s="637"/>
      <c r="BJ4" s="637"/>
      <c r="BK4" s="637"/>
      <c r="BL4" s="637"/>
      <c r="BM4" s="637"/>
      <c r="BN4" s="637"/>
      <c r="BO4" s="637"/>
      <c r="BP4" s="637"/>
      <c r="BQ4" s="637"/>
      <c r="BR4" s="637"/>
      <c r="BS4" s="662"/>
      <c r="BT4" s="663"/>
      <c r="BU4" s="662"/>
      <c r="BV4" s="662"/>
      <c r="BW4" s="662"/>
      <c r="BX4" s="637"/>
      <c r="BY4" s="637"/>
      <c r="BZ4" s="637"/>
      <c r="CA4" s="637"/>
      <c r="CB4" s="637"/>
      <c r="CC4" s="637"/>
      <c r="CD4" s="637"/>
      <c r="CE4" s="637"/>
      <c r="CF4" s="637"/>
      <c r="CG4" s="662"/>
      <c r="CH4" s="663"/>
      <c r="CI4" s="662"/>
      <c r="CJ4" s="662"/>
      <c r="CK4" s="662"/>
      <c r="CL4" s="637"/>
      <c r="CM4" s="637"/>
      <c r="CN4" s="637"/>
      <c r="CO4" s="637"/>
      <c r="CP4" s="637"/>
      <c r="CQ4" s="637"/>
      <c r="CR4" s="637"/>
      <c r="CS4" s="637"/>
      <c r="CT4" s="637"/>
    </row>
    <row r="5" spans="1:130" x14ac:dyDescent="0.2">
      <c r="A5" s="637"/>
      <c r="B5" s="642" t="s">
        <v>349</v>
      </c>
      <c r="C5" s="637"/>
      <c r="D5" s="639"/>
      <c r="E5" s="639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40"/>
      <c r="S5" s="640"/>
      <c r="T5" s="637"/>
      <c r="U5" s="637"/>
      <c r="V5" s="637"/>
      <c r="W5" s="637"/>
      <c r="X5" s="661"/>
      <c r="Y5" s="662"/>
      <c r="Z5" s="662"/>
      <c r="AA5" s="663"/>
      <c r="AB5" s="662"/>
      <c r="AC5" s="662"/>
      <c r="AD5" s="662"/>
      <c r="AE5" s="662"/>
      <c r="AF5" s="637"/>
      <c r="AG5" s="637"/>
      <c r="AH5" s="637"/>
      <c r="AI5" s="637"/>
      <c r="AJ5" s="637"/>
      <c r="AK5" s="637"/>
      <c r="AL5" s="637"/>
      <c r="AM5" s="637"/>
      <c r="AN5" s="637"/>
      <c r="AO5" s="637"/>
      <c r="AP5" s="637"/>
      <c r="AQ5" s="637"/>
      <c r="AR5" s="664"/>
      <c r="AS5" s="637"/>
      <c r="AT5" s="637"/>
      <c r="AU5" s="637"/>
      <c r="AV5" s="637"/>
      <c r="AW5" s="637"/>
      <c r="AX5" s="637"/>
      <c r="AY5" s="637"/>
      <c r="AZ5" s="662"/>
      <c r="BA5" s="663"/>
      <c r="BB5" s="662"/>
      <c r="BC5" s="662"/>
      <c r="BD5" s="662"/>
      <c r="BE5" s="637"/>
      <c r="BF5" s="637"/>
      <c r="BG5" s="637"/>
      <c r="BH5" s="637"/>
      <c r="BI5" s="637"/>
      <c r="BJ5" s="637"/>
      <c r="BK5" s="637"/>
      <c r="BL5" s="637"/>
      <c r="BM5" s="637"/>
      <c r="BN5" s="637"/>
      <c r="BO5" s="637"/>
      <c r="BP5" s="637"/>
      <c r="BQ5" s="637"/>
      <c r="BR5" s="637"/>
      <c r="BS5" s="662"/>
      <c r="BT5" s="663"/>
      <c r="BU5" s="662"/>
      <c r="BV5" s="662"/>
      <c r="BW5" s="662"/>
      <c r="BX5" s="637"/>
      <c r="BY5" s="637"/>
      <c r="BZ5" s="637"/>
      <c r="CA5" s="637"/>
      <c r="CB5" s="637"/>
      <c r="CC5" s="637"/>
      <c r="CD5" s="637"/>
      <c r="CE5" s="637"/>
      <c r="CF5" s="637"/>
      <c r="CG5" s="662"/>
      <c r="CH5" s="663"/>
      <c r="CI5" s="662"/>
      <c r="CJ5" s="662"/>
      <c r="CK5" s="662"/>
      <c r="CL5" s="637"/>
      <c r="CM5" s="637"/>
      <c r="CN5" s="637"/>
      <c r="CO5" s="637"/>
      <c r="CP5" s="637"/>
      <c r="CQ5" s="637"/>
      <c r="CR5" s="637"/>
      <c r="CS5" s="637"/>
      <c r="CT5" s="637"/>
    </row>
    <row r="6" spans="1:130" x14ac:dyDescent="0.2">
      <c r="A6" s="637"/>
      <c r="B6" s="637" t="s">
        <v>1272</v>
      </c>
      <c r="C6" s="637"/>
      <c r="D6" s="639"/>
      <c r="E6" s="639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40"/>
      <c r="S6" s="640"/>
      <c r="T6" s="637"/>
      <c r="U6" s="637"/>
      <c r="V6" s="637"/>
      <c r="W6" s="637"/>
      <c r="X6" s="661"/>
      <c r="Y6" s="662"/>
      <c r="Z6" s="662"/>
      <c r="AA6" s="663"/>
      <c r="AB6" s="662"/>
      <c r="AC6" s="662"/>
      <c r="AD6" s="662"/>
      <c r="AE6" s="662"/>
      <c r="AF6" s="637"/>
      <c r="AG6" s="637"/>
      <c r="AH6" s="637"/>
      <c r="AI6" s="637"/>
      <c r="AJ6" s="637"/>
      <c r="AK6" s="637"/>
      <c r="AL6" s="637"/>
      <c r="AM6" s="637"/>
      <c r="AN6" s="637"/>
      <c r="AO6" s="637"/>
      <c r="AP6" s="637"/>
      <c r="AQ6" s="637"/>
      <c r="AR6" s="664"/>
      <c r="AS6" s="637"/>
      <c r="AT6" s="637"/>
      <c r="AU6" s="637"/>
      <c r="AV6" s="637"/>
      <c r="AW6" s="637"/>
      <c r="AX6" s="637"/>
      <c r="AY6" s="637"/>
      <c r="AZ6" s="662"/>
      <c r="BA6" s="663"/>
      <c r="BB6" s="662"/>
      <c r="BC6" s="662"/>
      <c r="BD6" s="662"/>
      <c r="BE6" s="637"/>
      <c r="BF6" s="637"/>
      <c r="BG6" s="637"/>
      <c r="BH6" s="637"/>
      <c r="BI6" s="637"/>
      <c r="BJ6" s="637"/>
      <c r="BK6" s="637"/>
      <c r="BL6" s="637"/>
      <c r="BM6" s="637"/>
      <c r="BN6" s="637"/>
      <c r="BO6" s="637"/>
      <c r="BP6" s="637"/>
      <c r="BQ6" s="637"/>
      <c r="BR6" s="637"/>
      <c r="BS6" s="662"/>
      <c r="BT6" s="663"/>
      <c r="BU6" s="662"/>
      <c r="BV6" s="662"/>
      <c r="BW6" s="662"/>
      <c r="BX6" s="637"/>
      <c r="BY6" s="637"/>
      <c r="BZ6" s="637"/>
      <c r="CA6" s="637"/>
      <c r="CB6" s="637"/>
      <c r="CC6" s="637"/>
      <c r="CD6" s="637"/>
      <c r="CE6" s="637"/>
      <c r="CF6" s="637"/>
      <c r="CG6" s="662"/>
      <c r="CH6" s="663"/>
      <c r="CI6" s="662"/>
      <c r="CJ6" s="662"/>
      <c r="CK6" s="662"/>
      <c r="CL6" s="637"/>
      <c r="CM6" s="637"/>
      <c r="CN6" s="637"/>
      <c r="CO6" s="637"/>
      <c r="CP6" s="637"/>
      <c r="CQ6" s="637"/>
      <c r="CR6" s="637"/>
      <c r="CS6" s="637"/>
      <c r="CT6" s="637"/>
    </row>
    <row r="7" spans="1:130" x14ac:dyDescent="0.2">
      <c r="A7" s="637"/>
      <c r="B7" s="637"/>
      <c r="C7" s="637"/>
      <c r="D7" s="639"/>
      <c r="E7" s="639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40"/>
      <c r="S7" s="640"/>
      <c r="T7" s="637"/>
      <c r="U7" s="637"/>
      <c r="V7" s="637"/>
      <c r="W7" s="637"/>
      <c r="X7" s="661"/>
      <c r="Y7" s="662"/>
      <c r="Z7" s="662"/>
      <c r="AA7" s="663"/>
      <c r="AB7" s="662"/>
      <c r="AC7" s="662"/>
      <c r="AD7" s="662"/>
      <c r="AE7" s="662"/>
      <c r="AF7" s="637"/>
      <c r="AG7" s="637"/>
      <c r="AH7" s="637"/>
      <c r="AI7" s="637"/>
      <c r="AJ7" s="637"/>
      <c r="AK7" s="637"/>
      <c r="AL7" s="637"/>
      <c r="AM7" s="637"/>
      <c r="AN7" s="637"/>
      <c r="AO7" s="637"/>
      <c r="AP7" s="637"/>
      <c r="AQ7" s="637"/>
      <c r="AR7" s="664"/>
      <c r="AS7" s="637"/>
      <c r="AT7" s="637"/>
      <c r="AU7" s="637"/>
      <c r="AV7" s="637"/>
      <c r="AW7" s="637"/>
      <c r="AX7" s="637"/>
      <c r="AY7" s="637"/>
      <c r="AZ7" s="662"/>
      <c r="BA7" s="663"/>
      <c r="BB7" s="662"/>
      <c r="BC7" s="662"/>
      <c r="BD7" s="662"/>
      <c r="BE7" s="637"/>
      <c r="BF7" s="637"/>
      <c r="BG7" s="637"/>
      <c r="BH7" s="637"/>
      <c r="BI7" s="637"/>
      <c r="BJ7" s="637"/>
      <c r="BK7" s="637"/>
      <c r="BL7" s="637"/>
      <c r="BM7" s="637"/>
      <c r="BN7" s="637"/>
      <c r="BO7" s="637"/>
      <c r="BP7" s="637"/>
      <c r="BQ7" s="637"/>
      <c r="BR7" s="637"/>
      <c r="BS7" s="662"/>
      <c r="BT7" s="663"/>
      <c r="BU7" s="662"/>
      <c r="BV7" s="662"/>
      <c r="BW7" s="662"/>
      <c r="BX7" s="637"/>
      <c r="BY7" s="637"/>
      <c r="BZ7" s="637"/>
      <c r="CA7" s="637"/>
      <c r="CB7" s="637"/>
      <c r="CC7" s="637"/>
      <c r="CD7" s="637"/>
      <c r="CE7" s="637"/>
      <c r="CF7" s="637"/>
      <c r="CG7" s="662"/>
      <c r="CH7" s="663"/>
      <c r="CI7" s="662"/>
      <c r="CJ7" s="662"/>
      <c r="CK7" s="662"/>
      <c r="CL7" s="637"/>
      <c r="CM7" s="637"/>
      <c r="CN7" s="637"/>
      <c r="CO7" s="637"/>
      <c r="CP7" s="637"/>
      <c r="CQ7" s="637"/>
      <c r="CR7" s="637"/>
      <c r="CS7" s="637"/>
      <c r="CT7" s="637"/>
    </row>
    <row r="8" spans="1:130" s="16" customFormat="1" x14ac:dyDescent="0.2">
      <c r="D8" s="38"/>
      <c r="E8" s="38"/>
      <c r="R8" s="37"/>
      <c r="S8" s="37"/>
      <c r="T8" s="35"/>
      <c r="U8" s="35"/>
      <c r="V8" s="35"/>
      <c r="W8" s="35"/>
      <c r="X8" s="103"/>
      <c r="Y8" s="39"/>
      <c r="Z8" s="39"/>
      <c r="AA8" s="76"/>
      <c r="AB8" s="39"/>
      <c r="AC8" s="39"/>
      <c r="AD8" s="39"/>
      <c r="AE8" s="39"/>
      <c r="AR8" s="68"/>
      <c r="AZ8" s="39"/>
      <c r="BA8" s="76"/>
      <c r="BB8" s="39"/>
      <c r="BC8" s="39"/>
      <c r="BD8" s="39"/>
      <c r="BS8" s="39"/>
      <c r="BT8" s="76"/>
      <c r="BU8" s="39"/>
      <c r="BV8" s="39"/>
      <c r="BW8" s="39"/>
      <c r="CG8" s="39"/>
      <c r="CH8" s="76"/>
      <c r="CI8" s="39"/>
      <c r="CJ8" s="39"/>
      <c r="CK8" s="39"/>
      <c r="CU8"/>
      <c r="CV8"/>
      <c r="CW8"/>
      <c r="CX8"/>
      <c r="CY8"/>
      <c r="CZ8"/>
      <c r="DA8"/>
      <c r="DB8"/>
      <c r="DC8"/>
      <c r="DD8"/>
      <c r="DE8"/>
    </row>
    <row r="9" spans="1:130" s="16" customFormat="1" ht="20.25" customHeight="1" x14ac:dyDescent="0.2">
      <c r="D9" s="38"/>
      <c r="E9" s="38"/>
      <c r="R9" s="37"/>
      <c r="S9" s="37"/>
      <c r="T9" s="35"/>
      <c r="U9" s="35"/>
      <c r="V9" s="35"/>
      <c r="W9" s="35"/>
      <c r="X9" s="103"/>
      <c r="Y9" s="39"/>
      <c r="Z9" s="39"/>
      <c r="AA9" s="76"/>
      <c r="AB9" s="39"/>
      <c r="AC9" s="39"/>
      <c r="AD9" s="39"/>
      <c r="AE9" s="39"/>
      <c r="AR9" s="68"/>
      <c r="AZ9" s="39"/>
      <c r="BA9" s="76"/>
      <c r="BB9" s="39"/>
      <c r="BC9" s="39"/>
      <c r="BD9" s="39"/>
      <c r="BS9" s="39"/>
      <c r="BT9" s="76"/>
      <c r="BU9" s="39"/>
      <c r="BV9" s="39"/>
      <c r="BW9" s="39"/>
      <c r="CG9" s="39"/>
      <c r="CH9" s="76"/>
      <c r="CI9" s="39"/>
      <c r="CJ9" s="39"/>
      <c r="CK9" s="39"/>
      <c r="CU9"/>
      <c r="CV9"/>
      <c r="CW9"/>
      <c r="CX9"/>
      <c r="CY9"/>
      <c r="CZ9"/>
      <c r="DA9"/>
      <c r="DB9"/>
      <c r="DC9"/>
      <c r="DD9"/>
      <c r="DE9"/>
    </row>
    <row r="10" spans="1:130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1068"/>
      <c r="V10" s="1275" t="s">
        <v>450</v>
      </c>
      <c r="W10" s="1275"/>
      <c r="X10" s="1275"/>
      <c r="Y10" s="1275"/>
      <c r="Z10" s="1275"/>
      <c r="AA10" s="1275"/>
      <c r="AB10" s="1275"/>
      <c r="AC10" s="1275"/>
      <c r="AD10" s="1275"/>
      <c r="AE10" s="1275"/>
      <c r="AF10" s="1275"/>
      <c r="AG10" s="1275"/>
      <c r="AH10" s="1275"/>
      <c r="AI10" s="1275"/>
      <c r="AJ10" s="1275"/>
      <c r="AK10" s="1275"/>
      <c r="AL10" s="1275"/>
      <c r="AM10" s="1275"/>
      <c r="AN10" s="1275"/>
      <c r="AO10" s="1275"/>
      <c r="AP10" s="1275"/>
      <c r="AQ10" s="1275"/>
      <c r="AR10" s="1275"/>
      <c r="AS10" s="1275"/>
      <c r="AT10" s="1275"/>
      <c r="AU10" s="1275"/>
      <c r="AV10" s="1275"/>
      <c r="AW10" s="1275"/>
      <c r="AX10" s="1275"/>
      <c r="AY10" s="1275"/>
      <c r="AZ10" s="1275"/>
      <c r="BA10" s="1275"/>
      <c r="BB10" s="1275"/>
      <c r="BC10" s="1275"/>
      <c r="BD10" s="1275"/>
      <c r="BT10"/>
      <c r="CH10"/>
    </row>
    <row r="11" spans="1:130" ht="54" customHeight="1" x14ac:dyDescent="0.25">
      <c r="A11" s="1261" t="s">
        <v>57</v>
      </c>
      <c r="B11" s="1261" t="s">
        <v>0</v>
      </c>
      <c r="C11" s="1073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1126</v>
      </c>
      <c r="J11" s="1254" t="s">
        <v>1127</v>
      </c>
      <c r="K11" s="1254" t="s">
        <v>534</v>
      </c>
      <c r="L11" s="1254" t="s">
        <v>493</v>
      </c>
      <c r="M11" s="1254" t="s">
        <v>1145</v>
      </c>
      <c r="N11" s="1069" t="s">
        <v>529</v>
      </c>
      <c r="O11" s="1254" t="s">
        <v>492</v>
      </c>
      <c r="P11" s="1070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1071"/>
      <c r="V11" s="1245" t="s">
        <v>447</v>
      </c>
      <c r="W11" s="1067"/>
      <c r="X11" s="1268" t="s">
        <v>569</v>
      </c>
      <c r="Y11" s="1245" t="s">
        <v>439</v>
      </c>
      <c r="Z11" s="158" t="s">
        <v>15</v>
      </c>
      <c r="AA11" s="159" t="s">
        <v>15</v>
      </c>
      <c r="AB11" s="158" t="s">
        <v>16</v>
      </c>
      <c r="AC11" s="1245" t="s">
        <v>527</v>
      </c>
      <c r="AD11" s="1245" t="s">
        <v>536</v>
      </c>
      <c r="AE11" s="158" t="s">
        <v>3</v>
      </c>
      <c r="AF11" s="158" t="s">
        <v>4</v>
      </c>
      <c r="AG11" s="158" t="s">
        <v>5</v>
      </c>
      <c r="AH11" s="158" t="s">
        <v>6</v>
      </c>
      <c r="AI11" s="158" t="s">
        <v>7</v>
      </c>
      <c r="AJ11" s="158" t="s">
        <v>8</v>
      </c>
      <c r="AK11" s="158" t="s">
        <v>9</v>
      </c>
      <c r="AL11" s="158" t="s">
        <v>10</v>
      </c>
      <c r="AM11" s="158" t="s">
        <v>11</v>
      </c>
      <c r="AN11" s="158" t="s">
        <v>12</v>
      </c>
      <c r="AO11" s="158" t="s">
        <v>13</v>
      </c>
      <c r="AP11" s="158" t="s">
        <v>14</v>
      </c>
      <c r="AQ11" s="1066" t="s">
        <v>531</v>
      </c>
      <c r="AR11" s="1066" t="s">
        <v>63</v>
      </c>
      <c r="AS11" s="1245" t="s">
        <v>976</v>
      </c>
      <c r="AT11" s="1245" t="s">
        <v>536</v>
      </c>
      <c r="AU11" s="158" t="s">
        <v>3</v>
      </c>
      <c r="AV11" s="158" t="s">
        <v>4</v>
      </c>
      <c r="AW11" s="158" t="s">
        <v>5</v>
      </c>
      <c r="AX11" s="158" t="s">
        <v>6</v>
      </c>
      <c r="AY11" s="158" t="s">
        <v>7</v>
      </c>
      <c r="AZ11" s="158" t="s">
        <v>15</v>
      </c>
      <c r="BA11" s="159" t="s">
        <v>15</v>
      </c>
      <c r="BB11" s="158" t="s">
        <v>16</v>
      </c>
      <c r="BC11" s="1245" t="s">
        <v>1059</v>
      </c>
      <c r="BD11" s="1245" t="s">
        <v>536</v>
      </c>
      <c r="BE11" s="158" t="s">
        <v>8</v>
      </c>
      <c r="BF11" s="158" t="s">
        <v>9</v>
      </c>
      <c r="BG11" s="158" t="s">
        <v>10</v>
      </c>
      <c r="BH11" s="158" t="s">
        <v>11</v>
      </c>
      <c r="BI11" s="158" t="s">
        <v>12</v>
      </c>
      <c r="BJ11" s="158" t="s">
        <v>13</v>
      </c>
      <c r="BK11" s="158" t="s">
        <v>14</v>
      </c>
      <c r="BL11" s="1066" t="s">
        <v>989</v>
      </c>
      <c r="BM11" s="160" t="s">
        <v>63</v>
      </c>
      <c r="BN11" s="158" t="s">
        <v>3</v>
      </c>
      <c r="BO11" s="158" t="s">
        <v>4</v>
      </c>
      <c r="BP11" s="158" t="s">
        <v>5</v>
      </c>
      <c r="BQ11" s="158" t="s">
        <v>6</v>
      </c>
      <c r="BR11" s="158" t="s">
        <v>7</v>
      </c>
      <c r="BS11" s="158" t="s">
        <v>15</v>
      </c>
      <c r="BT11" s="159" t="s">
        <v>15</v>
      </c>
      <c r="BU11" s="158" t="s">
        <v>16</v>
      </c>
      <c r="BV11" s="1245" t="s">
        <v>1004</v>
      </c>
      <c r="BW11" s="1245" t="s">
        <v>536</v>
      </c>
      <c r="BX11" s="158" t="s">
        <v>8</v>
      </c>
      <c r="BY11" s="158" t="s">
        <v>9</v>
      </c>
      <c r="BZ11" s="158" t="s">
        <v>10</v>
      </c>
      <c r="CA11" s="158" t="s">
        <v>11</v>
      </c>
      <c r="CB11" s="158" t="s">
        <v>12</v>
      </c>
      <c r="CC11" s="158" t="s">
        <v>13</v>
      </c>
      <c r="CD11" s="158" t="s">
        <v>14</v>
      </c>
      <c r="CE11" s="1066" t="s">
        <v>1058</v>
      </c>
      <c r="CF11" s="1245" t="s">
        <v>1149</v>
      </c>
      <c r="CG11" s="158" t="s">
        <v>15</v>
      </c>
      <c r="CH11" s="159" t="s">
        <v>15</v>
      </c>
      <c r="CI11" s="158" t="s">
        <v>16</v>
      </c>
      <c r="CJ11" s="1245" t="s">
        <v>1124</v>
      </c>
      <c r="CK11" s="1245" t="s">
        <v>536</v>
      </c>
      <c r="CL11" s="158" t="s">
        <v>8</v>
      </c>
      <c r="CM11" s="158" t="s">
        <v>9</v>
      </c>
      <c r="CN11" s="158" t="s">
        <v>10</v>
      </c>
      <c r="CO11" s="158" t="s">
        <v>11</v>
      </c>
      <c r="CP11" s="158" t="s">
        <v>12</v>
      </c>
      <c r="CQ11" s="158" t="s">
        <v>13</v>
      </c>
      <c r="CR11" s="158" t="s">
        <v>14</v>
      </c>
      <c r="CS11" s="1247" t="s">
        <v>1144</v>
      </c>
      <c r="CT11" s="160" t="s">
        <v>63</v>
      </c>
      <c r="CU11" s="158" t="s">
        <v>3</v>
      </c>
      <c r="CV11" s="158" t="s">
        <v>4</v>
      </c>
      <c r="CW11" s="158" t="s">
        <v>5</v>
      </c>
      <c r="CX11" s="158" t="s">
        <v>6</v>
      </c>
      <c r="CY11" s="158" t="s">
        <v>7</v>
      </c>
      <c r="CZ11" s="1247" t="s">
        <v>1252</v>
      </c>
      <c r="DA11" s="1247" t="s">
        <v>1253</v>
      </c>
      <c r="DB11" s="158" t="s">
        <v>15</v>
      </c>
      <c r="DC11" s="159" t="s">
        <v>15</v>
      </c>
      <c r="DD11" s="158" t="s">
        <v>16</v>
      </c>
      <c r="DE11" s="1245" t="s">
        <v>1270</v>
      </c>
      <c r="DF11" s="1245" t="s">
        <v>536</v>
      </c>
      <c r="DG11" s="158" t="s">
        <v>8</v>
      </c>
      <c r="DH11" s="158" t="s">
        <v>9</v>
      </c>
      <c r="DI11" s="158" t="s">
        <v>10</v>
      </c>
      <c r="DJ11" s="158" t="s">
        <v>11</v>
      </c>
      <c r="DK11" s="158" t="s">
        <v>12</v>
      </c>
      <c r="DL11" s="158" t="s">
        <v>13</v>
      </c>
      <c r="DM11" s="158" t="s">
        <v>14</v>
      </c>
      <c r="DN11" s="158" t="s">
        <v>3</v>
      </c>
      <c r="DO11" s="158" t="s">
        <v>4</v>
      </c>
      <c r="DP11" s="158" t="s">
        <v>5</v>
      </c>
      <c r="DQ11" s="158" t="s">
        <v>6</v>
      </c>
      <c r="DR11" s="158" t="s">
        <v>7</v>
      </c>
      <c r="DS11" s="158" t="s">
        <v>8</v>
      </c>
      <c r="DT11" s="158" t="s">
        <v>9</v>
      </c>
      <c r="DU11" s="158" t="s">
        <v>10</v>
      </c>
      <c r="DV11" s="158" t="s">
        <v>11</v>
      </c>
      <c r="DW11" s="158" t="s">
        <v>12</v>
      </c>
      <c r="DX11" s="158" t="s">
        <v>13</v>
      </c>
      <c r="DY11" s="1247" t="s">
        <v>1274</v>
      </c>
      <c r="DZ11" s="1247" t="s">
        <v>1263</v>
      </c>
    </row>
    <row r="12" spans="1:130" ht="32.25" customHeight="1" x14ac:dyDescent="0.25">
      <c r="A12" s="1262"/>
      <c r="B12" s="1262"/>
      <c r="C12" s="161" t="s">
        <v>348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43100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1072"/>
      <c r="V12" s="1267"/>
      <c r="W12" s="1074" t="s">
        <v>570</v>
      </c>
      <c r="X12" s="1269">
        <v>41639</v>
      </c>
      <c r="Y12" s="1246"/>
      <c r="Z12" s="162" t="s">
        <v>20</v>
      </c>
      <c r="AA12" s="163" t="s">
        <v>21</v>
      </c>
      <c r="AB12" s="162" t="s">
        <v>22</v>
      </c>
      <c r="AC12" s="1246"/>
      <c r="AD12" s="1246"/>
      <c r="AE12" s="162">
        <v>2015</v>
      </c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>
        <v>2015</v>
      </c>
      <c r="AQ12" s="162">
        <v>2015</v>
      </c>
      <c r="AR12" s="162" t="s">
        <v>64</v>
      </c>
      <c r="AS12" s="1265"/>
      <c r="AT12" s="1265"/>
      <c r="AU12" s="430">
        <v>2016</v>
      </c>
      <c r="AV12" s="430">
        <v>2016</v>
      </c>
      <c r="AW12" s="430">
        <v>2016</v>
      </c>
      <c r="AX12" s="430">
        <v>2016</v>
      </c>
      <c r="AY12" s="430">
        <v>2016</v>
      </c>
      <c r="AZ12" s="162" t="s">
        <v>20</v>
      </c>
      <c r="BA12" s="163" t="s">
        <v>21</v>
      </c>
      <c r="BB12" s="162" t="s">
        <v>22</v>
      </c>
      <c r="BC12" s="1246"/>
      <c r="BD12" s="1246"/>
      <c r="BE12" s="430">
        <v>2016</v>
      </c>
      <c r="BF12" s="430">
        <v>2016</v>
      </c>
      <c r="BG12" s="430">
        <v>2016</v>
      </c>
      <c r="BH12" s="430">
        <v>2016</v>
      </c>
      <c r="BI12" s="430">
        <v>2016</v>
      </c>
      <c r="BJ12" s="430">
        <v>2016</v>
      </c>
      <c r="BK12" s="430">
        <v>2016</v>
      </c>
      <c r="BL12" s="162">
        <v>2016</v>
      </c>
      <c r="BM12" s="162" t="s">
        <v>64</v>
      </c>
      <c r="BN12" s="430">
        <v>2017</v>
      </c>
      <c r="BO12" s="430">
        <v>2017</v>
      </c>
      <c r="BP12" s="430">
        <v>2017</v>
      </c>
      <c r="BQ12" s="430">
        <v>2017</v>
      </c>
      <c r="BR12" s="430">
        <v>2017</v>
      </c>
      <c r="BS12" s="162" t="s">
        <v>20</v>
      </c>
      <c r="BT12" s="163" t="s">
        <v>21</v>
      </c>
      <c r="BU12" s="162" t="s">
        <v>22</v>
      </c>
      <c r="BV12" s="1246"/>
      <c r="BW12" s="1246"/>
      <c r="BX12" s="430">
        <v>2017</v>
      </c>
      <c r="BY12" s="430">
        <v>2017</v>
      </c>
      <c r="BZ12" s="430">
        <v>2017</v>
      </c>
      <c r="CA12" s="430">
        <v>2017</v>
      </c>
      <c r="CB12" s="430">
        <v>2017</v>
      </c>
      <c r="CC12" s="430">
        <v>2017</v>
      </c>
      <c r="CD12" s="430">
        <v>2017</v>
      </c>
      <c r="CE12" s="162">
        <v>2017</v>
      </c>
      <c r="CF12" s="1246"/>
      <c r="CG12" s="162" t="s">
        <v>20</v>
      </c>
      <c r="CH12" s="163" t="s">
        <v>21</v>
      </c>
      <c r="CI12" s="162" t="s">
        <v>22</v>
      </c>
      <c r="CJ12" s="1246"/>
      <c r="CK12" s="1246"/>
      <c r="CL12" s="430">
        <v>2017</v>
      </c>
      <c r="CM12" s="430">
        <v>2017</v>
      </c>
      <c r="CN12" s="430">
        <v>2017</v>
      </c>
      <c r="CO12" s="430">
        <v>2017</v>
      </c>
      <c r="CP12" s="430">
        <v>2017</v>
      </c>
      <c r="CQ12" s="430">
        <v>2017</v>
      </c>
      <c r="CR12" s="430">
        <v>2017</v>
      </c>
      <c r="CS12" s="1248"/>
      <c r="CT12" s="162" t="s">
        <v>64</v>
      </c>
      <c r="CU12" s="162">
        <v>2018</v>
      </c>
      <c r="CV12" s="162">
        <v>2018</v>
      </c>
      <c r="CW12" s="162">
        <v>2018</v>
      </c>
      <c r="CX12" s="162">
        <v>2018</v>
      </c>
      <c r="CY12" s="162">
        <v>2018</v>
      </c>
      <c r="CZ12" s="1248"/>
      <c r="DA12" s="1248"/>
      <c r="DB12" s="162" t="s">
        <v>20</v>
      </c>
      <c r="DC12" s="163" t="s">
        <v>21</v>
      </c>
      <c r="DD12" s="162" t="s">
        <v>22</v>
      </c>
      <c r="DE12" s="1246"/>
      <c r="DF12" s="1246"/>
      <c r="DG12" s="162">
        <v>2018</v>
      </c>
      <c r="DH12" s="162">
        <v>2018</v>
      </c>
      <c r="DI12" s="162">
        <v>2018</v>
      </c>
      <c r="DJ12" s="162">
        <v>2018</v>
      </c>
      <c r="DK12" s="162">
        <v>2018</v>
      </c>
      <c r="DL12" s="162">
        <v>2018</v>
      </c>
      <c r="DM12" s="162">
        <v>2018</v>
      </c>
      <c r="DN12" s="162">
        <v>2019</v>
      </c>
      <c r="DO12" s="162">
        <v>2019</v>
      </c>
      <c r="DP12" s="162">
        <v>2019</v>
      </c>
      <c r="DQ12" s="162">
        <v>2019</v>
      </c>
      <c r="DR12" s="162">
        <v>2019</v>
      </c>
      <c r="DS12" s="162">
        <v>2019</v>
      </c>
      <c r="DT12" s="162">
        <v>2019</v>
      </c>
      <c r="DU12" s="162">
        <v>2019</v>
      </c>
      <c r="DV12" s="162">
        <v>2019</v>
      </c>
      <c r="DW12" s="162">
        <v>2019</v>
      </c>
      <c r="DX12" s="162">
        <v>2019</v>
      </c>
      <c r="DY12" s="1248"/>
      <c r="DZ12" s="1248"/>
    </row>
    <row r="13" spans="1:130" s="16" customFormat="1" ht="13.5" x14ac:dyDescent="0.25">
      <c r="A13" s="28"/>
      <c r="B13" s="11"/>
      <c r="C13" s="45"/>
      <c r="D13" s="111"/>
      <c r="E13" s="130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19"/>
      <c r="S13" s="119"/>
      <c r="T13" s="134"/>
      <c r="U13" s="134"/>
      <c r="V13" s="134"/>
      <c r="W13" s="134"/>
      <c r="X13" s="108"/>
      <c r="Y13" s="66"/>
      <c r="Z13" s="66"/>
      <c r="AA13" s="81"/>
      <c r="AB13" s="66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73"/>
      <c r="AS13" s="32"/>
      <c r="AT13" s="32"/>
      <c r="AU13" s="32"/>
      <c r="AV13" s="32"/>
      <c r="AW13" s="32"/>
      <c r="AX13" s="32"/>
      <c r="AY13" s="32"/>
      <c r="AZ13" s="66"/>
      <c r="BA13" s="81"/>
      <c r="BB13" s="66"/>
      <c r="BC13" s="65"/>
      <c r="BD13" s="65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66"/>
      <c r="BT13" s="81"/>
      <c r="BU13" s="66"/>
      <c r="BV13" s="65"/>
      <c r="BW13" s="65"/>
      <c r="BX13" s="32"/>
      <c r="BY13" s="32"/>
      <c r="BZ13" s="32"/>
      <c r="CA13" s="32"/>
      <c r="CB13" s="32"/>
      <c r="CC13" s="32"/>
      <c r="CD13" s="32"/>
      <c r="CE13" s="32"/>
      <c r="CF13" s="32"/>
      <c r="CG13" s="66"/>
      <c r="CH13" s="81"/>
      <c r="CI13" s="66"/>
      <c r="CJ13" s="65"/>
      <c r="CK13" s="65"/>
      <c r="CL13" s="32"/>
      <c r="CM13" s="32"/>
      <c r="CN13" s="32"/>
      <c r="CO13" s="32"/>
      <c r="CP13" s="32"/>
      <c r="CQ13" s="32"/>
      <c r="CR13" s="32"/>
      <c r="CS13" s="32"/>
      <c r="CT13" s="32"/>
      <c r="CU13" s="968"/>
      <c r="CV13" s="968"/>
      <c r="CW13" s="968"/>
      <c r="CX13" s="968"/>
      <c r="CY13" s="505"/>
      <c r="CZ13" s="505"/>
      <c r="DA13" s="50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</row>
    <row r="14" spans="1:130" s="16" customFormat="1" x14ac:dyDescent="0.2">
      <c r="A14" s="120" t="s">
        <v>65</v>
      </c>
      <c r="B14" s="120" t="s">
        <v>24</v>
      </c>
      <c r="C14" s="124"/>
      <c r="D14" s="8"/>
      <c r="E14" s="130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19"/>
      <c r="S14" s="119"/>
      <c r="T14" s="134"/>
      <c r="U14" s="134"/>
      <c r="V14" s="134"/>
      <c r="W14" s="134"/>
      <c r="X14" s="108"/>
      <c r="Y14" s="66"/>
      <c r="Z14" s="66"/>
      <c r="AA14" s="112"/>
      <c r="AB14" s="66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73"/>
      <c r="AS14" s="32"/>
      <c r="AT14" s="32"/>
      <c r="AU14" s="32"/>
      <c r="AV14" s="32"/>
      <c r="AW14" s="32"/>
      <c r="AX14" s="32"/>
      <c r="AY14" s="32"/>
      <c r="AZ14" s="66"/>
      <c r="BA14" s="112"/>
      <c r="BB14" s="66"/>
      <c r="BC14" s="65"/>
      <c r="BD14" s="65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66"/>
      <c r="BT14" s="112"/>
      <c r="BU14" s="66"/>
      <c r="BV14" s="65"/>
      <c r="BW14" s="65"/>
      <c r="BX14" s="32"/>
      <c r="BY14" s="32"/>
      <c r="BZ14" s="32"/>
      <c r="CA14" s="32"/>
      <c r="CB14" s="32"/>
      <c r="CC14" s="32"/>
      <c r="CD14" s="32"/>
      <c r="CE14" s="32"/>
      <c r="CF14" s="32"/>
      <c r="CG14" s="66"/>
      <c r="CH14" s="112"/>
      <c r="CI14" s="66"/>
      <c r="CJ14" s="65"/>
      <c r="CK14" s="65"/>
      <c r="CL14" s="32"/>
      <c r="CM14" s="32"/>
      <c r="CN14" s="32"/>
      <c r="CO14" s="32"/>
      <c r="CP14" s="32"/>
      <c r="CQ14" s="32"/>
      <c r="CR14" s="32"/>
      <c r="CS14" s="32"/>
      <c r="CT14" s="32"/>
      <c r="CU14" s="968"/>
      <c r="CV14" s="968"/>
      <c r="CW14" s="968"/>
      <c r="CX14" s="968"/>
      <c r="CY14" s="505"/>
      <c r="CZ14" s="505"/>
      <c r="DA14" s="50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</row>
    <row r="15" spans="1:130" s="16" customFormat="1" x14ac:dyDescent="0.2">
      <c r="A15" s="120" t="s">
        <v>66</v>
      </c>
      <c r="B15" s="126"/>
      <c r="C15" s="45"/>
      <c r="D15" s="58"/>
      <c r="E15" s="127"/>
      <c r="F15" s="46"/>
      <c r="G15" s="58"/>
      <c r="H15" s="145"/>
      <c r="I15" s="165"/>
      <c r="J15" s="48"/>
      <c r="K15" s="165"/>
      <c r="L15" s="48"/>
      <c r="M15" s="165"/>
      <c r="N15" s="48"/>
      <c r="O15" s="165"/>
      <c r="P15" s="48"/>
      <c r="Q15" s="46"/>
      <c r="R15" s="46"/>
      <c r="S15" s="128"/>
      <c r="T15" s="129"/>
      <c r="U15" s="1081"/>
      <c r="V15" s="776"/>
      <c r="W15" s="47"/>
      <c r="X15" s="106"/>
      <c r="Y15" s="165"/>
      <c r="Z15" s="57"/>
      <c r="AA15" s="80"/>
      <c r="AB15" s="57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72"/>
      <c r="AS15" s="431"/>
      <c r="AT15" s="32"/>
      <c r="AU15" s="32"/>
      <c r="AV15" s="32"/>
      <c r="AW15" s="32"/>
      <c r="AX15" s="32"/>
      <c r="AY15" s="32"/>
      <c r="AZ15" s="57"/>
      <c r="BA15" s="80"/>
      <c r="BB15" s="57"/>
      <c r="BC15" s="55"/>
      <c r="BD15" s="55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57"/>
      <c r="BT15" s="80"/>
      <c r="BU15" s="57"/>
      <c r="BV15" s="55"/>
      <c r="BW15" s="55"/>
      <c r="BX15" s="32"/>
      <c r="BY15" s="32"/>
      <c r="BZ15" s="32"/>
      <c r="CA15" s="32"/>
      <c r="CB15" s="32"/>
      <c r="CC15" s="32"/>
      <c r="CD15" s="32"/>
      <c r="CE15" s="32"/>
      <c r="CF15" s="32"/>
      <c r="CG15" s="57"/>
      <c r="CH15" s="80"/>
      <c r="CI15" s="57"/>
      <c r="CJ15" s="55"/>
      <c r="CK15" s="55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505"/>
      <c r="DA15" s="679"/>
      <c r="DB15" s="956"/>
      <c r="DC15" s="957"/>
      <c r="DD15" s="957"/>
      <c r="DE15" s="511"/>
      <c r="DF15" s="511"/>
      <c r="DG15" s="511"/>
      <c r="DH15" s="511"/>
      <c r="DI15" s="511"/>
      <c r="DJ15" s="511"/>
      <c r="DK15" s="511"/>
      <c r="DL15" s="511"/>
      <c r="DM15" s="511"/>
      <c r="DN15" s="511"/>
      <c r="DO15" s="511"/>
      <c r="DP15" s="511"/>
      <c r="DQ15" s="511"/>
      <c r="DR15" s="511"/>
      <c r="DS15" s="511"/>
      <c r="DT15" s="511"/>
      <c r="DU15" s="511"/>
      <c r="DV15" s="511"/>
      <c r="DW15" s="511"/>
      <c r="DX15" s="511"/>
      <c r="DY15" s="511"/>
      <c r="DZ15" s="756"/>
    </row>
    <row r="16" spans="1:130" s="16" customFormat="1" x14ac:dyDescent="0.2">
      <c r="A16" s="119" t="s">
        <v>155</v>
      </c>
      <c r="B16" s="100" t="s">
        <v>53</v>
      </c>
      <c r="C16" s="45" t="s">
        <v>349</v>
      </c>
      <c r="D16" s="58">
        <v>3</v>
      </c>
      <c r="E16" s="127">
        <v>0.33329999999999999</v>
      </c>
      <c r="F16" s="46">
        <v>43281</v>
      </c>
      <c r="G16" s="58">
        <v>36</v>
      </c>
      <c r="H16" s="145">
        <f>100/G16</f>
        <v>2.7777777777777777</v>
      </c>
      <c r="I16" s="165">
        <f>H16*J16</f>
        <v>172.22222222222223</v>
      </c>
      <c r="J16" s="48">
        <f>(YEAR(F16)-YEAR(S16))*12+MONTH(F16)-MONTH(S16)</f>
        <v>62</v>
      </c>
      <c r="K16" s="165">
        <f>L16*H16</f>
        <v>-72.222222222222214</v>
      </c>
      <c r="L16" s="48">
        <f>G16-J16</f>
        <v>-26</v>
      </c>
      <c r="M16" s="165">
        <f>N16*H16</f>
        <v>19.444444444444443</v>
      </c>
      <c r="N16" s="48">
        <v>7</v>
      </c>
      <c r="O16" s="165">
        <f t="shared" ref="O16:P18" si="0">K16-M16</f>
        <v>-91.666666666666657</v>
      </c>
      <c r="P16" s="48">
        <f t="shared" si="0"/>
        <v>-33</v>
      </c>
      <c r="Q16" s="462">
        <f>DATE(YEAR(S16),MONTH(S16)+G16,DAY(S16))</f>
        <v>42461</v>
      </c>
      <c r="R16" s="46" t="s">
        <v>445</v>
      </c>
      <c r="S16" s="128">
        <v>41365</v>
      </c>
      <c r="T16" s="7">
        <v>349</v>
      </c>
      <c r="U16" s="1081"/>
      <c r="V16" s="776">
        <v>97.01</v>
      </c>
      <c r="W16" s="47"/>
      <c r="X16" s="106">
        <v>48.45</v>
      </c>
      <c r="Y16" s="165">
        <v>0</v>
      </c>
      <c r="Z16" s="57">
        <v>115.958</v>
      </c>
      <c r="AA16" s="57">
        <v>109.074</v>
      </c>
      <c r="AB16" s="57">
        <f>Z16/AA16</f>
        <v>1.0631131158662925</v>
      </c>
      <c r="AC16" s="55">
        <f>V16*M16/100/K16*100/7</f>
        <v>-3.7311538461538469</v>
      </c>
      <c r="AD16" s="55">
        <f>AC16*AB16</f>
        <v>-3.9666385911611175</v>
      </c>
      <c r="AE16" s="55"/>
      <c r="AF16" s="55"/>
      <c r="AG16" s="55"/>
      <c r="AH16" s="55"/>
      <c r="AI16" s="55"/>
      <c r="AJ16" s="55">
        <f>AD16</f>
        <v>-3.9666385911611175</v>
      </c>
      <c r="AK16" s="55">
        <v>1.097155355002011</v>
      </c>
      <c r="AL16" s="55">
        <v>1.097155355002011</v>
      </c>
      <c r="AM16" s="55">
        <v>1.097155355002011</v>
      </c>
      <c r="AN16" s="55">
        <v>1.097155355002011</v>
      </c>
      <c r="AO16" s="55">
        <v>1.097155355002011</v>
      </c>
      <c r="AP16" s="55">
        <v>1.097155355002011</v>
      </c>
      <c r="AQ16" s="55">
        <f>SUM(AE16:AP16)+X16</f>
        <v>51.06629353885095</v>
      </c>
      <c r="AR16" s="72">
        <f>V16-AQ16</f>
        <v>45.943706461149056</v>
      </c>
      <c r="AS16" s="32"/>
      <c r="AT16" s="32"/>
      <c r="AU16" s="429">
        <f>$AP16</f>
        <v>1.097155355002011</v>
      </c>
      <c r="AV16" s="429">
        <f>$AP16</f>
        <v>1.097155355002011</v>
      </c>
      <c r="AW16" s="429">
        <f>$AP16</f>
        <v>1.097155355002011</v>
      </c>
      <c r="AX16" s="429">
        <f>$AP16</f>
        <v>1.097155355002011</v>
      </c>
      <c r="AY16" s="429">
        <f>$AP16</f>
        <v>1.097155355002011</v>
      </c>
      <c r="AZ16" s="57">
        <v>118.901</v>
      </c>
      <c r="BA16" s="57">
        <v>109.074</v>
      </c>
      <c r="BB16" s="57">
        <f>AZ16/BA16</f>
        <v>1.0900947980270275</v>
      </c>
      <c r="BC16" s="55">
        <f>T16/(D16*12)</f>
        <v>9.6944444444444446</v>
      </c>
      <c r="BD16" s="55">
        <f>BC16*BB16</f>
        <v>10.567863458650905</v>
      </c>
      <c r="BE16" s="429">
        <f t="shared" ref="BE16:BG18" si="1">$BD16</f>
        <v>10.567863458650905</v>
      </c>
      <c r="BF16" s="429">
        <f t="shared" si="1"/>
        <v>10.567863458650905</v>
      </c>
      <c r="BG16" s="429">
        <f t="shared" si="1"/>
        <v>10.567863458650905</v>
      </c>
      <c r="BH16" s="429">
        <v>2.69</v>
      </c>
      <c r="BI16" s="32"/>
      <c r="BJ16" s="32"/>
      <c r="BK16" s="32"/>
      <c r="BL16" s="429">
        <f>SUM((AU16:AY16),(BE16:BK16))</f>
        <v>39.879367150962764</v>
      </c>
      <c r="BM16" s="439">
        <f>(AR16-BL16)</f>
        <v>6.0643393101862912</v>
      </c>
      <c r="BN16" s="32"/>
      <c r="BO16" s="32"/>
      <c r="BP16" s="32"/>
      <c r="BQ16" s="32"/>
      <c r="BR16" s="32"/>
      <c r="BS16" s="57">
        <v>118.901</v>
      </c>
      <c r="BT16" s="57">
        <v>109.074</v>
      </c>
      <c r="BU16" s="57">
        <f>BS16/BT16</f>
        <v>1.0900947980270275</v>
      </c>
      <c r="BV16" s="55"/>
      <c r="BW16" s="55"/>
      <c r="BX16" s="429"/>
      <c r="BY16" s="429"/>
      <c r="BZ16" s="429"/>
      <c r="CA16" s="429"/>
      <c r="CB16" s="32"/>
      <c r="CC16" s="32"/>
      <c r="CD16" s="32"/>
      <c r="CE16" s="429">
        <f>SUM((BN16:BR16),(BX16:CD16))</f>
        <v>0</v>
      </c>
      <c r="CF16" s="439">
        <v>1</v>
      </c>
      <c r="CG16" s="57"/>
      <c r="CH16" s="57">
        <v>109.074</v>
      </c>
      <c r="CI16" s="57">
        <f>CG16/CH16</f>
        <v>0</v>
      </c>
      <c r="CJ16" s="55">
        <f>BA16/(AK16*12)</f>
        <v>8.284606148582613</v>
      </c>
      <c r="CK16" s="55">
        <f>CJ16*CI16</f>
        <v>0</v>
      </c>
      <c r="CL16" s="429"/>
      <c r="CM16" s="429"/>
      <c r="CN16" s="429"/>
      <c r="CO16" s="429"/>
      <c r="CP16" s="429"/>
      <c r="CQ16" s="429"/>
      <c r="CR16" s="429"/>
      <c r="CS16" s="429"/>
      <c r="CT16" s="439">
        <f>CF16-CS16</f>
        <v>1</v>
      </c>
      <c r="CU16" s="429"/>
      <c r="CV16" s="429"/>
      <c r="CW16" s="429"/>
      <c r="CX16" s="429"/>
      <c r="CY16" s="429"/>
      <c r="CZ16" s="505">
        <f t="shared" ref="CZ16:CZ32" si="2">SUM(CU16:CY16)</f>
        <v>0</v>
      </c>
      <c r="DA16" s="679">
        <f t="shared" ref="DA16:DA32" si="3">CT16-CZ16</f>
        <v>1</v>
      </c>
      <c r="DB16" s="956">
        <v>132.28200000000001</v>
      </c>
      <c r="DC16" s="656">
        <v>109.074</v>
      </c>
      <c r="DD16" s="957">
        <f t="shared" ref="DD16:DD32" si="4">DB16/DC16</f>
        <v>1.2127729798118709</v>
      </c>
      <c r="DE16" s="511">
        <v>0</v>
      </c>
      <c r="DF16" s="511">
        <f t="shared" ref="DF16:DF32" si="5">DE16*DD16</f>
        <v>0</v>
      </c>
      <c r="DG16" s="511">
        <v>0</v>
      </c>
      <c r="DH16" s="511">
        <v>0</v>
      </c>
      <c r="DI16" s="511">
        <v>0</v>
      </c>
      <c r="DJ16" s="511">
        <v>0</v>
      </c>
      <c r="DK16" s="511">
        <v>0</v>
      </c>
      <c r="DL16" s="511">
        <v>0</v>
      </c>
      <c r="DM16" s="511">
        <v>0</v>
      </c>
      <c r="DN16" s="511">
        <v>0</v>
      </c>
      <c r="DO16" s="511">
        <v>0</v>
      </c>
      <c r="DP16" s="511">
        <v>0</v>
      </c>
      <c r="DQ16" s="511">
        <v>0</v>
      </c>
      <c r="DR16" s="511">
        <v>0</v>
      </c>
      <c r="DS16" s="511">
        <v>0</v>
      </c>
      <c r="DT16" s="511">
        <v>0</v>
      </c>
      <c r="DU16" s="511">
        <v>0</v>
      </c>
      <c r="DV16" s="511">
        <v>0</v>
      </c>
      <c r="DW16" s="511">
        <v>0</v>
      </c>
      <c r="DX16" s="511">
        <v>0</v>
      </c>
      <c r="DY16" s="511">
        <f ca="1">SUM(DG16:DRS16)</f>
        <v>0</v>
      </c>
      <c r="DZ16" s="756">
        <f ca="1">DA16-DY16</f>
        <v>1</v>
      </c>
    </row>
    <row r="17" spans="1:130" s="16" customFormat="1" x14ac:dyDescent="0.2">
      <c r="A17" s="119" t="s">
        <v>155</v>
      </c>
      <c r="B17" s="100" t="s">
        <v>51</v>
      </c>
      <c r="C17" s="45" t="s">
        <v>349</v>
      </c>
      <c r="D17" s="58">
        <v>3</v>
      </c>
      <c r="E17" s="127">
        <v>0.33329999999999999</v>
      </c>
      <c r="F17" s="46">
        <v>43281</v>
      </c>
      <c r="G17" s="58">
        <v>36</v>
      </c>
      <c r="H17" s="145">
        <f>100/G17</f>
        <v>2.7777777777777777</v>
      </c>
      <c r="I17" s="165">
        <f>H17*J17</f>
        <v>150</v>
      </c>
      <c r="J17" s="48">
        <f t="shared" ref="J17:J18" si="6">(YEAR(F17)-YEAR(S17))*12+MONTH(F17)-MONTH(S17)</f>
        <v>54</v>
      </c>
      <c r="K17" s="165">
        <f>L17*H17</f>
        <v>-50</v>
      </c>
      <c r="L17" s="48">
        <f>G17-J17</f>
        <v>-18</v>
      </c>
      <c r="M17" s="165">
        <f>N17*H17</f>
        <v>19.444444444444443</v>
      </c>
      <c r="N17" s="48">
        <v>7</v>
      </c>
      <c r="O17" s="165">
        <f t="shared" si="0"/>
        <v>-69.444444444444443</v>
      </c>
      <c r="P17" s="48">
        <f t="shared" si="0"/>
        <v>-25</v>
      </c>
      <c r="Q17" s="462">
        <f>DATE(YEAR(S17),MONTH(S17)+G17,DAY(S17))</f>
        <v>42705</v>
      </c>
      <c r="R17" s="46" t="s">
        <v>445</v>
      </c>
      <c r="S17" s="128">
        <v>41609</v>
      </c>
      <c r="T17" s="251">
        <v>2199</v>
      </c>
      <c r="U17" s="1081"/>
      <c r="V17" s="776">
        <v>1099.58</v>
      </c>
      <c r="W17" s="47"/>
      <c r="X17" s="106">
        <v>305.39999999999998</v>
      </c>
      <c r="Y17" s="165">
        <v>0</v>
      </c>
      <c r="Z17" s="57">
        <v>115.958</v>
      </c>
      <c r="AA17" s="139">
        <v>111.508</v>
      </c>
      <c r="AB17" s="57">
        <f>Z17/AA17</f>
        <v>1.0399074505865051</v>
      </c>
      <c r="AC17" s="55">
        <f>V17*M17/100/K17*100/7</f>
        <v>-61.087777777777767</v>
      </c>
      <c r="AD17" s="55">
        <f>AC17*AB17</f>
        <v>-63.525635250883838</v>
      </c>
      <c r="AE17" s="55"/>
      <c r="AF17" s="55"/>
      <c r="AG17" s="55"/>
      <c r="AH17" s="55"/>
      <c r="AI17" s="55"/>
      <c r="AJ17" s="55">
        <f>AD17</f>
        <v>-63.525635250883838</v>
      </c>
      <c r="AK17" s="55">
        <v>11.210406220744209</v>
      </c>
      <c r="AL17" s="55">
        <v>11.210406220744209</v>
      </c>
      <c r="AM17" s="55">
        <v>11.210406220744209</v>
      </c>
      <c r="AN17" s="55">
        <v>11.210406220744209</v>
      </c>
      <c r="AO17" s="55">
        <v>11.210406220744209</v>
      </c>
      <c r="AP17" s="55">
        <v>11.210406220744209</v>
      </c>
      <c r="AQ17" s="55">
        <f>SUM(AE17:AP17)+X17</f>
        <v>309.13680207358141</v>
      </c>
      <c r="AR17" s="72">
        <f>V17-AQ17</f>
        <v>790.44319792641852</v>
      </c>
      <c r="AS17" s="32"/>
      <c r="AT17" s="32"/>
      <c r="AU17" s="429">
        <f t="shared" ref="AU17:AY32" si="7">$AP17</f>
        <v>11.210406220744209</v>
      </c>
      <c r="AV17" s="429">
        <f t="shared" si="7"/>
        <v>11.210406220744209</v>
      </c>
      <c r="AW17" s="429">
        <f t="shared" si="7"/>
        <v>11.210406220744209</v>
      </c>
      <c r="AX17" s="429">
        <f t="shared" si="7"/>
        <v>11.210406220744209</v>
      </c>
      <c r="AY17" s="429">
        <f t="shared" si="7"/>
        <v>11.210406220744209</v>
      </c>
      <c r="AZ17" s="57">
        <v>118.901</v>
      </c>
      <c r="BA17" s="139">
        <v>111.508</v>
      </c>
      <c r="BB17" s="57">
        <f>AZ17/BA17</f>
        <v>1.066300175772142</v>
      </c>
      <c r="BC17" s="55">
        <f>T17/(D17*12)</f>
        <v>61.083333333333336</v>
      </c>
      <c r="BD17" s="55">
        <f>BC17*BB17</f>
        <v>65.133169070081678</v>
      </c>
      <c r="BE17" s="429">
        <f t="shared" si="1"/>
        <v>65.133169070081678</v>
      </c>
      <c r="BF17" s="429">
        <f t="shared" si="1"/>
        <v>65.133169070081678</v>
      </c>
      <c r="BG17" s="429">
        <f t="shared" si="1"/>
        <v>65.133169070081678</v>
      </c>
      <c r="BH17" s="429">
        <f>$BD17</f>
        <v>65.133169070081678</v>
      </c>
      <c r="BI17" s="32">
        <v>65.13</v>
      </c>
      <c r="BJ17" s="32">
        <v>65.13</v>
      </c>
      <c r="BK17" s="32">
        <v>65.13</v>
      </c>
      <c r="BL17" s="429">
        <f>SUM((AU17:AY17),(BE17:BK17))</f>
        <v>511.97470738404775</v>
      </c>
      <c r="BM17" s="439">
        <f>(AR17-BL17)</f>
        <v>278.46849054237077</v>
      </c>
      <c r="BN17" s="32">
        <v>65.13</v>
      </c>
      <c r="BO17" s="32">
        <v>65.13</v>
      </c>
      <c r="BP17" s="32">
        <v>65.13</v>
      </c>
      <c r="BQ17" s="32">
        <v>7.34</v>
      </c>
      <c r="BR17" s="429">
        <v>0</v>
      </c>
      <c r="BS17" s="57">
        <v>118.901</v>
      </c>
      <c r="BT17" s="139">
        <v>111.508</v>
      </c>
      <c r="BU17" s="57">
        <f>BS17/BT17</f>
        <v>1.066300175772142</v>
      </c>
      <c r="BV17" s="55"/>
      <c r="BW17" s="55"/>
      <c r="BX17" s="429"/>
      <c r="BY17" s="429"/>
      <c r="BZ17" s="429"/>
      <c r="CA17" s="429"/>
      <c r="CB17" s="32"/>
      <c r="CC17" s="32"/>
      <c r="CD17" s="32"/>
      <c r="CE17" s="429">
        <f>SUM((BN17:BR17),(BX17:CD17))</f>
        <v>202.73</v>
      </c>
      <c r="CF17" s="439">
        <v>1</v>
      </c>
      <c r="CG17" s="57"/>
      <c r="CH17" s="139">
        <v>111.508</v>
      </c>
      <c r="CI17" s="57">
        <f>CG17/CH17</f>
        <v>0</v>
      </c>
      <c r="CJ17" s="55">
        <f>BA17/(AK17*12)</f>
        <v>0.82890246351094821</v>
      </c>
      <c r="CK17" s="55">
        <f>CJ17*CI17</f>
        <v>0</v>
      </c>
      <c r="CL17" s="429"/>
      <c r="CM17" s="429"/>
      <c r="CN17" s="429"/>
      <c r="CO17" s="429"/>
      <c r="CP17" s="429"/>
      <c r="CQ17" s="429"/>
      <c r="CR17" s="429"/>
      <c r="CS17" s="429"/>
      <c r="CT17" s="439">
        <f>CF17-CS17</f>
        <v>1</v>
      </c>
      <c r="CU17" s="429"/>
      <c r="CV17" s="429"/>
      <c r="CW17" s="429"/>
      <c r="CX17" s="429"/>
      <c r="CY17" s="429"/>
      <c r="CZ17" s="505">
        <f t="shared" si="2"/>
        <v>0</v>
      </c>
      <c r="DA17" s="679">
        <f t="shared" si="3"/>
        <v>1</v>
      </c>
      <c r="DB17" s="956">
        <v>132.28200000000001</v>
      </c>
      <c r="DC17" s="1082">
        <v>111.508</v>
      </c>
      <c r="DD17" s="957">
        <f t="shared" si="4"/>
        <v>1.1863005344907991</v>
      </c>
      <c r="DE17" s="511">
        <v>0</v>
      </c>
      <c r="DF17" s="511">
        <f t="shared" si="5"/>
        <v>0</v>
      </c>
      <c r="DG17" s="511">
        <v>0</v>
      </c>
      <c r="DH17" s="511">
        <v>0</v>
      </c>
      <c r="DI17" s="511">
        <v>0</v>
      </c>
      <c r="DJ17" s="511">
        <v>0</v>
      </c>
      <c r="DK17" s="511">
        <v>0</v>
      </c>
      <c r="DL17" s="511">
        <v>0</v>
      </c>
      <c r="DM17" s="511">
        <v>0</v>
      </c>
      <c r="DN17" s="511">
        <v>0</v>
      </c>
      <c r="DO17" s="511">
        <v>0</v>
      </c>
      <c r="DP17" s="511">
        <v>0</v>
      </c>
      <c r="DQ17" s="511">
        <v>0</v>
      </c>
      <c r="DR17" s="511">
        <v>0</v>
      </c>
      <c r="DS17" s="511">
        <v>0</v>
      </c>
      <c r="DT17" s="511">
        <v>0</v>
      </c>
      <c r="DU17" s="511">
        <v>0</v>
      </c>
      <c r="DV17" s="511">
        <v>0</v>
      </c>
      <c r="DW17" s="511">
        <v>0</v>
      </c>
      <c r="DX17" s="511">
        <v>0</v>
      </c>
      <c r="DY17" s="511">
        <f t="shared" ref="DY17:DY20" si="8">SUM(DG17:DM17)</f>
        <v>0</v>
      </c>
      <c r="DZ17" s="756">
        <f t="shared" ref="DZ17:DZ32" si="9">DA17-DY17</f>
        <v>1</v>
      </c>
    </row>
    <row r="18" spans="1:130" s="16" customFormat="1" x14ac:dyDescent="0.2">
      <c r="A18" s="119" t="s">
        <v>155</v>
      </c>
      <c r="B18" s="100" t="s">
        <v>38</v>
      </c>
      <c r="C18" s="45" t="s">
        <v>349</v>
      </c>
      <c r="D18" s="58">
        <v>3</v>
      </c>
      <c r="E18" s="127">
        <v>0.33329999999999999</v>
      </c>
      <c r="F18" s="46">
        <v>43281</v>
      </c>
      <c r="G18" s="58">
        <v>36</v>
      </c>
      <c r="H18" s="145">
        <f>100/G18</f>
        <v>2.7777777777777777</v>
      </c>
      <c r="I18" s="165">
        <f>H18*J18</f>
        <v>172.22222222222223</v>
      </c>
      <c r="J18" s="48">
        <f t="shared" si="6"/>
        <v>62</v>
      </c>
      <c r="K18" s="165">
        <f>L18*H18</f>
        <v>-72.222222222222214</v>
      </c>
      <c r="L18" s="48">
        <f>G18-J18</f>
        <v>-26</v>
      </c>
      <c r="M18" s="165">
        <f>N18*H18</f>
        <v>19.444444444444443</v>
      </c>
      <c r="N18" s="48">
        <v>7</v>
      </c>
      <c r="O18" s="165">
        <f t="shared" si="0"/>
        <v>-91.666666666666657</v>
      </c>
      <c r="P18" s="48">
        <f t="shared" si="0"/>
        <v>-33</v>
      </c>
      <c r="Q18" s="462">
        <f>DATE(YEAR(S18),MONTH(S18)+G18,DAY(S18))</f>
        <v>42461</v>
      </c>
      <c r="R18" s="46" t="s">
        <v>445</v>
      </c>
      <c r="S18" s="128">
        <v>41365</v>
      </c>
      <c r="T18" s="7">
        <v>198</v>
      </c>
      <c r="U18" s="1081"/>
      <c r="V18" s="776">
        <v>55.01</v>
      </c>
      <c r="W18" s="47"/>
      <c r="X18" s="106">
        <v>27.5</v>
      </c>
      <c r="Y18" s="165">
        <v>0</v>
      </c>
      <c r="Z18" s="57">
        <v>115.958</v>
      </c>
      <c r="AA18" s="139">
        <v>109.074</v>
      </c>
      <c r="AB18" s="57">
        <f>Z18/AA18</f>
        <v>1.0631131158662925</v>
      </c>
      <c r="AC18" s="55">
        <f>V18*M18/100/K18*100/7</f>
        <v>-2.1157692307692306</v>
      </c>
      <c r="AD18" s="55">
        <f>AC18*AB18</f>
        <v>-2.2493020193771058</v>
      </c>
      <c r="AE18" s="55"/>
      <c r="AF18" s="55"/>
      <c r="AG18" s="55"/>
      <c r="AH18" s="55"/>
      <c r="AI18" s="55"/>
      <c r="AJ18" s="55">
        <f>AD18</f>
        <v>-2.2493020193771058</v>
      </c>
      <c r="AK18" s="55">
        <v>0.62214736706175278</v>
      </c>
      <c r="AL18" s="55">
        <v>0.62214736706175278</v>
      </c>
      <c r="AM18" s="55">
        <v>0.62214736706175278</v>
      </c>
      <c r="AN18" s="55">
        <v>0.62214736706175278</v>
      </c>
      <c r="AO18" s="55">
        <v>0.62214736706175278</v>
      </c>
      <c r="AP18" s="55">
        <v>0.62214736706175278</v>
      </c>
      <c r="AQ18" s="55">
        <f>SUM(AE18:AP18)+X18</f>
        <v>28.983582182993409</v>
      </c>
      <c r="AR18" s="72">
        <f>V18-AQ18</f>
        <v>26.026417817006589</v>
      </c>
      <c r="AS18" s="32"/>
      <c r="AT18" s="32"/>
      <c r="AU18" s="429">
        <f t="shared" si="7"/>
        <v>0.62214736706175278</v>
      </c>
      <c r="AV18" s="429">
        <f t="shared" si="7"/>
        <v>0.62214736706175278</v>
      </c>
      <c r="AW18" s="429">
        <f t="shared" si="7"/>
        <v>0.62214736706175278</v>
      </c>
      <c r="AX18" s="429">
        <f t="shared" si="7"/>
        <v>0.62214736706175278</v>
      </c>
      <c r="AY18" s="429">
        <f t="shared" si="7"/>
        <v>0.62214736706175278</v>
      </c>
      <c r="AZ18" s="57">
        <v>118.901</v>
      </c>
      <c r="BA18" s="139">
        <v>109.074</v>
      </c>
      <c r="BB18" s="57">
        <f>AZ18/BA18</f>
        <v>1.0900947980270275</v>
      </c>
      <c r="BC18" s="55">
        <f>T18/(D18*12)</f>
        <v>5.5</v>
      </c>
      <c r="BD18" s="55">
        <f>BC18*BB18</f>
        <v>5.9955213891486512</v>
      </c>
      <c r="BE18" s="429">
        <f t="shared" si="1"/>
        <v>5.9955213891486512</v>
      </c>
      <c r="BF18" s="429">
        <f t="shared" si="1"/>
        <v>5.9955213891486512</v>
      </c>
      <c r="BG18" s="429">
        <f t="shared" si="1"/>
        <v>5.9955213891486512</v>
      </c>
      <c r="BH18" s="429">
        <v>1.06</v>
      </c>
      <c r="BI18" s="32"/>
      <c r="BJ18" s="32"/>
      <c r="BK18" s="32"/>
      <c r="BL18" s="429">
        <f>SUM((AU18:AY18),(BE18:BK18))</f>
        <v>22.157301002754718</v>
      </c>
      <c r="BM18" s="439">
        <f>(AR18-BL18)</f>
        <v>3.8691168142518713</v>
      </c>
      <c r="BN18" s="32"/>
      <c r="BO18" s="32"/>
      <c r="BP18" s="32"/>
      <c r="BQ18" s="32"/>
      <c r="BR18" s="32"/>
      <c r="BS18" s="57">
        <v>118.901</v>
      </c>
      <c r="BT18" s="139">
        <v>109.074</v>
      </c>
      <c r="BU18" s="57">
        <f>BS18/BT18</f>
        <v>1.0900947980270275</v>
      </c>
      <c r="BV18" s="55"/>
      <c r="BW18" s="55"/>
      <c r="BX18" s="429"/>
      <c r="BY18" s="429"/>
      <c r="BZ18" s="429"/>
      <c r="CA18" s="429"/>
      <c r="CB18" s="32"/>
      <c r="CC18" s="32"/>
      <c r="CD18" s="32"/>
      <c r="CE18" s="429">
        <f>SUM((BN18:BR18),(BX18:CD18))</f>
        <v>0</v>
      </c>
      <c r="CF18" s="439">
        <v>1</v>
      </c>
      <c r="CG18" s="57"/>
      <c r="CH18" s="139">
        <v>109.074</v>
      </c>
      <c r="CI18" s="57">
        <f>CG18/CH18</f>
        <v>0</v>
      </c>
      <c r="CJ18" s="55">
        <f>BA18/(AK18*12)</f>
        <v>14.609882611779661</v>
      </c>
      <c r="CK18" s="55">
        <f>CJ18*CI18</f>
        <v>0</v>
      </c>
      <c r="CL18" s="429"/>
      <c r="CM18" s="429"/>
      <c r="CN18" s="429"/>
      <c r="CO18" s="429"/>
      <c r="CP18" s="429"/>
      <c r="CQ18" s="429"/>
      <c r="CR18" s="429"/>
      <c r="CS18" s="429"/>
      <c r="CT18" s="439">
        <f>CF18-CS18</f>
        <v>1</v>
      </c>
      <c r="CU18" s="429"/>
      <c r="CV18" s="429"/>
      <c r="CW18" s="429"/>
      <c r="CX18" s="429"/>
      <c r="CY18" s="429"/>
      <c r="CZ18" s="505">
        <f t="shared" si="2"/>
        <v>0</v>
      </c>
      <c r="DA18" s="679">
        <f t="shared" si="3"/>
        <v>1</v>
      </c>
      <c r="DB18" s="956">
        <v>132.28200000000001</v>
      </c>
      <c r="DC18" s="1082">
        <v>109.074</v>
      </c>
      <c r="DD18" s="957">
        <f t="shared" si="4"/>
        <v>1.2127729798118709</v>
      </c>
      <c r="DE18" s="511">
        <v>0</v>
      </c>
      <c r="DF18" s="511">
        <f t="shared" si="5"/>
        <v>0</v>
      </c>
      <c r="DG18" s="511">
        <v>0</v>
      </c>
      <c r="DH18" s="511">
        <v>0</v>
      </c>
      <c r="DI18" s="511">
        <v>0</v>
      </c>
      <c r="DJ18" s="511">
        <v>0</v>
      </c>
      <c r="DK18" s="511">
        <v>0</v>
      </c>
      <c r="DL18" s="511">
        <v>0</v>
      </c>
      <c r="DM18" s="511">
        <v>0</v>
      </c>
      <c r="DN18" s="511">
        <v>0</v>
      </c>
      <c r="DO18" s="511">
        <v>0</v>
      </c>
      <c r="DP18" s="511">
        <v>0</v>
      </c>
      <c r="DQ18" s="511">
        <v>0</v>
      </c>
      <c r="DR18" s="511">
        <v>0</v>
      </c>
      <c r="DS18" s="511">
        <v>0</v>
      </c>
      <c r="DT18" s="511">
        <v>0</v>
      </c>
      <c r="DU18" s="511">
        <v>0</v>
      </c>
      <c r="DV18" s="511">
        <v>0</v>
      </c>
      <c r="DW18" s="511">
        <v>0</v>
      </c>
      <c r="DX18" s="511">
        <v>0</v>
      </c>
      <c r="DY18" s="511">
        <f t="shared" si="8"/>
        <v>0</v>
      </c>
      <c r="DZ18" s="756">
        <f t="shared" si="9"/>
        <v>1</v>
      </c>
    </row>
    <row r="19" spans="1:130" s="16" customFormat="1" x14ac:dyDescent="0.2">
      <c r="A19" s="120" t="s">
        <v>82</v>
      </c>
      <c r="B19" s="100"/>
      <c r="C19" s="124"/>
      <c r="D19" s="111"/>
      <c r="E19" s="111"/>
      <c r="F19" s="46"/>
      <c r="G19" s="58"/>
      <c r="H19" s="145"/>
      <c r="I19" s="165"/>
      <c r="J19" s="48"/>
      <c r="K19" s="165"/>
      <c r="L19" s="48"/>
      <c r="M19" s="165"/>
      <c r="N19" s="48"/>
      <c r="O19" s="165"/>
      <c r="P19" s="48"/>
      <c r="Q19" s="48"/>
      <c r="R19" s="46"/>
      <c r="S19" s="119"/>
      <c r="T19" s="7"/>
      <c r="U19" s="1081"/>
      <c r="V19" s="776"/>
      <c r="W19" s="47"/>
      <c r="X19" s="106"/>
      <c r="Y19" s="165"/>
      <c r="Z19" s="57"/>
      <c r="AA19" s="140"/>
      <c r="AB19" s="57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72"/>
      <c r="AS19" s="32"/>
      <c r="AT19" s="32"/>
      <c r="AU19" s="429">
        <f t="shared" si="7"/>
        <v>0</v>
      </c>
      <c r="AV19" s="429">
        <f t="shared" si="7"/>
        <v>0</v>
      </c>
      <c r="AW19" s="429">
        <f t="shared" si="7"/>
        <v>0</v>
      </c>
      <c r="AX19" s="429">
        <f t="shared" si="7"/>
        <v>0</v>
      </c>
      <c r="AY19" s="429">
        <f t="shared" si="7"/>
        <v>0</v>
      </c>
      <c r="AZ19" s="57"/>
      <c r="BA19" s="140"/>
      <c r="BB19" s="57"/>
      <c r="BC19" s="55"/>
      <c r="BD19" s="55"/>
      <c r="BE19" s="429"/>
      <c r="BF19" s="429"/>
      <c r="BG19" s="429"/>
      <c r="BH19" s="429"/>
      <c r="BI19" s="32"/>
      <c r="BJ19" s="32"/>
      <c r="BK19" s="32"/>
      <c r="BL19" s="429"/>
      <c r="BM19" s="439"/>
      <c r="BN19" s="32"/>
      <c r="BO19" s="32"/>
      <c r="BP19" s="32"/>
      <c r="BQ19" s="32"/>
      <c r="BR19" s="32"/>
      <c r="BS19" s="57"/>
      <c r="BT19" s="140"/>
      <c r="BU19" s="57"/>
      <c r="BV19" s="55"/>
      <c r="BW19" s="55"/>
      <c r="BX19" s="429"/>
      <c r="BY19" s="429"/>
      <c r="BZ19" s="429"/>
      <c r="CA19" s="429"/>
      <c r="CB19" s="32"/>
      <c r="CC19" s="32"/>
      <c r="CD19" s="32"/>
      <c r="CE19" s="429"/>
      <c r="CF19" s="439"/>
      <c r="CG19" s="57"/>
      <c r="CH19" s="140"/>
      <c r="CI19" s="57"/>
      <c r="CJ19" s="55"/>
      <c r="CK19" s="55"/>
      <c r="CL19" s="429"/>
      <c r="CM19" s="429"/>
      <c r="CN19" s="429"/>
      <c r="CO19" s="429"/>
      <c r="CP19" s="429"/>
      <c r="CQ19" s="429"/>
      <c r="CR19" s="429"/>
      <c r="CS19" s="429"/>
      <c r="CT19" s="439"/>
      <c r="CU19" s="429"/>
      <c r="CV19" s="429"/>
      <c r="CW19" s="429"/>
      <c r="CX19" s="429"/>
      <c r="CY19" s="429"/>
      <c r="CZ19" s="505"/>
      <c r="DA19" s="679"/>
      <c r="DB19" s="956"/>
      <c r="DC19" s="658"/>
      <c r="DD19" s="957"/>
      <c r="DE19" s="511"/>
      <c r="DF19" s="511"/>
      <c r="DG19" s="511"/>
      <c r="DH19" s="511"/>
      <c r="DI19" s="511"/>
      <c r="DJ19" s="511"/>
      <c r="DK19" s="511"/>
      <c r="DL19" s="511"/>
      <c r="DM19" s="511"/>
      <c r="DN19" s="511"/>
      <c r="DO19" s="511"/>
      <c r="DP19" s="511"/>
      <c r="DQ19" s="511"/>
      <c r="DR19" s="511"/>
      <c r="DS19" s="511"/>
      <c r="DT19" s="511"/>
      <c r="DU19" s="511"/>
      <c r="DV19" s="511"/>
      <c r="DW19" s="511"/>
      <c r="DX19" s="511"/>
      <c r="DY19" s="511"/>
      <c r="DZ19" s="756"/>
    </row>
    <row r="20" spans="1:130" s="16" customFormat="1" x14ac:dyDescent="0.2">
      <c r="A20" s="119" t="s">
        <v>196</v>
      </c>
      <c r="B20" s="100" t="s">
        <v>350</v>
      </c>
      <c r="C20" s="45" t="s">
        <v>349</v>
      </c>
      <c r="D20" s="58">
        <v>10</v>
      </c>
      <c r="E20" s="130">
        <v>0.1</v>
      </c>
      <c r="F20" s="46">
        <v>43281</v>
      </c>
      <c r="G20" s="58">
        <v>120</v>
      </c>
      <c r="H20" s="145">
        <f>100/G20</f>
        <v>0.83333333333333337</v>
      </c>
      <c r="I20" s="165">
        <f>H20*J20</f>
        <v>50</v>
      </c>
      <c r="J20" s="48">
        <f>(YEAR(F20)-YEAR(S20))*12+MONTH(F20)-MONTH(S20)</f>
        <v>60</v>
      </c>
      <c r="K20" s="165">
        <f>L20*H20</f>
        <v>50</v>
      </c>
      <c r="L20" s="48">
        <f>G20-J20</f>
        <v>60</v>
      </c>
      <c r="M20" s="165">
        <f>N20*H20</f>
        <v>5.8333333333333339</v>
      </c>
      <c r="N20" s="48">
        <v>7</v>
      </c>
      <c r="O20" s="165">
        <f>K20-M20</f>
        <v>44.166666666666664</v>
      </c>
      <c r="P20" s="48">
        <f>L20-N20</f>
        <v>53</v>
      </c>
      <c r="Q20" s="462">
        <f>DATE(YEAR(S20),MONTH(S20)+G20,DAY(S20))</f>
        <v>45078</v>
      </c>
      <c r="R20" s="46" t="s">
        <v>445</v>
      </c>
      <c r="S20" s="128">
        <v>41426</v>
      </c>
      <c r="T20" s="7">
        <v>595</v>
      </c>
      <c r="U20" s="1081"/>
      <c r="V20" s="776">
        <v>475.98</v>
      </c>
      <c r="W20" s="47"/>
      <c r="X20" s="106">
        <v>24.8</v>
      </c>
      <c r="Y20" s="165">
        <v>0</v>
      </c>
      <c r="Z20" s="57">
        <v>115.958</v>
      </c>
      <c r="AA20" s="84">
        <v>12.256</v>
      </c>
      <c r="AB20" s="57">
        <f>Z20/AA20</f>
        <v>9.461325065274151</v>
      </c>
      <c r="AC20" s="55">
        <f>V20*M20/100/K20*100/7</f>
        <v>7.9330000000000007</v>
      </c>
      <c r="AD20" s="55">
        <f>AC20*AB20</f>
        <v>75.056691742819851</v>
      </c>
      <c r="AE20" s="55"/>
      <c r="AF20" s="55"/>
      <c r="AG20" s="55"/>
      <c r="AH20" s="55"/>
      <c r="AI20" s="55"/>
      <c r="AJ20" s="55">
        <f>AD20</f>
        <v>75.056691742819851</v>
      </c>
      <c r="AK20" s="55">
        <v>46.910432339262407</v>
      </c>
      <c r="AL20" s="55">
        <v>46.910432339262407</v>
      </c>
      <c r="AM20" s="55">
        <v>46.910432339262407</v>
      </c>
      <c r="AN20" s="55">
        <v>46.910432339262407</v>
      </c>
      <c r="AO20" s="55">
        <v>46.910432339262407</v>
      </c>
      <c r="AP20" s="55">
        <v>46.910432339262407</v>
      </c>
      <c r="AQ20" s="55">
        <f>SUM(AE20:AP20)+X20</f>
        <v>381.31928577839426</v>
      </c>
      <c r="AR20" s="72">
        <f>V20-AQ20</f>
        <v>94.660714221605758</v>
      </c>
      <c r="AS20" s="32"/>
      <c r="AT20" s="32"/>
      <c r="AU20" s="429">
        <f t="shared" si="7"/>
        <v>46.910432339262407</v>
      </c>
      <c r="AV20" s="429">
        <f t="shared" si="7"/>
        <v>46.910432339262407</v>
      </c>
      <c r="AW20" s="429">
        <v>27.99</v>
      </c>
      <c r="AX20" s="429">
        <v>0</v>
      </c>
      <c r="AY20" s="429">
        <v>0</v>
      </c>
      <c r="AZ20" s="57">
        <v>118.901</v>
      </c>
      <c r="BA20" s="84">
        <v>12.256</v>
      </c>
      <c r="BB20" s="57">
        <f>AZ20/BA20</f>
        <v>9.7014523498694505</v>
      </c>
      <c r="BC20" s="55">
        <f>T20/(D20*12)</f>
        <v>4.958333333333333</v>
      </c>
      <c r="BD20" s="55">
        <f>BC20*BB20</f>
        <v>48.103034568102686</v>
      </c>
      <c r="BE20" s="429"/>
      <c r="BF20" s="429"/>
      <c r="BG20" s="429"/>
      <c r="BH20" s="429"/>
      <c r="BI20" s="32"/>
      <c r="BJ20" s="32"/>
      <c r="BK20" s="32"/>
      <c r="BL20" s="429">
        <f>SUM((AU20:AY20),(BE20:BK20))</f>
        <v>121.81086467852481</v>
      </c>
      <c r="BM20" s="439">
        <f>(AR20-BL20)</f>
        <v>-27.15015045691905</v>
      </c>
      <c r="BN20" s="32"/>
      <c r="BO20" s="32"/>
      <c r="BP20" s="32"/>
      <c r="BQ20" s="32"/>
      <c r="BR20" s="32"/>
      <c r="BS20" s="57">
        <v>118.901</v>
      </c>
      <c r="BT20" s="84">
        <v>12.256</v>
      </c>
      <c r="BU20" s="57">
        <f>BS20/BT20</f>
        <v>9.7014523498694505</v>
      </c>
      <c r="BV20" s="55"/>
      <c r="BW20" s="55"/>
      <c r="BX20" s="429"/>
      <c r="BY20" s="429"/>
      <c r="BZ20" s="429"/>
      <c r="CA20" s="429"/>
      <c r="CB20" s="32"/>
      <c r="CC20" s="32"/>
      <c r="CD20" s="32"/>
      <c r="CE20" s="429">
        <f>SUM((BN20:BR20),(BX20:CD20))</f>
        <v>0</v>
      </c>
      <c r="CF20" s="439">
        <v>1</v>
      </c>
      <c r="CG20" s="57"/>
      <c r="CH20" s="84">
        <v>12.256</v>
      </c>
      <c r="CI20" s="57">
        <f>CG20/CH20</f>
        <v>0</v>
      </c>
      <c r="CJ20" s="55">
        <f>BA20/(AK20*12)</f>
        <v>2.177198721910974E-2</v>
      </c>
      <c r="CK20" s="55">
        <f>CJ20*CI20</f>
        <v>0</v>
      </c>
      <c r="CL20" s="429"/>
      <c r="CM20" s="429"/>
      <c r="CN20" s="429"/>
      <c r="CO20" s="429"/>
      <c r="CP20" s="429"/>
      <c r="CQ20" s="429"/>
      <c r="CR20" s="429"/>
      <c r="CS20" s="429"/>
      <c r="CT20" s="439">
        <f>CF20-CS20</f>
        <v>1</v>
      </c>
      <c r="CU20" s="429"/>
      <c r="CV20" s="429"/>
      <c r="CW20" s="429"/>
      <c r="CX20" s="429"/>
      <c r="CY20" s="429"/>
      <c r="CZ20" s="505">
        <f t="shared" si="2"/>
        <v>0</v>
      </c>
      <c r="DA20" s="679">
        <f t="shared" si="3"/>
        <v>1</v>
      </c>
      <c r="DB20" s="956">
        <v>132.28200000000001</v>
      </c>
      <c r="DC20" s="659">
        <v>12.256</v>
      </c>
      <c r="DD20" s="957">
        <f t="shared" si="4"/>
        <v>10.793244125326371</v>
      </c>
      <c r="DE20" s="511">
        <v>0</v>
      </c>
      <c r="DF20" s="511">
        <f t="shared" si="5"/>
        <v>0</v>
      </c>
      <c r="DG20" s="511">
        <v>0</v>
      </c>
      <c r="DH20" s="511">
        <v>0</v>
      </c>
      <c r="DI20" s="511">
        <v>0</v>
      </c>
      <c r="DJ20" s="511">
        <v>0</v>
      </c>
      <c r="DK20" s="511">
        <v>0</v>
      </c>
      <c r="DL20" s="511">
        <v>0</v>
      </c>
      <c r="DM20" s="511">
        <v>0</v>
      </c>
      <c r="DN20" s="511">
        <v>0</v>
      </c>
      <c r="DO20" s="511">
        <v>0</v>
      </c>
      <c r="DP20" s="511">
        <v>0</v>
      </c>
      <c r="DQ20" s="511">
        <v>0</v>
      </c>
      <c r="DR20" s="511">
        <v>0</v>
      </c>
      <c r="DS20" s="511">
        <v>0</v>
      </c>
      <c r="DT20" s="511">
        <v>0</v>
      </c>
      <c r="DU20" s="511">
        <v>0</v>
      </c>
      <c r="DV20" s="511">
        <v>0</v>
      </c>
      <c r="DW20" s="511">
        <v>0</v>
      </c>
      <c r="DX20" s="511">
        <v>0</v>
      </c>
      <c r="DY20" s="511">
        <f t="shared" si="8"/>
        <v>0</v>
      </c>
      <c r="DZ20" s="756">
        <f t="shared" si="9"/>
        <v>1</v>
      </c>
    </row>
    <row r="21" spans="1:130" s="16" customFormat="1" x14ac:dyDescent="0.2">
      <c r="A21" s="120" t="s">
        <v>71</v>
      </c>
      <c r="B21" s="120" t="s">
        <v>26</v>
      </c>
      <c r="C21" s="45"/>
      <c r="D21" s="58"/>
      <c r="E21" s="6"/>
      <c r="F21" s="46"/>
      <c r="G21" s="58"/>
      <c r="H21" s="145"/>
      <c r="I21" s="165"/>
      <c r="J21" s="48"/>
      <c r="K21" s="165"/>
      <c r="L21" s="48"/>
      <c r="M21" s="165"/>
      <c r="N21" s="48"/>
      <c r="O21" s="165"/>
      <c r="P21" s="48"/>
      <c r="Q21" s="48"/>
      <c r="R21" s="46"/>
      <c r="S21" s="132"/>
      <c r="T21" s="107"/>
      <c r="U21" s="1083"/>
      <c r="V21" s="776"/>
      <c r="W21" s="47"/>
      <c r="X21" s="106"/>
      <c r="Y21" s="165"/>
      <c r="Z21" s="57"/>
      <c r="AA21" s="84"/>
      <c r="AB21" s="57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72"/>
      <c r="AS21" s="32"/>
      <c r="AT21" s="32"/>
      <c r="AU21" s="429">
        <f t="shared" si="7"/>
        <v>0</v>
      </c>
      <c r="AV21" s="429">
        <f t="shared" si="7"/>
        <v>0</v>
      </c>
      <c r="AW21" s="429">
        <f t="shared" si="7"/>
        <v>0</v>
      </c>
      <c r="AX21" s="429">
        <f t="shared" si="7"/>
        <v>0</v>
      </c>
      <c r="AY21" s="429">
        <f t="shared" si="7"/>
        <v>0</v>
      </c>
      <c r="AZ21" s="57"/>
      <c r="BA21" s="84"/>
      <c r="BB21" s="57"/>
      <c r="BC21" s="55"/>
      <c r="BD21" s="55"/>
      <c r="BE21" s="429"/>
      <c r="BF21" s="429"/>
      <c r="BG21" s="429"/>
      <c r="BH21" s="429"/>
      <c r="BI21" s="32"/>
      <c r="BJ21" s="32"/>
      <c r="BK21" s="32"/>
      <c r="BL21" s="429"/>
      <c r="BM21" s="439"/>
      <c r="BN21" s="32"/>
      <c r="BO21" s="32"/>
      <c r="BP21" s="32"/>
      <c r="BQ21" s="32"/>
      <c r="BR21" s="32"/>
      <c r="BS21" s="57"/>
      <c r="BT21" s="84"/>
      <c r="BU21" s="57"/>
      <c r="BV21" s="55"/>
      <c r="BW21" s="55"/>
      <c r="BX21" s="429"/>
      <c r="BY21" s="429"/>
      <c r="BZ21" s="429"/>
      <c r="CA21" s="429"/>
      <c r="CB21" s="32"/>
      <c r="CC21" s="32"/>
      <c r="CD21" s="32"/>
      <c r="CE21" s="429"/>
      <c r="CF21" s="439"/>
      <c r="CG21" s="57"/>
      <c r="CH21" s="84"/>
      <c r="CI21" s="57"/>
      <c r="CJ21" s="55"/>
      <c r="CK21" s="55"/>
      <c r="CL21" s="429"/>
      <c r="CM21" s="429"/>
      <c r="CN21" s="429"/>
      <c r="CO21" s="429"/>
      <c r="CP21" s="429"/>
      <c r="CQ21" s="429"/>
      <c r="CR21" s="429"/>
      <c r="CS21" s="429"/>
      <c r="CT21" s="439"/>
      <c r="CU21" s="429"/>
      <c r="CV21" s="429"/>
      <c r="CW21" s="429"/>
      <c r="CX21" s="429"/>
      <c r="CY21" s="429"/>
      <c r="CZ21" s="505"/>
      <c r="DA21" s="679"/>
      <c r="DB21" s="956"/>
      <c r="DC21" s="659"/>
      <c r="DD21" s="957"/>
      <c r="DE21" s="511"/>
      <c r="DF21" s="511"/>
      <c r="DG21" s="511"/>
      <c r="DH21" s="511"/>
      <c r="DI21" s="511"/>
      <c r="DJ21" s="511"/>
      <c r="DK21" s="511"/>
      <c r="DL21" s="511"/>
      <c r="DM21" s="511"/>
      <c r="DN21" s="511"/>
      <c r="DO21" s="511"/>
      <c r="DP21" s="511"/>
      <c r="DQ21" s="511"/>
      <c r="DR21" s="511"/>
      <c r="DS21" s="511"/>
      <c r="DT21" s="511"/>
      <c r="DU21" s="511"/>
      <c r="DV21" s="511"/>
      <c r="DW21" s="511"/>
      <c r="DX21" s="511"/>
      <c r="DY21" s="511"/>
      <c r="DZ21" s="756"/>
    </row>
    <row r="22" spans="1:130" s="16" customFormat="1" x14ac:dyDescent="0.2">
      <c r="A22" s="120" t="s">
        <v>76</v>
      </c>
      <c r="B22" s="28"/>
      <c r="C22" s="45"/>
      <c r="D22" s="58"/>
      <c r="E22" s="111"/>
      <c r="F22" s="46"/>
      <c r="G22" s="58"/>
      <c r="H22" s="145"/>
      <c r="I22" s="165"/>
      <c r="J22" s="48"/>
      <c r="K22" s="165"/>
      <c r="L22" s="48"/>
      <c r="M22" s="165"/>
      <c r="N22" s="48"/>
      <c r="O22" s="165"/>
      <c r="P22" s="48"/>
      <c r="Q22" s="48"/>
      <c r="R22" s="46"/>
      <c r="S22" s="132"/>
      <c r="T22" s="107"/>
      <c r="U22" s="1083"/>
      <c r="V22" s="776"/>
      <c r="W22" s="47"/>
      <c r="X22" s="106"/>
      <c r="Y22" s="165"/>
      <c r="Z22" s="57"/>
      <c r="AA22" s="84"/>
      <c r="AB22" s="57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72"/>
      <c r="AS22" s="32"/>
      <c r="AT22" s="32"/>
      <c r="AU22" s="429">
        <f t="shared" si="7"/>
        <v>0</v>
      </c>
      <c r="AV22" s="429">
        <f t="shared" si="7"/>
        <v>0</v>
      </c>
      <c r="AW22" s="429">
        <f t="shared" si="7"/>
        <v>0</v>
      </c>
      <c r="AX22" s="429">
        <f t="shared" si="7"/>
        <v>0</v>
      </c>
      <c r="AY22" s="429">
        <f t="shared" si="7"/>
        <v>0</v>
      </c>
      <c r="AZ22" s="57"/>
      <c r="BA22" s="84"/>
      <c r="BB22" s="57"/>
      <c r="BC22" s="55"/>
      <c r="BD22" s="55"/>
      <c r="BE22" s="429"/>
      <c r="BF22" s="429"/>
      <c r="BG22" s="429"/>
      <c r="BH22" s="429"/>
      <c r="BI22" s="32"/>
      <c r="BJ22" s="32"/>
      <c r="BK22" s="32"/>
      <c r="BL22" s="429"/>
      <c r="BM22" s="439"/>
      <c r="BN22" s="32"/>
      <c r="BO22" s="32"/>
      <c r="BP22" s="32"/>
      <c r="BQ22" s="32"/>
      <c r="BR22" s="32"/>
      <c r="BS22" s="57"/>
      <c r="BT22" s="84"/>
      <c r="BU22" s="57"/>
      <c r="BV22" s="55"/>
      <c r="BW22" s="55"/>
      <c r="BX22" s="429"/>
      <c r="BY22" s="429"/>
      <c r="BZ22" s="429"/>
      <c r="CA22" s="429"/>
      <c r="CB22" s="32"/>
      <c r="CC22" s="32"/>
      <c r="CD22" s="32"/>
      <c r="CE22" s="429"/>
      <c r="CF22" s="439"/>
      <c r="CG22" s="57"/>
      <c r="CH22" s="84"/>
      <c r="CI22" s="57"/>
      <c r="CJ22" s="55"/>
      <c r="CK22" s="55"/>
      <c r="CL22" s="429"/>
      <c r="CM22" s="429"/>
      <c r="CN22" s="429"/>
      <c r="CO22" s="429"/>
      <c r="CP22" s="429"/>
      <c r="CQ22" s="429"/>
      <c r="CR22" s="429"/>
      <c r="CS22" s="429"/>
      <c r="CT22" s="439"/>
      <c r="CU22" s="429"/>
      <c r="CV22" s="429"/>
      <c r="CW22" s="429"/>
      <c r="CX22" s="429"/>
      <c r="CY22" s="429"/>
      <c r="CZ22" s="505"/>
      <c r="DA22" s="679"/>
      <c r="DB22" s="956"/>
      <c r="DC22" s="659"/>
      <c r="DD22" s="957"/>
      <c r="DE22" s="511"/>
      <c r="DF22" s="511"/>
      <c r="DG22" s="511"/>
      <c r="DH22" s="511"/>
      <c r="DI22" s="511"/>
      <c r="DJ22" s="511"/>
      <c r="DK22" s="511"/>
      <c r="DL22" s="511"/>
      <c r="DM22" s="511"/>
      <c r="DN22" s="511"/>
      <c r="DO22" s="511"/>
      <c r="DP22" s="511"/>
      <c r="DQ22" s="511"/>
      <c r="DR22" s="511"/>
      <c r="DS22" s="511"/>
      <c r="DT22" s="511"/>
      <c r="DU22" s="511"/>
      <c r="DV22" s="511"/>
      <c r="DW22" s="511"/>
      <c r="DX22" s="511"/>
      <c r="DY22" s="511"/>
      <c r="DZ22" s="756"/>
    </row>
    <row r="23" spans="1:130" s="16" customFormat="1" x14ac:dyDescent="0.2">
      <c r="A23" s="8" t="s">
        <v>156</v>
      </c>
      <c r="B23" s="100" t="s">
        <v>52</v>
      </c>
      <c r="C23" s="45" t="s">
        <v>349</v>
      </c>
      <c r="D23" s="58">
        <v>10</v>
      </c>
      <c r="E23" s="130">
        <v>0.1</v>
      </c>
      <c r="F23" s="46">
        <v>43281</v>
      </c>
      <c r="G23" s="58">
        <v>120</v>
      </c>
      <c r="H23" s="145">
        <f>100/G23</f>
        <v>0.83333333333333337</v>
      </c>
      <c r="I23" s="165">
        <f>H23*J23</f>
        <v>48.333333333333336</v>
      </c>
      <c r="J23" s="48">
        <f>(YEAR(F23)-YEAR(S23))*12+MONTH(F23)-MONTH(S23)</f>
        <v>58</v>
      </c>
      <c r="K23" s="165">
        <f>L23*H23</f>
        <v>51.666666666666671</v>
      </c>
      <c r="L23" s="48">
        <f>G23-J23</f>
        <v>62</v>
      </c>
      <c r="M23" s="165">
        <f>N23*H23</f>
        <v>5.8333333333333339</v>
      </c>
      <c r="N23" s="48">
        <v>7</v>
      </c>
      <c r="O23" s="165">
        <f>K23-M23</f>
        <v>45.833333333333336</v>
      </c>
      <c r="P23" s="48">
        <f>L23-N23</f>
        <v>55</v>
      </c>
      <c r="Q23" s="462">
        <f>DATE(YEAR(S23),MONTH(S23)+G23,DAY(S23))</f>
        <v>45139</v>
      </c>
      <c r="R23" s="46" t="s">
        <v>445</v>
      </c>
      <c r="S23" s="119">
        <v>41487</v>
      </c>
      <c r="T23" s="7">
        <v>350</v>
      </c>
      <c r="U23" s="1081"/>
      <c r="V23" s="776">
        <v>285.8</v>
      </c>
      <c r="W23" s="47"/>
      <c r="X23" s="106">
        <v>14.6</v>
      </c>
      <c r="Y23" s="165">
        <v>0</v>
      </c>
      <c r="Z23" s="57">
        <v>115.958</v>
      </c>
      <c r="AA23" s="84">
        <v>108.91800000000001</v>
      </c>
      <c r="AB23" s="57">
        <f>Z23/AA23</f>
        <v>1.0646357810462916</v>
      </c>
      <c r="AC23" s="55">
        <f>V23*M23/100/K23*100/7</f>
        <v>4.6096774193548393</v>
      </c>
      <c r="AD23" s="55">
        <f>AC23*AB23</f>
        <v>4.9076275197262937</v>
      </c>
      <c r="AE23" s="55"/>
      <c r="AF23" s="55"/>
      <c r="AG23" s="55"/>
      <c r="AH23" s="55"/>
      <c r="AI23" s="55"/>
      <c r="AJ23" s="55">
        <f>AD23</f>
        <v>4.9076275197262937</v>
      </c>
      <c r="AK23" s="55">
        <v>3.1048255737043897</v>
      </c>
      <c r="AL23" s="55">
        <v>3.1048255737043897</v>
      </c>
      <c r="AM23" s="55">
        <v>3.1048255737043897</v>
      </c>
      <c r="AN23" s="55">
        <v>3.1048255737043897</v>
      </c>
      <c r="AO23" s="55">
        <v>3.1048255737043897</v>
      </c>
      <c r="AP23" s="55">
        <v>3.1048255737043897</v>
      </c>
      <c r="AQ23" s="55">
        <f>SUM(AE23:AP23)+X23</f>
        <v>38.136580961952625</v>
      </c>
      <c r="AR23" s="72">
        <f>V23-AQ23</f>
        <v>247.66341903804738</v>
      </c>
      <c r="AS23" s="32"/>
      <c r="AT23" s="32"/>
      <c r="AU23" s="429">
        <f t="shared" si="7"/>
        <v>3.1048255737043897</v>
      </c>
      <c r="AV23" s="429">
        <f t="shared" si="7"/>
        <v>3.1048255737043897</v>
      </c>
      <c r="AW23" s="429">
        <f t="shared" si="7"/>
        <v>3.1048255737043897</v>
      </c>
      <c r="AX23" s="429">
        <f t="shared" si="7"/>
        <v>3.1048255737043897</v>
      </c>
      <c r="AY23" s="429">
        <f t="shared" si="7"/>
        <v>3.1048255737043897</v>
      </c>
      <c r="AZ23" s="57">
        <v>118.901</v>
      </c>
      <c r="BA23" s="84">
        <v>108.91800000000001</v>
      </c>
      <c r="BB23" s="57">
        <f>AZ23/BA23</f>
        <v>1.0916561082649332</v>
      </c>
      <c r="BC23" s="55">
        <f>T23/(D23*12)</f>
        <v>2.9166666666666665</v>
      </c>
      <c r="BD23" s="55">
        <f>BC23*BB23</f>
        <v>3.1839969824393886</v>
      </c>
      <c r="BE23" s="429">
        <f>$BD23</f>
        <v>3.1839969824393886</v>
      </c>
      <c r="BF23" s="429">
        <f>$BD23</f>
        <v>3.1839969824393886</v>
      </c>
      <c r="BG23" s="429">
        <f>$BD23</f>
        <v>3.1839969824393886</v>
      </c>
      <c r="BH23" s="429">
        <f>$BD23</f>
        <v>3.1839969824393886</v>
      </c>
      <c r="BI23" s="32">
        <v>3.18</v>
      </c>
      <c r="BJ23" s="32">
        <v>3.18</v>
      </c>
      <c r="BK23" s="32">
        <v>3.18</v>
      </c>
      <c r="BL23" s="429">
        <f>SUM((AU23:AY23),(BE23:BK23))</f>
        <v>37.800115798279506</v>
      </c>
      <c r="BM23" s="439">
        <f>(AR23-BL23)</f>
        <v>209.86330323976787</v>
      </c>
      <c r="BN23" s="32">
        <v>3.18</v>
      </c>
      <c r="BO23" s="32">
        <v>3.18</v>
      </c>
      <c r="BP23" s="32">
        <v>3.18</v>
      </c>
      <c r="BQ23" s="32">
        <v>3.18</v>
      </c>
      <c r="BR23" s="32">
        <v>3.18</v>
      </c>
      <c r="BS23" s="57">
        <v>118.901</v>
      </c>
      <c r="BT23" s="84">
        <v>108.91800000000001</v>
      </c>
      <c r="BU23" s="57">
        <f>BS23/BT23</f>
        <v>1.0916561082649332</v>
      </c>
      <c r="BV23" s="55"/>
      <c r="BW23" s="55"/>
      <c r="BX23" s="429"/>
      <c r="BY23" s="429"/>
      <c r="BZ23" s="429"/>
      <c r="CA23" s="429"/>
      <c r="CB23" s="32"/>
      <c r="CC23" s="32"/>
      <c r="CD23" s="32"/>
      <c r="CE23" s="429">
        <f>SUM((BN23:BR23),(BX23:CD23))</f>
        <v>15.9</v>
      </c>
      <c r="CF23" s="439">
        <f>BM23-CE23</f>
        <v>193.96330323976787</v>
      </c>
      <c r="CG23" s="57">
        <v>126.408</v>
      </c>
      <c r="CH23" s="84">
        <v>108.91800000000001</v>
      </c>
      <c r="CI23" s="57">
        <f>CG23/CH23</f>
        <v>1.1605795185368808</v>
      </c>
      <c r="CJ23" s="55">
        <f>CF23/L23</f>
        <v>3.1284403748349656</v>
      </c>
      <c r="CK23" s="55">
        <f>CJ23*CI23</f>
        <v>3.6308038239973035</v>
      </c>
      <c r="CL23" s="429">
        <v>3.05</v>
      </c>
      <c r="CM23" s="429">
        <v>3.05</v>
      </c>
      <c r="CN23" s="429">
        <v>3.05</v>
      </c>
      <c r="CO23" s="429">
        <v>3.05</v>
      </c>
      <c r="CP23" s="429">
        <v>3.05</v>
      </c>
      <c r="CQ23" s="429">
        <v>3.05</v>
      </c>
      <c r="CR23" s="429">
        <v>3.05</v>
      </c>
      <c r="CS23" s="429">
        <f>SUM(CL23:CR23)</f>
        <v>21.35</v>
      </c>
      <c r="CT23" s="439">
        <f>CF23-CS23</f>
        <v>172.61330323976787</v>
      </c>
      <c r="CU23" s="429">
        <v>3.05</v>
      </c>
      <c r="CV23" s="429">
        <v>3.05</v>
      </c>
      <c r="CW23" s="429">
        <v>3.05</v>
      </c>
      <c r="CX23" s="429">
        <v>3.05</v>
      </c>
      <c r="CY23" s="429">
        <v>3.05</v>
      </c>
      <c r="CZ23" s="505">
        <f t="shared" si="2"/>
        <v>15.25</v>
      </c>
      <c r="DA23" s="679">
        <f t="shared" si="3"/>
        <v>157.36330323976787</v>
      </c>
      <c r="DB23" s="956">
        <v>132.28200000000001</v>
      </c>
      <c r="DC23" s="659">
        <v>108.91800000000001</v>
      </c>
      <c r="DD23" s="957">
        <f t="shared" si="4"/>
        <v>1.2145099983473806</v>
      </c>
      <c r="DE23" s="511">
        <f>DA23/L23</f>
        <v>2.5381177941898043</v>
      </c>
      <c r="DF23" s="511">
        <f t="shared" si="5"/>
        <v>3.0825694380269164</v>
      </c>
      <c r="DG23" s="511">
        <v>2.5957547359309645</v>
      </c>
      <c r="DH23" s="511">
        <v>2.5957547359309645</v>
      </c>
      <c r="DI23" s="511">
        <v>2.5957547359309645</v>
      </c>
      <c r="DJ23" s="511">
        <v>2.5957547359309645</v>
      </c>
      <c r="DK23" s="511">
        <v>2.5957547359309645</v>
      </c>
      <c r="DL23" s="511">
        <v>2.5957547359309645</v>
      </c>
      <c r="DM23" s="511">
        <v>2.5957547359309645</v>
      </c>
      <c r="DN23" s="511">
        <v>2.5957547359309645</v>
      </c>
      <c r="DO23" s="511">
        <v>2.5957547359309645</v>
      </c>
      <c r="DP23" s="511">
        <v>2.5957547359309645</v>
      </c>
      <c r="DQ23" s="511">
        <v>2.5957547359309645</v>
      </c>
      <c r="DR23" s="511">
        <v>2.5957547359309645</v>
      </c>
      <c r="DS23" s="511">
        <v>2.5957547359309645</v>
      </c>
      <c r="DT23" s="511">
        <v>2.5957547359309645</v>
      </c>
      <c r="DU23" s="511">
        <v>2.5957547359309645</v>
      </c>
      <c r="DV23" s="511">
        <v>2.5957547359309645</v>
      </c>
      <c r="DW23" s="511">
        <v>2.5957547359309645</v>
      </c>
      <c r="DX23" s="511">
        <v>2.5957547359309645</v>
      </c>
      <c r="DY23" s="511">
        <f>SUM(DG23:DX23)</f>
        <v>46.723585246757366</v>
      </c>
      <c r="DZ23" s="756">
        <f t="shared" si="9"/>
        <v>110.63971799301051</v>
      </c>
    </row>
    <row r="24" spans="1:130" s="16" customFormat="1" x14ac:dyDescent="0.2">
      <c r="A24" s="120" t="s">
        <v>274</v>
      </c>
      <c r="B24" s="120" t="s">
        <v>159</v>
      </c>
      <c r="C24" s="45"/>
      <c r="D24" s="58"/>
      <c r="E24" s="127"/>
      <c r="F24" s="46"/>
      <c r="G24" s="58"/>
      <c r="H24" s="145"/>
      <c r="I24" s="165"/>
      <c r="J24" s="48"/>
      <c r="K24" s="165"/>
      <c r="L24" s="48"/>
      <c r="M24" s="165"/>
      <c r="N24" s="48"/>
      <c r="O24" s="165"/>
      <c r="P24" s="48"/>
      <c r="Q24" s="48"/>
      <c r="R24" s="125"/>
      <c r="S24" s="128"/>
      <c r="T24" s="7"/>
      <c r="U24" s="1081"/>
      <c r="V24" s="776"/>
      <c r="W24" s="47"/>
      <c r="X24" s="106"/>
      <c r="Y24" s="66"/>
      <c r="Z24" s="57"/>
      <c r="AA24" s="84"/>
      <c r="AB24" s="57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72"/>
      <c r="AS24" s="32"/>
      <c r="AT24" s="32"/>
      <c r="AU24" s="429">
        <f t="shared" si="7"/>
        <v>0</v>
      </c>
      <c r="AV24" s="429">
        <f t="shared" si="7"/>
        <v>0</v>
      </c>
      <c r="AW24" s="429">
        <f t="shared" si="7"/>
        <v>0</v>
      </c>
      <c r="AX24" s="429">
        <f t="shared" si="7"/>
        <v>0</v>
      </c>
      <c r="AY24" s="429">
        <f t="shared" si="7"/>
        <v>0</v>
      </c>
      <c r="AZ24" s="57"/>
      <c r="BA24" s="84"/>
      <c r="BB24" s="57"/>
      <c r="BC24" s="55"/>
      <c r="BD24" s="55"/>
      <c r="BE24" s="429"/>
      <c r="BF24" s="429"/>
      <c r="BG24" s="429"/>
      <c r="BH24" s="429"/>
      <c r="BI24" s="32"/>
      <c r="BJ24" s="32"/>
      <c r="BK24" s="32"/>
      <c r="BL24" s="429"/>
      <c r="BM24" s="439"/>
      <c r="BN24" s="32"/>
      <c r="BO24" s="32"/>
      <c r="BP24" s="32"/>
      <c r="BQ24" s="32"/>
      <c r="BR24" s="32"/>
      <c r="BS24" s="57"/>
      <c r="BT24" s="84"/>
      <c r="BU24" s="57"/>
      <c r="BV24" s="55"/>
      <c r="BW24" s="55"/>
      <c r="BX24" s="429"/>
      <c r="BY24" s="429"/>
      <c r="BZ24" s="429"/>
      <c r="CA24" s="429"/>
      <c r="CB24" s="32"/>
      <c r="CC24" s="32"/>
      <c r="CD24" s="32"/>
      <c r="CE24" s="429"/>
      <c r="CF24" s="439"/>
      <c r="CG24" s="57"/>
      <c r="CH24" s="84"/>
      <c r="CI24" s="57"/>
      <c r="CJ24" s="55"/>
      <c r="CK24" s="55"/>
      <c r="CL24" s="429"/>
      <c r="CM24" s="429"/>
      <c r="CN24" s="429"/>
      <c r="CO24" s="429"/>
      <c r="CP24" s="429"/>
      <c r="CQ24" s="429"/>
      <c r="CR24" s="429"/>
      <c r="CS24" s="429"/>
      <c r="CT24" s="439"/>
      <c r="CU24" s="429"/>
      <c r="CV24" s="429"/>
      <c r="CW24" s="429"/>
      <c r="CX24" s="429"/>
      <c r="CY24" s="429"/>
      <c r="CZ24" s="505"/>
      <c r="DA24" s="679"/>
      <c r="DB24" s="956"/>
      <c r="DC24" s="659"/>
      <c r="DD24" s="957"/>
      <c r="DE24" s="511"/>
      <c r="DF24" s="511"/>
      <c r="DG24" s="511"/>
      <c r="DH24" s="511"/>
      <c r="DI24" s="511"/>
      <c r="DJ24" s="511"/>
      <c r="DK24" s="511"/>
      <c r="DL24" s="511"/>
      <c r="DM24" s="511"/>
      <c r="DN24" s="511"/>
      <c r="DO24" s="511"/>
      <c r="DP24" s="511"/>
      <c r="DQ24" s="511"/>
      <c r="DR24" s="511"/>
      <c r="DS24" s="511"/>
      <c r="DT24" s="511"/>
      <c r="DU24" s="511"/>
      <c r="DV24" s="511"/>
      <c r="DW24" s="511"/>
      <c r="DX24" s="511"/>
      <c r="DY24" s="511">
        <f t="shared" ref="DY24:DY32" si="10">SUM(DG24:DX24)</f>
        <v>0</v>
      </c>
      <c r="DZ24" s="756"/>
    </row>
    <row r="25" spans="1:130" s="16" customFormat="1" x14ac:dyDescent="0.2">
      <c r="A25" s="120" t="s">
        <v>275</v>
      </c>
      <c r="B25" s="100"/>
      <c r="C25" s="45"/>
      <c r="D25" s="58"/>
      <c r="E25" s="127"/>
      <c r="F25" s="46"/>
      <c r="G25" s="58"/>
      <c r="H25" s="145"/>
      <c r="I25" s="165"/>
      <c r="J25" s="48"/>
      <c r="K25" s="165"/>
      <c r="L25" s="48"/>
      <c r="M25" s="165"/>
      <c r="N25" s="48"/>
      <c r="O25" s="165"/>
      <c r="P25" s="48"/>
      <c r="Q25" s="48"/>
      <c r="R25" s="125"/>
      <c r="S25" s="128"/>
      <c r="T25" s="7"/>
      <c r="U25" s="1081"/>
      <c r="V25" s="776"/>
      <c r="W25" s="47"/>
      <c r="X25" s="106"/>
      <c r="Y25" s="66"/>
      <c r="Z25" s="57"/>
      <c r="AA25" s="141"/>
      <c r="AB25" s="57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72"/>
      <c r="AS25" s="32"/>
      <c r="AT25" s="32"/>
      <c r="AU25" s="429">
        <f t="shared" si="7"/>
        <v>0</v>
      </c>
      <c r="AV25" s="429">
        <f t="shared" si="7"/>
        <v>0</v>
      </c>
      <c r="AW25" s="429">
        <f t="shared" si="7"/>
        <v>0</v>
      </c>
      <c r="AX25" s="429">
        <f t="shared" si="7"/>
        <v>0</v>
      </c>
      <c r="AY25" s="429">
        <f t="shared" si="7"/>
        <v>0</v>
      </c>
      <c r="AZ25" s="57"/>
      <c r="BA25" s="141"/>
      <c r="BB25" s="57"/>
      <c r="BC25" s="55"/>
      <c r="BD25" s="55"/>
      <c r="BE25" s="429"/>
      <c r="BF25" s="429"/>
      <c r="BG25" s="429"/>
      <c r="BH25" s="429"/>
      <c r="BI25" s="32"/>
      <c r="BJ25" s="32"/>
      <c r="BK25" s="32"/>
      <c r="BL25" s="429"/>
      <c r="BM25" s="439"/>
      <c r="BN25" s="32"/>
      <c r="BO25" s="32"/>
      <c r="BP25" s="32"/>
      <c r="BQ25" s="32"/>
      <c r="BR25" s="32"/>
      <c r="BS25" s="57"/>
      <c r="BT25" s="141"/>
      <c r="BU25" s="57"/>
      <c r="BV25" s="55"/>
      <c r="BW25" s="55"/>
      <c r="BX25" s="429"/>
      <c r="BY25" s="429"/>
      <c r="BZ25" s="429"/>
      <c r="CA25" s="429"/>
      <c r="CB25" s="32"/>
      <c r="CC25" s="32"/>
      <c r="CD25" s="32"/>
      <c r="CE25" s="429"/>
      <c r="CF25" s="439"/>
      <c r="CG25" s="57"/>
      <c r="CH25" s="141"/>
      <c r="CI25" s="57"/>
      <c r="CJ25" s="55"/>
      <c r="CK25" s="55"/>
      <c r="CL25" s="429"/>
      <c r="CM25" s="429"/>
      <c r="CN25" s="429"/>
      <c r="CO25" s="429"/>
      <c r="CP25" s="429"/>
      <c r="CQ25" s="429"/>
      <c r="CR25" s="429"/>
      <c r="CS25" s="429"/>
      <c r="CT25" s="439"/>
      <c r="CU25" s="429"/>
      <c r="CV25" s="429"/>
      <c r="CW25" s="429"/>
      <c r="CX25" s="429"/>
      <c r="CY25" s="429"/>
      <c r="CZ25" s="505"/>
      <c r="DA25" s="679"/>
      <c r="DB25" s="956"/>
      <c r="DC25" s="1084"/>
      <c r="DD25" s="957"/>
      <c r="DE25" s="511"/>
      <c r="DF25" s="511"/>
      <c r="DG25" s="511"/>
      <c r="DH25" s="511"/>
      <c r="DI25" s="511"/>
      <c r="DJ25" s="511"/>
      <c r="DK25" s="511"/>
      <c r="DL25" s="511"/>
      <c r="DM25" s="511"/>
      <c r="DN25" s="511"/>
      <c r="DO25" s="511"/>
      <c r="DP25" s="511"/>
      <c r="DQ25" s="511"/>
      <c r="DR25" s="511"/>
      <c r="DS25" s="511"/>
      <c r="DT25" s="511"/>
      <c r="DU25" s="511"/>
      <c r="DV25" s="511"/>
      <c r="DW25" s="511"/>
      <c r="DX25" s="511"/>
      <c r="DY25" s="511">
        <f t="shared" si="10"/>
        <v>0</v>
      </c>
      <c r="DZ25" s="756"/>
    </row>
    <row r="26" spans="1:130" s="16" customFormat="1" x14ac:dyDescent="0.2">
      <c r="A26" s="119" t="s">
        <v>276</v>
      </c>
      <c r="B26" s="100" t="s">
        <v>157</v>
      </c>
      <c r="C26" s="45" t="s">
        <v>349</v>
      </c>
      <c r="D26" s="58">
        <v>10</v>
      </c>
      <c r="E26" s="130">
        <v>0.1</v>
      </c>
      <c r="F26" s="46">
        <v>43281</v>
      </c>
      <c r="G26" s="58">
        <v>120</v>
      </c>
      <c r="H26" s="145">
        <f>100/G26</f>
        <v>0.83333333333333337</v>
      </c>
      <c r="I26" s="165">
        <f>H26*J26</f>
        <v>44.166666666666671</v>
      </c>
      <c r="J26" s="48">
        <f>(YEAR(F26)-YEAR(S26))*12+MONTH(F26)-MONTH(S26)</f>
        <v>53</v>
      </c>
      <c r="K26" s="165">
        <f>L26*H26</f>
        <v>55.833333333333336</v>
      </c>
      <c r="L26" s="48">
        <f>G26-J26</f>
        <v>67</v>
      </c>
      <c r="M26" s="165">
        <f>N26*H26</f>
        <v>5.8333333333333339</v>
      </c>
      <c r="N26" s="48">
        <v>7</v>
      </c>
      <c r="O26" s="165">
        <f>K26-M26</f>
        <v>50</v>
      </c>
      <c r="P26" s="48">
        <f>L26-N26</f>
        <v>60</v>
      </c>
      <c r="Q26" s="462">
        <f>DATE(YEAR(S26),MONTH(S26)+G26,DAY(S26))</f>
        <v>45292</v>
      </c>
      <c r="R26" s="46" t="s">
        <v>445</v>
      </c>
      <c r="S26" s="128">
        <v>41640</v>
      </c>
      <c r="T26" s="7">
        <v>300</v>
      </c>
      <c r="U26" s="1081"/>
      <c r="V26" s="776">
        <v>257.5</v>
      </c>
      <c r="W26" s="47"/>
      <c r="X26" s="106">
        <v>12.5</v>
      </c>
      <c r="Y26" s="165">
        <v>0</v>
      </c>
      <c r="Z26" s="57">
        <v>115.958</v>
      </c>
      <c r="AA26" s="84">
        <v>112.505</v>
      </c>
      <c r="AB26" s="57">
        <f>Z26/AA26</f>
        <v>1.0306919692458114</v>
      </c>
      <c r="AC26" s="55">
        <f>V26*M26/100/K26*100/7</f>
        <v>3.8432835820895521</v>
      </c>
      <c r="AD26" s="55">
        <f>AC26*AB26</f>
        <v>3.9612415235939764</v>
      </c>
      <c r="AE26" s="55"/>
      <c r="AF26" s="55"/>
      <c r="AG26" s="55"/>
      <c r="AH26" s="55"/>
      <c r="AI26" s="55"/>
      <c r="AJ26" s="55">
        <f>AD26</f>
        <v>3.9612415235939764</v>
      </c>
      <c r="AK26" s="55">
        <v>2.5767299231145286</v>
      </c>
      <c r="AL26" s="55">
        <v>2.5767299231145286</v>
      </c>
      <c r="AM26" s="55">
        <v>2.5767299231145286</v>
      </c>
      <c r="AN26" s="55">
        <v>2.5767299231145286</v>
      </c>
      <c r="AO26" s="55">
        <v>2.5767299231145286</v>
      </c>
      <c r="AP26" s="55">
        <v>2.5767299231145286</v>
      </c>
      <c r="AQ26" s="55">
        <f>SUM(AE26:AP26)+X26</f>
        <v>31.921621062281147</v>
      </c>
      <c r="AR26" s="72">
        <f>V26-AQ26</f>
        <v>225.57837893771887</v>
      </c>
      <c r="AS26" s="32"/>
      <c r="AT26" s="32"/>
      <c r="AU26" s="429">
        <f t="shared" si="7"/>
        <v>2.5767299231145286</v>
      </c>
      <c r="AV26" s="429">
        <f t="shared" si="7"/>
        <v>2.5767299231145286</v>
      </c>
      <c r="AW26" s="429">
        <f t="shared" si="7"/>
        <v>2.5767299231145286</v>
      </c>
      <c r="AX26" s="429">
        <f t="shared" si="7"/>
        <v>2.5767299231145286</v>
      </c>
      <c r="AY26" s="429">
        <f t="shared" si="7"/>
        <v>2.5767299231145286</v>
      </c>
      <c r="AZ26" s="57">
        <v>118.901</v>
      </c>
      <c r="BA26" s="84">
        <v>112.505</v>
      </c>
      <c r="BB26" s="57">
        <f>AZ26/BA26</f>
        <v>1.0568508066308164</v>
      </c>
      <c r="BC26" s="55">
        <f>T26/(D26*12)</f>
        <v>2.5</v>
      </c>
      <c r="BD26" s="55">
        <f>BC26*BB26</f>
        <v>2.642127016577041</v>
      </c>
      <c r="BE26" s="429">
        <f>$BD26</f>
        <v>2.642127016577041</v>
      </c>
      <c r="BF26" s="429">
        <f>$BD26</f>
        <v>2.642127016577041</v>
      </c>
      <c r="BG26" s="429">
        <f>$BD26</f>
        <v>2.642127016577041</v>
      </c>
      <c r="BH26" s="429">
        <f>$BD26</f>
        <v>2.642127016577041</v>
      </c>
      <c r="BI26" s="32">
        <v>2.64</v>
      </c>
      <c r="BJ26" s="32">
        <v>2.64</v>
      </c>
      <c r="BK26" s="32">
        <v>2.64</v>
      </c>
      <c r="BL26" s="429">
        <f>SUM((AU26:AY26),(BE26:BK26))</f>
        <v>31.372157681880811</v>
      </c>
      <c r="BM26" s="439">
        <f>(AR26-BL26)</f>
        <v>194.20622125583805</v>
      </c>
      <c r="BN26" s="32">
        <v>2.64</v>
      </c>
      <c r="BO26" s="32">
        <v>2.64</v>
      </c>
      <c r="BP26" s="32">
        <v>2.64</v>
      </c>
      <c r="BQ26" s="32">
        <v>2.64</v>
      </c>
      <c r="BR26" s="32">
        <v>2.64</v>
      </c>
      <c r="BS26" s="57">
        <v>118.901</v>
      </c>
      <c r="BT26" s="84">
        <v>112.505</v>
      </c>
      <c r="BU26" s="57">
        <f>BS26/BT26</f>
        <v>1.0568508066308164</v>
      </c>
      <c r="BV26" s="55"/>
      <c r="BW26" s="55"/>
      <c r="BX26" s="429"/>
      <c r="BY26" s="429"/>
      <c r="BZ26" s="429"/>
      <c r="CA26" s="429"/>
      <c r="CB26" s="32"/>
      <c r="CC26" s="32"/>
      <c r="CD26" s="32"/>
      <c r="CE26" s="429">
        <f>SUM((BN26:BR26),(BX26:CD26))</f>
        <v>13.200000000000001</v>
      </c>
      <c r="CF26" s="439">
        <f>BM26-CE26</f>
        <v>181.00622125583806</v>
      </c>
      <c r="CG26" s="57">
        <v>126.408</v>
      </c>
      <c r="CH26" s="84">
        <v>112.505</v>
      </c>
      <c r="CI26" s="57">
        <f>CG26/CH26</f>
        <v>1.1235767299231145</v>
      </c>
      <c r="CJ26" s="55">
        <f>CF26/L26</f>
        <v>2.7015853918781798</v>
      </c>
      <c r="CK26" s="55">
        <f>CJ26*CI26</f>
        <v>3.0354384802145411</v>
      </c>
      <c r="CL26" s="429">
        <v>2.58</v>
      </c>
      <c r="CM26" s="429">
        <v>2.58</v>
      </c>
      <c r="CN26" s="429">
        <v>2.58</v>
      </c>
      <c r="CO26" s="429">
        <v>2.58</v>
      </c>
      <c r="CP26" s="429">
        <v>2.58</v>
      </c>
      <c r="CQ26" s="429">
        <v>2.58</v>
      </c>
      <c r="CR26" s="429">
        <v>2.58</v>
      </c>
      <c r="CS26" s="429">
        <f>SUM(CL26:CR26)</f>
        <v>18.060000000000002</v>
      </c>
      <c r="CT26" s="439">
        <f>CF26-CS26</f>
        <v>162.94622125583805</v>
      </c>
      <c r="CU26" s="429">
        <v>2.58</v>
      </c>
      <c r="CV26" s="429">
        <v>2.58</v>
      </c>
      <c r="CW26" s="429">
        <v>2.58</v>
      </c>
      <c r="CX26" s="429">
        <v>2.58</v>
      </c>
      <c r="CY26" s="429">
        <v>2.58</v>
      </c>
      <c r="CZ26" s="505">
        <f t="shared" si="2"/>
        <v>12.9</v>
      </c>
      <c r="DA26" s="679">
        <f t="shared" si="3"/>
        <v>150.04622125583805</v>
      </c>
      <c r="DB26" s="956">
        <v>132.28200000000001</v>
      </c>
      <c r="DC26" s="659">
        <v>112.505</v>
      </c>
      <c r="DD26" s="957">
        <f t="shared" si="4"/>
        <v>1.1757877427669883</v>
      </c>
      <c r="DE26" s="511">
        <f>DA26/L26</f>
        <v>2.2394958396393738</v>
      </c>
      <c r="DF26" s="511">
        <f t="shared" si="5"/>
        <v>2.6331717582256404</v>
      </c>
      <c r="DG26" s="511">
        <v>2.2421517492458403</v>
      </c>
      <c r="DH26" s="511">
        <v>2.2421517492458403</v>
      </c>
      <c r="DI26" s="511">
        <v>2.2421517492458403</v>
      </c>
      <c r="DJ26" s="511">
        <v>2.2421517492458403</v>
      </c>
      <c r="DK26" s="511">
        <v>2.2421517492458403</v>
      </c>
      <c r="DL26" s="511">
        <v>2.2421517492458403</v>
      </c>
      <c r="DM26" s="511">
        <v>2.2421517492458403</v>
      </c>
      <c r="DN26" s="511">
        <v>2.2421517492458403</v>
      </c>
      <c r="DO26" s="511">
        <v>2.2421517492458403</v>
      </c>
      <c r="DP26" s="511">
        <v>2.2421517492458403</v>
      </c>
      <c r="DQ26" s="511">
        <v>2.2421517492458403</v>
      </c>
      <c r="DR26" s="511">
        <v>2.2421517492458403</v>
      </c>
      <c r="DS26" s="511">
        <v>2.2421517492458403</v>
      </c>
      <c r="DT26" s="511">
        <v>2.2421517492458403</v>
      </c>
      <c r="DU26" s="511">
        <v>2.2421517492458403</v>
      </c>
      <c r="DV26" s="511">
        <v>2.2421517492458403</v>
      </c>
      <c r="DW26" s="511">
        <v>2.2421517492458403</v>
      </c>
      <c r="DX26" s="511">
        <v>2.2421517492458403</v>
      </c>
      <c r="DY26" s="511">
        <f t="shared" si="10"/>
        <v>40.358731486425143</v>
      </c>
      <c r="DZ26" s="756">
        <f t="shared" si="9"/>
        <v>109.68748976941291</v>
      </c>
    </row>
    <row r="27" spans="1:130" s="16" customFormat="1" x14ac:dyDescent="0.2">
      <c r="A27" s="120" t="s">
        <v>158</v>
      </c>
      <c r="B27" s="120" t="s">
        <v>89</v>
      </c>
      <c r="C27" s="45"/>
      <c r="D27" s="58"/>
      <c r="E27" s="130"/>
      <c r="F27" s="46"/>
      <c r="G27" s="58"/>
      <c r="H27" s="145"/>
      <c r="I27" s="165"/>
      <c r="J27" s="48"/>
      <c r="K27" s="165"/>
      <c r="L27" s="48"/>
      <c r="M27" s="165"/>
      <c r="N27" s="48"/>
      <c r="O27" s="165"/>
      <c r="P27" s="48"/>
      <c r="Q27" s="48"/>
      <c r="R27" s="125"/>
      <c r="S27" s="128"/>
      <c r="T27" s="7"/>
      <c r="U27" s="1081"/>
      <c r="V27" s="776"/>
      <c r="W27" s="47"/>
      <c r="X27" s="106"/>
      <c r="Y27" s="66"/>
      <c r="Z27" s="57"/>
      <c r="AA27" s="84"/>
      <c r="AB27" s="57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72"/>
      <c r="AS27" s="32"/>
      <c r="AT27" s="32"/>
      <c r="AU27" s="429">
        <f t="shared" si="7"/>
        <v>0</v>
      </c>
      <c r="AV27" s="429">
        <f t="shared" si="7"/>
        <v>0</v>
      </c>
      <c r="AW27" s="429">
        <f t="shared" si="7"/>
        <v>0</v>
      </c>
      <c r="AX27" s="429">
        <f t="shared" si="7"/>
        <v>0</v>
      </c>
      <c r="AY27" s="429">
        <f t="shared" si="7"/>
        <v>0</v>
      </c>
      <c r="AZ27" s="57"/>
      <c r="BA27" s="84"/>
      <c r="BB27" s="57"/>
      <c r="BC27" s="55"/>
      <c r="BD27" s="55"/>
      <c r="BE27" s="429"/>
      <c r="BF27" s="429"/>
      <c r="BG27" s="429"/>
      <c r="BH27" s="429"/>
      <c r="BI27" s="32"/>
      <c r="BJ27" s="32"/>
      <c r="BK27" s="32"/>
      <c r="BL27" s="429"/>
      <c r="BM27" s="439"/>
      <c r="BN27" s="32"/>
      <c r="BO27" s="32"/>
      <c r="BP27" s="32"/>
      <c r="BQ27" s="32"/>
      <c r="BR27" s="32"/>
      <c r="BS27" s="57"/>
      <c r="BT27" s="84"/>
      <c r="BU27" s="57"/>
      <c r="BV27" s="55"/>
      <c r="BW27" s="55"/>
      <c r="BX27" s="429"/>
      <c r="BY27" s="429"/>
      <c r="BZ27" s="429"/>
      <c r="CA27" s="429"/>
      <c r="CB27" s="32"/>
      <c r="CC27" s="32"/>
      <c r="CD27" s="32"/>
      <c r="CE27" s="429"/>
      <c r="CF27" s="439"/>
      <c r="CG27" s="57"/>
      <c r="CH27" s="84"/>
      <c r="CI27" s="57"/>
      <c r="CJ27" s="55"/>
      <c r="CK27" s="55"/>
      <c r="CL27" s="429"/>
      <c r="CM27" s="429"/>
      <c r="CN27" s="429"/>
      <c r="CO27" s="429"/>
      <c r="CP27" s="429"/>
      <c r="CQ27" s="429"/>
      <c r="CR27" s="429"/>
      <c r="CS27" s="429"/>
      <c r="CT27" s="439"/>
      <c r="CU27" s="429"/>
      <c r="CV27" s="429"/>
      <c r="CW27" s="429"/>
      <c r="CX27" s="429"/>
      <c r="CY27" s="429"/>
      <c r="CZ27" s="505"/>
      <c r="DA27" s="679"/>
      <c r="DB27" s="956"/>
      <c r="DC27" s="659"/>
      <c r="DD27" s="957"/>
      <c r="DE27" s="511"/>
      <c r="DF27" s="511"/>
      <c r="DG27" s="511"/>
      <c r="DH27" s="511"/>
      <c r="DI27" s="511"/>
      <c r="DJ27" s="511"/>
      <c r="DK27" s="511"/>
      <c r="DL27" s="511"/>
      <c r="DM27" s="511"/>
      <c r="DN27" s="511"/>
      <c r="DO27" s="511"/>
      <c r="DP27" s="511"/>
      <c r="DQ27" s="511"/>
      <c r="DR27" s="511"/>
      <c r="DS27" s="511"/>
      <c r="DT27" s="511"/>
      <c r="DU27" s="511"/>
      <c r="DV27" s="511"/>
      <c r="DW27" s="511"/>
      <c r="DX27" s="511"/>
      <c r="DY27" s="511">
        <f t="shared" si="10"/>
        <v>0</v>
      </c>
      <c r="DZ27" s="756"/>
    </row>
    <row r="28" spans="1:130" s="16" customFormat="1" x14ac:dyDescent="0.2">
      <c r="A28" s="120" t="s">
        <v>160</v>
      </c>
      <c r="B28" s="100"/>
      <c r="C28" s="45"/>
      <c r="D28" s="58"/>
      <c r="E28" s="130"/>
      <c r="F28" s="46"/>
      <c r="G28" s="58"/>
      <c r="H28" s="145"/>
      <c r="I28" s="165"/>
      <c r="J28" s="48"/>
      <c r="K28" s="165"/>
      <c r="L28" s="48"/>
      <c r="M28" s="165"/>
      <c r="N28" s="48"/>
      <c r="O28" s="165"/>
      <c r="P28" s="48"/>
      <c r="Q28" s="48"/>
      <c r="R28" s="125"/>
      <c r="S28" s="128"/>
      <c r="T28" s="7"/>
      <c r="U28" s="153"/>
      <c r="V28" s="156"/>
      <c r="W28" s="134"/>
      <c r="X28" s="106"/>
      <c r="Y28" s="66"/>
      <c r="Z28" s="57"/>
      <c r="AA28" s="80"/>
      <c r="AB28" s="57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72"/>
      <c r="AS28" s="32"/>
      <c r="AT28" s="32"/>
      <c r="AU28" s="429">
        <f t="shared" si="7"/>
        <v>0</v>
      </c>
      <c r="AV28" s="429">
        <f t="shared" si="7"/>
        <v>0</v>
      </c>
      <c r="AW28" s="429">
        <f t="shared" si="7"/>
        <v>0</v>
      </c>
      <c r="AX28" s="429">
        <f t="shared" si="7"/>
        <v>0</v>
      </c>
      <c r="AY28" s="429">
        <f t="shared" si="7"/>
        <v>0</v>
      </c>
      <c r="AZ28" s="57"/>
      <c r="BA28" s="80"/>
      <c r="BB28" s="57"/>
      <c r="BC28" s="55"/>
      <c r="BD28" s="55"/>
      <c r="BE28" s="429"/>
      <c r="BF28" s="429"/>
      <c r="BG28" s="429"/>
      <c r="BH28" s="429"/>
      <c r="BI28" s="32"/>
      <c r="BJ28" s="32"/>
      <c r="BK28" s="32"/>
      <c r="BL28" s="429"/>
      <c r="BM28" s="439"/>
      <c r="BN28" s="32"/>
      <c r="BO28" s="32"/>
      <c r="BP28" s="32"/>
      <c r="BQ28" s="32"/>
      <c r="BR28" s="32"/>
      <c r="BS28" s="57"/>
      <c r="BT28" s="80"/>
      <c r="BU28" s="57"/>
      <c r="BV28" s="55"/>
      <c r="BW28" s="55"/>
      <c r="BX28" s="429"/>
      <c r="BY28" s="429"/>
      <c r="BZ28" s="429"/>
      <c r="CA28" s="429"/>
      <c r="CB28" s="32"/>
      <c r="CC28" s="32"/>
      <c r="CD28" s="32"/>
      <c r="CE28" s="429"/>
      <c r="CF28" s="439"/>
      <c r="CG28" s="57"/>
      <c r="CH28" s="80"/>
      <c r="CI28" s="57"/>
      <c r="CJ28" s="55"/>
      <c r="CK28" s="55"/>
      <c r="CL28" s="429"/>
      <c r="CM28" s="429"/>
      <c r="CN28" s="429"/>
      <c r="CO28" s="429"/>
      <c r="CP28" s="429"/>
      <c r="CQ28" s="429"/>
      <c r="CR28" s="429"/>
      <c r="CS28" s="429"/>
      <c r="CT28" s="439"/>
      <c r="CU28" s="429"/>
      <c r="CV28" s="429"/>
      <c r="CW28" s="429"/>
      <c r="CX28" s="429"/>
      <c r="CY28" s="429"/>
      <c r="CZ28" s="505"/>
      <c r="DA28" s="679"/>
      <c r="DB28" s="956"/>
      <c r="DC28" s="688"/>
      <c r="DD28" s="957"/>
      <c r="DE28" s="511"/>
      <c r="DF28" s="511"/>
      <c r="DG28" s="511"/>
      <c r="DH28" s="511"/>
      <c r="DI28" s="511"/>
      <c r="DJ28" s="511"/>
      <c r="DK28" s="511"/>
      <c r="DL28" s="511"/>
      <c r="DM28" s="511"/>
      <c r="DN28" s="511"/>
      <c r="DO28" s="511"/>
      <c r="DP28" s="511"/>
      <c r="DQ28" s="511"/>
      <c r="DR28" s="511"/>
      <c r="DS28" s="511"/>
      <c r="DT28" s="511"/>
      <c r="DU28" s="511"/>
      <c r="DV28" s="511"/>
      <c r="DW28" s="511"/>
      <c r="DX28" s="511"/>
      <c r="DY28" s="511">
        <f t="shared" si="10"/>
        <v>0</v>
      </c>
      <c r="DZ28" s="756"/>
    </row>
    <row r="29" spans="1:130" s="16" customFormat="1" x14ac:dyDescent="0.2">
      <c r="A29" s="119" t="s">
        <v>161</v>
      </c>
      <c r="B29" s="100" t="s">
        <v>50</v>
      </c>
      <c r="C29" s="45" t="s">
        <v>349</v>
      </c>
      <c r="D29" s="58">
        <v>10</v>
      </c>
      <c r="E29" s="130">
        <v>0.1</v>
      </c>
      <c r="F29" s="46">
        <v>43281</v>
      </c>
      <c r="G29" s="58">
        <v>120</v>
      </c>
      <c r="H29" s="145">
        <f>100/G29</f>
        <v>0.83333333333333337</v>
      </c>
      <c r="I29" s="165">
        <f>H29*J29</f>
        <v>54.166666666666671</v>
      </c>
      <c r="J29" s="48">
        <f>(YEAR(F29)-YEAR(S29))*12+MONTH(F29)-MONTH(S29)</f>
        <v>65</v>
      </c>
      <c r="K29" s="165">
        <f>L29*H29</f>
        <v>45.833333333333336</v>
      </c>
      <c r="L29" s="48">
        <f>G29-J29</f>
        <v>55</v>
      </c>
      <c r="M29" s="165">
        <f>N29*H29</f>
        <v>5.8333333333333339</v>
      </c>
      <c r="N29" s="48">
        <v>7</v>
      </c>
      <c r="O29" s="165">
        <f>K29-M29</f>
        <v>40</v>
      </c>
      <c r="P29" s="48">
        <f>L29-N29</f>
        <v>48</v>
      </c>
      <c r="Q29" s="462">
        <f>DATE(YEAR(S29),MONTH(S29)+G29,DAY(S29))</f>
        <v>44927</v>
      </c>
      <c r="R29" s="46" t="s">
        <v>445</v>
      </c>
      <c r="S29" s="128">
        <v>41275</v>
      </c>
      <c r="T29" s="7">
        <v>499</v>
      </c>
      <c r="U29" s="1081"/>
      <c r="V29" s="776">
        <v>378.39</v>
      </c>
      <c r="W29" s="47"/>
      <c r="X29" s="106">
        <v>20.8</v>
      </c>
      <c r="Y29" s="165">
        <v>0</v>
      </c>
      <c r="Z29" s="57">
        <v>115.958</v>
      </c>
      <c r="AA29" s="80">
        <v>107.678</v>
      </c>
      <c r="AB29" s="57">
        <f>Z29/AA29</f>
        <v>1.0768959304593324</v>
      </c>
      <c r="AC29" s="55">
        <f>V29*M29/100/K29*100/7</f>
        <v>6.8798181818181812</v>
      </c>
      <c r="AD29" s="55">
        <f>AC29*AB29</f>
        <v>7.4088482023001223</v>
      </c>
      <c r="AE29" s="55"/>
      <c r="AF29" s="55"/>
      <c r="AG29" s="55"/>
      <c r="AH29" s="55"/>
      <c r="AI29" s="55"/>
      <c r="AJ29" s="55">
        <f>AD29</f>
        <v>7.4088482023001223</v>
      </c>
      <c r="AK29" s="55">
        <v>4.47787528710447</v>
      </c>
      <c r="AL29" s="55">
        <v>4.47787528710447</v>
      </c>
      <c r="AM29" s="55">
        <v>4.47787528710447</v>
      </c>
      <c r="AN29" s="55">
        <v>4.47787528710447</v>
      </c>
      <c r="AO29" s="55">
        <v>4.47787528710447</v>
      </c>
      <c r="AP29" s="55">
        <v>4.47787528710447</v>
      </c>
      <c r="AQ29" s="55">
        <f>SUM(AE29:AP29)+X29</f>
        <v>55.07609992492695</v>
      </c>
      <c r="AR29" s="72">
        <f>V29-AQ29</f>
        <v>323.31390007507304</v>
      </c>
      <c r="AS29" s="32"/>
      <c r="AT29" s="32"/>
      <c r="AU29" s="429">
        <f t="shared" si="7"/>
        <v>4.47787528710447</v>
      </c>
      <c r="AV29" s="429">
        <f t="shared" si="7"/>
        <v>4.47787528710447</v>
      </c>
      <c r="AW29" s="429">
        <f t="shared" si="7"/>
        <v>4.47787528710447</v>
      </c>
      <c r="AX29" s="429">
        <f t="shared" si="7"/>
        <v>4.47787528710447</v>
      </c>
      <c r="AY29" s="429">
        <f t="shared" si="7"/>
        <v>4.47787528710447</v>
      </c>
      <c r="AZ29" s="57">
        <v>118.901</v>
      </c>
      <c r="BA29" s="80">
        <v>107.678</v>
      </c>
      <c r="BB29" s="57">
        <f>AZ29/BA29</f>
        <v>1.1042274187856387</v>
      </c>
      <c r="BC29" s="55">
        <f>T29/(D29*12)</f>
        <v>4.1583333333333332</v>
      </c>
      <c r="BD29" s="55">
        <f>BC29*BB29</f>
        <v>4.5917456831169474</v>
      </c>
      <c r="BE29" s="429">
        <f>$BD29</f>
        <v>4.5917456831169474</v>
      </c>
      <c r="BF29" s="429">
        <f>$BD29</f>
        <v>4.5917456831169474</v>
      </c>
      <c r="BG29" s="429">
        <f>$BD29</f>
        <v>4.5917456831169474</v>
      </c>
      <c r="BH29" s="429">
        <f>$BD29</f>
        <v>4.5917456831169474</v>
      </c>
      <c r="BI29" s="32">
        <v>4.59</v>
      </c>
      <c r="BJ29" s="32">
        <v>4.59</v>
      </c>
      <c r="BK29" s="32">
        <v>4.59</v>
      </c>
      <c r="BL29" s="429">
        <f>SUM((AU29:AY29),(BE29:BK29))</f>
        <v>54.526359167990151</v>
      </c>
      <c r="BM29" s="439">
        <f>(AR29-BL29)</f>
        <v>268.78754090708287</v>
      </c>
      <c r="BN29" s="32">
        <v>4.59</v>
      </c>
      <c r="BO29" s="32">
        <v>4.59</v>
      </c>
      <c r="BP29" s="32">
        <v>4.59</v>
      </c>
      <c r="BQ29" s="32">
        <v>4.59</v>
      </c>
      <c r="BR29" s="32">
        <v>4.59</v>
      </c>
      <c r="BS29" s="57">
        <v>118.901</v>
      </c>
      <c r="BT29" s="80">
        <v>107.678</v>
      </c>
      <c r="BU29" s="57">
        <f>BS29/BT29</f>
        <v>1.1042274187856387</v>
      </c>
      <c r="BV29" s="55"/>
      <c r="BW29" s="55"/>
      <c r="BX29" s="429"/>
      <c r="BY29" s="429"/>
      <c r="BZ29" s="429"/>
      <c r="CA29" s="429"/>
      <c r="CB29" s="32"/>
      <c r="CC29" s="32"/>
      <c r="CD29" s="32"/>
      <c r="CE29" s="429">
        <f>SUM((BN29:BR29),(BX29:CD29))</f>
        <v>22.95</v>
      </c>
      <c r="CF29" s="439">
        <f>BM29-CE29</f>
        <v>245.83754090708288</v>
      </c>
      <c r="CG29" s="57">
        <v>126.408</v>
      </c>
      <c r="CH29" s="80">
        <v>107.678</v>
      </c>
      <c r="CI29" s="57">
        <f>CG29/CH29</f>
        <v>1.1739445383458089</v>
      </c>
      <c r="CJ29" s="55">
        <f>CF29/L29</f>
        <v>4.4697734710378709</v>
      </c>
      <c r="CK29" s="55">
        <f>CJ29*CI29</f>
        <v>5.2472661539678969</v>
      </c>
      <c r="CL29" s="429">
        <v>4.33</v>
      </c>
      <c r="CM29" s="429">
        <v>4.33</v>
      </c>
      <c r="CN29" s="429">
        <v>4.33</v>
      </c>
      <c r="CO29" s="429">
        <v>4.33</v>
      </c>
      <c r="CP29" s="429">
        <v>4.33</v>
      </c>
      <c r="CQ29" s="429">
        <v>4.33</v>
      </c>
      <c r="CR29" s="429">
        <v>4.33</v>
      </c>
      <c r="CS29" s="429">
        <f>SUM(CL29:CR29)</f>
        <v>30.309999999999995</v>
      </c>
      <c r="CT29" s="439">
        <f>CF29-CS29</f>
        <v>215.52754090708288</v>
      </c>
      <c r="CU29" s="429">
        <v>4.33</v>
      </c>
      <c r="CV29" s="429">
        <v>4.33</v>
      </c>
      <c r="CW29" s="429">
        <v>4.33</v>
      </c>
      <c r="CX29" s="429">
        <v>4.33</v>
      </c>
      <c r="CY29" s="429">
        <v>4.33</v>
      </c>
      <c r="CZ29" s="505">
        <f t="shared" si="2"/>
        <v>21.65</v>
      </c>
      <c r="DA29" s="679">
        <f t="shared" si="3"/>
        <v>193.87754090708287</v>
      </c>
      <c r="DB29" s="956">
        <v>132.28200000000001</v>
      </c>
      <c r="DC29" s="688">
        <v>107.678</v>
      </c>
      <c r="DD29" s="957">
        <f t="shared" si="4"/>
        <v>1.2284960716209441</v>
      </c>
      <c r="DE29" s="511">
        <f>DA29/L29</f>
        <v>3.5250461983105978</v>
      </c>
      <c r="DF29" s="511">
        <f t="shared" si="5"/>
        <v>4.3305054069069131</v>
      </c>
      <c r="DG29" s="511">
        <v>3.5792232825558279</v>
      </c>
      <c r="DH29" s="511">
        <v>3.5792232825558279</v>
      </c>
      <c r="DI29" s="511">
        <v>3.5792232825558279</v>
      </c>
      <c r="DJ29" s="511">
        <v>3.5792232825558279</v>
      </c>
      <c r="DK29" s="511">
        <v>3.5792232825558279</v>
      </c>
      <c r="DL29" s="511">
        <v>3.5792232825558279</v>
      </c>
      <c r="DM29" s="511">
        <v>3.5792232825558279</v>
      </c>
      <c r="DN29" s="511">
        <v>3.5792232825558279</v>
      </c>
      <c r="DO29" s="511">
        <v>3.5792232825558279</v>
      </c>
      <c r="DP29" s="511">
        <v>3.5792232825558279</v>
      </c>
      <c r="DQ29" s="511">
        <v>3.5792232825558279</v>
      </c>
      <c r="DR29" s="511">
        <v>3.5792232825558279</v>
      </c>
      <c r="DS29" s="511">
        <v>3.5792232825558279</v>
      </c>
      <c r="DT29" s="511">
        <v>3.5792232825558279</v>
      </c>
      <c r="DU29" s="511">
        <v>3.5792232825558279</v>
      </c>
      <c r="DV29" s="511">
        <v>3.5792232825558279</v>
      </c>
      <c r="DW29" s="511">
        <v>3.5792232825558279</v>
      </c>
      <c r="DX29" s="511">
        <v>3.5792232825558279</v>
      </c>
      <c r="DY29" s="511">
        <f t="shared" si="10"/>
        <v>64.426019086004914</v>
      </c>
      <c r="DZ29" s="756">
        <f t="shared" si="9"/>
        <v>129.45152182107796</v>
      </c>
    </row>
    <row r="30" spans="1:130" s="16" customFormat="1" x14ac:dyDescent="0.2">
      <c r="A30" s="120" t="s">
        <v>236</v>
      </c>
      <c r="B30" s="120" t="s">
        <v>89</v>
      </c>
      <c r="C30" s="45"/>
      <c r="D30" s="58"/>
      <c r="E30" s="130"/>
      <c r="F30" s="46"/>
      <c r="G30" s="58"/>
      <c r="H30" s="145"/>
      <c r="I30" s="165"/>
      <c r="J30" s="48"/>
      <c r="K30" s="165"/>
      <c r="L30" s="48"/>
      <c r="M30" s="165"/>
      <c r="N30" s="48"/>
      <c r="O30" s="165"/>
      <c r="P30" s="48"/>
      <c r="Q30" s="48"/>
      <c r="R30" s="119"/>
      <c r="S30" s="128"/>
      <c r="T30" s="7"/>
      <c r="U30" s="1081"/>
      <c r="V30" s="776"/>
      <c r="W30" s="47"/>
      <c r="X30" s="106"/>
      <c r="Y30" s="66"/>
      <c r="Z30" s="57"/>
      <c r="AA30" s="80"/>
      <c r="AB30" s="57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72"/>
      <c r="AS30" s="32"/>
      <c r="AT30" s="32"/>
      <c r="AU30" s="429">
        <f t="shared" si="7"/>
        <v>0</v>
      </c>
      <c r="AV30" s="429">
        <f t="shared" si="7"/>
        <v>0</v>
      </c>
      <c r="AW30" s="429">
        <f t="shared" si="7"/>
        <v>0</v>
      </c>
      <c r="AX30" s="429">
        <f t="shared" si="7"/>
        <v>0</v>
      </c>
      <c r="AY30" s="429">
        <f t="shared" si="7"/>
        <v>0</v>
      </c>
      <c r="AZ30" s="57"/>
      <c r="BA30" s="80"/>
      <c r="BB30" s="57"/>
      <c r="BC30" s="55"/>
      <c r="BD30" s="55"/>
      <c r="BE30" s="429"/>
      <c r="BF30" s="429"/>
      <c r="BG30" s="429"/>
      <c r="BH30" s="429"/>
      <c r="BI30" s="32"/>
      <c r="BJ30" s="32"/>
      <c r="BK30" s="32"/>
      <c r="BL30" s="429"/>
      <c r="BM30" s="439"/>
      <c r="BN30" s="32"/>
      <c r="BO30" s="32"/>
      <c r="BP30" s="32"/>
      <c r="BQ30" s="32"/>
      <c r="BR30" s="32"/>
      <c r="BS30" s="57"/>
      <c r="BT30" s="80"/>
      <c r="BU30" s="57"/>
      <c r="BV30" s="55"/>
      <c r="BW30" s="55"/>
      <c r="BX30" s="429"/>
      <c r="BY30" s="429"/>
      <c r="BZ30" s="429"/>
      <c r="CA30" s="429"/>
      <c r="CB30" s="32"/>
      <c r="CC30" s="32"/>
      <c r="CD30" s="32"/>
      <c r="CE30" s="429"/>
      <c r="CF30" s="439"/>
      <c r="CG30" s="57"/>
      <c r="CH30" s="80"/>
      <c r="CI30" s="57"/>
      <c r="CJ30" s="55"/>
      <c r="CK30" s="55"/>
      <c r="CL30" s="429"/>
      <c r="CM30" s="429"/>
      <c r="CN30" s="429"/>
      <c r="CO30" s="429"/>
      <c r="CP30" s="429"/>
      <c r="CQ30" s="429"/>
      <c r="CR30" s="429"/>
      <c r="CS30" s="429"/>
      <c r="CT30" s="439"/>
      <c r="CU30" s="429"/>
      <c r="CV30" s="429"/>
      <c r="CW30" s="429"/>
      <c r="CX30" s="429"/>
      <c r="CY30" s="429"/>
      <c r="CZ30" s="505"/>
      <c r="DA30" s="679"/>
      <c r="DB30" s="956"/>
      <c r="DC30" s="688"/>
      <c r="DD30" s="957"/>
      <c r="DE30" s="511"/>
      <c r="DF30" s="511"/>
      <c r="DG30" s="511"/>
      <c r="DH30" s="511"/>
      <c r="DI30" s="511"/>
      <c r="DJ30" s="511"/>
      <c r="DK30" s="511"/>
      <c r="DL30" s="511"/>
      <c r="DM30" s="511"/>
      <c r="DN30" s="511"/>
      <c r="DO30" s="511"/>
      <c r="DP30" s="511"/>
      <c r="DQ30" s="511"/>
      <c r="DR30" s="511"/>
      <c r="DS30" s="511"/>
      <c r="DT30" s="511"/>
      <c r="DU30" s="511"/>
      <c r="DV30" s="511"/>
      <c r="DW30" s="511"/>
      <c r="DX30" s="511"/>
      <c r="DY30" s="511">
        <f t="shared" si="10"/>
        <v>0</v>
      </c>
      <c r="DZ30" s="756"/>
    </row>
    <row r="31" spans="1:130" s="16" customFormat="1" x14ac:dyDescent="0.2">
      <c r="A31" s="120" t="s">
        <v>237</v>
      </c>
      <c r="B31" s="100"/>
      <c r="C31" s="45"/>
      <c r="D31" s="58"/>
      <c r="E31" s="130"/>
      <c r="F31" s="46"/>
      <c r="G31" s="58"/>
      <c r="H31" s="145"/>
      <c r="I31" s="165"/>
      <c r="J31" s="48"/>
      <c r="K31" s="165"/>
      <c r="L31" s="48"/>
      <c r="M31" s="165"/>
      <c r="N31" s="48"/>
      <c r="O31" s="165"/>
      <c r="P31" s="48"/>
      <c r="Q31" s="48"/>
      <c r="R31" s="125"/>
      <c r="S31" s="128"/>
      <c r="T31" s="7"/>
      <c r="U31" s="1081"/>
      <c r="V31" s="776"/>
      <c r="W31" s="47"/>
      <c r="X31" s="106"/>
      <c r="Y31" s="66"/>
      <c r="Z31" s="57"/>
      <c r="AA31" s="80"/>
      <c r="AB31" s="57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72"/>
      <c r="AS31" s="32"/>
      <c r="AT31" s="32"/>
      <c r="AU31" s="429">
        <f t="shared" si="7"/>
        <v>0</v>
      </c>
      <c r="AV31" s="429">
        <f t="shared" si="7"/>
        <v>0</v>
      </c>
      <c r="AW31" s="429">
        <f t="shared" si="7"/>
        <v>0</v>
      </c>
      <c r="AX31" s="429">
        <f t="shared" si="7"/>
        <v>0</v>
      </c>
      <c r="AY31" s="429">
        <f t="shared" si="7"/>
        <v>0</v>
      </c>
      <c r="AZ31" s="57"/>
      <c r="BA31" s="80"/>
      <c r="BB31" s="57"/>
      <c r="BC31" s="55"/>
      <c r="BD31" s="55"/>
      <c r="BE31" s="429"/>
      <c r="BF31" s="429"/>
      <c r="BG31" s="429"/>
      <c r="BH31" s="429"/>
      <c r="BI31" s="32"/>
      <c r="BJ31" s="32"/>
      <c r="BK31" s="32"/>
      <c r="BL31" s="429"/>
      <c r="BM31" s="439"/>
      <c r="BN31" s="32"/>
      <c r="BO31" s="32"/>
      <c r="BP31" s="32"/>
      <c r="BQ31" s="32"/>
      <c r="BR31" s="32"/>
      <c r="BS31" s="57"/>
      <c r="BT31" s="80"/>
      <c r="BU31" s="57"/>
      <c r="BV31" s="55"/>
      <c r="BW31" s="55"/>
      <c r="BX31" s="429"/>
      <c r="BY31" s="429"/>
      <c r="BZ31" s="429"/>
      <c r="CA31" s="429"/>
      <c r="CB31" s="32"/>
      <c r="CC31" s="32"/>
      <c r="CD31" s="32"/>
      <c r="CE31" s="429"/>
      <c r="CF31" s="439"/>
      <c r="CG31" s="57"/>
      <c r="CH31" s="80"/>
      <c r="CI31" s="57"/>
      <c r="CJ31" s="55"/>
      <c r="CK31" s="55"/>
      <c r="CL31" s="429"/>
      <c r="CM31" s="429"/>
      <c r="CN31" s="429"/>
      <c r="CO31" s="429"/>
      <c r="CP31" s="429"/>
      <c r="CQ31" s="429"/>
      <c r="CR31" s="429"/>
      <c r="CS31" s="429"/>
      <c r="CT31" s="439"/>
      <c r="CU31" s="429"/>
      <c r="CV31" s="429"/>
      <c r="CW31" s="429"/>
      <c r="CX31" s="429"/>
      <c r="CY31" s="429"/>
      <c r="CZ31" s="505"/>
      <c r="DA31" s="679"/>
      <c r="DB31" s="956"/>
      <c r="DC31" s="688"/>
      <c r="DD31" s="957"/>
      <c r="DE31" s="511"/>
      <c r="DF31" s="511"/>
      <c r="DG31" s="511"/>
      <c r="DH31" s="511"/>
      <c r="DI31" s="511"/>
      <c r="DJ31" s="511"/>
      <c r="DK31" s="511"/>
      <c r="DL31" s="511"/>
      <c r="DM31" s="511"/>
      <c r="DN31" s="511"/>
      <c r="DO31" s="511"/>
      <c r="DP31" s="511"/>
      <c r="DQ31" s="511"/>
      <c r="DR31" s="511"/>
      <c r="DS31" s="511"/>
      <c r="DT31" s="511"/>
      <c r="DU31" s="511"/>
      <c r="DV31" s="511"/>
      <c r="DW31" s="511"/>
      <c r="DX31" s="511"/>
      <c r="DY31" s="511">
        <f t="shared" si="10"/>
        <v>0</v>
      </c>
      <c r="DZ31" s="756"/>
    </row>
    <row r="32" spans="1:130" s="16" customFormat="1" x14ac:dyDescent="0.2">
      <c r="A32" s="119" t="s">
        <v>238</v>
      </c>
      <c r="B32" s="100" t="s">
        <v>239</v>
      </c>
      <c r="C32" s="45" t="s">
        <v>349</v>
      </c>
      <c r="D32" s="58">
        <v>10</v>
      </c>
      <c r="E32" s="130">
        <v>0.1</v>
      </c>
      <c r="F32" s="46">
        <v>43281</v>
      </c>
      <c r="G32" s="58">
        <v>120</v>
      </c>
      <c r="H32" s="145">
        <f>100/G32</f>
        <v>0.83333333333333337</v>
      </c>
      <c r="I32" s="165">
        <f>H32*J32</f>
        <v>39.166666666666671</v>
      </c>
      <c r="J32" s="48">
        <f>(YEAR(F32)-YEAR(S32))*12+MONTH(F32)-MONTH(S32)</f>
        <v>47</v>
      </c>
      <c r="K32" s="165">
        <f>L32*H32</f>
        <v>60.833333333333336</v>
      </c>
      <c r="L32" s="48">
        <f>G32-J32</f>
        <v>73</v>
      </c>
      <c r="M32" s="165">
        <f>N32*H32</f>
        <v>5.8333333333333339</v>
      </c>
      <c r="N32" s="48">
        <v>7</v>
      </c>
      <c r="O32" s="165">
        <f>K32-M32</f>
        <v>55</v>
      </c>
      <c r="P32" s="48">
        <f>L32-N32</f>
        <v>66</v>
      </c>
      <c r="Q32" s="462">
        <f>DATE(YEAR(S32),MONTH(S32)+G32,DAY(S32))</f>
        <v>45491</v>
      </c>
      <c r="R32" s="46" t="s">
        <v>576</v>
      </c>
      <c r="S32" s="128">
        <v>41838</v>
      </c>
      <c r="T32" s="7">
        <v>2088</v>
      </c>
      <c r="U32" s="1081"/>
      <c r="V32" s="776">
        <v>1792.2</v>
      </c>
      <c r="W32" s="47"/>
      <c r="X32" s="106">
        <v>87</v>
      </c>
      <c r="Y32" s="165">
        <v>0</v>
      </c>
      <c r="Z32" s="57">
        <v>115.958</v>
      </c>
      <c r="AA32" s="80">
        <v>113.032</v>
      </c>
      <c r="AB32" s="57">
        <f>Z32/AA32</f>
        <v>1.0258864746266545</v>
      </c>
      <c r="AC32" s="55">
        <f>V32*M32/100/K32*100/7</f>
        <v>24.550684931506854</v>
      </c>
      <c r="AD32" s="55">
        <f>AC32*AB32</f>
        <v>25.186215614053296</v>
      </c>
      <c r="AE32" s="55"/>
      <c r="AF32" s="55"/>
      <c r="AG32" s="55"/>
      <c r="AH32" s="55"/>
      <c r="AI32" s="55"/>
      <c r="AJ32" s="55">
        <f>AD32</f>
        <v>25.186215614053296</v>
      </c>
      <c r="AK32" s="55">
        <v>16.86783247546688</v>
      </c>
      <c r="AL32" s="55">
        <v>16.86783247546688</v>
      </c>
      <c r="AM32" s="55">
        <v>16.86783247546688</v>
      </c>
      <c r="AN32" s="55">
        <v>16.86783247546688</v>
      </c>
      <c r="AO32" s="55">
        <v>16.86783247546688</v>
      </c>
      <c r="AP32" s="55">
        <v>16.86783247546688</v>
      </c>
      <c r="AQ32" s="55">
        <f>SUM(AE32:AP32)+X32</f>
        <v>213.39321046685461</v>
      </c>
      <c r="AR32" s="72">
        <f>V32-AQ32</f>
        <v>1578.8067895331455</v>
      </c>
      <c r="AS32" s="32"/>
      <c r="AT32" s="32"/>
      <c r="AU32" s="429">
        <f t="shared" si="7"/>
        <v>16.86783247546688</v>
      </c>
      <c r="AV32" s="429">
        <f t="shared" si="7"/>
        <v>16.86783247546688</v>
      </c>
      <c r="AW32" s="429">
        <f t="shared" si="7"/>
        <v>16.86783247546688</v>
      </c>
      <c r="AX32" s="429">
        <f t="shared" si="7"/>
        <v>16.86783247546688</v>
      </c>
      <c r="AY32" s="429">
        <f t="shared" si="7"/>
        <v>16.86783247546688</v>
      </c>
      <c r="AZ32" s="57">
        <v>118.901</v>
      </c>
      <c r="BA32" s="80">
        <v>113.032</v>
      </c>
      <c r="BB32" s="57">
        <f>AZ32/BA32</f>
        <v>1.0519233491400666</v>
      </c>
      <c r="BC32" s="55">
        <f>T32/(D32*12)</f>
        <v>17.399999999999999</v>
      </c>
      <c r="BD32" s="55">
        <f>BC32*BB32</f>
        <v>18.303466275037156</v>
      </c>
      <c r="BE32" s="429">
        <f>$BD32</f>
        <v>18.303466275037156</v>
      </c>
      <c r="BF32" s="429">
        <f>$BD32</f>
        <v>18.303466275037156</v>
      </c>
      <c r="BG32" s="429">
        <f>$BD32</f>
        <v>18.303466275037156</v>
      </c>
      <c r="BH32" s="429">
        <f>$BD32</f>
        <v>18.303466275037156</v>
      </c>
      <c r="BI32" s="32">
        <v>18.3</v>
      </c>
      <c r="BJ32" s="32">
        <v>18.3</v>
      </c>
      <c r="BK32" s="32">
        <v>18.3</v>
      </c>
      <c r="BL32" s="429">
        <f>SUM((AU32:AY32),(BE32:BK32))</f>
        <v>212.45302747748306</v>
      </c>
      <c r="BM32" s="439">
        <f>(AR32-BL32)</f>
        <v>1366.3537620556624</v>
      </c>
      <c r="BN32" s="32">
        <v>18.3</v>
      </c>
      <c r="BO32" s="32">
        <v>18.3</v>
      </c>
      <c r="BP32" s="32">
        <v>18.3</v>
      </c>
      <c r="BQ32" s="32">
        <v>18.3</v>
      </c>
      <c r="BR32" s="32">
        <v>18.3</v>
      </c>
      <c r="BS32" s="57">
        <v>118.901</v>
      </c>
      <c r="BT32" s="80">
        <v>113.032</v>
      </c>
      <c r="BU32" s="57">
        <f>BS32/BT32</f>
        <v>1.0519233491400666</v>
      </c>
      <c r="BV32" s="55"/>
      <c r="BW32" s="55"/>
      <c r="BX32" s="429"/>
      <c r="BY32" s="429"/>
      <c r="BZ32" s="429"/>
      <c r="CA32" s="429"/>
      <c r="CB32" s="32"/>
      <c r="CC32" s="32"/>
      <c r="CD32" s="32"/>
      <c r="CE32" s="429">
        <f>SUM((BN32:BR32),(BX32:CD32))</f>
        <v>91.5</v>
      </c>
      <c r="CF32" s="439">
        <f>BM32-CE32</f>
        <v>1274.8537620556624</v>
      </c>
      <c r="CG32" s="57">
        <v>126.408</v>
      </c>
      <c r="CH32" s="80">
        <v>113.032</v>
      </c>
      <c r="CI32" s="57">
        <f>CG32/CH32</f>
        <v>1.1183381697218486</v>
      </c>
      <c r="CJ32" s="55">
        <f>CF32/L32</f>
        <v>17.46375016514606</v>
      </c>
      <c r="CK32" s="55">
        <f>CJ32*CI32</f>
        <v>19.530378396169077</v>
      </c>
      <c r="CL32" s="429">
        <v>16.82</v>
      </c>
      <c r="CM32" s="429">
        <v>16.82</v>
      </c>
      <c r="CN32" s="429">
        <v>16.82</v>
      </c>
      <c r="CO32" s="429">
        <v>16.82</v>
      </c>
      <c r="CP32" s="429">
        <v>16.82</v>
      </c>
      <c r="CQ32" s="429">
        <v>16.82</v>
      </c>
      <c r="CR32" s="429">
        <v>16.82</v>
      </c>
      <c r="CS32" s="429">
        <f>SUM(CL32:CR32)</f>
        <v>117.73999999999998</v>
      </c>
      <c r="CT32" s="439">
        <f>CF32-CS32</f>
        <v>1157.1137620556624</v>
      </c>
      <c r="CU32" s="429">
        <v>16.82</v>
      </c>
      <c r="CV32" s="429">
        <v>16.82</v>
      </c>
      <c r="CW32" s="429">
        <v>16.82</v>
      </c>
      <c r="CX32" s="429">
        <v>16.82</v>
      </c>
      <c r="CY32" s="429">
        <v>16.82</v>
      </c>
      <c r="CZ32" s="505">
        <f t="shared" si="2"/>
        <v>84.1</v>
      </c>
      <c r="DA32" s="679">
        <f t="shared" si="3"/>
        <v>1073.0137620556625</v>
      </c>
      <c r="DB32" s="956">
        <v>132.28200000000001</v>
      </c>
      <c r="DC32" s="688">
        <v>113.032</v>
      </c>
      <c r="DD32" s="957">
        <f t="shared" si="4"/>
        <v>1.1703057541227264</v>
      </c>
      <c r="DE32" s="511">
        <f>DA32/L32</f>
        <v>14.698818658296746</v>
      </c>
      <c r="DF32" s="511">
        <f t="shared" si="5"/>
        <v>17.202112054611174</v>
      </c>
      <c r="DG32" s="511">
        <v>14.82253455717021</v>
      </c>
      <c r="DH32" s="511">
        <v>14.82253455717021</v>
      </c>
      <c r="DI32" s="511">
        <v>14.82253455717021</v>
      </c>
      <c r="DJ32" s="511">
        <v>14.82253455717021</v>
      </c>
      <c r="DK32" s="511">
        <v>14.82253455717021</v>
      </c>
      <c r="DL32" s="511">
        <v>14.82253455717021</v>
      </c>
      <c r="DM32" s="511">
        <v>14.82253455717021</v>
      </c>
      <c r="DN32" s="511">
        <v>14.82253455717021</v>
      </c>
      <c r="DO32" s="511">
        <v>14.82253455717021</v>
      </c>
      <c r="DP32" s="511">
        <v>14.82253455717021</v>
      </c>
      <c r="DQ32" s="511">
        <v>14.82253455717021</v>
      </c>
      <c r="DR32" s="511">
        <v>14.82253455717021</v>
      </c>
      <c r="DS32" s="511">
        <v>14.82253455717021</v>
      </c>
      <c r="DT32" s="511">
        <v>14.82253455717021</v>
      </c>
      <c r="DU32" s="511">
        <v>14.82253455717021</v>
      </c>
      <c r="DV32" s="511">
        <v>14.82253455717021</v>
      </c>
      <c r="DW32" s="511">
        <v>14.82253455717021</v>
      </c>
      <c r="DX32" s="511">
        <v>14.82253455717021</v>
      </c>
      <c r="DY32" s="511">
        <f t="shared" si="10"/>
        <v>266.80562202906373</v>
      </c>
      <c r="DZ32" s="756">
        <f t="shared" si="9"/>
        <v>806.20814002659881</v>
      </c>
    </row>
    <row r="33" spans="1:130" ht="15" x14ac:dyDescent="0.2">
      <c r="R33" s="175"/>
      <c r="X33" s="237"/>
      <c r="AC33" s="195"/>
      <c r="AD33" s="195"/>
      <c r="AE33" s="195">
        <f t="shared" ref="AE33:AJ33" si="11">SUM(AE15:AE32)</f>
        <v>0</v>
      </c>
      <c r="AF33" s="195">
        <f t="shared" si="11"/>
        <v>0</v>
      </c>
      <c r="AG33" s="195">
        <f t="shared" si="11"/>
        <v>0</v>
      </c>
      <c r="AH33" s="195">
        <f t="shared" si="11"/>
        <v>0</v>
      </c>
      <c r="AI33" s="632">
        <f t="shared" si="11"/>
        <v>0</v>
      </c>
      <c r="AJ33" s="632">
        <f t="shared" si="11"/>
        <v>46.779048741071477</v>
      </c>
      <c r="AK33" s="632"/>
      <c r="AL33" s="632"/>
      <c r="AM33" s="632"/>
      <c r="AN33" s="632"/>
      <c r="AO33" s="632">
        <v>0</v>
      </c>
      <c r="AP33" s="632">
        <f>SUM(AP15:AP32)</f>
        <v>86.867404541460644</v>
      </c>
      <c r="AQ33" s="632">
        <f>SUM(AQ15:AQ32)</f>
        <v>1109.0334759898356</v>
      </c>
      <c r="AR33" s="632">
        <f>SUM(AR15:AR32)</f>
        <v>3332.4365240101647</v>
      </c>
      <c r="AS33" s="434"/>
      <c r="AT33" s="434"/>
      <c r="AU33" s="609">
        <f>SUM(AU15:AU32)</f>
        <v>86.867404541460644</v>
      </c>
      <c r="AV33" s="609">
        <f>SUM(AV15:AV32)</f>
        <v>86.867404541460644</v>
      </c>
      <c r="AW33" s="609">
        <f>SUM(AW14:AW32)</f>
        <v>67.946972202198239</v>
      </c>
      <c r="AX33" s="609">
        <f>SUM(AX14:AX32)</f>
        <v>39.956972202198244</v>
      </c>
      <c r="AY33" s="609">
        <f>SUM(AY14:AY32)</f>
        <v>39.956972202198244</v>
      </c>
      <c r="AZ33" s="434"/>
      <c r="BA33" s="633"/>
      <c r="BB33" s="434"/>
      <c r="BC33" s="632"/>
      <c r="BD33" s="632"/>
      <c r="BE33" s="634">
        <f>SUM(BE16:BE32)</f>
        <v>110.41788987505174</v>
      </c>
      <c r="BF33" s="609">
        <f t="shared" ref="BF33:BL33" si="12">SUM(BF14:BF32)</f>
        <v>110.41788987505174</v>
      </c>
      <c r="BG33" s="609">
        <f t="shared" si="12"/>
        <v>110.41788987505174</v>
      </c>
      <c r="BH33" s="609">
        <f t="shared" si="12"/>
        <v>97.604505027252202</v>
      </c>
      <c r="BI33" s="609">
        <f t="shared" si="12"/>
        <v>93.84</v>
      </c>
      <c r="BJ33" s="609">
        <f t="shared" si="12"/>
        <v>93.84</v>
      </c>
      <c r="BK33" s="609">
        <f t="shared" si="12"/>
        <v>93.84</v>
      </c>
      <c r="BL33" s="609">
        <f t="shared" si="12"/>
        <v>1031.9739003419236</v>
      </c>
      <c r="BM33" s="631">
        <f>(AR33-BL33)</f>
        <v>2300.4626236682411</v>
      </c>
      <c r="BN33" s="609">
        <f>SUM(BN15:BN32)</f>
        <v>93.84</v>
      </c>
      <c r="BO33" s="609">
        <f>SUM(BO15:BO32)</f>
        <v>93.84</v>
      </c>
      <c r="BP33" s="609">
        <f>SUM(BP14:BP32)</f>
        <v>93.84</v>
      </c>
      <c r="BQ33" s="609">
        <f>SUM(BQ14:BQ32)</f>
        <v>36.049999999999997</v>
      </c>
      <c r="BR33" s="609">
        <f>SUM(BR14:BR32)</f>
        <v>28.71</v>
      </c>
      <c r="BS33" s="434"/>
      <c r="BT33" s="633"/>
      <c r="BU33" s="434"/>
      <c r="BV33" s="632"/>
      <c r="BW33" s="632"/>
      <c r="BX33" s="634">
        <f>SUM(BX16:BX32)</f>
        <v>0</v>
      </c>
      <c r="BY33" s="609">
        <f t="shared" ref="BY33:CE33" si="13">SUM(BY14:BY32)</f>
        <v>0</v>
      </c>
      <c r="BZ33" s="609">
        <f t="shared" si="13"/>
        <v>0</v>
      </c>
      <c r="CA33" s="609">
        <f t="shared" si="13"/>
        <v>0</v>
      </c>
      <c r="CB33" s="609">
        <f t="shared" si="13"/>
        <v>0</v>
      </c>
      <c r="CC33" s="609">
        <f t="shared" si="13"/>
        <v>0</v>
      </c>
      <c r="CD33" s="609">
        <f t="shared" si="13"/>
        <v>0</v>
      </c>
      <c r="CE33" s="609">
        <f t="shared" si="13"/>
        <v>346.28</v>
      </c>
      <c r="CF33" s="631">
        <f>SUM(CF16:CF32)</f>
        <v>1899.6608274583512</v>
      </c>
      <c r="CG33" s="434"/>
      <c r="CH33" s="633"/>
      <c r="CI33" s="434"/>
      <c r="CJ33" s="632"/>
      <c r="CK33" s="634">
        <f>SUM(CK16:CK32)</f>
        <v>31.443886854348818</v>
      </c>
      <c r="CL33" s="634">
        <f>SUM(CL16:CL32)</f>
        <v>26.78</v>
      </c>
      <c r="CM33" s="634">
        <f>SUM(CM16:CM32)</f>
        <v>26.78</v>
      </c>
      <c r="CN33" s="609">
        <f t="shared" ref="CN33:CS33" si="14">SUM(CN14:CN32)</f>
        <v>26.78</v>
      </c>
      <c r="CO33" s="609">
        <f>SUM(CO13:CO32)</f>
        <v>26.78</v>
      </c>
      <c r="CP33" s="609">
        <f>SUM(CP13:CP32)</f>
        <v>26.78</v>
      </c>
      <c r="CQ33" s="930">
        <f t="shared" si="14"/>
        <v>26.78</v>
      </c>
      <c r="CR33" s="609">
        <f t="shared" si="14"/>
        <v>26.78</v>
      </c>
      <c r="CS33" s="609">
        <f t="shared" si="14"/>
        <v>187.45999999999998</v>
      </c>
      <c r="CT33" s="631">
        <f>SUM(CT14:CT32)</f>
        <v>1712.2008274583513</v>
      </c>
      <c r="CU33" s="609">
        <f t="shared" ref="CU33:CZ33" si="15">SUM(CU14:CU32)</f>
        <v>26.78</v>
      </c>
      <c r="CV33" s="609">
        <f t="shared" si="15"/>
        <v>26.78</v>
      </c>
      <c r="CW33" s="930">
        <f t="shared" si="15"/>
        <v>26.78</v>
      </c>
      <c r="CX33" s="930">
        <f t="shared" si="15"/>
        <v>26.78</v>
      </c>
      <c r="CY33" s="930">
        <f t="shared" si="15"/>
        <v>26.78</v>
      </c>
      <c r="CZ33" s="609">
        <f t="shared" si="15"/>
        <v>133.89999999999998</v>
      </c>
      <c r="DA33" s="104">
        <f>SUM(DA15:DA32)</f>
        <v>1578.3008274583513</v>
      </c>
      <c r="DE33" s="660">
        <f t="shared" ref="DE33" si="16">DA33/AX33</f>
        <v>39.500010648242274</v>
      </c>
      <c r="DG33" s="13">
        <f t="shared" ref="DG33:DL33" si="17">SUM(DG13:DG32)</f>
        <v>23.23966432490284</v>
      </c>
      <c r="DH33" s="13">
        <f t="shared" si="17"/>
        <v>23.23966432490284</v>
      </c>
      <c r="DI33" s="13">
        <f t="shared" si="17"/>
        <v>23.23966432490284</v>
      </c>
      <c r="DJ33" s="13">
        <f t="shared" si="17"/>
        <v>23.23966432490284</v>
      </c>
      <c r="DK33" s="13">
        <f t="shared" si="17"/>
        <v>23.23966432490284</v>
      </c>
      <c r="DL33" s="524">
        <f t="shared" si="17"/>
        <v>23.23966432490284</v>
      </c>
      <c r="DM33" s="524">
        <f t="shared" ref="DM33:DX33" si="18">SUM(DM14:DM32)</f>
        <v>23.23966432490284</v>
      </c>
      <c r="DN33" s="524">
        <f t="shared" si="18"/>
        <v>23.23966432490284</v>
      </c>
      <c r="DO33" s="524">
        <f t="shared" si="18"/>
        <v>23.23966432490284</v>
      </c>
      <c r="DP33" s="524">
        <f t="shared" si="18"/>
        <v>23.23966432490284</v>
      </c>
      <c r="DQ33" s="524">
        <f t="shared" si="18"/>
        <v>23.23966432490284</v>
      </c>
      <c r="DR33" s="524">
        <f t="shared" ref="DR33:DW33" si="19">SUM(DR14:DR32)</f>
        <v>23.23966432490284</v>
      </c>
      <c r="DS33" s="524">
        <f t="shared" si="19"/>
        <v>23.23966432490284</v>
      </c>
      <c r="DT33" s="524">
        <f t="shared" si="19"/>
        <v>23.23966432490284</v>
      </c>
      <c r="DU33" s="524">
        <f t="shared" si="19"/>
        <v>23.23966432490284</v>
      </c>
      <c r="DV33" s="524">
        <f t="shared" si="19"/>
        <v>23.23966432490284</v>
      </c>
      <c r="DW33" s="524">
        <f t="shared" si="19"/>
        <v>23.23966432490284</v>
      </c>
      <c r="DX33" s="524">
        <f t="shared" si="18"/>
        <v>23.23966432490284</v>
      </c>
      <c r="DY33" s="13">
        <f ca="1">SUM(DY13:DY32)</f>
        <v>162.67765027431989</v>
      </c>
      <c r="DZ33" s="13">
        <f ca="1">SUM(DZ13:DZ32)</f>
        <v>1415.6231771840314</v>
      </c>
    </row>
    <row r="34" spans="1:130" s="104" customFormat="1" x14ac:dyDescent="0.2">
      <c r="A34" s="110" t="s">
        <v>315</v>
      </c>
      <c r="B34" s="87"/>
      <c r="C34" s="87"/>
      <c r="D34" s="88"/>
      <c r="E34" s="88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9"/>
      <c r="S34" s="89"/>
      <c r="T34" s="90"/>
      <c r="U34" s="90"/>
      <c r="V34" s="90"/>
      <c r="W34" s="90"/>
      <c r="Y34"/>
      <c r="Z34"/>
      <c r="AA34" s="77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 s="69"/>
      <c r="AZ34"/>
      <c r="BA34" s="77"/>
      <c r="BB34"/>
      <c r="BC34"/>
      <c r="BD34"/>
      <c r="BM34" s="104">
        <f>BM33-BN33-BO33</f>
        <v>2112.7826236682408</v>
      </c>
      <c r="BS34"/>
      <c r="BT34" s="77"/>
      <c r="BU34"/>
      <c r="BV34"/>
      <c r="BW34"/>
      <c r="CG34"/>
      <c r="CH34" s="77"/>
      <c r="CI34"/>
      <c r="CJ34"/>
      <c r="CK34"/>
      <c r="CU34"/>
      <c r="CV34"/>
      <c r="CW34"/>
      <c r="CX34"/>
      <c r="CY34"/>
      <c r="CZ34"/>
      <c r="DA34" s="289">
        <f>CT33-CZ33</f>
        <v>1578.3008274583513</v>
      </c>
      <c r="DB34"/>
      <c r="DC34"/>
      <c r="DD34"/>
      <c r="DE34"/>
      <c r="DZ34" s="104">
        <f ca="1">DA33-DY33</f>
        <v>1415.6231771840314</v>
      </c>
    </row>
    <row r="35" spans="1:130" s="104" customFormat="1" x14ac:dyDescent="0.2">
      <c r="A35" s="238" t="s">
        <v>568</v>
      </c>
      <c r="B35" s="239"/>
      <c r="C35" s="239"/>
      <c r="D35" s="240"/>
      <c r="E35" s="240"/>
      <c r="F35"/>
      <c r="G35"/>
      <c r="H35"/>
      <c r="I35"/>
      <c r="J35"/>
      <c r="K35"/>
      <c r="L35"/>
      <c r="M35"/>
      <c r="N35"/>
      <c r="O35"/>
      <c r="P35"/>
      <c r="Q35"/>
      <c r="R35" s="19"/>
      <c r="S35" s="19"/>
      <c r="T35" s="12"/>
      <c r="U35" s="12"/>
      <c r="V35" s="12"/>
      <c r="W35" s="12"/>
      <c r="Y35"/>
      <c r="Z35"/>
      <c r="AA35" s="77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 s="69"/>
      <c r="AZ35"/>
      <c r="BA35" s="77"/>
      <c r="BB35"/>
      <c r="BC35"/>
      <c r="BD35"/>
      <c r="BS35"/>
      <c r="BT35" s="77"/>
      <c r="BU35"/>
      <c r="BV35"/>
      <c r="BW35"/>
      <c r="CG35"/>
      <c r="CH35" s="77"/>
      <c r="CI35"/>
      <c r="CJ35"/>
      <c r="CK35"/>
      <c r="CT35" s="104">
        <f>CF33-CS33</f>
        <v>1712.2008274583511</v>
      </c>
      <c r="CU35"/>
      <c r="CV35"/>
      <c r="CW35"/>
      <c r="CX35"/>
      <c r="CY35"/>
      <c r="CZ35"/>
      <c r="DA35"/>
      <c r="DB35"/>
      <c r="DC35"/>
      <c r="DD35"/>
      <c r="DE35"/>
    </row>
    <row r="36" spans="1:130" ht="30.75" hidden="1" customHeight="1" x14ac:dyDescent="0.2">
      <c r="A36" s="1271" t="s">
        <v>462</v>
      </c>
      <c r="B36" s="1271"/>
      <c r="C36" s="1271"/>
      <c r="D36" s="1271"/>
      <c r="E36" s="1271"/>
      <c r="F36" s="1271"/>
      <c r="G36" s="1271"/>
      <c r="H36" s="1271"/>
      <c r="I36" s="1271"/>
      <c r="J36" s="1271"/>
      <c r="K36" s="1271"/>
      <c r="L36" s="1271"/>
      <c r="M36" s="1271"/>
      <c r="N36" s="1271"/>
      <c r="O36" s="1271"/>
      <c r="P36" s="1271"/>
      <c r="Q36" s="1271"/>
      <c r="R36" s="1271"/>
      <c r="S36" s="1271"/>
      <c r="T36" s="1271"/>
      <c r="U36" s="1271"/>
      <c r="V36" s="1271"/>
      <c r="W36" s="1271"/>
      <c r="X36" s="1271"/>
      <c r="Y36" s="1271"/>
      <c r="Z36" s="1271"/>
      <c r="AA36" s="171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BA36" s="171"/>
      <c r="BB36" s="170"/>
      <c r="BC36" s="170"/>
      <c r="BD36" s="170"/>
      <c r="BT36" s="171"/>
      <c r="BU36" s="170"/>
      <c r="BV36" s="170"/>
      <c r="BW36" s="170"/>
      <c r="CH36" s="171"/>
      <c r="CI36" s="170"/>
      <c r="CJ36" s="170"/>
      <c r="CK36" s="170"/>
    </row>
    <row r="37" spans="1:130" hidden="1" x14ac:dyDescent="0.2">
      <c r="A37" s="1271"/>
      <c r="B37" s="1271"/>
      <c r="C37" s="1271"/>
      <c r="D37" s="1271"/>
      <c r="E37" s="1271"/>
      <c r="F37" s="1271"/>
      <c r="G37" s="1271"/>
      <c r="H37" s="1271"/>
      <c r="I37" s="1271"/>
      <c r="J37" s="1271"/>
      <c r="K37" s="1271"/>
      <c r="L37" s="1271"/>
      <c r="M37" s="1271"/>
      <c r="N37" s="1271"/>
      <c r="O37" s="1271"/>
      <c r="P37" s="1271"/>
      <c r="Q37" s="1271"/>
      <c r="R37" s="1271"/>
      <c r="S37" s="1271"/>
      <c r="T37" s="1271"/>
      <c r="U37" s="1271"/>
      <c r="V37" s="1271"/>
      <c r="W37" s="1271"/>
      <c r="X37" s="1271"/>
      <c r="Y37" s="1271"/>
      <c r="Z37" s="1271"/>
    </row>
    <row r="39" spans="1:130" x14ac:dyDescent="0.2">
      <c r="AA39"/>
      <c r="AQ39" s="104"/>
      <c r="BA39"/>
      <c r="BT39"/>
      <c r="CH39"/>
    </row>
  </sheetData>
  <mergeCells count="41">
    <mergeCell ref="CJ11:CJ12"/>
    <mergeCell ref="CK11:CK12"/>
    <mergeCell ref="CS11:CS12"/>
    <mergeCell ref="A36:Z37"/>
    <mergeCell ref="R11:R12"/>
    <mergeCell ref="S11:S12"/>
    <mergeCell ref="T11:T12"/>
    <mergeCell ref="V11:V12"/>
    <mergeCell ref="X11:X12"/>
    <mergeCell ref="Y11:Y12"/>
    <mergeCell ref="J11:J12"/>
    <mergeCell ref="K11:K12"/>
    <mergeCell ref="L11:L12"/>
    <mergeCell ref="M11:M12"/>
    <mergeCell ref="O11:O12"/>
    <mergeCell ref="Q11:Q12"/>
    <mergeCell ref="V10:BD10"/>
    <mergeCell ref="BC11:BC12"/>
    <mergeCell ref="BD11:BD12"/>
    <mergeCell ref="BV11:BV12"/>
    <mergeCell ref="A11:A12"/>
    <mergeCell ref="B11:B12"/>
    <mergeCell ref="E11:E12"/>
    <mergeCell ref="D10:P10"/>
    <mergeCell ref="R10:T10"/>
    <mergeCell ref="H11:H12"/>
    <mergeCell ref="I11:I12"/>
    <mergeCell ref="CF11:CF12"/>
    <mergeCell ref="BW11:BW12"/>
    <mergeCell ref="F11:F12"/>
    <mergeCell ref="G11:G12"/>
    <mergeCell ref="AS11:AS12"/>
    <mergeCell ref="AT11:AT12"/>
    <mergeCell ref="AD11:AD12"/>
    <mergeCell ref="AC11:AC12"/>
    <mergeCell ref="DZ11:DZ12"/>
    <mergeCell ref="CZ11:CZ12"/>
    <mergeCell ref="DA11:DA12"/>
    <mergeCell ref="DE11:DE12"/>
    <mergeCell ref="DF11:DF12"/>
    <mergeCell ref="DY11:DY12"/>
  </mergeCells>
  <printOptions horizontalCentered="1"/>
  <pageMargins left="0.19685039370078741" right="0.19685039370078741" top="0.39370078740157483" bottom="0.39370078740157483" header="0" footer="0"/>
  <pageSetup scale="45" orientation="landscape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LK132"/>
  <sheetViews>
    <sheetView topLeftCell="C97" zoomScaleNormal="100" workbookViewId="0">
      <selection activeCell="DM124" sqref="DM124"/>
    </sheetView>
  </sheetViews>
  <sheetFormatPr baseColWidth="10" defaultRowHeight="12.75" x14ac:dyDescent="0.2"/>
  <cols>
    <col min="1" max="1" width="18.140625" customWidth="1"/>
    <col min="2" max="2" width="20.140625" customWidth="1"/>
    <col min="3" max="3" width="16.28515625" customWidth="1"/>
    <col min="4" max="4" width="4.28515625" style="18" customWidth="1"/>
    <col min="5" max="5" width="7" style="18" customWidth="1"/>
    <col min="6" max="6" width="8.42578125" customWidth="1"/>
    <col min="7" max="7" width="4.28515625" customWidth="1"/>
    <col min="8" max="11" width="8.5703125" hidden="1" customWidth="1"/>
    <col min="12" max="12" width="8.5703125" customWidth="1"/>
    <col min="13" max="13" width="8.5703125" hidden="1" customWidth="1"/>
    <col min="14" max="14" width="6.5703125" hidden="1" customWidth="1"/>
    <col min="15" max="15" width="8.42578125" hidden="1" customWidth="1"/>
    <col min="16" max="16" width="16.7109375" hidden="1" customWidth="1"/>
    <col min="17" max="17" width="9.140625" customWidth="1"/>
    <col min="18" max="18" width="9.5703125" style="19" customWidth="1"/>
    <col min="19" max="19" width="9.140625" style="19" customWidth="1"/>
    <col min="20" max="20" width="10.5703125" style="12" customWidth="1"/>
    <col min="21" max="21" width="11.140625" style="12" hidden="1" customWidth="1"/>
    <col min="22" max="24" width="8.42578125" style="12" hidden="1" customWidth="1"/>
    <col min="25" max="25" width="9.140625" style="104" hidden="1" customWidth="1"/>
    <col min="26" max="27" width="8.7109375" hidden="1" customWidth="1"/>
    <col min="28" max="28" width="8.7109375" style="77" hidden="1" customWidth="1"/>
    <col min="29" max="29" width="7.42578125" hidden="1" customWidth="1"/>
    <col min="30" max="31" width="10.42578125" hidden="1" customWidth="1"/>
    <col min="32" max="36" width="7.7109375" hidden="1" customWidth="1"/>
    <col min="37" max="37" width="11.28515625" hidden="1" customWidth="1"/>
    <col min="38" max="38" width="8.42578125" hidden="1" customWidth="1"/>
    <col min="39" max="39" width="8.140625" hidden="1" customWidth="1"/>
    <col min="40" max="40" width="8.5703125" hidden="1" customWidth="1"/>
    <col min="41" max="43" width="8.42578125" hidden="1" customWidth="1"/>
    <col min="44" max="44" width="9.28515625" hidden="1" customWidth="1"/>
    <col min="45" max="45" width="10" style="69" hidden="1" customWidth="1"/>
    <col min="46" max="46" width="8.140625" hidden="1" customWidth="1"/>
    <col min="47" max="47" width="7" hidden="1" customWidth="1"/>
    <col min="48" max="48" width="9.7109375" hidden="1" customWidth="1"/>
    <col min="49" max="49" width="9.85546875" hidden="1" customWidth="1"/>
    <col min="50" max="50" width="10.28515625" hidden="1" customWidth="1"/>
    <col min="51" max="51" width="9.7109375" hidden="1" customWidth="1"/>
    <col min="52" max="52" width="10.140625" hidden="1" customWidth="1"/>
    <col min="53" max="53" width="8.7109375" hidden="1" customWidth="1"/>
    <col min="54" max="54" width="9.85546875" style="77" hidden="1" customWidth="1"/>
    <col min="55" max="55" width="7.42578125" hidden="1" customWidth="1"/>
    <col min="56" max="56" width="8.85546875" hidden="1" customWidth="1"/>
    <col min="57" max="57" width="7.7109375" hidden="1" customWidth="1"/>
    <col min="58" max="58" width="9" hidden="1" customWidth="1"/>
    <col min="59" max="59" width="9.7109375" hidden="1" customWidth="1"/>
    <col min="60" max="60" width="9.85546875" hidden="1" customWidth="1"/>
    <col min="61" max="62" width="6.85546875" hidden="1" customWidth="1"/>
    <col min="63" max="64" width="7.140625" hidden="1" customWidth="1"/>
    <col min="65" max="65" width="7.7109375" hidden="1" customWidth="1"/>
    <col min="66" max="66" width="9.28515625" hidden="1" customWidth="1"/>
    <col min="67" max="67" width="9" hidden="1" customWidth="1"/>
    <col min="68" max="68" width="9.7109375" hidden="1" customWidth="1"/>
    <col min="69" max="69" width="9.85546875" hidden="1" customWidth="1"/>
    <col min="70" max="70" width="9.5703125" hidden="1" customWidth="1"/>
    <col min="71" max="71" width="8.5703125" hidden="1" customWidth="1"/>
    <col min="72" max="72" width="9.7109375" hidden="1" customWidth="1"/>
    <col min="73" max="73" width="13.140625" style="436" hidden="1" customWidth="1"/>
    <col min="74" max="74" width="8.42578125" hidden="1" customWidth="1"/>
    <col min="75" max="75" width="9.5703125" style="77" hidden="1" customWidth="1"/>
    <col min="76" max="76" width="7.42578125" hidden="1" customWidth="1"/>
    <col min="77" max="77" width="9.28515625" hidden="1" customWidth="1"/>
    <col min="78" max="78" width="12.42578125" hidden="1" customWidth="1"/>
    <col min="79" max="79" width="11.140625" hidden="1" customWidth="1"/>
    <col min="80" max="80" width="10.140625" hidden="1" customWidth="1"/>
    <col min="81" max="81" width="11.85546875" hidden="1" customWidth="1"/>
    <col min="82" max="82" width="12.42578125" hidden="1" customWidth="1"/>
    <col min="83" max="83" width="11.42578125" hidden="1" customWidth="1"/>
    <col min="84" max="84" width="12" hidden="1" customWidth="1"/>
    <col min="85" max="85" width="14.5703125" hidden="1" customWidth="1"/>
    <col min="86" max="86" width="11.85546875" hidden="1" customWidth="1"/>
    <col min="87" max="87" width="12.7109375" hidden="1" customWidth="1"/>
    <col min="88" max="92" width="11.42578125" style="16" hidden="1" customWidth="1"/>
    <col min="93" max="93" width="0" style="16" hidden="1" customWidth="1"/>
    <col min="94" max="94" width="13.85546875" style="16" customWidth="1"/>
    <col min="95" max="99" width="11.42578125" style="16" customWidth="1"/>
    <col min="100" max="116" width="11.42578125" style="16" hidden="1" customWidth="1"/>
    <col min="117" max="117" width="11.42578125" style="16" customWidth="1"/>
    <col min="118" max="118" width="12.5703125" style="16" customWidth="1"/>
    <col min="119" max="119" width="11.42578125" style="16" customWidth="1"/>
    <col min="120" max="323" width="11.42578125" style="16"/>
  </cols>
  <sheetData>
    <row r="1" spans="1:323" x14ac:dyDescent="0.2">
      <c r="A1" s="637"/>
      <c r="B1" s="638" t="s">
        <v>27</v>
      </c>
      <c r="C1" s="637"/>
      <c r="D1" s="639"/>
      <c r="E1" s="639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40"/>
      <c r="S1" s="640"/>
      <c r="T1" s="637"/>
      <c r="U1" s="637"/>
      <c r="V1" s="637"/>
      <c r="W1" s="637"/>
      <c r="X1" s="637"/>
      <c r="Y1" s="661"/>
      <c r="Z1" s="662"/>
      <c r="AA1" s="662"/>
      <c r="AB1" s="663"/>
      <c r="AC1" s="662"/>
      <c r="AD1" s="662"/>
      <c r="AE1" s="662"/>
      <c r="AF1" s="662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62"/>
      <c r="AR1" s="637"/>
      <c r="AS1" s="664"/>
      <c r="AT1" s="637"/>
      <c r="AU1" s="637"/>
      <c r="AV1" s="637"/>
      <c r="AW1" s="637"/>
      <c r="AX1" s="637"/>
      <c r="AY1" s="637"/>
      <c r="AZ1" s="637"/>
      <c r="BA1" s="662"/>
      <c r="BB1" s="663"/>
      <c r="BC1" s="662"/>
      <c r="BD1" s="662"/>
      <c r="BE1" s="662"/>
      <c r="BF1" s="637"/>
      <c r="BG1" s="637"/>
      <c r="BH1" s="637"/>
      <c r="BI1" s="637"/>
      <c r="BJ1" s="637"/>
      <c r="BK1" s="637"/>
      <c r="BL1" s="637"/>
      <c r="BM1" s="637"/>
      <c r="BN1" s="637"/>
      <c r="BO1" s="637"/>
      <c r="BP1" s="637"/>
      <c r="BQ1" s="637"/>
      <c r="BR1" s="637"/>
      <c r="BS1" s="637"/>
      <c r="BT1" s="637"/>
      <c r="BU1" s="642"/>
      <c r="BV1" s="662"/>
      <c r="BW1" s="663"/>
      <c r="BX1" s="662"/>
      <c r="BY1" s="662"/>
      <c r="BZ1" s="662"/>
      <c r="CA1" s="637"/>
      <c r="CB1" s="637"/>
      <c r="CC1" s="637"/>
      <c r="CD1" s="637"/>
      <c r="CE1" s="637"/>
      <c r="CF1" s="637"/>
      <c r="CG1" s="637"/>
      <c r="CH1" s="637"/>
      <c r="CI1" s="637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</row>
    <row r="2" spans="1:323" x14ac:dyDescent="0.2">
      <c r="A2" s="637"/>
      <c r="B2" s="638" t="s">
        <v>1273</v>
      </c>
      <c r="C2" s="637"/>
      <c r="D2" s="639"/>
      <c r="E2" s="639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40"/>
      <c r="S2" s="640"/>
      <c r="T2" s="637"/>
      <c r="U2" s="637"/>
      <c r="V2" s="637"/>
      <c r="W2" s="637"/>
      <c r="X2" s="637"/>
      <c r="Y2" s="661"/>
      <c r="Z2" s="662"/>
      <c r="AA2" s="662"/>
      <c r="AB2" s="663"/>
      <c r="AC2" s="662"/>
      <c r="AD2" s="662"/>
      <c r="AE2" s="662"/>
      <c r="AF2" s="662"/>
      <c r="AG2" s="637"/>
      <c r="AH2" s="637"/>
      <c r="AI2" s="637"/>
      <c r="AJ2" s="637"/>
      <c r="AK2" s="637"/>
      <c r="AL2" s="637"/>
      <c r="AM2" s="637"/>
      <c r="AN2" s="637"/>
      <c r="AO2" s="637"/>
      <c r="AP2" s="637"/>
      <c r="AQ2" s="637"/>
      <c r="AR2" s="637"/>
      <c r="AS2" s="664"/>
      <c r="AT2" s="637"/>
      <c r="AU2" s="637"/>
      <c r="AV2" s="637"/>
      <c r="AW2" s="637"/>
      <c r="AX2" s="637"/>
      <c r="AY2" s="637"/>
      <c r="AZ2" s="637"/>
      <c r="BA2" s="662"/>
      <c r="BB2" s="663"/>
      <c r="BC2" s="662"/>
      <c r="BD2" s="662"/>
      <c r="BE2" s="662"/>
      <c r="BF2" s="637"/>
      <c r="BG2" s="637"/>
      <c r="BH2" s="637"/>
      <c r="BI2" s="637"/>
      <c r="BJ2" s="637"/>
      <c r="BK2" s="637"/>
      <c r="BL2" s="637"/>
      <c r="BM2" s="637"/>
      <c r="BN2" s="637"/>
      <c r="BO2" s="637"/>
      <c r="BP2" s="637"/>
      <c r="BQ2" s="637"/>
      <c r="BR2" s="637"/>
      <c r="BS2" s="637"/>
      <c r="BT2" s="637"/>
      <c r="BU2" s="642"/>
      <c r="BV2" s="662"/>
      <c r="BW2" s="663"/>
      <c r="BX2" s="662"/>
      <c r="BY2" s="662"/>
      <c r="BZ2" s="662"/>
      <c r="CA2" s="637"/>
      <c r="CB2" s="637"/>
      <c r="CC2" s="637"/>
      <c r="CD2" s="637"/>
      <c r="CE2" s="637"/>
      <c r="CF2" s="637"/>
      <c r="CG2" s="637"/>
      <c r="CH2" s="637"/>
      <c r="CI2" s="637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</row>
    <row r="3" spans="1:323" x14ac:dyDescent="0.2">
      <c r="A3" s="637"/>
      <c r="B3" s="637"/>
      <c r="C3" s="638"/>
      <c r="D3" s="641"/>
      <c r="E3" s="639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38"/>
      <c r="S3" s="638"/>
      <c r="T3" s="642"/>
      <c r="U3" s="642"/>
      <c r="V3" s="642"/>
      <c r="W3" s="642"/>
      <c r="X3" s="642"/>
      <c r="Y3" s="665"/>
      <c r="Z3" s="662"/>
      <c r="AA3" s="662"/>
      <c r="AB3" s="663"/>
      <c r="AC3" s="662"/>
      <c r="AD3" s="662"/>
      <c r="AE3" s="662"/>
      <c r="AF3" s="662"/>
      <c r="AG3" s="637"/>
      <c r="AH3" s="637"/>
      <c r="AI3" s="637"/>
      <c r="AJ3" s="637"/>
      <c r="AK3" s="637"/>
      <c r="AL3" s="637"/>
      <c r="AM3" s="637"/>
      <c r="AN3" s="637"/>
      <c r="AO3" s="637"/>
      <c r="AP3" s="637"/>
      <c r="AQ3" s="637"/>
      <c r="AR3" s="637"/>
      <c r="AS3" s="664"/>
      <c r="AT3" s="637"/>
      <c r="AU3" s="637"/>
      <c r="AV3" s="637"/>
      <c r="AW3" s="637"/>
      <c r="AX3" s="637"/>
      <c r="AY3" s="637"/>
      <c r="AZ3" s="637"/>
      <c r="BA3" s="662"/>
      <c r="BB3" s="663"/>
      <c r="BC3" s="662"/>
      <c r="BD3" s="662"/>
      <c r="BE3" s="662"/>
      <c r="BF3" s="637"/>
      <c r="BG3" s="637"/>
      <c r="BH3" s="637"/>
      <c r="BI3" s="637"/>
      <c r="BJ3" s="637"/>
      <c r="BK3" s="637"/>
      <c r="BL3" s="637"/>
      <c r="BM3" s="637"/>
      <c r="BN3" s="637"/>
      <c r="BO3" s="637"/>
      <c r="BP3" s="637"/>
      <c r="BQ3" s="637"/>
      <c r="BR3" s="637"/>
      <c r="BS3" s="637"/>
      <c r="BT3" s="637"/>
      <c r="BU3" s="642"/>
      <c r="BV3" s="662"/>
      <c r="BW3" s="663"/>
      <c r="BX3" s="662"/>
      <c r="BY3" s="662"/>
      <c r="BZ3" s="662"/>
      <c r="CA3" s="637"/>
      <c r="CB3" s="637"/>
      <c r="CC3" s="637"/>
      <c r="CD3" s="637"/>
      <c r="CE3" s="637"/>
      <c r="CF3" s="637"/>
      <c r="CG3" s="637"/>
      <c r="CH3" s="637"/>
      <c r="CI3" s="637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</row>
    <row r="4" spans="1:323" x14ac:dyDescent="0.2">
      <c r="A4" s="637"/>
      <c r="B4" s="637" t="s">
        <v>309</v>
      </c>
      <c r="C4" s="638"/>
      <c r="D4" s="641"/>
      <c r="E4" s="639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38"/>
      <c r="S4" s="638"/>
      <c r="T4" s="642"/>
      <c r="U4" s="642"/>
      <c r="V4" s="642"/>
      <c r="W4" s="642"/>
      <c r="X4" s="642"/>
      <c r="Y4" s="665"/>
      <c r="Z4" s="662"/>
      <c r="AA4" s="662"/>
      <c r="AB4" s="663"/>
      <c r="AC4" s="662"/>
      <c r="AD4" s="662"/>
      <c r="AE4" s="662"/>
      <c r="AF4" s="662"/>
      <c r="AG4" s="637"/>
      <c r="AH4" s="637"/>
      <c r="AI4" s="637"/>
      <c r="AJ4" s="637"/>
      <c r="AK4" s="637"/>
      <c r="AL4" s="637"/>
      <c r="AM4" s="637"/>
      <c r="AN4" s="637"/>
      <c r="AO4" s="637"/>
      <c r="AP4" s="637"/>
      <c r="AQ4" s="637"/>
      <c r="AR4" s="637"/>
      <c r="AS4" s="664"/>
      <c r="AT4" s="637"/>
      <c r="AU4" s="637"/>
      <c r="AV4" s="637"/>
      <c r="AW4" s="637"/>
      <c r="AX4" s="637"/>
      <c r="AY4" s="637"/>
      <c r="AZ4" s="637"/>
      <c r="BA4" s="662"/>
      <c r="BB4" s="663"/>
      <c r="BC4" s="662"/>
      <c r="BD4" s="662"/>
      <c r="BE4" s="662"/>
      <c r="BF4" s="637"/>
      <c r="BG4" s="637"/>
      <c r="BH4" s="637"/>
      <c r="BI4" s="637"/>
      <c r="BJ4" s="637"/>
      <c r="BK4" s="637"/>
      <c r="BL4" s="637"/>
      <c r="BM4" s="637"/>
      <c r="BN4" s="637"/>
      <c r="BO4" s="637"/>
      <c r="BP4" s="637"/>
      <c r="BQ4" s="637"/>
      <c r="BR4" s="637"/>
      <c r="BS4" s="637"/>
      <c r="BT4" s="637"/>
      <c r="BU4" s="642"/>
      <c r="BV4" s="662"/>
      <c r="BW4" s="663"/>
      <c r="BX4" s="662"/>
      <c r="BY4" s="662"/>
      <c r="BZ4" s="662"/>
      <c r="CA4" s="637"/>
      <c r="CB4" s="637"/>
      <c r="CC4" s="637"/>
      <c r="CD4" s="637"/>
      <c r="CE4" s="637"/>
      <c r="CF4" s="637"/>
      <c r="CG4" s="637"/>
      <c r="CH4" s="637"/>
      <c r="CI4" s="637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</row>
    <row r="5" spans="1:323" x14ac:dyDescent="0.2">
      <c r="A5" s="637"/>
      <c r="B5" s="642" t="s">
        <v>354</v>
      </c>
      <c r="C5" s="637"/>
      <c r="D5" s="639"/>
      <c r="E5" s="639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40"/>
      <c r="S5" s="640"/>
      <c r="T5" s="637"/>
      <c r="U5" s="637"/>
      <c r="V5" s="637"/>
      <c r="W5" s="637"/>
      <c r="X5" s="637"/>
      <c r="Y5" s="661"/>
      <c r="Z5" s="662"/>
      <c r="AA5" s="662"/>
      <c r="AB5" s="663"/>
      <c r="AC5" s="662"/>
      <c r="AD5" s="662"/>
      <c r="AE5" s="662"/>
      <c r="AF5" s="662"/>
      <c r="AG5" s="637"/>
      <c r="AH5" s="637"/>
      <c r="AI5" s="637"/>
      <c r="AJ5" s="637"/>
      <c r="AK5" s="637"/>
      <c r="AL5" s="637"/>
      <c r="AM5" s="637"/>
      <c r="AN5" s="637"/>
      <c r="AO5" s="637"/>
      <c r="AP5" s="637"/>
      <c r="AQ5" s="637"/>
      <c r="AR5" s="637"/>
      <c r="AS5" s="664"/>
      <c r="AT5" s="637"/>
      <c r="AU5" s="637"/>
      <c r="AV5" s="637"/>
      <c r="AW5" s="637"/>
      <c r="AX5" s="637"/>
      <c r="AY5" s="637"/>
      <c r="AZ5" s="637"/>
      <c r="BA5" s="662"/>
      <c r="BB5" s="663"/>
      <c r="BC5" s="662"/>
      <c r="BD5" s="662"/>
      <c r="BE5" s="662"/>
      <c r="BF5" s="637"/>
      <c r="BG5" s="637"/>
      <c r="BH5" s="637"/>
      <c r="BI5" s="637"/>
      <c r="BJ5" s="637"/>
      <c r="BK5" s="637"/>
      <c r="BL5" s="637"/>
      <c r="BM5" s="637"/>
      <c r="BN5" s="637"/>
      <c r="BO5" s="637"/>
      <c r="BP5" s="637"/>
      <c r="BQ5" s="637"/>
      <c r="BR5" s="637"/>
      <c r="BS5" s="637"/>
      <c r="BT5" s="637"/>
      <c r="BU5" s="642"/>
      <c r="BV5" s="662"/>
      <c r="BW5" s="663"/>
      <c r="BX5" s="662"/>
      <c r="BY5" s="662"/>
      <c r="BZ5" s="662"/>
      <c r="CA5" s="637"/>
      <c r="CB5" s="637"/>
      <c r="CC5" s="637"/>
      <c r="CD5" s="637"/>
      <c r="CE5" s="637"/>
      <c r="CF5" s="637"/>
      <c r="CG5" s="637"/>
      <c r="CH5" s="637"/>
      <c r="CI5" s="637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</row>
    <row r="6" spans="1:323" x14ac:dyDescent="0.2">
      <c r="A6" s="637"/>
      <c r="B6" s="637" t="s">
        <v>1272</v>
      </c>
      <c r="C6" s="637"/>
      <c r="D6" s="639"/>
      <c r="E6" s="639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40"/>
      <c r="S6" s="640"/>
      <c r="T6" s="637"/>
      <c r="U6" s="637"/>
      <c r="V6" s="637"/>
      <c r="W6" s="637"/>
      <c r="X6" s="637"/>
      <c r="Y6" s="661"/>
      <c r="Z6" s="662"/>
      <c r="AA6" s="662"/>
      <c r="AB6" s="663"/>
      <c r="AC6" s="662"/>
      <c r="AD6" s="662"/>
      <c r="AE6" s="662"/>
      <c r="AF6" s="662"/>
      <c r="AG6" s="637"/>
      <c r="AH6" s="637"/>
      <c r="AI6" s="637"/>
      <c r="AJ6" s="637"/>
      <c r="AK6" s="637"/>
      <c r="AL6" s="637"/>
      <c r="AM6" s="637"/>
      <c r="AN6" s="637"/>
      <c r="AO6" s="637"/>
      <c r="AP6" s="637"/>
      <c r="AQ6" s="637"/>
      <c r="AR6" s="637"/>
      <c r="AS6" s="664"/>
      <c r="AT6" s="637"/>
      <c r="AU6" s="637"/>
      <c r="AV6" s="637"/>
      <c r="AW6" s="637"/>
      <c r="AX6" s="637"/>
      <c r="AY6" s="637"/>
      <c r="AZ6" s="637"/>
      <c r="BA6" s="662"/>
      <c r="BB6" s="663"/>
      <c r="BC6" s="662"/>
      <c r="BD6" s="662"/>
      <c r="BE6" s="662"/>
      <c r="BF6" s="637"/>
      <c r="BG6" s="637"/>
      <c r="BH6" s="637"/>
      <c r="BI6" s="637"/>
      <c r="BJ6" s="637"/>
      <c r="BK6" s="637"/>
      <c r="BL6" s="637"/>
      <c r="BM6" s="637"/>
      <c r="BN6" s="637"/>
      <c r="BO6" s="637"/>
      <c r="BP6" s="637"/>
      <c r="BQ6" s="637"/>
      <c r="BR6" s="637"/>
      <c r="BS6" s="637"/>
      <c r="BT6" s="637"/>
      <c r="BU6" s="642"/>
      <c r="BV6" s="662"/>
      <c r="BW6" s="663"/>
      <c r="BX6" s="662"/>
      <c r="BY6" s="662"/>
      <c r="BZ6" s="662"/>
      <c r="CA6" s="637"/>
      <c r="CB6" s="637"/>
      <c r="CC6" s="637"/>
      <c r="CD6" s="637"/>
      <c r="CE6" s="637"/>
      <c r="CF6" s="637"/>
      <c r="CG6" s="637"/>
      <c r="CH6" s="637"/>
      <c r="CI6" s="637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</row>
    <row r="7" spans="1:323" s="16" customFormat="1" ht="3.75" customHeight="1" x14ac:dyDescent="0.2">
      <c r="D7" s="38"/>
      <c r="E7" s="38"/>
      <c r="R7" s="37"/>
      <c r="S7" s="37"/>
      <c r="T7" s="35"/>
      <c r="U7" s="35"/>
      <c r="V7" s="35"/>
      <c r="W7" s="35"/>
      <c r="X7" s="35"/>
      <c r="Y7" s="103"/>
      <c r="Z7" s="39"/>
      <c r="AA7" s="39"/>
      <c r="AB7" s="76"/>
      <c r="AC7" s="39"/>
      <c r="AD7" s="39"/>
      <c r="AE7" s="39"/>
      <c r="AF7" s="39"/>
      <c r="AS7" s="68"/>
      <c r="BA7" s="39"/>
      <c r="BB7" s="76"/>
      <c r="BC7" s="39"/>
      <c r="BD7" s="39"/>
      <c r="BE7" s="39"/>
      <c r="BU7" s="437"/>
      <c r="BV7" s="39"/>
      <c r="BW7" s="76"/>
      <c r="BX7" s="39"/>
      <c r="BY7" s="39"/>
      <c r="BZ7" s="39"/>
    </row>
    <row r="8" spans="1:323" s="16" customFormat="1" ht="4.5" customHeight="1" x14ac:dyDescent="0.2">
      <c r="D8" s="789"/>
      <c r="E8" s="1286"/>
      <c r="F8" s="1288"/>
      <c r="G8" s="1288"/>
      <c r="H8" s="1288"/>
      <c r="I8" s="1288"/>
      <c r="J8" s="1288"/>
      <c r="K8" s="1288"/>
      <c r="L8" s="1288"/>
      <c r="M8" s="1288"/>
      <c r="N8" s="1075"/>
      <c r="O8" s="1288"/>
      <c r="P8" s="1076"/>
      <c r="Q8" s="1291"/>
      <c r="R8" s="37"/>
      <c r="S8" s="37"/>
      <c r="T8" s="35"/>
      <c r="U8" s="35"/>
      <c r="V8" s="35"/>
      <c r="W8" s="35"/>
      <c r="X8" s="35"/>
      <c r="Y8" s="103"/>
      <c r="Z8" s="39"/>
      <c r="AA8" s="39"/>
      <c r="AB8" s="76"/>
      <c r="AC8" s="39"/>
      <c r="AD8" s="39"/>
      <c r="AE8" s="39"/>
      <c r="AF8" s="39"/>
      <c r="AS8" s="68"/>
      <c r="BA8" s="39"/>
      <c r="BB8" s="76"/>
      <c r="BC8" s="39"/>
      <c r="BD8" s="39"/>
      <c r="BE8" s="39"/>
      <c r="BU8" s="437"/>
      <c r="BV8" s="39"/>
      <c r="BW8" s="76"/>
      <c r="BX8" s="39"/>
      <c r="BY8" s="39"/>
      <c r="BZ8" s="39"/>
    </row>
    <row r="9" spans="1:323" ht="12" customHeight="1" x14ac:dyDescent="0.2">
      <c r="D9" s="790"/>
      <c r="E9" s="1287"/>
      <c r="F9" s="1289"/>
      <c r="G9" s="1289"/>
      <c r="H9" s="1289"/>
      <c r="I9" s="1289"/>
      <c r="J9" s="1289"/>
      <c r="K9" s="1289"/>
      <c r="L9" s="1289"/>
      <c r="M9" s="1289"/>
      <c r="N9" s="791"/>
      <c r="O9" s="1289"/>
      <c r="P9" s="791"/>
      <c r="Q9" s="1292"/>
      <c r="R9" s="1259" t="s">
        <v>448</v>
      </c>
      <c r="S9" s="1259"/>
      <c r="T9" s="1259"/>
      <c r="U9" s="1068"/>
      <c r="V9" s="253"/>
      <c r="W9" s="1275" t="s">
        <v>450</v>
      </c>
      <c r="X9" s="1275"/>
      <c r="Y9" s="1275"/>
      <c r="Z9" s="1275"/>
      <c r="AA9" s="1275"/>
      <c r="AB9" s="1275"/>
      <c r="AC9" s="1275"/>
      <c r="AD9" s="1275"/>
      <c r="AE9" s="1275"/>
      <c r="AF9" s="1275"/>
      <c r="AG9" s="1275"/>
      <c r="AH9" s="1275"/>
      <c r="AI9" s="1275"/>
      <c r="AJ9" s="1275"/>
      <c r="AK9" s="1275"/>
      <c r="AL9" s="1275"/>
      <c r="AM9" s="1275"/>
      <c r="AN9" s="1275"/>
      <c r="AO9" s="1275"/>
      <c r="AP9" s="1275"/>
      <c r="AQ9" s="1275"/>
      <c r="AR9" s="1275"/>
      <c r="AS9" s="1275"/>
      <c r="AT9" s="1275"/>
      <c r="AU9" s="1275"/>
      <c r="AV9" s="1275"/>
      <c r="AW9" s="1275"/>
      <c r="AX9" s="1275"/>
      <c r="AY9" s="1275"/>
      <c r="AZ9" s="1275"/>
      <c r="BA9" s="1275"/>
      <c r="BB9"/>
      <c r="BW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</row>
    <row r="10" spans="1:323" ht="45" customHeight="1" x14ac:dyDescent="0.25">
      <c r="A10" s="1261" t="s">
        <v>57</v>
      </c>
      <c r="B10" s="1261" t="s">
        <v>0</v>
      </c>
      <c r="C10" s="1073" t="s">
        <v>320</v>
      </c>
      <c r="D10" s="166" t="s">
        <v>306</v>
      </c>
      <c r="E10" s="1263" t="s">
        <v>55</v>
      </c>
      <c r="F10" s="1254" t="s">
        <v>564</v>
      </c>
      <c r="G10" s="1254" t="s">
        <v>446</v>
      </c>
      <c r="H10" s="1254" t="s">
        <v>533</v>
      </c>
      <c r="I10" s="1254" t="s">
        <v>1126</v>
      </c>
      <c r="J10" s="1254" t="s">
        <v>1127</v>
      </c>
      <c r="K10" s="1254" t="s">
        <v>534</v>
      </c>
      <c r="L10" s="1254" t="s">
        <v>493</v>
      </c>
      <c r="M10" s="1254" t="s">
        <v>1148</v>
      </c>
      <c r="N10" s="1069" t="s">
        <v>529</v>
      </c>
      <c r="O10" s="1254" t="s">
        <v>492</v>
      </c>
      <c r="P10" s="1070" t="s">
        <v>530</v>
      </c>
      <c r="Q10" s="1256" t="s">
        <v>528</v>
      </c>
      <c r="R10" s="1250" t="s">
        <v>437</v>
      </c>
      <c r="S10" s="1250" t="s">
        <v>56</v>
      </c>
      <c r="T10" s="1252" t="s">
        <v>449</v>
      </c>
      <c r="U10" s="1071"/>
      <c r="V10" s="1245" t="s">
        <v>595</v>
      </c>
      <c r="W10" s="1245" t="s">
        <v>596</v>
      </c>
      <c r="X10" s="1067"/>
      <c r="Y10" s="1268" t="s">
        <v>569</v>
      </c>
      <c r="Z10" s="1245" t="s">
        <v>599</v>
      </c>
      <c r="AA10" s="158" t="s">
        <v>15</v>
      </c>
      <c r="AB10" s="159" t="s">
        <v>15</v>
      </c>
      <c r="AC10" s="158" t="s">
        <v>16</v>
      </c>
      <c r="AD10" s="1245" t="s">
        <v>527</v>
      </c>
      <c r="AE10" s="1245" t="s">
        <v>536</v>
      </c>
      <c r="AF10" s="158" t="s">
        <v>3</v>
      </c>
      <c r="AG10" s="158" t="s">
        <v>4</v>
      </c>
      <c r="AH10" s="158" t="s">
        <v>5</v>
      </c>
      <c r="AI10" s="158" t="s">
        <v>6</v>
      </c>
      <c r="AJ10" s="158" t="s">
        <v>7</v>
      </c>
      <c r="AK10" s="158" t="s">
        <v>8</v>
      </c>
      <c r="AL10" s="158" t="s">
        <v>9</v>
      </c>
      <c r="AM10" s="158" t="s">
        <v>10</v>
      </c>
      <c r="AN10" s="158" t="s">
        <v>11</v>
      </c>
      <c r="AO10" s="158" t="s">
        <v>12</v>
      </c>
      <c r="AP10" s="158" t="s">
        <v>13</v>
      </c>
      <c r="AQ10" s="158" t="s">
        <v>14</v>
      </c>
      <c r="AR10" s="1066" t="s">
        <v>531</v>
      </c>
      <c r="AS10" s="160" t="s">
        <v>63</v>
      </c>
      <c r="AT10" s="1245" t="s">
        <v>976</v>
      </c>
      <c r="AU10" s="1245" t="s">
        <v>536</v>
      </c>
      <c r="AV10" s="158" t="s">
        <v>3</v>
      </c>
      <c r="AW10" s="158" t="s">
        <v>4</v>
      </c>
      <c r="AX10" s="158" t="s">
        <v>5</v>
      </c>
      <c r="AY10" s="158" t="s">
        <v>6</v>
      </c>
      <c r="AZ10" s="158" t="s">
        <v>7</v>
      </c>
      <c r="BA10" s="158" t="s">
        <v>15</v>
      </c>
      <c r="BB10" s="159" t="s">
        <v>15</v>
      </c>
      <c r="BC10" s="158" t="s">
        <v>16</v>
      </c>
      <c r="BD10" s="1245" t="s">
        <v>1059</v>
      </c>
      <c r="BE10" s="1245" t="s">
        <v>536</v>
      </c>
      <c r="BF10" s="158" t="s">
        <v>8</v>
      </c>
      <c r="BG10" s="158" t="s">
        <v>9</v>
      </c>
      <c r="BH10" s="158" t="s">
        <v>10</v>
      </c>
      <c r="BI10" s="158" t="s">
        <v>11</v>
      </c>
      <c r="BJ10" s="158" t="s">
        <v>12</v>
      </c>
      <c r="BK10" s="158" t="s">
        <v>13</v>
      </c>
      <c r="BL10" s="158" t="s">
        <v>14</v>
      </c>
      <c r="BM10" s="1066" t="s">
        <v>989</v>
      </c>
      <c r="BN10" s="1290" t="s">
        <v>1053</v>
      </c>
      <c r="BO10" s="158" t="s">
        <v>3</v>
      </c>
      <c r="BP10" s="158" t="s">
        <v>4</v>
      </c>
      <c r="BQ10" s="158" t="s">
        <v>5</v>
      </c>
      <c r="BR10" s="158" t="s">
        <v>6</v>
      </c>
      <c r="BS10" s="158" t="s">
        <v>7</v>
      </c>
      <c r="BT10" s="1245" t="s">
        <v>1150</v>
      </c>
      <c r="BU10" s="1247" t="s">
        <v>1134</v>
      </c>
      <c r="BV10" s="158" t="s">
        <v>15</v>
      </c>
      <c r="BW10" s="159" t="s">
        <v>15</v>
      </c>
      <c r="BX10" s="158" t="s">
        <v>16</v>
      </c>
      <c r="BY10" s="1245" t="s">
        <v>1147</v>
      </c>
      <c r="BZ10" s="1245" t="s">
        <v>536</v>
      </c>
      <c r="CA10" s="158" t="s">
        <v>8</v>
      </c>
      <c r="CB10" s="158" t="s">
        <v>9</v>
      </c>
      <c r="CC10" s="158" t="s">
        <v>10</v>
      </c>
      <c r="CD10" s="158" t="s">
        <v>11</v>
      </c>
      <c r="CE10" s="158" t="s">
        <v>12</v>
      </c>
      <c r="CF10" s="158" t="s">
        <v>13</v>
      </c>
      <c r="CG10" s="158" t="s">
        <v>14</v>
      </c>
      <c r="CH10" s="1066" t="s">
        <v>1058</v>
      </c>
      <c r="CI10" s="160" t="s">
        <v>63</v>
      </c>
      <c r="CJ10" s="158" t="s">
        <v>3</v>
      </c>
      <c r="CK10" s="158" t="s">
        <v>4</v>
      </c>
      <c r="CL10" s="158" t="s">
        <v>5</v>
      </c>
      <c r="CM10" s="158" t="s">
        <v>6</v>
      </c>
      <c r="CN10" s="158" t="s">
        <v>7</v>
      </c>
      <c r="CO10" s="1247" t="s">
        <v>1252</v>
      </c>
      <c r="CP10" s="1247" t="s">
        <v>1253</v>
      </c>
      <c r="CQ10" s="158" t="s">
        <v>15</v>
      </c>
      <c r="CR10" s="159" t="s">
        <v>15</v>
      </c>
      <c r="CS10" s="158" t="s">
        <v>16</v>
      </c>
      <c r="CT10" s="1245" t="s">
        <v>1262</v>
      </c>
      <c r="CU10" s="1245" t="s">
        <v>536</v>
      </c>
      <c r="CV10" s="158" t="s">
        <v>8</v>
      </c>
      <c r="CW10" s="158" t="s">
        <v>9</v>
      </c>
      <c r="CX10" s="158" t="s">
        <v>10</v>
      </c>
      <c r="CY10" s="158" t="s">
        <v>11</v>
      </c>
      <c r="CZ10" s="158" t="s">
        <v>12</v>
      </c>
      <c r="DA10" s="158" t="s">
        <v>13</v>
      </c>
      <c r="DB10" s="158" t="s">
        <v>14</v>
      </c>
      <c r="DC10" s="158" t="s">
        <v>3</v>
      </c>
      <c r="DD10" s="158" t="s">
        <v>4</v>
      </c>
      <c r="DE10" s="158" t="s">
        <v>5</v>
      </c>
      <c r="DF10" s="158" t="s">
        <v>6</v>
      </c>
      <c r="DG10" s="158" t="s">
        <v>7</v>
      </c>
      <c r="DH10" s="158" t="s">
        <v>8</v>
      </c>
      <c r="DI10" s="158" t="s">
        <v>9</v>
      </c>
      <c r="DJ10" s="158" t="s">
        <v>10</v>
      </c>
      <c r="DK10" s="158" t="s">
        <v>11</v>
      </c>
      <c r="DL10" s="158" t="s">
        <v>12</v>
      </c>
      <c r="DM10" s="158" t="s">
        <v>13</v>
      </c>
      <c r="DN10" s="1247" t="s">
        <v>1274</v>
      </c>
      <c r="DO10" s="1247" t="s">
        <v>1263</v>
      </c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</row>
    <row r="11" spans="1:323" ht="32.25" customHeight="1" x14ac:dyDescent="0.25">
      <c r="A11" s="1262"/>
      <c r="B11" s="1262"/>
      <c r="C11" s="161" t="s">
        <v>355</v>
      </c>
      <c r="D11" s="167"/>
      <c r="E11" s="1264"/>
      <c r="F11" s="1255"/>
      <c r="G11" s="1255"/>
      <c r="H11" s="1255"/>
      <c r="I11" s="1255"/>
      <c r="J11" s="1255"/>
      <c r="K11" s="1255"/>
      <c r="L11" s="1255"/>
      <c r="M11" s="1255"/>
      <c r="N11" s="194">
        <v>43281</v>
      </c>
      <c r="O11" s="1255"/>
      <c r="P11" s="194">
        <v>43281</v>
      </c>
      <c r="Q11" s="1257"/>
      <c r="R11" s="1251" t="s">
        <v>18</v>
      </c>
      <c r="S11" s="1251" t="s">
        <v>18</v>
      </c>
      <c r="T11" s="1253"/>
      <c r="U11" s="1072"/>
      <c r="V11" s="1267"/>
      <c r="W11" s="1267"/>
      <c r="X11" s="1074" t="s">
        <v>570</v>
      </c>
      <c r="Y11" s="1272"/>
      <c r="Z11" s="1246"/>
      <c r="AA11" s="162" t="s">
        <v>20</v>
      </c>
      <c r="AB11" s="163" t="s">
        <v>21</v>
      </c>
      <c r="AC11" s="162" t="s">
        <v>22</v>
      </c>
      <c r="AD11" s="1246"/>
      <c r="AE11" s="1246"/>
      <c r="AF11" s="162">
        <v>2015</v>
      </c>
      <c r="AG11" s="162">
        <v>2015</v>
      </c>
      <c r="AH11" s="162">
        <v>2015</v>
      </c>
      <c r="AI11" s="162">
        <v>2015</v>
      </c>
      <c r="AJ11" s="162">
        <v>2015</v>
      </c>
      <c r="AK11" s="162">
        <v>2015</v>
      </c>
      <c r="AL11" s="162">
        <v>2015</v>
      </c>
      <c r="AM11" s="162">
        <v>2015</v>
      </c>
      <c r="AN11" s="162">
        <v>2015</v>
      </c>
      <c r="AO11" s="162">
        <v>2015</v>
      </c>
      <c r="AP11" s="162">
        <v>2015</v>
      </c>
      <c r="AQ11" s="162">
        <v>2015</v>
      </c>
      <c r="AR11" s="162">
        <v>2015</v>
      </c>
      <c r="AS11" s="162" t="s">
        <v>64</v>
      </c>
      <c r="AT11" s="1265"/>
      <c r="AU11" s="1265"/>
      <c r="AV11" s="430">
        <v>2016</v>
      </c>
      <c r="AW11" s="430">
        <v>2016</v>
      </c>
      <c r="AX11" s="430">
        <v>2016</v>
      </c>
      <c r="AY11" s="430">
        <v>2016</v>
      </c>
      <c r="AZ11" s="430">
        <v>2016</v>
      </c>
      <c r="BA11" s="162" t="s">
        <v>20</v>
      </c>
      <c r="BB11" s="163" t="s">
        <v>21</v>
      </c>
      <c r="BC11" s="162" t="s">
        <v>22</v>
      </c>
      <c r="BD11" s="1246"/>
      <c r="BE11" s="1246"/>
      <c r="BF11" s="430">
        <v>2016</v>
      </c>
      <c r="BG11" s="430">
        <v>2016</v>
      </c>
      <c r="BH11" s="430">
        <v>2016</v>
      </c>
      <c r="BI11" s="430">
        <v>2016</v>
      </c>
      <c r="BJ11" s="430">
        <v>2016</v>
      </c>
      <c r="BK11" s="430">
        <v>2016</v>
      </c>
      <c r="BL11" s="430">
        <v>2016</v>
      </c>
      <c r="BM11" s="162">
        <v>2016</v>
      </c>
      <c r="BN11" s="1248"/>
      <c r="BO11" s="430">
        <v>2017</v>
      </c>
      <c r="BP11" s="430">
        <v>2017</v>
      </c>
      <c r="BQ11" s="430">
        <v>2017</v>
      </c>
      <c r="BR11" s="430">
        <v>2017</v>
      </c>
      <c r="BS11" s="430">
        <v>2017</v>
      </c>
      <c r="BT11" s="1246"/>
      <c r="BU11" s="1248"/>
      <c r="BV11" s="162" t="s">
        <v>20</v>
      </c>
      <c r="BW11" s="163" t="s">
        <v>21</v>
      </c>
      <c r="BX11" s="162" t="s">
        <v>22</v>
      </c>
      <c r="BY11" s="1246"/>
      <c r="BZ11" s="1246"/>
      <c r="CA11" s="430">
        <v>2017</v>
      </c>
      <c r="CB11" s="430">
        <v>2017</v>
      </c>
      <c r="CC11" s="430">
        <v>2017</v>
      </c>
      <c r="CD11" s="430">
        <v>2017</v>
      </c>
      <c r="CE11" s="430">
        <v>2017</v>
      </c>
      <c r="CF11" s="430">
        <v>2017</v>
      </c>
      <c r="CG11" s="430">
        <v>2017</v>
      </c>
      <c r="CH11" s="162">
        <v>2017</v>
      </c>
      <c r="CI11" s="162" t="s">
        <v>64</v>
      </c>
      <c r="CJ11" s="162">
        <v>2018</v>
      </c>
      <c r="CK11" s="162">
        <v>2018</v>
      </c>
      <c r="CL11" s="162">
        <v>2018</v>
      </c>
      <c r="CM11" s="162">
        <v>2018</v>
      </c>
      <c r="CN11" s="162">
        <v>2018</v>
      </c>
      <c r="CO11" s="1248"/>
      <c r="CP11" s="1248"/>
      <c r="CQ11" s="162" t="s">
        <v>20</v>
      </c>
      <c r="CR11" s="163" t="s">
        <v>21</v>
      </c>
      <c r="CS11" s="162" t="s">
        <v>22</v>
      </c>
      <c r="CT11" s="1246"/>
      <c r="CU11" s="1246"/>
      <c r="CV11" s="162">
        <v>2018</v>
      </c>
      <c r="CW11" s="162">
        <v>2018</v>
      </c>
      <c r="CX11" s="162">
        <v>2018</v>
      </c>
      <c r="CY11" s="162">
        <v>2018</v>
      </c>
      <c r="CZ11" s="162">
        <v>2018</v>
      </c>
      <c r="DA11" s="162">
        <v>2018</v>
      </c>
      <c r="DB11" s="162">
        <v>2018</v>
      </c>
      <c r="DC11" s="162">
        <v>2019</v>
      </c>
      <c r="DD11" s="162">
        <v>2019</v>
      </c>
      <c r="DE11" s="162">
        <v>2019</v>
      </c>
      <c r="DF11" s="162">
        <v>2019</v>
      </c>
      <c r="DG11" s="162">
        <v>2019</v>
      </c>
      <c r="DH11" s="162">
        <v>2019</v>
      </c>
      <c r="DI11" s="162">
        <v>2019</v>
      </c>
      <c r="DJ11" s="162">
        <v>2019</v>
      </c>
      <c r="DK11" s="162">
        <v>2019</v>
      </c>
      <c r="DL11" s="162">
        <v>2019</v>
      </c>
      <c r="DM11" s="162">
        <v>2019</v>
      </c>
      <c r="DN11" s="1248"/>
      <c r="DO11" s="1248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</row>
    <row r="12" spans="1:323" s="16" customFormat="1" ht="15" x14ac:dyDescent="0.2">
      <c r="A12" s="120" t="s">
        <v>65</v>
      </c>
      <c r="B12" s="812"/>
      <c r="C12" s="124"/>
      <c r="D12" s="111"/>
      <c r="E12" s="130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19"/>
      <c r="S12" s="119"/>
      <c r="T12" s="134"/>
      <c r="U12" s="134"/>
      <c r="V12" s="134"/>
      <c r="W12" s="134"/>
      <c r="X12" s="134"/>
      <c r="Y12" s="108"/>
      <c r="Z12" s="66"/>
      <c r="AA12" s="66"/>
      <c r="AB12" s="81"/>
      <c r="AC12" s="66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73"/>
      <c r="AT12" s="55"/>
      <c r="AU12" s="55"/>
      <c r="AV12" s="55"/>
      <c r="AW12" s="55"/>
      <c r="AX12" s="55"/>
      <c r="AY12" s="55"/>
      <c r="AZ12" s="55"/>
      <c r="BA12" s="66"/>
      <c r="BB12" s="81"/>
      <c r="BC12" s="66"/>
      <c r="BD12" s="65"/>
      <c r="BE12" s="6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448"/>
      <c r="BV12" s="66"/>
      <c r="BW12" s="81"/>
      <c r="BX12" s="66"/>
      <c r="BY12" s="65"/>
      <c r="BZ12" s="65"/>
      <c r="CA12" s="754"/>
      <c r="CB12" s="32"/>
      <c r="CC12" s="32"/>
      <c r="CD12" s="32"/>
      <c r="CE12" s="32"/>
      <c r="CF12" s="32"/>
      <c r="CG12" s="32"/>
      <c r="CH12" s="32"/>
      <c r="CI12" s="32"/>
      <c r="CJ12" s="968"/>
      <c r="CK12" s="505"/>
      <c r="CL12" s="505"/>
      <c r="CM12" s="505"/>
      <c r="CN12" s="505"/>
      <c r="CO12" s="505"/>
      <c r="CP12" s="516"/>
      <c r="CQ12" s="516"/>
      <c r="CR12" s="516"/>
      <c r="CS12" s="516"/>
      <c r="CT12" s="516"/>
      <c r="CU12" s="516"/>
      <c r="CV12" s="516"/>
      <c r="CW12" s="516"/>
      <c r="CX12" s="516"/>
      <c r="CY12" s="516"/>
      <c r="CZ12" s="516"/>
      <c r="DA12" s="516"/>
      <c r="DB12" s="516"/>
      <c r="DC12" s="516"/>
      <c r="DD12" s="516"/>
      <c r="DE12" s="516"/>
      <c r="DF12" s="516"/>
      <c r="DG12" s="516"/>
      <c r="DH12" s="516"/>
      <c r="DI12" s="516"/>
      <c r="DJ12" s="516"/>
      <c r="DK12" s="516"/>
      <c r="DL12" s="516"/>
      <c r="DM12" s="516"/>
      <c r="DN12" s="516"/>
      <c r="DO12" s="516"/>
    </row>
    <row r="13" spans="1:323" s="16" customFormat="1" ht="15" x14ac:dyDescent="0.2">
      <c r="A13" s="120" t="s">
        <v>66</v>
      </c>
      <c r="B13" s="812"/>
      <c r="C13" s="45"/>
      <c r="D13" s="8"/>
      <c r="E13" s="130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19"/>
      <c r="S13" s="119"/>
      <c r="T13" s="134"/>
      <c r="U13" s="134"/>
      <c r="V13" s="134"/>
      <c r="W13" s="134"/>
      <c r="X13" s="134"/>
      <c r="Y13" s="108"/>
      <c r="Z13" s="66"/>
      <c r="AA13" s="66"/>
      <c r="AB13" s="112"/>
      <c r="AC13" s="66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73"/>
      <c r="AT13" s="55"/>
      <c r="AU13" s="55"/>
      <c r="AV13" s="55"/>
      <c r="AW13" s="55"/>
      <c r="AX13" s="55"/>
      <c r="AY13" s="55"/>
      <c r="AZ13" s="55"/>
      <c r="BA13" s="66"/>
      <c r="BB13" s="112"/>
      <c r="BC13" s="66"/>
      <c r="BD13" s="65"/>
      <c r="BE13" s="65"/>
      <c r="BF13" s="55"/>
      <c r="BG13" s="55"/>
      <c r="BH13" s="55"/>
      <c r="BI13" s="55"/>
      <c r="BJ13" s="55"/>
      <c r="BK13" s="55"/>
      <c r="BL13" s="55"/>
      <c r="BM13" s="55"/>
      <c r="BN13" s="448"/>
      <c r="BO13" s="55"/>
      <c r="BP13" s="55"/>
      <c r="BQ13" s="55"/>
      <c r="BR13" s="55"/>
      <c r="BS13" s="55"/>
      <c r="BT13" s="55"/>
      <c r="BU13" s="448"/>
      <c r="BV13" s="66"/>
      <c r="BW13" s="112"/>
      <c r="BX13" s="66"/>
      <c r="BY13" s="65"/>
      <c r="BZ13" s="65"/>
      <c r="CA13" s="754"/>
      <c r="CB13" s="32"/>
      <c r="CC13" s="32"/>
      <c r="CD13" s="32"/>
      <c r="CE13" s="32"/>
      <c r="CF13" s="32"/>
      <c r="CG13" s="32"/>
      <c r="CH13" s="32"/>
      <c r="CI13" s="32"/>
      <c r="CJ13" s="968"/>
      <c r="CK13" s="32"/>
      <c r="CL13" s="32"/>
      <c r="CM13" s="32"/>
      <c r="CN13" s="32"/>
      <c r="CO13" s="505"/>
      <c r="CP13" s="516"/>
      <c r="CQ13" s="516"/>
      <c r="CR13" s="516"/>
      <c r="CS13" s="516"/>
      <c r="CT13" s="516"/>
      <c r="CU13" s="516"/>
      <c r="CV13" s="516"/>
      <c r="CW13" s="516"/>
      <c r="CX13" s="516"/>
      <c r="CY13" s="516"/>
      <c r="CZ13" s="516"/>
      <c r="DA13" s="516"/>
      <c r="DB13" s="516"/>
      <c r="DC13" s="516"/>
      <c r="DD13" s="516"/>
      <c r="DE13" s="516"/>
      <c r="DF13" s="516"/>
      <c r="DG13" s="516"/>
      <c r="DH13" s="516"/>
      <c r="DI13" s="516"/>
      <c r="DJ13" s="516"/>
      <c r="DK13" s="516"/>
      <c r="DL13" s="516"/>
      <c r="DM13" s="516"/>
      <c r="DN13" s="516"/>
      <c r="DO13" s="516"/>
    </row>
    <row r="14" spans="1:323" s="35" customFormat="1" ht="15" x14ac:dyDescent="0.2">
      <c r="A14" s="119" t="s">
        <v>277</v>
      </c>
      <c r="B14" s="100" t="s">
        <v>577</v>
      </c>
      <c r="C14" s="100" t="s">
        <v>355</v>
      </c>
      <c r="D14" s="125">
        <v>3</v>
      </c>
      <c r="E14" s="127">
        <v>0.33329999999999999</v>
      </c>
      <c r="F14" s="119">
        <v>43281</v>
      </c>
      <c r="G14" s="8">
        <v>36</v>
      </c>
      <c r="H14" s="146">
        <f>100/G14</f>
        <v>2.7777777777777777</v>
      </c>
      <c r="I14" s="1167">
        <f>H14*J14</f>
        <v>330.55555555555554</v>
      </c>
      <c r="J14" s="125">
        <f>(YEAR(F14)-YEAR(S14))*12+MONTH(F14)-MONTH(S14)</f>
        <v>119</v>
      </c>
      <c r="K14" s="1167">
        <f>L14*H14</f>
        <v>-230.55555555555554</v>
      </c>
      <c r="L14" s="125">
        <f>G14-J14</f>
        <v>-83</v>
      </c>
      <c r="M14" s="1167">
        <f>N14*H14</f>
        <v>-230.55555555555554</v>
      </c>
      <c r="N14" s="125">
        <f>G14-J14</f>
        <v>-83</v>
      </c>
      <c r="O14" s="1167">
        <f>K14-M14</f>
        <v>0</v>
      </c>
      <c r="P14" s="125">
        <f>L14-N14</f>
        <v>0</v>
      </c>
      <c r="Q14" s="367">
        <f>DATE(YEAR(S14),MONTH(S14)+G14,DAY(S14))</f>
        <v>40733</v>
      </c>
      <c r="R14" s="125" t="s">
        <v>445</v>
      </c>
      <c r="S14" s="128">
        <v>39638</v>
      </c>
      <c r="T14" s="7">
        <v>11810.5</v>
      </c>
      <c r="U14" s="1169">
        <v>3936.8283333333302</v>
      </c>
      <c r="V14" s="1116">
        <v>3936.83833333333</v>
      </c>
      <c r="W14" s="1116">
        <f>U14</f>
        <v>3936.8283333333302</v>
      </c>
      <c r="X14" s="1205">
        <v>328.07</v>
      </c>
      <c r="Y14" s="1206">
        <f>X14*5</f>
        <v>1640.35</v>
      </c>
      <c r="Z14" s="1207">
        <f>W14-Y14</f>
        <v>2296.4783333333303</v>
      </c>
      <c r="AA14" s="1208">
        <v>115.958</v>
      </c>
      <c r="AB14" s="1208">
        <v>128.83199999999999</v>
      </c>
      <c r="AC14" s="1208">
        <f>AA14/AB14</f>
        <v>0.90007141082960762</v>
      </c>
      <c r="AD14" s="1209">
        <f>W14/12</f>
        <v>328.06902777777753</v>
      </c>
      <c r="AE14" s="1209">
        <f>AD14*AC14</f>
        <v>295.28555268144197</v>
      </c>
      <c r="AF14" s="1209"/>
      <c r="AG14" s="1209"/>
      <c r="AH14" s="1209"/>
      <c r="AI14" s="1209"/>
      <c r="AJ14" s="1209"/>
      <c r="AK14" s="1209">
        <f>AE14</f>
        <v>295.28555268144197</v>
      </c>
      <c r="AL14" s="1209">
        <v>295.28555268144214</v>
      </c>
      <c r="AM14" s="1209">
        <v>295.28555268144214</v>
      </c>
      <c r="AN14" s="1209">
        <v>295.28555268144214</v>
      </c>
      <c r="AO14" s="1209">
        <v>295.28555268144214</v>
      </c>
      <c r="AP14" s="1209">
        <v>295.28555268144214</v>
      </c>
      <c r="AQ14" s="1209">
        <v>295.28555268144214</v>
      </c>
      <c r="AR14" s="1209">
        <f>SUM(AF14:AQ14)</f>
        <v>2066.9988687700948</v>
      </c>
      <c r="AS14" s="1210">
        <f>Z14-AR14</f>
        <v>229.47946456323552</v>
      </c>
      <c r="AT14" s="62"/>
      <c r="AU14" s="62"/>
      <c r="AV14" s="62">
        <v>228.48</v>
      </c>
      <c r="AW14" s="62"/>
      <c r="AX14" s="62"/>
      <c r="AY14" s="62"/>
      <c r="AZ14" s="62"/>
      <c r="BA14" s="1208">
        <v>118.901</v>
      </c>
      <c r="BB14" s="1208">
        <v>128.83199999999999</v>
      </c>
      <c r="BC14" s="64">
        <f>BA14/BB14</f>
        <v>0.92291511425732742</v>
      </c>
      <c r="BD14" s="1167">
        <f>T14/(D14*12)</f>
        <v>328.06944444444446</v>
      </c>
      <c r="BE14" s="1167">
        <f>BD14*BC14</f>
        <v>302.7802488037824</v>
      </c>
      <c r="BF14" s="62"/>
      <c r="BG14" s="62"/>
      <c r="BH14" s="62"/>
      <c r="BI14" s="62"/>
      <c r="BJ14" s="62"/>
      <c r="BK14" s="62"/>
      <c r="BL14" s="62"/>
      <c r="BM14" s="62">
        <f>SUM((AV14:AZ14),(BF14:BL14))</f>
        <v>228.48</v>
      </c>
      <c r="BN14" s="927">
        <f>(AS14-BM14)</f>
        <v>0.99946456323553434</v>
      </c>
      <c r="BO14" s="62"/>
      <c r="BP14" s="62"/>
      <c r="BQ14" s="62"/>
      <c r="BR14" s="62"/>
      <c r="BS14" s="62"/>
      <c r="BT14" s="62">
        <f>SUM(BO14:BS14)</f>
        <v>0</v>
      </c>
      <c r="BU14" s="927">
        <v>1</v>
      </c>
      <c r="BV14" s="64">
        <v>126.408</v>
      </c>
      <c r="BW14" s="64">
        <v>128.83199999999999</v>
      </c>
      <c r="BX14" s="64">
        <f>BV14/BX26</f>
        <v>131.50800000000001</v>
      </c>
      <c r="BY14" s="1191">
        <v>0</v>
      </c>
      <c r="BZ14" s="62">
        <f>BY14*BX14</f>
        <v>0</v>
      </c>
      <c r="CA14" s="756">
        <v>0</v>
      </c>
      <c r="CB14" s="509"/>
      <c r="CC14" s="509"/>
      <c r="CD14" s="509"/>
      <c r="CE14" s="509"/>
      <c r="CF14" s="509"/>
      <c r="CG14" s="509"/>
      <c r="CH14" s="510">
        <f>SUM(CA14:CG14)</f>
        <v>0</v>
      </c>
      <c r="CI14" s="439">
        <f>BU14-CH14</f>
        <v>1</v>
      </c>
      <c r="CJ14" s="509">
        <v>0</v>
      </c>
      <c r="CK14" s="509">
        <v>0</v>
      </c>
      <c r="CL14" s="509">
        <v>0</v>
      </c>
      <c r="CM14" s="509">
        <v>0</v>
      </c>
      <c r="CN14" s="509">
        <v>0</v>
      </c>
      <c r="CO14" s="1170">
        <f>SUM(CJ14:CN14)</f>
        <v>0</v>
      </c>
      <c r="CP14" s="1085">
        <f>CI14-CO14</f>
        <v>1</v>
      </c>
      <c r="CQ14" s="1195">
        <v>132.28200000000001</v>
      </c>
      <c r="CR14" s="1190">
        <v>128.83199999999999</v>
      </c>
      <c r="CS14" s="1196">
        <f>CQ14/CR14</f>
        <v>1.0267790611028318</v>
      </c>
      <c r="CT14" s="538">
        <v>0</v>
      </c>
      <c r="CU14" s="538">
        <f>CT14*CS14</f>
        <v>0</v>
      </c>
      <c r="CV14" s="538">
        <v>0</v>
      </c>
      <c r="CW14" s="538">
        <v>0</v>
      </c>
      <c r="CX14" s="538">
        <v>0</v>
      </c>
      <c r="CY14" s="538">
        <v>0</v>
      </c>
      <c r="CZ14" s="538">
        <v>0</v>
      </c>
      <c r="DA14" s="538">
        <v>0</v>
      </c>
      <c r="DB14" s="538">
        <v>0</v>
      </c>
      <c r="DC14" s="538">
        <v>0</v>
      </c>
      <c r="DD14" s="538">
        <v>0</v>
      </c>
      <c r="DE14" s="538">
        <v>0</v>
      </c>
      <c r="DF14" s="538">
        <v>0</v>
      </c>
      <c r="DG14" s="538">
        <v>0</v>
      </c>
      <c r="DH14" s="538">
        <v>0</v>
      </c>
      <c r="DI14" s="538">
        <v>0</v>
      </c>
      <c r="DJ14" s="538">
        <v>0</v>
      </c>
      <c r="DK14" s="538">
        <v>0</v>
      </c>
      <c r="DL14" s="538">
        <v>0</v>
      </c>
      <c r="DM14" s="538">
        <v>0</v>
      </c>
      <c r="DN14" s="538">
        <f>SUM(CV14:DB14)</f>
        <v>0</v>
      </c>
      <c r="DO14" s="1085">
        <f>CP14-DN14</f>
        <v>1</v>
      </c>
    </row>
    <row r="15" spans="1:323" s="16" customFormat="1" ht="15" x14ac:dyDescent="0.2">
      <c r="A15" s="812" t="s">
        <v>65</v>
      </c>
      <c r="B15" s="813"/>
      <c r="C15" s="45"/>
      <c r="D15" s="125"/>
      <c r="E15" s="127"/>
      <c r="F15" s="46"/>
      <c r="G15" s="58"/>
      <c r="H15" s="145"/>
      <c r="I15" s="165"/>
      <c r="J15" s="48"/>
      <c r="K15" s="165"/>
      <c r="L15" s="48"/>
      <c r="M15" s="165"/>
      <c r="N15" s="48"/>
      <c r="O15" s="165"/>
      <c r="P15" s="48"/>
      <c r="Q15" s="462"/>
      <c r="R15" s="125"/>
      <c r="S15" s="128"/>
      <c r="T15" s="7"/>
      <c r="U15" s="72"/>
      <c r="V15" s="1116"/>
      <c r="W15" s="1116"/>
      <c r="X15" s="43"/>
      <c r="Y15" s="105"/>
      <c r="Z15" s="256"/>
      <c r="AA15" s="59"/>
      <c r="AB15" s="59"/>
      <c r="AC15" s="59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71"/>
      <c r="AT15" s="55"/>
      <c r="AU15" s="55"/>
      <c r="AV15" s="55"/>
      <c r="AW15" s="55"/>
      <c r="AX15" s="55"/>
      <c r="AY15" s="55"/>
      <c r="AZ15" s="55"/>
      <c r="BA15" s="59"/>
      <c r="BB15" s="59"/>
      <c r="BC15" s="57"/>
      <c r="BD15" s="165"/>
      <c r="BE15" s="165"/>
      <c r="BF15" s="55"/>
      <c r="BG15" s="55"/>
      <c r="BH15" s="55"/>
      <c r="BI15" s="55"/>
      <c r="BJ15" s="55"/>
      <c r="BK15" s="55"/>
      <c r="BL15" s="55"/>
      <c r="BM15" s="55"/>
      <c r="BN15" s="448"/>
      <c r="BO15" s="55"/>
      <c r="BP15" s="55"/>
      <c r="BQ15" s="55"/>
      <c r="BR15" s="55"/>
      <c r="BS15" s="55"/>
      <c r="BT15" s="55"/>
      <c r="BU15" s="448"/>
      <c r="BV15" s="57"/>
      <c r="BW15" s="57"/>
      <c r="BX15" s="57"/>
      <c r="BY15" s="740"/>
      <c r="BZ15" s="55"/>
      <c r="CA15" s="756"/>
      <c r="CB15" s="32"/>
      <c r="CC15" s="32"/>
      <c r="CD15" s="32"/>
      <c r="CE15" s="32"/>
      <c r="CF15" s="32"/>
      <c r="CG15" s="32"/>
      <c r="CH15" s="429"/>
      <c r="CI15" s="439"/>
      <c r="CJ15" s="32"/>
      <c r="CK15" s="32"/>
      <c r="CL15" s="32"/>
      <c r="CM15" s="32"/>
      <c r="CN15" s="32"/>
      <c r="CO15" s="505"/>
      <c r="CP15" s="1085"/>
      <c r="CQ15" s="516"/>
      <c r="CR15" s="514"/>
      <c r="CS15" s="1087"/>
      <c r="CT15" s="516"/>
      <c r="CU15" s="516"/>
      <c r="CV15" s="516"/>
      <c r="CW15" s="516"/>
      <c r="CX15" s="516"/>
      <c r="CY15" s="516"/>
      <c r="CZ15" s="516"/>
      <c r="DA15" s="516"/>
      <c r="DB15" s="516"/>
      <c r="DC15" s="516"/>
      <c r="DD15" s="516"/>
      <c r="DE15" s="516"/>
      <c r="DF15" s="516"/>
      <c r="DG15" s="516"/>
      <c r="DH15" s="516"/>
      <c r="DI15" s="516"/>
      <c r="DJ15" s="516"/>
      <c r="DK15" s="516"/>
      <c r="DL15" s="516"/>
      <c r="DM15" s="516"/>
      <c r="DN15" s="516"/>
      <c r="DO15" s="1085"/>
    </row>
    <row r="16" spans="1:323" s="16" customFormat="1" ht="15" x14ac:dyDescent="0.2">
      <c r="A16" s="812" t="s">
        <v>66</v>
      </c>
      <c r="B16" s="813"/>
      <c r="C16" s="45"/>
      <c r="D16" s="125"/>
      <c r="E16" s="127"/>
      <c r="F16" s="46"/>
      <c r="G16" s="58"/>
      <c r="H16" s="145"/>
      <c r="I16" s="165"/>
      <c r="J16" s="48"/>
      <c r="K16" s="165"/>
      <c r="L16" s="48"/>
      <c r="M16" s="165"/>
      <c r="N16" s="48"/>
      <c r="O16" s="165"/>
      <c r="P16" s="48"/>
      <c r="Q16" s="462"/>
      <c r="R16" s="125"/>
      <c r="S16" s="128"/>
      <c r="T16" s="7"/>
      <c r="U16" s="72"/>
      <c r="V16" s="1116"/>
      <c r="W16" s="1116"/>
      <c r="X16" s="43"/>
      <c r="Y16" s="105"/>
      <c r="Z16" s="256"/>
      <c r="AA16" s="59"/>
      <c r="AB16" s="59"/>
      <c r="AC16" s="59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71"/>
      <c r="AT16" s="55"/>
      <c r="AU16" s="55"/>
      <c r="AV16" s="55"/>
      <c r="AW16" s="55"/>
      <c r="AX16" s="55"/>
      <c r="AY16" s="55"/>
      <c r="AZ16" s="55"/>
      <c r="BA16" s="59"/>
      <c r="BB16" s="59"/>
      <c r="BC16" s="57"/>
      <c r="BD16" s="165"/>
      <c r="BE16" s="165"/>
      <c r="BF16" s="55"/>
      <c r="BG16" s="55"/>
      <c r="BH16" s="55"/>
      <c r="BI16" s="55"/>
      <c r="BJ16" s="55"/>
      <c r="BK16" s="55"/>
      <c r="BL16" s="55"/>
      <c r="BM16" s="55"/>
      <c r="BN16" s="448"/>
      <c r="BO16" s="55"/>
      <c r="BP16" s="55"/>
      <c r="BQ16" s="55"/>
      <c r="BR16" s="55"/>
      <c r="BS16" s="55"/>
      <c r="BT16" s="55"/>
      <c r="BU16" s="448"/>
      <c r="BV16" s="57"/>
      <c r="BW16" s="57"/>
      <c r="BX16" s="57"/>
      <c r="BY16" s="740"/>
      <c r="BZ16" s="55"/>
      <c r="CA16" s="756"/>
      <c r="CB16" s="32"/>
      <c r="CC16" s="32"/>
      <c r="CD16" s="32"/>
      <c r="CE16" s="32"/>
      <c r="CF16" s="32"/>
      <c r="CG16" s="32"/>
      <c r="CH16" s="429"/>
      <c r="CI16" s="439"/>
      <c r="CJ16" s="32"/>
      <c r="CK16" s="32"/>
      <c r="CL16" s="32"/>
      <c r="CM16" s="32"/>
      <c r="CN16" s="32"/>
      <c r="CO16" s="505"/>
      <c r="CP16" s="1085"/>
      <c r="CQ16" s="520"/>
      <c r="CR16" s="514"/>
      <c r="CS16" s="1087"/>
      <c r="CT16" s="516"/>
      <c r="CU16" s="516"/>
      <c r="CV16" s="516"/>
      <c r="CW16" s="516"/>
      <c r="CX16" s="516"/>
      <c r="CY16" s="516"/>
      <c r="CZ16" s="516"/>
      <c r="DA16" s="516"/>
      <c r="DB16" s="516"/>
      <c r="DC16" s="516"/>
      <c r="DD16" s="516"/>
      <c r="DE16" s="516"/>
      <c r="DF16" s="516"/>
      <c r="DG16" s="516"/>
      <c r="DH16" s="516"/>
      <c r="DI16" s="516"/>
      <c r="DJ16" s="516"/>
      <c r="DK16" s="516"/>
      <c r="DL16" s="516"/>
      <c r="DM16" s="516"/>
      <c r="DN16" s="516"/>
      <c r="DO16" s="1085"/>
    </row>
    <row r="17" spans="1:323" s="213" customFormat="1" ht="13.5" customHeight="1" x14ac:dyDescent="0.2">
      <c r="A17" s="214" t="s">
        <v>1191</v>
      </c>
      <c r="B17" s="215" t="s">
        <v>1192</v>
      </c>
      <c r="C17" s="216" t="s">
        <v>355</v>
      </c>
      <c r="D17" s="795">
        <v>3</v>
      </c>
      <c r="E17" s="796">
        <v>0.33329999999999999</v>
      </c>
      <c r="F17" s="46">
        <v>43281</v>
      </c>
      <c r="G17" s="217">
        <v>36</v>
      </c>
      <c r="H17" s="221">
        <f>100/G17</f>
        <v>2.7777777777777777</v>
      </c>
      <c r="I17" s="222">
        <f>H17*J17</f>
        <v>25</v>
      </c>
      <c r="J17" s="48">
        <f>(YEAR(F17)-YEAR(S17))*12+MONTH(F17)-MONTH(S17)</f>
        <v>9</v>
      </c>
      <c r="K17" s="222">
        <f>L17*H17</f>
        <v>75</v>
      </c>
      <c r="L17" s="220">
        <f>G17-J17</f>
        <v>27</v>
      </c>
      <c r="M17" s="222">
        <f>N17*H17</f>
        <v>75</v>
      </c>
      <c r="N17" s="48">
        <f>G17-J17</f>
        <v>27</v>
      </c>
      <c r="O17" s="222">
        <f>K17-M17</f>
        <v>0</v>
      </c>
      <c r="P17" s="220">
        <f>L17-N17</f>
        <v>0</v>
      </c>
      <c r="Q17" s="219">
        <f>DATE(YEAR(S17),MONTH(S17)+G17,DAY(S17))</f>
        <v>44094</v>
      </c>
      <c r="R17" s="795" t="s">
        <v>1193</v>
      </c>
      <c r="S17" s="797">
        <v>42998</v>
      </c>
      <c r="T17" s="798">
        <v>11000</v>
      </c>
      <c r="U17" s="228"/>
      <c r="V17" s="1065"/>
      <c r="W17" s="1065"/>
      <c r="X17" s="223"/>
      <c r="Y17" s="224"/>
      <c r="Z17" s="799"/>
      <c r="AA17" s="225"/>
      <c r="AB17" s="225"/>
      <c r="AC17" s="225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8"/>
      <c r="AT17" s="227"/>
      <c r="AU17" s="227"/>
      <c r="AV17" s="227"/>
      <c r="AW17" s="227"/>
      <c r="AX17" s="227"/>
      <c r="AY17" s="227"/>
      <c r="AZ17" s="227"/>
      <c r="BA17" s="225"/>
      <c r="BB17" s="225"/>
      <c r="BC17" s="225"/>
      <c r="BD17" s="222"/>
      <c r="BE17" s="222"/>
      <c r="BF17" s="227"/>
      <c r="BG17" s="227"/>
      <c r="BH17" s="227"/>
      <c r="BI17" s="227"/>
      <c r="BJ17" s="227"/>
      <c r="BK17" s="227"/>
      <c r="BL17" s="227"/>
      <c r="BM17" s="227"/>
      <c r="BN17" s="800"/>
      <c r="BO17" s="227"/>
      <c r="BP17" s="227"/>
      <c r="BQ17" s="227"/>
      <c r="BR17" s="227"/>
      <c r="BS17" s="227"/>
      <c r="BT17" s="227"/>
      <c r="BU17" s="798">
        <v>11000</v>
      </c>
      <c r="BV17" s="225">
        <v>126.408</v>
      </c>
      <c r="BW17" s="225">
        <v>127.91200000000001</v>
      </c>
      <c r="BX17" s="225">
        <f>BV17/BW17</f>
        <v>0.98824191631746827</v>
      </c>
      <c r="BY17" s="804">
        <f>BU17/G17</f>
        <v>305.55555555555554</v>
      </c>
      <c r="BZ17" s="227">
        <f>BY17*BX17</f>
        <v>301.96280776367087</v>
      </c>
      <c r="CA17" s="805">
        <v>2207.5300000000002</v>
      </c>
      <c r="CB17" s="805">
        <v>2207.5300000000002</v>
      </c>
      <c r="CC17" s="805">
        <v>2207.5300000000002</v>
      </c>
      <c r="CD17" s="227">
        <v>301.95999999999998</v>
      </c>
      <c r="CE17" s="227">
        <v>301.95999999999998</v>
      </c>
      <c r="CF17" s="227">
        <v>301.95999999999998</v>
      </c>
      <c r="CG17" s="227">
        <v>301.95999999999998</v>
      </c>
      <c r="CH17" s="227">
        <f>SUM(CD17:CE17)</f>
        <v>603.91999999999996</v>
      </c>
      <c r="CI17" s="803">
        <f>BU17-CH17</f>
        <v>10396.08</v>
      </c>
      <c r="CJ17" s="227">
        <v>301.95999999999998</v>
      </c>
      <c r="CK17" s="227">
        <v>301.95999999999998</v>
      </c>
      <c r="CL17" s="227">
        <v>301.95999999999998</v>
      </c>
      <c r="CM17" s="227">
        <v>301.95999999999998</v>
      </c>
      <c r="CN17" s="227">
        <v>301.95999999999998</v>
      </c>
      <c r="CO17" s="505">
        <f t="shared" ref="CO17:CO75" si="0">SUM(CJ17:CN17)</f>
        <v>1509.8</v>
      </c>
      <c r="CP17" s="1085">
        <f t="shared" ref="CP17:CP75" si="1">CI17-CO17</f>
        <v>8886.2800000000007</v>
      </c>
      <c r="CQ17" s="1086">
        <v>132.28200000000001</v>
      </c>
      <c r="CR17" s="1121">
        <v>127.91200000000001</v>
      </c>
      <c r="CS17" s="1087">
        <f>CQ17/CR17</f>
        <v>1.0341641128275689</v>
      </c>
      <c r="CT17" s="516">
        <f>CP17/L17</f>
        <v>329.12148148148151</v>
      </c>
      <c r="CU17" s="516">
        <f>CS17*CT17</f>
        <v>340.36562490879146</v>
      </c>
      <c r="CV17" s="516">
        <v>399.55964663205953</v>
      </c>
      <c r="CW17" s="516">
        <v>399.55964663205953</v>
      </c>
      <c r="CX17" s="516">
        <v>399.55964663205953</v>
      </c>
      <c r="CY17" s="516">
        <v>399.55964663205953</v>
      </c>
      <c r="CZ17" s="516">
        <v>399.55964663205953</v>
      </c>
      <c r="DA17" s="516">
        <v>399.55964663205953</v>
      </c>
      <c r="DB17" s="516">
        <v>399.55964663205953</v>
      </c>
      <c r="DC17" s="516">
        <v>399.55964663205953</v>
      </c>
      <c r="DD17" s="516">
        <v>399.55964663205953</v>
      </c>
      <c r="DE17" s="516">
        <v>399.55964663205953</v>
      </c>
      <c r="DF17" s="516">
        <v>399.55964663205953</v>
      </c>
      <c r="DG17" s="516">
        <v>399.55964663205953</v>
      </c>
      <c r="DH17" s="516">
        <v>399.55964663205953</v>
      </c>
      <c r="DI17" s="516">
        <v>399.55964663205953</v>
      </c>
      <c r="DJ17" s="516">
        <v>399.55964663205953</v>
      </c>
      <c r="DK17" s="516">
        <v>399.55964663205953</v>
      </c>
      <c r="DL17" s="516">
        <v>399.55964663205953</v>
      </c>
      <c r="DM17" s="516">
        <v>399.55964663205953</v>
      </c>
      <c r="DN17" s="516">
        <f>SUM(CV17:DM17)</f>
        <v>7192.0736393770703</v>
      </c>
      <c r="DO17" s="1085">
        <f t="shared" ref="DO17:DO75" si="2">CP17-DN17</f>
        <v>1694.2063606229303</v>
      </c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</row>
    <row r="18" spans="1:323" s="811" customFormat="1" ht="15" x14ac:dyDescent="0.2">
      <c r="A18" s="812" t="s">
        <v>65</v>
      </c>
      <c r="B18" s="813"/>
      <c r="C18" s="177"/>
      <c r="D18" s="183"/>
      <c r="E18" s="366"/>
      <c r="F18" s="462"/>
      <c r="G18" s="358"/>
      <c r="H18" s="464"/>
      <c r="I18" s="465"/>
      <c r="J18" s="463"/>
      <c r="K18" s="465"/>
      <c r="L18" s="463"/>
      <c r="M18" s="465"/>
      <c r="N18" s="463"/>
      <c r="O18" s="465"/>
      <c r="P18" s="463"/>
      <c r="Q18" s="462"/>
      <c r="R18" s="183"/>
      <c r="S18" s="365"/>
      <c r="T18" s="364"/>
      <c r="U18" s="354"/>
      <c r="V18" s="1117"/>
      <c r="W18" s="1117"/>
      <c r="X18" s="466"/>
      <c r="Y18" s="184"/>
      <c r="Z18" s="806"/>
      <c r="AA18" s="359"/>
      <c r="AB18" s="359"/>
      <c r="AC18" s="359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5"/>
      <c r="AQ18" s="355"/>
      <c r="AR18" s="355"/>
      <c r="AS18" s="354"/>
      <c r="AT18" s="355"/>
      <c r="AU18" s="355"/>
      <c r="AV18" s="355"/>
      <c r="AW18" s="355"/>
      <c r="AX18" s="355"/>
      <c r="AY18" s="355"/>
      <c r="AZ18" s="355"/>
      <c r="BA18" s="359"/>
      <c r="BB18" s="359"/>
      <c r="BC18" s="359"/>
      <c r="BD18" s="465"/>
      <c r="BE18" s="465"/>
      <c r="BF18" s="355"/>
      <c r="BG18" s="355"/>
      <c r="BH18" s="355"/>
      <c r="BI18" s="355"/>
      <c r="BJ18" s="355"/>
      <c r="BK18" s="355"/>
      <c r="BL18" s="355"/>
      <c r="BM18" s="355"/>
      <c r="BN18" s="449"/>
      <c r="BO18" s="355"/>
      <c r="BP18" s="355"/>
      <c r="BQ18" s="355"/>
      <c r="BR18" s="355"/>
      <c r="BS18" s="355"/>
      <c r="BT18" s="355"/>
      <c r="BU18" s="364"/>
      <c r="BV18" s="359"/>
      <c r="BW18" s="359"/>
      <c r="BX18" s="359"/>
      <c r="BY18" s="807"/>
      <c r="BZ18" s="355"/>
      <c r="CA18" s="808"/>
      <c r="CB18" s="808"/>
      <c r="CC18" s="808"/>
      <c r="CD18" s="355"/>
      <c r="CE18" s="355"/>
      <c r="CF18" s="355"/>
      <c r="CG18" s="355"/>
      <c r="CH18" s="355"/>
      <c r="CI18" s="810"/>
      <c r="CJ18" s="355"/>
      <c r="CK18" s="355"/>
      <c r="CL18" s="355"/>
      <c r="CM18" s="355"/>
      <c r="CN18" s="355"/>
      <c r="CO18" s="505"/>
      <c r="CP18" s="1085"/>
      <c r="CQ18" s="1086"/>
      <c r="CR18" s="526"/>
      <c r="CS18" s="1087"/>
      <c r="CT18" s="516"/>
      <c r="CU18" s="516"/>
      <c r="CV18" s="516"/>
      <c r="CW18" s="516"/>
      <c r="CX18" s="516"/>
      <c r="CY18" s="516"/>
      <c r="CZ18" s="516"/>
      <c r="DA18" s="516"/>
      <c r="DB18" s="516"/>
      <c r="DC18" s="516"/>
      <c r="DD18" s="516"/>
      <c r="DE18" s="516"/>
      <c r="DF18" s="516"/>
      <c r="DG18" s="516"/>
      <c r="DH18" s="516"/>
      <c r="DI18" s="516"/>
      <c r="DJ18" s="516"/>
      <c r="DK18" s="516"/>
      <c r="DL18" s="516"/>
      <c r="DM18" s="516"/>
      <c r="DN18" s="516">
        <f t="shared" ref="DN18:DN81" si="3">SUM(CV18:DM18)</f>
        <v>0</v>
      </c>
      <c r="DO18" s="1085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</row>
    <row r="19" spans="1:323" s="811" customFormat="1" ht="15" x14ac:dyDescent="0.2">
      <c r="A19" s="812" t="s">
        <v>66</v>
      </c>
      <c r="B19" s="813"/>
      <c r="C19" s="177"/>
      <c r="D19" s="183"/>
      <c r="E19" s="366"/>
      <c r="F19" s="462"/>
      <c r="G19" s="358"/>
      <c r="H19" s="464"/>
      <c r="I19" s="465"/>
      <c r="J19" s="463"/>
      <c r="K19" s="465"/>
      <c r="L19" s="463"/>
      <c r="M19" s="465"/>
      <c r="N19" s="463"/>
      <c r="O19" s="465"/>
      <c r="P19" s="463"/>
      <c r="Q19" s="462"/>
      <c r="R19" s="183"/>
      <c r="S19" s="365"/>
      <c r="T19" s="364"/>
      <c r="U19" s="354"/>
      <c r="V19" s="1117"/>
      <c r="W19" s="1117"/>
      <c r="X19" s="466"/>
      <c r="Y19" s="184"/>
      <c r="Z19" s="806"/>
      <c r="AA19" s="359"/>
      <c r="AB19" s="359"/>
      <c r="AC19" s="359"/>
      <c r="AD19" s="355"/>
      <c r="AE19" s="355"/>
      <c r="AF19" s="355"/>
      <c r="AG19" s="355"/>
      <c r="AH19" s="355"/>
      <c r="AI19" s="355"/>
      <c r="AJ19" s="355"/>
      <c r="AK19" s="355"/>
      <c r="AL19" s="355"/>
      <c r="AM19" s="355"/>
      <c r="AN19" s="355"/>
      <c r="AO19" s="355"/>
      <c r="AP19" s="355"/>
      <c r="AQ19" s="355"/>
      <c r="AR19" s="355"/>
      <c r="AS19" s="354"/>
      <c r="AT19" s="355"/>
      <c r="AU19" s="355"/>
      <c r="AV19" s="355"/>
      <c r="AW19" s="355"/>
      <c r="AX19" s="355"/>
      <c r="AY19" s="355"/>
      <c r="AZ19" s="355"/>
      <c r="BA19" s="359"/>
      <c r="BB19" s="359"/>
      <c r="BC19" s="359"/>
      <c r="BD19" s="465"/>
      <c r="BE19" s="465"/>
      <c r="BF19" s="355"/>
      <c r="BG19" s="355"/>
      <c r="BH19" s="355"/>
      <c r="BI19" s="355"/>
      <c r="BJ19" s="355"/>
      <c r="BK19" s="355"/>
      <c r="BL19" s="355"/>
      <c r="BM19" s="355"/>
      <c r="BN19" s="449"/>
      <c r="BO19" s="355"/>
      <c r="BP19" s="355"/>
      <c r="BQ19" s="355"/>
      <c r="BR19" s="355"/>
      <c r="BS19" s="355"/>
      <c r="BT19" s="355"/>
      <c r="BU19" s="364"/>
      <c r="BV19" s="359"/>
      <c r="BW19" s="359"/>
      <c r="BX19" s="359"/>
      <c r="BY19" s="807"/>
      <c r="BZ19" s="355"/>
      <c r="CA19" s="808"/>
      <c r="CB19" s="808"/>
      <c r="CC19" s="808"/>
      <c r="CD19" s="355"/>
      <c r="CE19" s="355"/>
      <c r="CF19" s="355"/>
      <c r="CG19" s="355"/>
      <c r="CH19" s="355"/>
      <c r="CI19" s="810"/>
      <c r="CJ19" s="355"/>
      <c r="CK19" s="355"/>
      <c r="CL19" s="355"/>
      <c r="CM19" s="355"/>
      <c r="CN19" s="355"/>
      <c r="CO19" s="505"/>
      <c r="CP19" s="1085"/>
      <c r="CQ19" s="1086"/>
      <c r="CR19" s="526"/>
      <c r="CS19" s="1087"/>
      <c r="CT19" s="516"/>
      <c r="CU19" s="516"/>
      <c r="CV19" s="516"/>
      <c r="CW19" s="516"/>
      <c r="CX19" s="516"/>
      <c r="CY19" s="516"/>
      <c r="CZ19" s="516"/>
      <c r="DA19" s="516"/>
      <c r="DB19" s="516"/>
      <c r="DC19" s="516"/>
      <c r="DD19" s="516"/>
      <c r="DE19" s="516"/>
      <c r="DF19" s="516"/>
      <c r="DG19" s="516"/>
      <c r="DH19" s="516"/>
      <c r="DI19" s="516"/>
      <c r="DJ19" s="516"/>
      <c r="DK19" s="516"/>
      <c r="DL19" s="516"/>
      <c r="DM19" s="516"/>
      <c r="DN19" s="516">
        <f t="shared" si="3"/>
        <v>0</v>
      </c>
      <c r="DO19" s="1085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</row>
    <row r="20" spans="1:323" s="213" customFormat="1" ht="15" x14ac:dyDescent="0.2">
      <c r="A20" s="214" t="s">
        <v>1191</v>
      </c>
      <c r="B20" s="215" t="s">
        <v>1194</v>
      </c>
      <c r="C20" s="216" t="s">
        <v>355</v>
      </c>
      <c r="D20" s="795">
        <v>3</v>
      </c>
      <c r="E20" s="796">
        <v>0.33329999999999999</v>
      </c>
      <c r="F20" s="46">
        <v>43281</v>
      </c>
      <c r="G20" s="217">
        <v>36</v>
      </c>
      <c r="H20" s="221">
        <f>100/G20</f>
        <v>2.7777777777777777</v>
      </c>
      <c r="I20" s="222">
        <f>H20*J20</f>
        <v>25</v>
      </c>
      <c r="J20" s="48">
        <f>(YEAR(F20)-YEAR(S20))*12+MONTH(F20)-MONTH(S20)</f>
        <v>9</v>
      </c>
      <c r="K20" s="222">
        <f>L20*H20</f>
        <v>100</v>
      </c>
      <c r="L20" s="220">
        <v>36</v>
      </c>
      <c r="M20" s="222">
        <f>N20*H20</f>
        <v>75</v>
      </c>
      <c r="N20" s="48">
        <f>G20-J20</f>
        <v>27</v>
      </c>
      <c r="O20" s="222">
        <f>K20-M20</f>
        <v>25</v>
      </c>
      <c r="P20" s="220">
        <f>L20-N20</f>
        <v>9</v>
      </c>
      <c r="Q20" s="219">
        <f>DATE(YEAR(S20),MONTH(S20)+G20,DAY(S20))</f>
        <v>44094</v>
      </c>
      <c r="R20" s="795" t="s">
        <v>1193</v>
      </c>
      <c r="S20" s="797">
        <v>42998</v>
      </c>
      <c r="T20" s="798">
        <v>15000</v>
      </c>
      <c r="U20" s="228"/>
      <c r="V20" s="1065"/>
      <c r="W20" s="1065"/>
      <c r="X20" s="223"/>
      <c r="Y20" s="224"/>
      <c r="Z20" s="799"/>
      <c r="AA20" s="225"/>
      <c r="AB20" s="225"/>
      <c r="AC20" s="225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8"/>
      <c r="AT20" s="227"/>
      <c r="AU20" s="227"/>
      <c r="AV20" s="227"/>
      <c r="AW20" s="227"/>
      <c r="AX20" s="227"/>
      <c r="AY20" s="227"/>
      <c r="AZ20" s="227"/>
      <c r="BA20" s="225"/>
      <c r="BB20" s="225"/>
      <c r="BC20" s="225"/>
      <c r="BD20" s="222"/>
      <c r="BE20" s="222"/>
      <c r="BF20" s="227"/>
      <c r="BG20" s="227"/>
      <c r="BH20" s="227"/>
      <c r="BI20" s="227"/>
      <c r="BJ20" s="227"/>
      <c r="BK20" s="227"/>
      <c r="BL20" s="227"/>
      <c r="BM20" s="227"/>
      <c r="BN20" s="800"/>
      <c r="BO20" s="227"/>
      <c r="BP20" s="227"/>
      <c r="BQ20" s="227"/>
      <c r="BR20" s="227"/>
      <c r="BS20" s="227"/>
      <c r="BT20" s="227"/>
      <c r="BU20" s="798">
        <v>15000</v>
      </c>
      <c r="BV20" s="225">
        <v>126.408</v>
      </c>
      <c r="BW20" s="225">
        <v>127.91200000000001</v>
      </c>
      <c r="BX20" s="225">
        <f>BV20/BW20</f>
        <v>0.98824191631746827</v>
      </c>
      <c r="BY20" s="804">
        <f>BU20/G20</f>
        <v>416.66666666666669</v>
      </c>
      <c r="BZ20" s="227">
        <f>BY20*BX20</f>
        <v>411.76746513227846</v>
      </c>
      <c r="CA20" s="805"/>
      <c r="CB20" s="805"/>
      <c r="CC20" s="805"/>
      <c r="CD20" s="227">
        <v>411.77</v>
      </c>
      <c r="CE20" s="227">
        <v>411.77</v>
      </c>
      <c r="CF20" s="227">
        <v>411.77</v>
      </c>
      <c r="CG20" s="227">
        <v>411.77</v>
      </c>
      <c r="CH20" s="227">
        <f>SUM(CD20:CE20)</f>
        <v>823.54</v>
      </c>
      <c r="CI20" s="803">
        <f>BU20-CH20</f>
        <v>14176.46</v>
      </c>
      <c r="CJ20" s="227">
        <v>411.77</v>
      </c>
      <c r="CK20" s="227">
        <v>411.77</v>
      </c>
      <c r="CL20" s="227">
        <v>411.77</v>
      </c>
      <c r="CM20" s="227">
        <v>411.77</v>
      </c>
      <c r="CN20" s="227">
        <v>411.77</v>
      </c>
      <c r="CO20" s="505">
        <f t="shared" si="0"/>
        <v>2058.85</v>
      </c>
      <c r="CP20" s="1085">
        <f t="shared" si="1"/>
        <v>12117.609999999999</v>
      </c>
      <c r="CQ20" s="1086">
        <v>132.28200000000001</v>
      </c>
      <c r="CR20" s="1121">
        <v>127.91200000000001</v>
      </c>
      <c r="CS20" s="1087">
        <f>CQ20/CR20</f>
        <v>1.0341641128275689</v>
      </c>
      <c r="CT20" s="516">
        <f>CP20/L20</f>
        <v>336.60027777777776</v>
      </c>
      <c r="CU20" s="516">
        <f>CS20*CT20</f>
        <v>348.09992764556881</v>
      </c>
      <c r="CV20" s="516">
        <v>348.09992764556881</v>
      </c>
      <c r="CW20" s="516">
        <v>348.09992764556881</v>
      </c>
      <c r="CX20" s="516">
        <v>348.09992764556881</v>
      </c>
      <c r="CY20" s="516">
        <v>348.09992764556881</v>
      </c>
      <c r="CZ20" s="516">
        <v>348.09992764556881</v>
      </c>
      <c r="DA20" s="516">
        <v>348.09992764556881</v>
      </c>
      <c r="DB20" s="516">
        <v>348.09992764556881</v>
      </c>
      <c r="DC20" s="516">
        <v>348.09992764556881</v>
      </c>
      <c r="DD20" s="516">
        <v>348.09992764556881</v>
      </c>
      <c r="DE20" s="516">
        <v>348.09992764556881</v>
      </c>
      <c r="DF20" s="516">
        <v>348.09992764556881</v>
      </c>
      <c r="DG20" s="516">
        <v>348.09992764556881</v>
      </c>
      <c r="DH20" s="516">
        <v>348.09992764556881</v>
      </c>
      <c r="DI20" s="516">
        <v>348.09992764556881</v>
      </c>
      <c r="DJ20" s="516">
        <v>348.09992764556881</v>
      </c>
      <c r="DK20" s="516">
        <v>348.09992764556881</v>
      </c>
      <c r="DL20" s="516">
        <v>348.09992764556881</v>
      </c>
      <c r="DM20" s="516">
        <v>348.09992764556881</v>
      </c>
      <c r="DN20" s="516">
        <f t="shared" si="3"/>
        <v>6265.7986976202365</v>
      </c>
      <c r="DO20" s="1085">
        <f t="shared" si="2"/>
        <v>5851.8113023797623</v>
      </c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</row>
    <row r="21" spans="1:323" s="811" customFormat="1" ht="15" x14ac:dyDescent="0.2">
      <c r="A21" s="812" t="s">
        <v>65</v>
      </c>
      <c r="B21" s="813"/>
      <c r="C21" s="177"/>
      <c r="D21" s="183"/>
      <c r="E21" s="366"/>
      <c r="F21" s="462"/>
      <c r="G21" s="358"/>
      <c r="H21" s="464"/>
      <c r="I21" s="465"/>
      <c r="J21" s="463"/>
      <c r="K21" s="465"/>
      <c r="L21" s="463"/>
      <c r="M21" s="465"/>
      <c r="N21" s="463"/>
      <c r="O21" s="465"/>
      <c r="P21" s="463"/>
      <c r="Q21" s="462"/>
      <c r="R21" s="183"/>
      <c r="S21" s="365"/>
      <c r="T21" s="364"/>
      <c r="U21" s="354"/>
      <c r="V21" s="1117"/>
      <c r="W21" s="1117"/>
      <c r="X21" s="466"/>
      <c r="Y21" s="184"/>
      <c r="Z21" s="806"/>
      <c r="AA21" s="359"/>
      <c r="AB21" s="359"/>
      <c r="AC21" s="359"/>
      <c r="AD21" s="355"/>
      <c r="AE21" s="355"/>
      <c r="AF21" s="355"/>
      <c r="AG21" s="355"/>
      <c r="AH21" s="355"/>
      <c r="AI21" s="355"/>
      <c r="AJ21" s="355"/>
      <c r="AK21" s="355"/>
      <c r="AL21" s="355"/>
      <c r="AM21" s="355"/>
      <c r="AN21" s="355"/>
      <c r="AO21" s="355"/>
      <c r="AP21" s="355"/>
      <c r="AQ21" s="355"/>
      <c r="AR21" s="355"/>
      <c r="AS21" s="354"/>
      <c r="AT21" s="355"/>
      <c r="AU21" s="355"/>
      <c r="AV21" s="355"/>
      <c r="AW21" s="355"/>
      <c r="AX21" s="355"/>
      <c r="AY21" s="355"/>
      <c r="AZ21" s="355"/>
      <c r="BA21" s="359"/>
      <c r="BB21" s="359"/>
      <c r="BC21" s="359"/>
      <c r="BD21" s="465"/>
      <c r="BE21" s="465"/>
      <c r="BF21" s="355"/>
      <c r="BG21" s="355"/>
      <c r="BH21" s="355"/>
      <c r="BI21" s="355"/>
      <c r="BJ21" s="355"/>
      <c r="BK21" s="355"/>
      <c r="BL21" s="355"/>
      <c r="BM21" s="355"/>
      <c r="BN21" s="449"/>
      <c r="BO21" s="355"/>
      <c r="BP21" s="355"/>
      <c r="BQ21" s="355"/>
      <c r="BR21" s="355"/>
      <c r="BS21" s="355"/>
      <c r="BT21" s="355"/>
      <c r="BU21" s="364"/>
      <c r="BV21" s="359"/>
      <c r="BW21" s="359"/>
      <c r="BX21" s="359"/>
      <c r="BY21" s="807"/>
      <c r="BZ21" s="355"/>
      <c r="CA21" s="808"/>
      <c r="CB21" s="808"/>
      <c r="CC21" s="808"/>
      <c r="CD21" s="355"/>
      <c r="CE21" s="355"/>
      <c r="CF21" s="355"/>
      <c r="CG21" s="355"/>
      <c r="CH21" s="355"/>
      <c r="CI21" s="810"/>
      <c r="CJ21" s="355"/>
      <c r="CK21" s="355"/>
      <c r="CL21" s="355"/>
      <c r="CM21" s="355"/>
      <c r="CN21" s="355"/>
      <c r="CO21" s="505"/>
      <c r="CP21" s="1085"/>
      <c r="CQ21" s="520"/>
      <c r="CR21" s="526"/>
      <c r="CS21" s="1087"/>
      <c r="CT21" s="516"/>
      <c r="CU21" s="516"/>
      <c r="CV21" s="516"/>
      <c r="CW21" s="516"/>
      <c r="CX21" s="516"/>
      <c r="CY21" s="516"/>
      <c r="CZ21" s="516"/>
      <c r="DA21" s="516"/>
      <c r="DB21" s="516"/>
      <c r="DC21" s="516"/>
      <c r="DD21" s="516"/>
      <c r="DE21" s="516"/>
      <c r="DF21" s="516"/>
      <c r="DG21" s="516"/>
      <c r="DH21" s="516"/>
      <c r="DI21" s="516"/>
      <c r="DJ21" s="516"/>
      <c r="DK21" s="516"/>
      <c r="DL21" s="516"/>
      <c r="DM21" s="516"/>
      <c r="DN21" s="516">
        <f t="shared" si="3"/>
        <v>0</v>
      </c>
      <c r="DO21" s="1085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</row>
    <row r="22" spans="1:323" s="811" customFormat="1" ht="15" x14ac:dyDescent="0.2">
      <c r="A22" s="812" t="s">
        <v>66</v>
      </c>
      <c r="B22" s="813"/>
      <c r="C22" s="177"/>
      <c r="D22" s="183"/>
      <c r="E22" s="366"/>
      <c r="F22" s="462"/>
      <c r="G22" s="358"/>
      <c r="H22" s="464"/>
      <c r="I22" s="465"/>
      <c r="J22" s="463"/>
      <c r="K22" s="465"/>
      <c r="L22" s="463"/>
      <c r="M22" s="465"/>
      <c r="N22" s="463"/>
      <c r="O22" s="465"/>
      <c r="P22" s="463"/>
      <c r="Q22" s="462"/>
      <c r="R22" s="183"/>
      <c r="S22" s="365"/>
      <c r="T22" s="364"/>
      <c r="U22" s="354"/>
      <c r="V22" s="1117"/>
      <c r="W22" s="1117"/>
      <c r="X22" s="466"/>
      <c r="Y22" s="184"/>
      <c r="Z22" s="806"/>
      <c r="AA22" s="359"/>
      <c r="AB22" s="359"/>
      <c r="AC22" s="359"/>
      <c r="AD22" s="355"/>
      <c r="AE22" s="355"/>
      <c r="AF22" s="355"/>
      <c r="AG22" s="355"/>
      <c r="AH22" s="355"/>
      <c r="AI22" s="355"/>
      <c r="AJ22" s="355"/>
      <c r="AK22" s="355"/>
      <c r="AL22" s="355"/>
      <c r="AM22" s="355"/>
      <c r="AN22" s="355"/>
      <c r="AO22" s="355"/>
      <c r="AP22" s="355"/>
      <c r="AQ22" s="355"/>
      <c r="AR22" s="355"/>
      <c r="AS22" s="354"/>
      <c r="AT22" s="355"/>
      <c r="AU22" s="355"/>
      <c r="AV22" s="355"/>
      <c r="AW22" s="355"/>
      <c r="AX22" s="355"/>
      <c r="AY22" s="355"/>
      <c r="AZ22" s="355"/>
      <c r="BA22" s="359"/>
      <c r="BB22" s="359"/>
      <c r="BC22" s="359"/>
      <c r="BD22" s="465"/>
      <c r="BE22" s="465"/>
      <c r="BF22" s="355"/>
      <c r="BG22" s="355"/>
      <c r="BH22" s="355"/>
      <c r="BI22" s="355"/>
      <c r="BJ22" s="355"/>
      <c r="BK22" s="355"/>
      <c r="BL22" s="355"/>
      <c r="BM22" s="355"/>
      <c r="BN22" s="449"/>
      <c r="BO22" s="355"/>
      <c r="BP22" s="355"/>
      <c r="BQ22" s="355"/>
      <c r="BR22" s="355"/>
      <c r="BS22" s="355"/>
      <c r="BT22" s="355"/>
      <c r="BU22" s="364"/>
      <c r="BV22" s="359"/>
      <c r="BW22" s="359"/>
      <c r="BX22" s="359"/>
      <c r="BY22" s="807"/>
      <c r="BZ22" s="355"/>
      <c r="CA22" s="808"/>
      <c r="CB22" s="808"/>
      <c r="CC22" s="808"/>
      <c r="CD22" s="355"/>
      <c r="CE22" s="355"/>
      <c r="CF22" s="355"/>
      <c r="CG22" s="355"/>
      <c r="CH22" s="355"/>
      <c r="CI22" s="810"/>
      <c r="CJ22" s="355"/>
      <c r="CK22" s="355"/>
      <c r="CL22" s="355"/>
      <c r="CM22" s="355"/>
      <c r="CN22" s="355"/>
      <c r="CO22" s="505"/>
      <c r="CP22" s="1085"/>
      <c r="CQ22" s="514"/>
      <c r="CR22" s="526"/>
      <c r="CS22" s="1087"/>
      <c r="CT22" s="516"/>
      <c r="CU22" s="516"/>
      <c r="CV22" s="516"/>
      <c r="CW22" s="516"/>
      <c r="CX22" s="516"/>
      <c r="CY22" s="516"/>
      <c r="CZ22" s="516"/>
      <c r="DA22" s="516"/>
      <c r="DB22" s="516"/>
      <c r="DC22" s="516"/>
      <c r="DD22" s="516"/>
      <c r="DE22" s="516"/>
      <c r="DF22" s="516"/>
      <c r="DG22" s="516"/>
      <c r="DH22" s="516"/>
      <c r="DI22" s="516"/>
      <c r="DJ22" s="516"/>
      <c r="DK22" s="516"/>
      <c r="DL22" s="516"/>
      <c r="DM22" s="516"/>
      <c r="DN22" s="516">
        <f t="shared" si="3"/>
        <v>0</v>
      </c>
      <c r="DO22" s="1085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</row>
    <row r="23" spans="1:323" s="213" customFormat="1" ht="15" x14ac:dyDescent="0.2">
      <c r="A23" s="214" t="s">
        <v>1191</v>
      </c>
      <c r="B23" s="215" t="s">
        <v>1195</v>
      </c>
      <c r="C23" s="216" t="s">
        <v>355</v>
      </c>
      <c r="D23" s="795">
        <v>3</v>
      </c>
      <c r="E23" s="796">
        <v>0.33329999999999999</v>
      </c>
      <c r="F23" s="46">
        <v>43281</v>
      </c>
      <c r="G23" s="217">
        <v>36</v>
      </c>
      <c r="H23" s="221">
        <f>100/G23</f>
        <v>2.7777777777777777</v>
      </c>
      <c r="I23" s="222">
        <f>H23*J23</f>
        <v>25</v>
      </c>
      <c r="J23" s="48">
        <f>(YEAR(F23)-YEAR(S23))*12+MONTH(F23)-MONTH(S23)</f>
        <v>9</v>
      </c>
      <c r="K23" s="222">
        <f>L23*H23</f>
        <v>100</v>
      </c>
      <c r="L23" s="220">
        <v>36</v>
      </c>
      <c r="M23" s="222">
        <f>N23*H23</f>
        <v>75</v>
      </c>
      <c r="N23" s="48">
        <f>G23-J23</f>
        <v>27</v>
      </c>
      <c r="O23" s="222">
        <f>K23-M23</f>
        <v>25</v>
      </c>
      <c r="P23" s="220">
        <f>L23-N23</f>
        <v>9</v>
      </c>
      <c r="Q23" s="219">
        <f>DATE(YEAR(S23),MONTH(S23)+G23,DAY(S23))</f>
        <v>44094</v>
      </c>
      <c r="R23" s="795" t="s">
        <v>1193</v>
      </c>
      <c r="S23" s="797">
        <v>42998</v>
      </c>
      <c r="T23" s="798">
        <v>7500</v>
      </c>
      <c r="U23" s="228"/>
      <c r="V23" s="1065"/>
      <c r="W23" s="1065"/>
      <c r="X23" s="223"/>
      <c r="Y23" s="224"/>
      <c r="Z23" s="799"/>
      <c r="AA23" s="225"/>
      <c r="AB23" s="225"/>
      <c r="AC23" s="225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8"/>
      <c r="AT23" s="227"/>
      <c r="AU23" s="227"/>
      <c r="AV23" s="227"/>
      <c r="AW23" s="227"/>
      <c r="AX23" s="227"/>
      <c r="AY23" s="227"/>
      <c r="AZ23" s="227"/>
      <c r="BA23" s="225"/>
      <c r="BB23" s="225"/>
      <c r="BC23" s="225"/>
      <c r="BD23" s="222"/>
      <c r="BE23" s="222"/>
      <c r="BF23" s="227"/>
      <c r="BG23" s="227"/>
      <c r="BH23" s="227"/>
      <c r="BI23" s="227"/>
      <c r="BJ23" s="227"/>
      <c r="BK23" s="227"/>
      <c r="BL23" s="227"/>
      <c r="BM23" s="227"/>
      <c r="BN23" s="800"/>
      <c r="BO23" s="227"/>
      <c r="BP23" s="227"/>
      <c r="BQ23" s="227"/>
      <c r="BR23" s="227"/>
      <c r="BS23" s="227"/>
      <c r="BT23" s="227"/>
      <c r="BU23" s="798">
        <v>7500</v>
      </c>
      <c r="BV23" s="225">
        <v>126.408</v>
      </c>
      <c r="BW23" s="225">
        <v>127.91200000000001</v>
      </c>
      <c r="BX23" s="225">
        <f>BV23/BW23</f>
        <v>0.98824191631746827</v>
      </c>
      <c r="BY23" s="804">
        <f>BU23/G23</f>
        <v>208.33333333333334</v>
      </c>
      <c r="BZ23" s="227">
        <f>BY23*BX23</f>
        <v>205.88373256613923</v>
      </c>
      <c r="CA23" s="805"/>
      <c r="CB23" s="805"/>
      <c r="CC23" s="805"/>
      <c r="CD23" s="227">
        <v>205.88</v>
      </c>
      <c r="CE23" s="227">
        <v>205.88</v>
      </c>
      <c r="CF23" s="227">
        <v>205.88</v>
      </c>
      <c r="CG23" s="227">
        <v>205.88</v>
      </c>
      <c r="CH23" s="227">
        <f>SUM(CD23:CE23)</f>
        <v>411.76</v>
      </c>
      <c r="CI23" s="803">
        <f>BU23-CH23</f>
        <v>7088.24</v>
      </c>
      <c r="CJ23" s="227">
        <v>205.88</v>
      </c>
      <c r="CK23" s="227">
        <v>205.88</v>
      </c>
      <c r="CL23" s="227">
        <v>205.88</v>
      </c>
      <c r="CM23" s="227">
        <v>205.88</v>
      </c>
      <c r="CN23" s="227">
        <v>205.88</v>
      </c>
      <c r="CO23" s="505">
        <f t="shared" si="0"/>
        <v>1029.4000000000001</v>
      </c>
      <c r="CP23" s="1085">
        <f t="shared" si="1"/>
        <v>6058.84</v>
      </c>
      <c r="CQ23" s="1086">
        <v>132.28200000000001</v>
      </c>
      <c r="CR23" s="1121">
        <v>127.91200000000001</v>
      </c>
      <c r="CS23" s="1087">
        <f>CQ23/CR23</f>
        <v>1.0341641128275689</v>
      </c>
      <c r="CT23" s="516">
        <f>CP23/L23</f>
        <v>168.30111111111111</v>
      </c>
      <c r="CU23" s="516">
        <f>CS23*CT23</f>
        <v>174.05096926011632</v>
      </c>
      <c r="CV23" s="516">
        <v>174.05096926011632</v>
      </c>
      <c r="CW23" s="516">
        <v>174.05096926011632</v>
      </c>
      <c r="CX23" s="516">
        <v>174.05096926011632</v>
      </c>
      <c r="CY23" s="516">
        <v>174.05096926011632</v>
      </c>
      <c r="CZ23" s="516">
        <v>174.05096926011632</v>
      </c>
      <c r="DA23" s="516">
        <v>174.05096926011632</v>
      </c>
      <c r="DB23" s="516">
        <v>174.05096926011632</v>
      </c>
      <c r="DC23" s="516">
        <v>174.05096926011632</v>
      </c>
      <c r="DD23" s="516">
        <v>174.05096926011632</v>
      </c>
      <c r="DE23" s="516">
        <v>174.05096926011632</v>
      </c>
      <c r="DF23" s="516">
        <v>174.05096926011632</v>
      </c>
      <c r="DG23" s="516">
        <v>174.05096926011632</v>
      </c>
      <c r="DH23" s="516">
        <v>174.05096926011632</v>
      </c>
      <c r="DI23" s="516">
        <v>174.05096926011632</v>
      </c>
      <c r="DJ23" s="516">
        <v>174.05096926011632</v>
      </c>
      <c r="DK23" s="516">
        <v>174.05096926011632</v>
      </c>
      <c r="DL23" s="516">
        <v>174.05096926011632</v>
      </c>
      <c r="DM23" s="516">
        <v>174.05096926011632</v>
      </c>
      <c r="DN23" s="516">
        <f t="shared" si="3"/>
        <v>3132.9174466820937</v>
      </c>
      <c r="DO23" s="1085">
        <f t="shared" si="2"/>
        <v>2925.9225533179065</v>
      </c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</row>
    <row r="24" spans="1:323" s="811" customFormat="1" ht="15" x14ac:dyDescent="0.2">
      <c r="A24" s="945" t="s">
        <v>65</v>
      </c>
      <c r="B24" s="946"/>
      <c r="C24" s="177"/>
      <c r="D24" s="183"/>
      <c r="E24" s="366"/>
      <c r="F24" s="462"/>
      <c r="G24" s="358"/>
      <c r="H24" s="464"/>
      <c r="I24" s="465"/>
      <c r="J24" s="463"/>
      <c r="K24" s="465"/>
      <c r="L24" s="463"/>
      <c r="M24" s="465"/>
      <c r="N24" s="463"/>
      <c r="O24" s="465"/>
      <c r="P24" s="463"/>
      <c r="Q24" s="462"/>
      <c r="R24" s="183"/>
      <c r="S24" s="365"/>
      <c r="T24" s="364"/>
      <c r="U24" s="354"/>
      <c r="V24" s="1117"/>
      <c r="W24" s="1117"/>
      <c r="X24" s="466"/>
      <c r="Y24" s="184"/>
      <c r="Z24" s="806"/>
      <c r="AA24" s="359"/>
      <c r="AB24" s="359"/>
      <c r="AC24" s="359"/>
      <c r="AD24" s="355"/>
      <c r="AE24" s="355"/>
      <c r="AF24" s="355"/>
      <c r="AG24" s="355"/>
      <c r="AH24" s="355"/>
      <c r="AI24" s="355"/>
      <c r="AJ24" s="355"/>
      <c r="AK24" s="355"/>
      <c r="AL24" s="355"/>
      <c r="AM24" s="355"/>
      <c r="AN24" s="355"/>
      <c r="AO24" s="355"/>
      <c r="AP24" s="355"/>
      <c r="AQ24" s="355"/>
      <c r="AR24" s="355"/>
      <c r="AS24" s="354"/>
      <c r="AT24" s="355"/>
      <c r="AU24" s="355"/>
      <c r="AV24" s="355"/>
      <c r="AW24" s="355"/>
      <c r="AX24" s="355"/>
      <c r="AY24" s="355"/>
      <c r="AZ24" s="355"/>
      <c r="BA24" s="359"/>
      <c r="BB24" s="359"/>
      <c r="BC24" s="359"/>
      <c r="BD24" s="465"/>
      <c r="BE24" s="465"/>
      <c r="BF24" s="355"/>
      <c r="BG24" s="355"/>
      <c r="BH24" s="355"/>
      <c r="BI24" s="355"/>
      <c r="BJ24" s="355"/>
      <c r="BK24" s="355"/>
      <c r="BL24" s="355"/>
      <c r="BM24" s="355"/>
      <c r="BN24" s="449"/>
      <c r="BO24" s="355"/>
      <c r="BP24" s="355"/>
      <c r="BQ24" s="355"/>
      <c r="BR24" s="355"/>
      <c r="BS24" s="355"/>
      <c r="BT24" s="355"/>
      <c r="BU24" s="364"/>
      <c r="BV24" s="359"/>
      <c r="BW24" s="359"/>
      <c r="BX24" s="359"/>
      <c r="BY24" s="807"/>
      <c r="BZ24" s="355"/>
      <c r="CA24" s="808"/>
      <c r="CB24" s="808"/>
      <c r="CC24" s="808"/>
      <c r="CD24" s="355"/>
      <c r="CE24" s="355"/>
      <c r="CF24" s="355"/>
      <c r="CG24" s="355"/>
      <c r="CH24" s="355"/>
      <c r="CI24" s="810"/>
      <c r="CJ24" s="355"/>
      <c r="CK24" s="355"/>
      <c r="CL24" s="355"/>
      <c r="CM24" s="355"/>
      <c r="CN24" s="355"/>
      <c r="CO24" s="505"/>
      <c r="CP24" s="1085"/>
      <c r="CQ24" s="1086"/>
      <c r="CR24" s="526"/>
      <c r="CS24" s="1087"/>
      <c r="CT24" s="516"/>
      <c r="CU24" s="516"/>
      <c r="CV24" s="516"/>
      <c r="CW24" s="516"/>
      <c r="CX24" s="516"/>
      <c r="CY24" s="516"/>
      <c r="CZ24" s="516"/>
      <c r="DA24" s="516"/>
      <c r="DB24" s="516"/>
      <c r="DC24" s="516"/>
      <c r="DD24" s="516"/>
      <c r="DE24" s="516"/>
      <c r="DF24" s="516"/>
      <c r="DG24" s="516"/>
      <c r="DH24" s="516"/>
      <c r="DI24" s="516"/>
      <c r="DJ24" s="516"/>
      <c r="DK24" s="516"/>
      <c r="DL24" s="516"/>
      <c r="DM24" s="516"/>
      <c r="DN24" s="516">
        <f t="shared" si="3"/>
        <v>0</v>
      </c>
      <c r="DO24" s="1085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</row>
    <row r="25" spans="1:323" s="811" customFormat="1" ht="15" x14ac:dyDescent="0.2">
      <c r="A25" s="945" t="s">
        <v>66</v>
      </c>
      <c r="B25" s="946"/>
      <c r="C25" s="177"/>
      <c r="D25" s="183"/>
      <c r="E25" s="366"/>
      <c r="F25" s="462"/>
      <c r="G25" s="358"/>
      <c r="H25" s="464"/>
      <c r="I25" s="465"/>
      <c r="J25" s="463"/>
      <c r="K25" s="465"/>
      <c r="L25" s="463"/>
      <c r="M25" s="465"/>
      <c r="N25" s="463"/>
      <c r="O25" s="465"/>
      <c r="P25" s="463"/>
      <c r="Q25" s="462"/>
      <c r="R25" s="183"/>
      <c r="S25" s="365"/>
      <c r="T25" s="364"/>
      <c r="U25" s="354"/>
      <c r="V25" s="1117"/>
      <c r="W25" s="1117"/>
      <c r="X25" s="466"/>
      <c r="Y25" s="184"/>
      <c r="Z25" s="806"/>
      <c r="AA25" s="359"/>
      <c r="AB25" s="359"/>
      <c r="AC25" s="359"/>
      <c r="AD25" s="355"/>
      <c r="AE25" s="355"/>
      <c r="AF25" s="355"/>
      <c r="AG25" s="355"/>
      <c r="AH25" s="355"/>
      <c r="AI25" s="355"/>
      <c r="AJ25" s="355"/>
      <c r="AK25" s="355"/>
      <c r="AL25" s="355"/>
      <c r="AM25" s="355"/>
      <c r="AN25" s="355"/>
      <c r="AO25" s="355"/>
      <c r="AP25" s="355"/>
      <c r="AQ25" s="355"/>
      <c r="AR25" s="355"/>
      <c r="AS25" s="354"/>
      <c r="AT25" s="355"/>
      <c r="AU25" s="355"/>
      <c r="AV25" s="355"/>
      <c r="AW25" s="355"/>
      <c r="AX25" s="355"/>
      <c r="AY25" s="355"/>
      <c r="AZ25" s="355"/>
      <c r="BA25" s="359"/>
      <c r="BB25" s="359"/>
      <c r="BC25" s="359"/>
      <c r="BD25" s="465"/>
      <c r="BE25" s="465"/>
      <c r="BF25" s="355"/>
      <c r="BG25" s="355"/>
      <c r="BH25" s="355"/>
      <c r="BI25" s="355"/>
      <c r="BJ25" s="355"/>
      <c r="BK25" s="355"/>
      <c r="BL25" s="355"/>
      <c r="BM25" s="355"/>
      <c r="BN25" s="449"/>
      <c r="BO25" s="355"/>
      <c r="BP25" s="355"/>
      <c r="BQ25" s="355"/>
      <c r="BR25" s="355"/>
      <c r="BS25" s="355"/>
      <c r="BT25" s="355"/>
      <c r="BU25" s="364"/>
      <c r="BV25" s="359"/>
      <c r="BW25" s="359"/>
      <c r="BX25" s="359"/>
      <c r="BY25" s="807"/>
      <c r="BZ25" s="355"/>
      <c r="CA25" s="808"/>
      <c r="CB25" s="808"/>
      <c r="CC25" s="808"/>
      <c r="CD25" s="355"/>
      <c r="CE25" s="355"/>
      <c r="CF25" s="355"/>
      <c r="CG25" s="355"/>
      <c r="CH25" s="355"/>
      <c r="CI25" s="810"/>
      <c r="CJ25" s="355"/>
      <c r="CK25" s="355"/>
      <c r="CL25" s="355"/>
      <c r="CM25" s="355"/>
      <c r="CN25" s="355"/>
      <c r="CO25" s="505"/>
      <c r="CP25" s="1085"/>
      <c r="CQ25" s="516"/>
      <c r="CR25" s="526"/>
      <c r="CS25" s="1087"/>
      <c r="CT25" s="516"/>
      <c r="CU25" s="516"/>
      <c r="CV25" s="516"/>
      <c r="CW25" s="516"/>
      <c r="CX25" s="516"/>
      <c r="CY25" s="516"/>
      <c r="CZ25" s="516"/>
      <c r="DA25" s="516"/>
      <c r="DB25" s="516"/>
      <c r="DC25" s="516"/>
      <c r="DD25" s="516"/>
      <c r="DE25" s="516"/>
      <c r="DF25" s="516"/>
      <c r="DG25" s="516"/>
      <c r="DH25" s="516"/>
      <c r="DI25" s="516"/>
      <c r="DJ25" s="516"/>
      <c r="DK25" s="516"/>
      <c r="DL25" s="516"/>
      <c r="DM25" s="516"/>
      <c r="DN25" s="516">
        <f t="shared" si="3"/>
        <v>0</v>
      </c>
      <c r="DO25" s="1085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</row>
    <row r="26" spans="1:323" s="213" customFormat="1" ht="15" x14ac:dyDescent="0.2">
      <c r="A26" s="214" t="s">
        <v>1191</v>
      </c>
      <c r="B26" s="215" t="s">
        <v>1249</v>
      </c>
      <c r="C26" s="216" t="s">
        <v>355</v>
      </c>
      <c r="D26" s="795">
        <v>3</v>
      </c>
      <c r="E26" s="796">
        <v>0.33329999999999999</v>
      </c>
      <c r="F26" s="46">
        <v>43281</v>
      </c>
      <c r="G26" s="217">
        <v>36</v>
      </c>
      <c r="H26" s="221">
        <f>100/G26</f>
        <v>2.7777777777777777</v>
      </c>
      <c r="I26" s="222">
        <f>H26*J26</f>
        <v>13.888888888888889</v>
      </c>
      <c r="J26" s="48">
        <f>(YEAR(F26)-YEAR(S26))*12+MONTH(F26)-MONTH(S26)</f>
        <v>5</v>
      </c>
      <c r="K26" s="222">
        <f>L26*H26</f>
        <v>100</v>
      </c>
      <c r="L26" s="220">
        <v>36</v>
      </c>
      <c r="M26" s="222">
        <v>100</v>
      </c>
      <c r="N26" s="48">
        <f>G26-J26</f>
        <v>31</v>
      </c>
      <c r="O26" s="222">
        <f>K26-M26</f>
        <v>0</v>
      </c>
      <c r="P26" s="220">
        <f>L26-N26</f>
        <v>5</v>
      </c>
      <c r="Q26" s="219">
        <f>DATE(YEAR(S26),MONTH(S26)+G26,DAY(S26))</f>
        <v>44227</v>
      </c>
      <c r="R26" s="795" t="s">
        <v>1250</v>
      </c>
      <c r="S26" s="797">
        <v>43131</v>
      </c>
      <c r="T26" s="798">
        <v>19979.96</v>
      </c>
      <c r="U26" s="228"/>
      <c r="V26" s="1065"/>
      <c r="W26" s="1065"/>
      <c r="X26" s="223"/>
      <c r="Y26" s="224"/>
      <c r="Z26" s="799"/>
      <c r="AA26" s="225"/>
      <c r="AB26" s="225"/>
      <c r="AC26" s="225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8"/>
      <c r="AT26" s="227"/>
      <c r="AU26" s="227"/>
      <c r="AV26" s="227"/>
      <c r="AW26" s="227"/>
      <c r="AX26" s="227"/>
      <c r="AY26" s="227"/>
      <c r="AZ26" s="227"/>
      <c r="BA26" s="225"/>
      <c r="BB26" s="225"/>
      <c r="BC26" s="225"/>
      <c r="BD26" s="222"/>
      <c r="BE26" s="222"/>
      <c r="BF26" s="227"/>
      <c r="BG26" s="227"/>
      <c r="BH26" s="227"/>
      <c r="BI26" s="227"/>
      <c r="BJ26" s="227"/>
      <c r="BK26" s="227"/>
      <c r="BL26" s="227"/>
      <c r="BM26" s="227"/>
      <c r="BN26" s="800"/>
      <c r="BO26" s="227"/>
      <c r="BP26" s="227"/>
      <c r="BQ26" s="227"/>
      <c r="BR26" s="227"/>
      <c r="BS26" s="227"/>
      <c r="BT26" s="227"/>
      <c r="BU26" s="798">
        <v>19979.96</v>
      </c>
      <c r="BV26" s="225">
        <v>126.408</v>
      </c>
      <c r="BW26" s="225">
        <v>131.50800000000001</v>
      </c>
      <c r="BX26" s="225">
        <f>BV26/BW26</f>
        <v>0.96121908933296829</v>
      </c>
      <c r="BY26" s="804">
        <f>BU26/G26</f>
        <v>554.99888888888881</v>
      </c>
      <c r="BZ26" s="227">
        <f>BY26*BX26</f>
        <v>533.47552655858692</v>
      </c>
      <c r="CA26" s="805"/>
      <c r="CB26" s="805"/>
      <c r="CC26" s="805"/>
      <c r="CD26" s="227"/>
      <c r="CE26" s="227"/>
      <c r="CF26" s="227"/>
      <c r="CG26" s="227"/>
      <c r="CH26" s="227">
        <f>SUM(CD26:CE26)</f>
        <v>0</v>
      </c>
      <c r="CI26" s="803">
        <f>BU26-CH26</f>
        <v>19979.96</v>
      </c>
      <c r="CJ26" s="227">
        <v>533.48</v>
      </c>
      <c r="CK26" s="227">
        <v>533.48</v>
      </c>
      <c r="CL26" s="227">
        <v>533.48</v>
      </c>
      <c r="CM26" s="227">
        <v>533.48</v>
      </c>
      <c r="CN26" s="227">
        <v>533.48</v>
      </c>
      <c r="CO26" s="505">
        <f t="shared" si="0"/>
        <v>2667.4</v>
      </c>
      <c r="CP26" s="1085">
        <f t="shared" si="1"/>
        <v>17312.559999999998</v>
      </c>
      <c r="CQ26" s="1086">
        <v>132.28200000000001</v>
      </c>
      <c r="CR26" s="1121">
        <v>131.50800000000001</v>
      </c>
      <c r="CS26" s="1087">
        <f>CQ26/CR26</f>
        <v>1.005885573501232</v>
      </c>
      <c r="CT26" s="516">
        <f>CP26/L26</f>
        <v>480.90444444444438</v>
      </c>
      <c r="CU26" s="516">
        <f>CS26*CT26</f>
        <v>483.73484289929127</v>
      </c>
      <c r="CV26" s="516">
        <v>483.73484289929127</v>
      </c>
      <c r="CW26" s="516">
        <v>483.73484289929127</v>
      </c>
      <c r="CX26" s="516">
        <v>483.73484289929127</v>
      </c>
      <c r="CY26" s="516">
        <v>483.73484289929127</v>
      </c>
      <c r="CZ26" s="516">
        <v>483.73484289929127</v>
      </c>
      <c r="DA26" s="516">
        <v>483.73484289929127</v>
      </c>
      <c r="DB26" s="516">
        <v>483.73484289929127</v>
      </c>
      <c r="DC26" s="516">
        <v>483.73484289929127</v>
      </c>
      <c r="DD26" s="516">
        <v>483.73484289929127</v>
      </c>
      <c r="DE26" s="516">
        <v>483.73484289929127</v>
      </c>
      <c r="DF26" s="516">
        <v>483.73484289929127</v>
      </c>
      <c r="DG26" s="516">
        <v>483.73484289929127</v>
      </c>
      <c r="DH26" s="516">
        <v>483.73484289929127</v>
      </c>
      <c r="DI26" s="516">
        <v>483.73484289929127</v>
      </c>
      <c r="DJ26" s="516">
        <v>483.73484289929127</v>
      </c>
      <c r="DK26" s="516">
        <v>483.73484289929127</v>
      </c>
      <c r="DL26" s="516">
        <v>483.73484289929127</v>
      </c>
      <c r="DM26" s="516">
        <v>483.73484289929127</v>
      </c>
      <c r="DN26" s="516">
        <f t="shared" si="3"/>
        <v>8707.2271721872421</v>
      </c>
      <c r="DO26" s="1085">
        <f t="shared" si="2"/>
        <v>8605.3328278127556</v>
      </c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</row>
    <row r="27" spans="1:323" s="16" customFormat="1" ht="15" x14ac:dyDescent="0.2">
      <c r="A27" s="120" t="s">
        <v>65</v>
      </c>
      <c r="B27" s="946"/>
      <c r="C27" s="45"/>
      <c r="D27" s="125"/>
      <c r="E27" s="127"/>
      <c r="F27" s="46"/>
      <c r="G27" s="58"/>
      <c r="H27" s="145"/>
      <c r="I27" s="165"/>
      <c r="J27" s="48"/>
      <c r="K27" s="165"/>
      <c r="L27" s="48"/>
      <c r="M27" s="165"/>
      <c r="N27" s="48"/>
      <c r="O27" s="165"/>
      <c r="P27" s="48"/>
      <c r="Q27" s="46"/>
      <c r="R27" s="125"/>
      <c r="S27" s="128"/>
      <c r="T27" s="7"/>
      <c r="U27" s="72"/>
      <c r="V27" s="776"/>
      <c r="W27" s="776"/>
      <c r="X27" s="47"/>
      <c r="Y27" s="106"/>
      <c r="Z27" s="258"/>
      <c r="AA27" s="57"/>
      <c r="AB27" s="57"/>
      <c r="AC27" s="57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72"/>
      <c r="AT27" s="55"/>
      <c r="AU27" s="55"/>
      <c r="AV27" s="55"/>
      <c r="AW27" s="55"/>
      <c r="AX27" s="55"/>
      <c r="AY27" s="55"/>
      <c r="AZ27" s="55"/>
      <c r="BA27" s="57"/>
      <c r="BB27" s="57"/>
      <c r="BC27" s="57"/>
      <c r="BD27" s="165"/>
      <c r="BE27" s="165"/>
      <c r="BF27" s="55"/>
      <c r="BG27" s="55"/>
      <c r="BH27" s="55"/>
      <c r="BI27" s="55"/>
      <c r="BJ27" s="55"/>
      <c r="BK27" s="55"/>
      <c r="BL27" s="55"/>
      <c r="BM27" s="55"/>
      <c r="BN27" s="448"/>
      <c r="BO27" s="55"/>
      <c r="BP27" s="55"/>
      <c r="BQ27" s="55"/>
      <c r="BR27" s="55"/>
      <c r="BS27" s="55"/>
      <c r="BT27" s="55"/>
      <c r="BU27" s="7"/>
      <c r="BV27" s="57"/>
      <c r="BW27" s="57"/>
      <c r="BX27" s="57"/>
      <c r="BY27" s="753"/>
      <c r="BZ27" s="55"/>
      <c r="CA27" s="754"/>
      <c r="CB27" s="754"/>
      <c r="CC27" s="754"/>
      <c r="CD27" s="754"/>
      <c r="CE27" s="754"/>
      <c r="CF27" s="754"/>
      <c r="CG27" s="754"/>
      <c r="CH27" s="429"/>
      <c r="CI27" s="439"/>
      <c r="CJ27" s="754"/>
      <c r="CK27" s="754"/>
      <c r="CL27" s="754"/>
      <c r="CM27" s="754"/>
      <c r="CN27" s="754"/>
      <c r="CO27" s="505"/>
      <c r="CP27" s="1085"/>
      <c r="CQ27" s="1086"/>
      <c r="CR27" s="514"/>
      <c r="CS27" s="1087"/>
      <c r="CT27" s="516"/>
      <c r="CU27" s="516"/>
      <c r="CV27" s="516"/>
      <c r="CW27" s="516"/>
      <c r="CX27" s="516"/>
      <c r="CY27" s="516"/>
      <c r="CZ27" s="516"/>
      <c r="DA27" s="516"/>
      <c r="DB27" s="516"/>
      <c r="DC27" s="516"/>
      <c r="DD27" s="516"/>
      <c r="DE27" s="516"/>
      <c r="DF27" s="516"/>
      <c r="DG27" s="516"/>
      <c r="DH27" s="516"/>
      <c r="DI27" s="516"/>
      <c r="DJ27" s="516"/>
      <c r="DK27" s="516"/>
      <c r="DL27" s="516"/>
      <c r="DM27" s="516"/>
      <c r="DN27" s="516">
        <f t="shared" si="3"/>
        <v>0</v>
      </c>
      <c r="DO27" s="1085"/>
    </row>
    <row r="28" spans="1:323" s="16" customFormat="1" ht="15" x14ac:dyDescent="0.2">
      <c r="A28" s="120" t="s">
        <v>66</v>
      </c>
      <c r="B28" s="946"/>
      <c r="C28" s="45"/>
      <c r="D28" s="125"/>
      <c r="E28" s="127"/>
      <c r="F28" s="46"/>
      <c r="G28" s="58"/>
      <c r="H28" s="145"/>
      <c r="I28" s="165"/>
      <c r="J28" s="48"/>
      <c r="K28" s="165"/>
      <c r="L28" s="48"/>
      <c r="M28" s="165"/>
      <c r="N28" s="48"/>
      <c r="O28" s="165"/>
      <c r="P28" s="48"/>
      <c r="Q28" s="46"/>
      <c r="R28" s="125"/>
      <c r="S28" s="128"/>
      <c r="T28" s="7"/>
      <c r="U28" s="72"/>
      <c r="V28" s="776"/>
      <c r="W28" s="776"/>
      <c r="X28" s="47"/>
      <c r="Y28" s="106"/>
      <c r="Z28" s="258"/>
      <c r="AA28" s="57"/>
      <c r="AB28" s="57"/>
      <c r="AC28" s="57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72"/>
      <c r="AT28" s="55"/>
      <c r="AU28" s="55"/>
      <c r="AV28" s="55"/>
      <c r="AW28" s="55"/>
      <c r="AX28" s="55"/>
      <c r="AY28" s="55"/>
      <c r="AZ28" s="55"/>
      <c r="BA28" s="57"/>
      <c r="BB28" s="57"/>
      <c r="BC28" s="57"/>
      <c r="BD28" s="165"/>
      <c r="BE28" s="165"/>
      <c r="BF28" s="55"/>
      <c r="BG28" s="55"/>
      <c r="BH28" s="55"/>
      <c r="BI28" s="55"/>
      <c r="BJ28" s="55"/>
      <c r="BK28" s="55"/>
      <c r="BL28" s="55"/>
      <c r="BM28" s="55"/>
      <c r="BN28" s="448"/>
      <c r="BO28" s="55"/>
      <c r="BP28" s="55"/>
      <c r="BQ28" s="55"/>
      <c r="BR28" s="55"/>
      <c r="BS28" s="55"/>
      <c r="BT28" s="55"/>
      <c r="BU28" s="7"/>
      <c r="BV28" s="57"/>
      <c r="BW28" s="57"/>
      <c r="BX28" s="57"/>
      <c r="BY28" s="753"/>
      <c r="BZ28" s="55"/>
      <c r="CA28" s="754"/>
      <c r="CB28" s="754"/>
      <c r="CC28" s="754"/>
      <c r="CD28" s="754"/>
      <c r="CE28" s="754"/>
      <c r="CF28" s="754"/>
      <c r="CG28" s="754"/>
      <c r="CH28" s="429"/>
      <c r="CI28" s="439"/>
      <c r="CJ28" s="754"/>
      <c r="CK28" s="754"/>
      <c r="CL28" s="754"/>
      <c r="CM28" s="754"/>
      <c r="CN28" s="754"/>
      <c r="CO28" s="505"/>
      <c r="CP28" s="1085"/>
      <c r="CQ28" s="520"/>
      <c r="CR28" s="514"/>
      <c r="CS28" s="1087"/>
      <c r="CT28" s="516"/>
      <c r="CU28" s="516"/>
      <c r="CV28" s="516"/>
      <c r="CW28" s="516"/>
      <c r="CX28" s="516"/>
      <c r="CY28" s="516"/>
      <c r="CZ28" s="516"/>
      <c r="DA28" s="516"/>
      <c r="DB28" s="516"/>
      <c r="DC28" s="516"/>
      <c r="DD28" s="516"/>
      <c r="DE28" s="516"/>
      <c r="DF28" s="516"/>
      <c r="DG28" s="516"/>
      <c r="DH28" s="516"/>
      <c r="DI28" s="516"/>
      <c r="DJ28" s="516"/>
      <c r="DK28" s="516"/>
      <c r="DL28" s="516"/>
      <c r="DM28" s="516"/>
      <c r="DN28" s="516">
        <f t="shared" si="3"/>
        <v>0</v>
      </c>
      <c r="DO28" s="1085"/>
    </row>
    <row r="29" spans="1:323" s="35" customFormat="1" ht="15" x14ac:dyDescent="0.2">
      <c r="A29" s="119" t="s">
        <v>1050</v>
      </c>
      <c r="B29" s="100" t="s">
        <v>1051</v>
      </c>
      <c r="C29" s="100" t="s">
        <v>355</v>
      </c>
      <c r="D29" s="125">
        <v>3</v>
      </c>
      <c r="E29" s="127">
        <v>0.33329999999999999</v>
      </c>
      <c r="F29" s="119">
        <v>43281</v>
      </c>
      <c r="G29" s="8">
        <v>36</v>
      </c>
      <c r="H29" s="146">
        <f>100/G29</f>
        <v>2.7777777777777777</v>
      </c>
      <c r="I29" s="1167">
        <f>H29*J29</f>
        <v>50</v>
      </c>
      <c r="J29" s="125">
        <f>(YEAR(F29)-YEAR(S29))*12+MONTH(F29)-MONTH(S29)</f>
        <v>18</v>
      </c>
      <c r="K29" s="1167">
        <f>L29*H29</f>
        <v>50</v>
      </c>
      <c r="L29" s="125">
        <f>G29-J29</f>
        <v>18</v>
      </c>
      <c r="M29" s="1167">
        <f>N29*H29</f>
        <v>50</v>
      </c>
      <c r="N29" s="125">
        <f>G29-J29</f>
        <v>18</v>
      </c>
      <c r="O29" s="1167">
        <f>K29-M29</f>
        <v>0</v>
      </c>
      <c r="P29" s="125">
        <f>L29-N29</f>
        <v>0</v>
      </c>
      <c r="Q29" s="119">
        <f>DATE(YEAR(S29),MONTH(S29)+G29,DAY(S29))</f>
        <v>43829</v>
      </c>
      <c r="R29" s="125" t="s">
        <v>1052</v>
      </c>
      <c r="S29" s="119">
        <v>42734</v>
      </c>
      <c r="T29" s="7">
        <v>15523.83</v>
      </c>
      <c r="U29" s="1169">
        <f>T29/G29</f>
        <v>431.21749999999997</v>
      </c>
      <c r="V29" s="776">
        <v>60</v>
      </c>
      <c r="W29" s="776">
        <f>U29</f>
        <v>431.21749999999997</v>
      </c>
      <c r="X29" s="134">
        <v>5</v>
      </c>
      <c r="Y29" s="7">
        <f>X29*5</f>
        <v>25</v>
      </c>
      <c r="Z29" s="129">
        <f>W29-Y29</f>
        <v>406.21749999999997</v>
      </c>
      <c r="AA29" s="64">
        <v>115.958</v>
      </c>
      <c r="AB29" s="82">
        <v>112.505</v>
      </c>
      <c r="AC29" s="64">
        <f>AA29/AB29</f>
        <v>1.0306919692458114</v>
      </c>
      <c r="AD29" s="62">
        <f>Z29*M29/100/K29*100/7</f>
        <v>58.031071428571423</v>
      </c>
      <c r="AE29" s="62">
        <f>AD29*AC29</f>
        <v>59.812159288158625</v>
      </c>
      <c r="AF29" s="62"/>
      <c r="AG29" s="62"/>
      <c r="AH29" s="62"/>
      <c r="AI29" s="62"/>
      <c r="AJ29" s="62"/>
      <c r="AK29" s="62">
        <f>AE29</f>
        <v>59.812159288158625</v>
      </c>
      <c r="AL29" s="62">
        <v>5.1534598462290573</v>
      </c>
      <c r="AM29" s="62">
        <v>5.1534598462290573</v>
      </c>
      <c r="AN29" s="62">
        <v>5.1534598462290573</v>
      </c>
      <c r="AO29" s="62">
        <v>5.1534598462290573</v>
      </c>
      <c r="AP29" s="62">
        <v>5.1534598462290573</v>
      </c>
      <c r="AQ29" s="62">
        <v>5.1534598462290573</v>
      </c>
      <c r="AR29" s="62">
        <f>SUM(AF29:AQ29)</f>
        <v>90.732918365532953</v>
      </c>
      <c r="AS29" s="1169">
        <v>15523.83</v>
      </c>
      <c r="AT29" s="62"/>
      <c r="AU29" s="62"/>
      <c r="AV29" s="62"/>
      <c r="AW29" s="62"/>
      <c r="AX29" s="62"/>
      <c r="AY29" s="62"/>
      <c r="AZ29" s="62"/>
      <c r="BA29" s="82">
        <v>118.901</v>
      </c>
      <c r="BB29" s="82">
        <v>112.505</v>
      </c>
      <c r="BC29" s="64">
        <f>BA29/BB29</f>
        <v>1.0568508066308164</v>
      </c>
      <c r="BD29" s="1167">
        <f>T29/(D29*12)</f>
        <v>431.21749999999997</v>
      </c>
      <c r="BE29" s="1167">
        <f>BD29*BC29</f>
        <v>455.73256270832405</v>
      </c>
      <c r="BF29" s="62"/>
      <c r="BG29" s="62"/>
      <c r="BH29" s="62"/>
      <c r="BI29" s="62"/>
      <c r="BJ29" s="62"/>
      <c r="BK29" s="62"/>
      <c r="BL29" s="62"/>
      <c r="BM29" s="62">
        <f>SUM((AV29:AZ29),(BF29:BL29))</f>
        <v>0</v>
      </c>
      <c r="BN29" s="927">
        <f>(AS29-BM29)</f>
        <v>15523.83</v>
      </c>
      <c r="BO29" s="62">
        <v>455.73</v>
      </c>
      <c r="BP29" s="62">
        <v>455.73</v>
      </c>
      <c r="BQ29" s="62">
        <v>455.73</v>
      </c>
      <c r="BR29" s="62">
        <v>455.73</v>
      </c>
      <c r="BS29" s="62">
        <v>455.73</v>
      </c>
      <c r="BT29" s="62">
        <f>SUM(BO29:BS29)</f>
        <v>2278.65</v>
      </c>
      <c r="BU29" s="927">
        <f>BN29-BT29</f>
        <v>13245.18</v>
      </c>
      <c r="BV29" s="64">
        <v>126.408</v>
      </c>
      <c r="BW29" s="64">
        <v>126.408</v>
      </c>
      <c r="BX29" s="64">
        <f>BV29/BW29</f>
        <v>1</v>
      </c>
      <c r="BY29" s="1204">
        <f>BU29/J29</f>
        <v>735.84333333333336</v>
      </c>
      <c r="BZ29" s="62">
        <f>BY29*BX29</f>
        <v>735.84333333333336</v>
      </c>
      <c r="CA29" s="756">
        <v>2207.5300000000002</v>
      </c>
      <c r="CB29" s="756">
        <v>2207.5300000000002</v>
      </c>
      <c r="CC29" s="756">
        <v>2207.5300000000002</v>
      </c>
      <c r="CD29" s="756">
        <v>2207.5300000000002</v>
      </c>
      <c r="CE29" s="756">
        <v>2207.5300000000002</v>
      </c>
      <c r="CF29" s="756">
        <v>2207.5300000000002</v>
      </c>
      <c r="CG29" s="756">
        <v>0</v>
      </c>
      <c r="CH29" s="510">
        <f>SUM(CA29:CG29)</f>
        <v>13245.180000000002</v>
      </c>
      <c r="CI29" s="439">
        <v>1</v>
      </c>
      <c r="CJ29" s="756">
        <v>0</v>
      </c>
      <c r="CK29" s="756">
        <v>0</v>
      </c>
      <c r="CL29" s="756">
        <v>0</v>
      </c>
      <c r="CM29" s="756">
        <v>0</v>
      </c>
      <c r="CN29" s="756">
        <v>0</v>
      </c>
      <c r="CO29" s="1170">
        <f t="shared" si="0"/>
        <v>0</v>
      </c>
      <c r="CP29" s="1085">
        <f>CI29-CO29</f>
        <v>1</v>
      </c>
      <c r="CQ29" s="1195">
        <v>132.28200000000001</v>
      </c>
      <c r="CR29" s="1190">
        <v>126.408</v>
      </c>
      <c r="CS29" s="1196">
        <f>CQ29/CR29</f>
        <v>1.0464685779381053</v>
      </c>
      <c r="CT29" s="538">
        <v>0</v>
      </c>
      <c r="CU29" s="538">
        <v>0</v>
      </c>
      <c r="CV29" s="538">
        <v>0</v>
      </c>
      <c r="CW29" s="538">
        <v>0</v>
      </c>
      <c r="CX29" s="538">
        <v>0</v>
      </c>
      <c r="CY29" s="538">
        <v>0</v>
      </c>
      <c r="CZ29" s="538">
        <v>0</v>
      </c>
      <c r="DA29" s="538">
        <v>0</v>
      </c>
      <c r="DB29" s="538">
        <v>0</v>
      </c>
      <c r="DC29" s="538">
        <v>0</v>
      </c>
      <c r="DD29" s="538">
        <v>0</v>
      </c>
      <c r="DE29" s="538">
        <v>0</v>
      </c>
      <c r="DF29" s="538">
        <v>0</v>
      </c>
      <c r="DG29" s="538">
        <v>0</v>
      </c>
      <c r="DH29" s="538">
        <v>0</v>
      </c>
      <c r="DI29" s="538">
        <v>0</v>
      </c>
      <c r="DJ29" s="538">
        <v>0</v>
      </c>
      <c r="DK29" s="538">
        <v>0</v>
      </c>
      <c r="DL29" s="538">
        <v>0</v>
      </c>
      <c r="DM29" s="538">
        <v>0</v>
      </c>
      <c r="DN29" s="538">
        <f t="shared" si="3"/>
        <v>0</v>
      </c>
      <c r="DO29" s="1085">
        <f t="shared" si="2"/>
        <v>1</v>
      </c>
    </row>
    <row r="30" spans="1:323" s="35" customFormat="1" ht="15" x14ac:dyDescent="0.2">
      <c r="A30" s="120" t="s">
        <v>65</v>
      </c>
      <c r="B30" s="120" t="s">
        <v>279</v>
      </c>
      <c r="C30" s="100"/>
      <c r="D30" s="125"/>
      <c r="E30" s="127"/>
      <c r="F30" s="119"/>
      <c r="G30" s="8"/>
      <c r="H30" s="146"/>
      <c r="I30" s="1167"/>
      <c r="J30" s="125"/>
      <c r="K30" s="1167"/>
      <c r="L30" s="125"/>
      <c r="M30" s="1167"/>
      <c r="N30" s="125"/>
      <c r="O30" s="1167"/>
      <c r="P30" s="125"/>
      <c r="Q30" s="125"/>
      <c r="R30" s="119"/>
      <c r="S30" s="128"/>
      <c r="T30" s="251"/>
      <c r="U30" s="1169"/>
      <c r="V30" s="776"/>
      <c r="W30" s="776"/>
      <c r="X30" s="134"/>
      <c r="Y30" s="7"/>
      <c r="Z30" s="129"/>
      <c r="AA30" s="64"/>
      <c r="AB30" s="64"/>
      <c r="AC30" s="64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1169"/>
      <c r="AT30" s="62"/>
      <c r="AU30" s="62"/>
      <c r="AV30" s="62"/>
      <c r="AW30" s="62"/>
      <c r="AX30" s="62"/>
      <c r="AY30" s="62"/>
      <c r="AZ30" s="62"/>
      <c r="BA30" s="64"/>
      <c r="BB30" s="64"/>
      <c r="BC30" s="64"/>
      <c r="BD30" s="1167"/>
      <c r="BE30" s="1167"/>
      <c r="BF30" s="62">
        <f>$BE30</f>
        <v>0</v>
      </c>
      <c r="BG30" s="62">
        <f>$BE30</f>
        <v>0</v>
      </c>
      <c r="BH30" s="62"/>
      <c r="BI30" s="62"/>
      <c r="BJ30" s="62"/>
      <c r="BK30" s="62"/>
      <c r="BL30" s="62"/>
      <c r="BM30" s="62"/>
      <c r="BN30" s="927"/>
      <c r="BO30" s="62"/>
      <c r="BP30" s="62"/>
      <c r="BQ30" s="62"/>
      <c r="BR30" s="62"/>
      <c r="BS30" s="62"/>
      <c r="BT30" s="62"/>
      <c r="BU30" s="927"/>
      <c r="BV30" s="64"/>
      <c r="BW30" s="64"/>
      <c r="BX30" s="64"/>
      <c r="BY30" s="62"/>
      <c r="BZ30" s="62"/>
      <c r="CA30" s="756"/>
      <c r="CB30" s="756"/>
      <c r="CC30" s="756"/>
      <c r="CD30" s="756"/>
      <c r="CE30" s="756"/>
      <c r="CF30" s="756"/>
      <c r="CG30" s="756"/>
      <c r="CH30" s="510"/>
      <c r="CI30" s="439"/>
      <c r="CJ30" s="756"/>
      <c r="CK30" s="756"/>
      <c r="CL30" s="756"/>
      <c r="CM30" s="756"/>
      <c r="CN30" s="756"/>
      <c r="CO30" s="1170"/>
      <c r="CP30" s="1085"/>
      <c r="CQ30" s="538"/>
      <c r="CR30" s="1190"/>
      <c r="CS30" s="1196"/>
      <c r="CT30" s="538"/>
      <c r="CU30" s="538"/>
      <c r="CV30" s="538"/>
      <c r="CW30" s="538"/>
      <c r="CX30" s="538"/>
      <c r="CY30" s="538"/>
      <c r="CZ30" s="538"/>
      <c r="DA30" s="538"/>
      <c r="DB30" s="538"/>
      <c r="DC30" s="538"/>
      <c r="DD30" s="538"/>
      <c r="DE30" s="538"/>
      <c r="DF30" s="538"/>
      <c r="DG30" s="538"/>
      <c r="DH30" s="538"/>
      <c r="DI30" s="538"/>
      <c r="DJ30" s="538"/>
      <c r="DK30" s="538"/>
      <c r="DL30" s="538"/>
      <c r="DM30" s="538"/>
      <c r="DN30" s="538">
        <f t="shared" si="3"/>
        <v>0</v>
      </c>
      <c r="DO30" s="1085"/>
    </row>
    <row r="31" spans="1:323" s="35" customFormat="1" ht="15" x14ac:dyDescent="0.2">
      <c r="A31" s="120" t="s">
        <v>278</v>
      </c>
      <c r="B31" s="100"/>
      <c r="C31" s="100"/>
      <c r="D31" s="125"/>
      <c r="E31" s="127"/>
      <c r="F31" s="119"/>
      <c r="G31" s="8"/>
      <c r="H31" s="146"/>
      <c r="I31" s="1167"/>
      <c r="J31" s="125"/>
      <c r="K31" s="1167"/>
      <c r="L31" s="125"/>
      <c r="M31" s="1167"/>
      <c r="N31" s="125"/>
      <c r="O31" s="1167"/>
      <c r="P31" s="125"/>
      <c r="Q31" s="125"/>
      <c r="R31" s="119"/>
      <c r="S31" s="128"/>
      <c r="T31" s="7"/>
      <c r="U31" s="1169"/>
      <c r="V31" s="776"/>
      <c r="W31" s="776"/>
      <c r="X31" s="134"/>
      <c r="Y31" s="7"/>
      <c r="Z31" s="129"/>
      <c r="AA31" s="64"/>
      <c r="AB31" s="64"/>
      <c r="AC31" s="64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1169"/>
      <c r="AT31" s="62"/>
      <c r="AU31" s="62"/>
      <c r="AV31" s="62"/>
      <c r="AW31" s="62"/>
      <c r="AX31" s="62"/>
      <c r="AY31" s="62"/>
      <c r="AZ31" s="62"/>
      <c r="BA31" s="64"/>
      <c r="BB31" s="64"/>
      <c r="BC31" s="64"/>
      <c r="BD31" s="1167"/>
      <c r="BE31" s="1167"/>
      <c r="BF31" s="62">
        <f>$BE31</f>
        <v>0</v>
      </c>
      <c r="BG31" s="62">
        <f>$BE31</f>
        <v>0</v>
      </c>
      <c r="BH31" s="62"/>
      <c r="BI31" s="62"/>
      <c r="BJ31" s="62"/>
      <c r="BK31" s="62"/>
      <c r="BL31" s="62"/>
      <c r="BM31" s="62"/>
      <c r="BN31" s="927"/>
      <c r="BO31" s="62"/>
      <c r="BP31" s="62"/>
      <c r="BQ31" s="62"/>
      <c r="BR31" s="62"/>
      <c r="BS31" s="62"/>
      <c r="BT31" s="62"/>
      <c r="BU31" s="927"/>
      <c r="BV31" s="64"/>
      <c r="BW31" s="64"/>
      <c r="BX31" s="64"/>
      <c r="BY31" s="62"/>
      <c r="BZ31" s="62"/>
      <c r="CA31" s="756"/>
      <c r="CB31" s="756"/>
      <c r="CC31" s="756"/>
      <c r="CD31" s="756"/>
      <c r="CE31" s="756"/>
      <c r="CF31" s="756"/>
      <c r="CG31" s="756"/>
      <c r="CH31" s="510"/>
      <c r="CI31" s="439"/>
      <c r="CJ31" s="756"/>
      <c r="CK31" s="756"/>
      <c r="CL31" s="756"/>
      <c r="CM31" s="756"/>
      <c r="CN31" s="756"/>
      <c r="CO31" s="1170"/>
      <c r="CP31" s="1085"/>
      <c r="CQ31" s="538"/>
      <c r="CR31" s="1190"/>
      <c r="CS31" s="1196"/>
      <c r="CT31" s="538"/>
      <c r="CU31" s="538"/>
      <c r="CV31" s="538"/>
      <c r="CW31" s="538"/>
      <c r="CX31" s="538"/>
      <c r="CY31" s="538"/>
      <c r="CZ31" s="538"/>
      <c r="DA31" s="538"/>
      <c r="DB31" s="538"/>
      <c r="DC31" s="538"/>
      <c r="DD31" s="538"/>
      <c r="DE31" s="538"/>
      <c r="DF31" s="538"/>
      <c r="DG31" s="538"/>
      <c r="DH31" s="538"/>
      <c r="DI31" s="538"/>
      <c r="DJ31" s="538"/>
      <c r="DK31" s="538"/>
      <c r="DL31" s="538"/>
      <c r="DM31" s="538"/>
      <c r="DN31" s="538">
        <f t="shared" si="3"/>
        <v>0</v>
      </c>
      <c r="DO31" s="1085"/>
    </row>
    <row r="32" spans="1:323" s="35" customFormat="1" ht="15" x14ac:dyDescent="0.2">
      <c r="A32" s="119" t="s">
        <v>280</v>
      </c>
      <c r="B32" s="100" t="s">
        <v>279</v>
      </c>
      <c r="C32" s="100" t="s">
        <v>355</v>
      </c>
      <c r="D32" s="125">
        <v>3</v>
      </c>
      <c r="E32" s="127">
        <v>0.33329999999999999</v>
      </c>
      <c r="F32" s="119">
        <v>43281</v>
      </c>
      <c r="G32" s="8">
        <v>36</v>
      </c>
      <c r="H32" s="146">
        <f>100/G32</f>
        <v>2.7777777777777777</v>
      </c>
      <c r="I32" s="1167">
        <f>H32*J32</f>
        <v>180.55555555555554</v>
      </c>
      <c r="J32" s="125">
        <f t="shared" ref="J32:J33" si="4">(YEAR(F32)-YEAR(S32))*12+MONTH(F32)-MONTH(S32)</f>
        <v>65</v>
      </c>
      <c r="K32" s="1167">
        <f>L32*H32</f>
        <v>-80.555555555555557</v>
      </c>
      <c r="L32" s="125">
        <f>G32-J32</f>
        <v>-29</v>
      </c>
      <c r="M32" s="1167">
        <f>N32*H32</f>
        <v>-80.555555555555557</v>
      </c>
      <c r="N32" s="125">
        <f t="shared" ref="N32:N33" si="5">G32-J32</f>
        <v>-29</v>
      </c>
      <c r="O32" s="1167">
        <f>K32-M32</f>
        <v>0</v>
      </c>
      <c r="P32" s="125">
        <f>L32-N32</f>
        <v>0</v>
      </c>
      <c r="Q32" s="367">
        <f>DATE(YEAR(S32),MONTH(S32)+G32,DAY(S32))</f>
        <v>42373</v>
      </c>
      <c r="R32" s="125" t="s">
        <v>445</v>
      </c>
      <c r="S32" s="119">
        <v>41278</v>
      </c>
      <c r="T32" s="7">
        <v>899</v>
      </c>
      <c r="U32" s="1169">
        <v>299.72412499999996</v>
      </c>
      <c r="V32" s="776">
        <v>299.63917500000002</v>
      </c>
      <c r="W32" s="776">
        <f>U32</f>
        <v>299.72412499999996</v>
      </c>
      <c r="X32" s="134">
        <v>24.97</v>
      </c>
      <c r="Y32" s="7">
        <f>X32*5</f>
        <v>124.85</v>
      </c>
      <c r="Z32" s="129">
        <f>W32-Y32</f>
        <v>174.87412499999996</v>
      </c>
      <c r="AA32" s="64">
        <v>115.958</v>
      </c>
      <c r="AB32" s="82">
        <v>107.246</v>
      </c>
      <c r="AC32" s="64">
        <f>AA32/AB32</f>
        <v>1.0812337989295639</v>
      </c>
      <c r="AD32" s="62">
        <f>Z32*M32/100/K32*100/7</f>
        <v>24.982017857142854</v>
      </c>
      <c r="AE32" s="62">
        <f>AD32*AC32</f>
        <v>27.011402072604771</v>
      </c>
      <c r="AF32" s="62"/>
      <c r="AG32" s="62"/>
      <c r="AH32" s="62"/>
      <c r="AI32" s="62"/>
      <c r="AJ32" s="62"/>
      <c r="AK32" s="62">
        <f>AE32</f>
        <v>27.011402072604771</v>
      </c>
      <c r="AL32" s="62">
        <v>27.011402072604771</v>
      </c>
      <c r="AM32" s="62">
        <v>27.011402072604771</v>
      </c>
      <c r="AN32" s="62">
        <v>27.011402072604771</v>
      </c>
      <c r="AO32" s="62">
        <v>27.011402072604771</v>
      </c>
      <c r="AP32" s="62">
        <v>27.011402072604771</v>
      </c>
      <c r="AQ32" s="62">
        <v>11.81</v>
      </c>
      <c r="AR32" s="62">
        <f>SUM(AF32:AQ32)</f>
        <v>173.87841243562863</v>
      </c>
      <c r="AS32" s="1169">
        <f>Z32-AR32</f>
        <v>0.99571256437133115</v>
      </c>
      <c r="AT32" s="62"/>
      <c r="AU32" s="62"/>
      <c r="AV32" s="62"/>
      <c r="AW32" s="62"/>
      <c r="AX32" s="62"/>
      <c r="AY32" s="62"/>
      <c r="AZ32" s="62"/>
      <c r="BA32" s="82">
        <v>118.901</v>
      </c>
      <c r="BB32" s="82">
        <v>107.246</v>
      </c>
      <c r="BC32" s="64">
        <f>BA32/BB32</f>
        <v>1.1086753818324226</v>
      </c>
      <c r="BD32" s="1167">
        <f>T32/(D32*12)</f>
        <v>24.972222222222221</v>
      </c>
      <c r="BE32" s="1167">
        <f>BD32*BC32</f>
        <v>27.686088007426331</v>
      </c>
      <c r="BF32" s="62">
        <v>0</v>
      </c>
      <c r="BG32" s="62">
        <v>0</v>
      </c>
      <c r="BH32" s="62"/>
      <c r="BI32" s="62"/>
      <c r="BJ32" s="62"/>
      <c r="BK32" s="62"/>
      <c r="BL32" s="62"/>
      <c r="BM32" s="62">
        <f>SUM((AV32:AZ32),(BF32:BL32))</f>
        <v>0</v>
      </c>
      <c r="BN32" s="927">
        <v>1</v>
      </c>
      <c r="BO32" s="62"/>
      <c r="BP32" s="62"/>
      <c r="BQ32" s="62"/>
      <c r="BR32" s="62"/>
      <c r="BS32" s="62"/>
      <c r="BT32" s="62">
        <f>SUM(BO32:BS32)</f>
        <v>0</v>
      </c>
      <c r="BU32" s="927">
        <f>BN32-BT32</f>
        <v>1</v>
      </c>
      <c r="BV32" s="64"/>
      <c r="BW32" s="64">
        <v>126.408</v>
      </c>
      <c r="BX32" s="64">
        <f>BV32/BW32</f>
        <v>0</v>
      </c>
      <c r="BY32" s="1204">
        <f>BU32/J32</f>
        <v>1.5384615384615385E-2</v>
      </c>
      <c r="BZ32" s="62"/>
      <c r="CA32" s="756"/>
      <c r="CB32" s="756"/>
      <c r="CC32" s="756"/>
      <c r="CD32" s="756"/>
      <c r="CE32" s="756"/>
      <c r="CF32" s="756"/>
      <c r="CG32" s="756"/>
      <c r="CH32" s="510">
        <f>SUM(CA32:CG32)</f>
        <v>0</v>
      </c>
      <c r="CI32" s="439">
        <f>BN32-CH32</f>
        <v>1</v>
      </c>
      <c r="CJ32" s="756">
        <v>0</v>
      </c>
      <c r="CK32" s="756">
        <v>0</v>
      </c>
      <c r="CL32" s="756">
        <v>0</v>
      </c>
      <c r="CM32" s="756">
        <v>0</v>
      </c>
      <c r="CN32" s="756">
        <v>0</v>
      </c>
      <c r="CO32" s="1170">
        <f t="shared" si="0"/>
        <v>0</v>
      </c>
      <c r="CP32" s="1085">
        <f t="shared" si="1"/>
        <v>1</v>
      </c>
      <c r="CQ32" s="1195">
        <v>132.28200000000001</v>
      </c>
      <c r="CR32" s="1190">
        <v>126.408</v>
      </c>
      <c r="CS32" s="1196">
        <f>CQ32/CR32</f>
        <v>1.0464685779381053</v>
      </c>
      <c r="CT32" s="538">
        <v>0</v>
      </c>
      <c r="CU32" s="538">
        <v>0</v>
      </c>
      <c r="CV32" s="538">
        <v>0</v>
      </c>
      <c r="CW32" s="538">
        <v>0</v>
      </c>
      <c r="CX32" s="538">
        <v>0</v>
      </c>
      <c r="CY32" s="538">
        <v>0</v>
      </c>
      <c r="CZ32" s="538">
        <v>0</v>
      </c>
      <c r="DA32" s="538">
        <v>0</v>
      </c>
      <c r="DB32" s="538">
        <v>0</v>
      </c>
      <c r="DC32" s="538">
        <v>0</v>
      </c>
      <c r="DD32" s="538">
        <v>0</v>
      </c>
      <c r="DE32" s="538">
        <v>0</v>
      </c>
      <c r="DF32" s="538">
        <v>0</v>
      </c>
      <c r="DG32" s="538">
        <v>0</v>
      </c>
      <c r="DH32" s="538">
        <v>0</v>
      </c>
      <c r="DI32" s="538">
        <v>0</v>
      </c>
      <c r="DJ32" s="538">
        <v>0</v>
      </c>
      <c r="DK32" s="538">
        <v>0</v>
      </c>
      <c r="DL32" s="538">
        <v>0</v>
      </c>
      <c r="DM32" s="538">
        <v>0</v>
      </c>
      <c r="DN32" s="538">
        <f t="shared" si="3"/>
        <v>0</v>
      </c>
      <c r="DO32" s="1085">
        <f t="shared" si="2"/>
        <v>1</v>
      </c>
    </row>
    <row r="33" spans="1:119" s="35" customFormat="1" ht="15" x14ac:dyDescent="0.2">
      <c r="A33" s="119" t="s">
        <v>280</v>
      </c>
      <c r="B33" s="100" t="s">
        <v>279</v>
      </c>
      <c r="C33" s="100" t="s">
        <v>355</v>
      </c>
      <c r="D33" s="125">
        <v>3</v>
      </c>
      <c r="E33" s="127">
        <v>0.33329999999999999</v>
      </c>
      <c r="F33" s="119">
        <v>43281</v>
      </c>
      <c r="G33" s="8">
        <v>36</v>
      </c>
      <c r="H33" s="146">
        <f>100/G33</f>
        <v>2.7777777777777777</v>
      </c>
      <c r="I33" s="1167">
        <f>H33*J33</f>
        <v>244.44444444444443</v>
      </c>
      <c r="J33" s="125">
        <f t="shared" si="4"/>
        <v>88</v>
      </c>
      <c r="K33" s="1167">
        <f>L33*H33</f>
        <v>-144.44444444444443</v>
      </c>
      <c r="L33" s="125">
        <f>G33-J33</f>
        <v>-52</v>
      </c>
      <c r="M33" s="1167">
        <f>N33*H33</f>
        <v>-144.44444444444443</v>
      </c>
      <c r="N33" s="125">
        <f t="shared" si="5"/>
        <v>-52</v>
      </c>
      <c r="O33" s="1167">
        <f>K33-M33</f>
        <v>0</v>
      </c>
      <c r="P33" s="125">
        <f>L33-N33</f>
        <v>0</v>
      </c>
      <c r="Q33" s="367">
        <f>DATE(YEAR(S33),MONTH(S33)+G33,DAY(S33))</f>
        <v>41671</v>
      </c>
      <c r="R33" s="125" t="s">
        <v>445</v>
      </c>
      <c r="S33" s="128">
        <v>40575</v>
      </c>
      <c r="T33" s="7">
        <v>1000</v>
      </c>
      <c r="U33" s="1169">
        <v>333.31333333333339</v>
      </c>
      <c r="V33" s="776">
        <v>333.35333333333335</v>
      </c>
      <c r="W33" s="776">
        <f>U33</f>
        <v>333.31333333333339</v>
      </c>
      <c r="X33" s="134">
        <v>27.78</v>
      </c>
      <c r="Y33" s="7">
        <f>X33*5</f>
        <v>138.9</v>
      </c>
      <c r="Z33" s="129">
        <f>W33-Y33</f>
        <v>194.41333333333338</v>
      </c>
      <c r="AA33" s="64">
        <v>115.958</v>
      </c>
      <c r="AB33" s="82">
        <v>100.604</v>
      </c>
      <c r="AC33" s="64">
        <f>AA33/AB33</f>
        <v>1.15261818615562</v>
      </c>
      <c r="AD33" s="62">
        <f>Z33/7</f>
        <v>27.773333333333341</v>
      </c>
      <c r="AE33" s="62">
        <f>AD33*AC33</f>
        <v>32.012049090162094</v>
      </c>
      <c r="AF33" s="62"/>
      <c r="AG33" s="62"/>
      <c r="AH33" s="62"/>
      <c r="AI33" s="62"/>
      <c r="AJ33" s="62"/>
      <c r="AK33" s="62">
        <f>AE33</f>
        <v>32.012049090162094</v>
      </c>
      <c r="AL33" s="62">
        <v>32.012049090162094</v>
      </c>
      <c r="AM33" s="62">
        <v>32.012049090162094</v>
      </c>
      <c r="AN33" s="62">
        <v>32.012049090162094</v>
      </c>
      <c r="AO33" s="62">
        <v>32.012049090162094</v>
      </c>
      <c r="AP33" s="62">
        <v>32.012049090162094</v>
      </c>
      <c r="AQ33" s="62">
        <v>1.34</v>
      </c>
      <c r="AR33" s="62">
        <f>SUM(AF33:AQ33)</f>
        <v>193.41229454097257</v>
      </c>
      <c r="AS33" s="1169">
        <f>Z33-AR33</f>
        <v>1.0010387923608164</v>
      </c>
      <c r="AT33" s="62"/>
      <c r="AU33" s="62"/>
      <c r="AV33" s="62"/>
      <c r="AW33" s="62"/>
      <c r="AX33" s="62"/>
      <c r="AY33" s="62"/>
      <c r="AZ33" s="62"/>
      <c r="BA33" s="82">
        <v>118.901</v>
      </c>
      <c r="BB33" s="82">
        <v>100.604</v>
      </c>
      <c r="BC33" s="64">
        <f>BA33/BB33</f>
        <v>1.1818714961631744</v>
      </c>
      <c r="BD33" s="1167">
        <f>T33/(D33*12)</f>
        <v>27.777777777777779</v>
      </c>
      <c r="BE33" s="1167">
        <f>BD33*BC33</f>
        <v>32.829763782310401</v>
      </c>
      <c r="BF33" s="62"/>
      <c r="BG33" s="62"/>
      <c r="BH33" s="62"/>
      <c r="BI33" s="62"/>
      <c r="BJ33" s="62"/>
      <c r="BK33" s="62"/>
      <c r="BL33" s="62"/>
      <c r="BM33" s="62">
        <f>SUM((AV33:AZ33),(BF33:BL33))</f>
        <v>0</v>
      </c>
      <c r="BN33" s="927">
        <f>(AS33-BM33)</f>
        <v>1.0010387923608164</v>
      </c>
      <c r="BO33" s="62"/>
      <c r="BP33" s="62"/>
      <c r="BQ33" s="62"/>
      <c r="BR33" s="62"/>
      <c r="BS33" s="62"/>
      <c r="BT33" s="62">
        <f>SUM(BO33:BS33)</f>
        <v>0</v>
      </c>
      <c r="BU33" s="927">
        <f>BN33-BT33</f>
        <v>1.0010387923608164</v>
      </c>
      <c r="BV33" s="64"/>
      <c r="BW33" s="64">
        <v>126.408</v>
      </c>
      <c r="BX33" s="64">
        <f>BV33/BW33</f>
        <v>0</v>
      </c>
      <c r="BY33" s="1204">
        <f>BU33/J33</f>
        <v>1.1375440822282005E-2</v>
      </c>
      <c r="BZ33" s="62"/>
      <c r="CA33" s="756"/>
      <c r="CB33" s="756"/>
      <c r="CC33" s="756"/>
      <c r="CD33" s="756"/>
      <c r="CE33" s="756"/>
      <c r="CF33" s="756"/>
      <c r="CG33" s="756"/>
      <c r="CH33" s="510">
        <f>SUM(CA33:CG33)</f>
        <v>0</v>
      </c>
      <c r="CI33" s="439">
        <f>BN33-CH33</f>
        <v>1.0010387923608164</v>
      </c>
      <c r="CJ33" s="756">
        <v>0</v>
      </c>
      <c r="CK33" s="756">
        <v>0</v>
      </c>
      <c r="CL33" s="756">
        <v>0</v>
      </c>
      <c r="CM33" s="756">
        <v>0</v>
      </c>
      <c r="CN33" s="756">
        <v>0</v>
      </c>
      <c r="CO33" s="1170">
        <f t="shared" si="0"/>
        <v>0</v>
      </c>
      <c r="CP33" s="1085">
        <f t="shared" si="1"/>
        <v>1.0010387923608164</v>
      </c>
      <c r="CQ33" s="1195">
        <v>132.28200000000001</v>
      </c>
      <c r="CR33" s="1190">
        <v>126.408</v>
      </c>
      <c r="CS33" s="1196">
        <f>CQ33/CR33</f>
        <v>1.0464685779381053</v>
      </c>
      <c r="CT33" s="538">
        <v>0</v>
      </c>
      <c r="CU33" s="538">
        <v>0</v>
      </c>
      <c r="CV33" s="538">
        <v>0</v>
      </c>
      <c r="CW33" s="538">
        <v>0</v>
      </c>
      <c r="CX33" s="538">
        <v>0</v>
      </c>
      <c r="CY33" s="538">
        <v>0</v>
      </c>
      <c r="CZ33" s="538">
        <v>0</v>
      </c>
      <c r="DA33" s="538">
        <v>0</v>
      </c>
      <c r="DB33" s="538">
        <v>0</v>
      </c>
      <c r="DC33" s="538">
        <v>0</v>
      </c>
      <c r="DD33" s="538">
        <v>0</v>
      </c>
      <c r="DE33" s="538">
        <v>0</v>
      </c>
      <c r="DF33" s="538">
        <v>0</v>
      </c>
      <c r="DG33" s="538">
        <v>0</v>
      </c>
      <c r="DH33" s="538">
        <v>0</v>
      </c>
      <c r="DI33" s="538">
        <v>0</v>
      </c>
      <c r="DJ33" s="538">
        <v>0</v>
      </c>
      <c r="DK33" s="538">
        <v>0</v>
      </c>
      <c r="DL33" s="538">
        <v>0</v>
      </c>
      <c r="DM33" s="538">
        <v>0</v>
      </c>
      <c r="DN33" s="538">
        <f t="shared" si="3"/>
        <v>0</v>
      </c>
      <c r="DO33" s="1085">
        <f t="shared" si="2"/>
        <v>1.0010387923608164</v>
      </c>
    </row>
    <row r="34" spans="1:119" s="16" customFormat="1" ht="15" x14ac:dyDescent="0.2">
      <c r="A34" s="120" t="s">
        <v>65</v>
      </c>
      <c r="B34" s="120" t="s">
        <v>89</v>
      </c>
      <c r="C34" s="45"/>
      <c r="D34" s="125"/>
      <c r="E34" s="127"/>
      <c r="F34" s="46"/>
      <c r="G34" s="58"/>
      <c r="H34" s="145"/>
      <c r="I34" s="165"/>
      <c r="J34" s="48"/>
      <c r="K34" s="165"/>
      <c r="L34" s="48"/>
      <c r="M34" s="165"/>
      <c r="N34" s="48"/>
      <c r="O34" s="165"/>
      <c r="P34" s="48"/>
      <c r="Q34" s="48"/>
      <c r="R34" s="46"/>
      <c r="S34" s="132"/>
      <c r="T34" s="107"/>
      <c r="U34" s="72"/>
      <c r="V34" s="776"/>
      <c r="W34" s="776"/>
      <c r="X34" s="47"/>
      <c r="Y34" s="106"/>
      <c r="Z34" s="258"/>
      <c r="AA34" s="57"/>
      <c r="AB34" s="80"/>
      <c r="AC34" s="57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72"/>
      <c r="AT34" s="55"/>
      <c r="AU34" s="55"/>
      <c r="AV34" s="55"/>
      <c r="AW34" s="55"/>
      <c r="AX34" s="55"/>
      <c r="AY34" s="55"/>
      <c r="AZ34" s="55"/>
      <c r="BA34" s="57"/>
      <c r="BB34" s="80"/>
      <c r="BC34" s="57"/>
      <c r="BD34" s="165"/>
      <c r="BE34" s="165"/>
      <c r="BF34" s="55"/>
      <c r="BG34" s="55"/>
      <c r="BH34" s="55"/>
      <c r="BI34" s="55"/>
      <c r="BJ34" s="55"/>
      <c r="BK34" s="55"/>
      <c r="BL34" s="55"/>
      <c r="BM34" s="55"/>
      <c r="BN34" s="448"/>
      <c r="BO34" s="55"/>
      <c r="BP34" s="55"/>
      <c r="BQ34" s="55"/>
      <c r="BR34" s="55"/>
      <c r="BS34" s="55"/>
      <c r="BT34" s="55"/>
      <c r="BU34" s="448"/>
      <c r="BV34" s="57"/>
      <c r="BW34" s="80"/>
      <c r="BX34" s="57"/>
      <c r="BY34" s="55"/>
      <c r="BZ34" s="55"/>
      <c r="CA34" s="754"/>
      <c r="CB34" s="754"/>
      <c r="CC34" s="754"/>
      <c r="CD34" s="754"/>
      <c r="CE34" s="754"/>
      <c r="CF34" s="754"/>
      <c r="CG34" s="754"/>
      <c r="CH34" s="429"/>
      <c r="CI34" s="439"/>
      <c r="CJ34" s="754"/>
      <c r="CK34" s="754"/>
      <c r="CL34" s="754"/>
      <c r="CM34" s="754"/>
      <c r="CN34" s="754"/>
      <c r="CO34" s="505"/>
      <c r="CP34" s="1085"/>
      <c r="CQ34" s="1086"/>
      <c r="CR34" s="515"/>
      <c r="CS34" s="1087"/>
      <c r="CT34" s="516"/>
      <c r="CU34" s="516"/>
      <c r="CV34" s="516"/>
      <c r="CW34" s="516"/>
      <c r="CX34" s="516"/>
      <c r="CY34" s="516"/>
      <c r="CZ34" s="516"/>
      <c r="DA34" s="516"/>
      <c r="DB34" s="516"/>
      <c r="DC34" s="516"/>
      <c r="DD34" s="516"/>
      <c r="DE34" s="516"/>
      <c r="DF34" s="516"/>
      <c r="DG34" s="516"/>
      <c r="DH34" s="516"/>
      <c r="DI34" s="516"/>
      <c r="DJ34" s="516"/>
      <c r="DK34" s="516"/>
      <c r="DL34" s="516"/>
      <c r="DM34" s="516"/>
      <c r="DN34" s="516">
        <f t="shared" si="3"/>
        <v>0</v>
      </c>
      <c r="DO34" s="1085"/>
    </row>
    <row r="35" spans="1:119" s="16" customFormat="1" ht="15" x14ac:dyDescent="0.2">
      <c r="A35" s="120" t="s">
        <v>82</v>
      </c>
      <c r="B35" s="100"/>
      <c r="C35" s="45"/>
      <c r="D35" s="125"/>
      <c r="E35" s="127"/>
      <c r="F35" s="46"/>
      <c r="G35" s="58"/>
      <c r="H35" s="145"/>
      <c r="I35" s="165"/>
      <c r="J35" s="48"/>
      <c r="K35" s="165"/>
      <c r="L35" s="48"/>
      <c r="M35" s="165"/>
      <c r="N35" s="48"/>
      <c r="O35" s="165"/>
      <c r="P35" s="48"/>
      <c r="Q35" s="48"/>
      <c r="R35" s="46"/>
      <c r="S35" s="132"/>
      <c r="T35" s="107"/>
      <c r="U35" s="72"/>
      <c r="V35" s="776"/>
      <c r="W35" s="776"/>
      <c r="X35" s="47"/>
      <c r="Y35" s="106"/>
      <c r="Z35" s="258"/>
      <c r="AA35" s="57"/>
      <c r="AB35" s="80"/>
      <c r="AC35" s="57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72"/>
      <c r="AT35" s="55"/>
      <c r="AU35" s="55"/>
      <c r="AV35" s="55"/>
      <c r="AW35" s="55"/>
      <c r="AX35" s="55"/>
      <c r="AY35" s="55"/>
      <c r="AZ35" s="55"/>
      <c r="BA35" s="57"/>
      <c r="BB35" s="80"/>
      <c r="BC35" s="57"/>
      <c r="BD35" s="165"/>
      <c r="BE35" s="165"/>
      <c r="BF35" s="55"/>
      <c r="BG35" s="55"/>
      <c r="BH35" s="55"/>
      <c r="BI35" s="55"/>
      <c r="BJ35" s="55"/>
      <c r="BK35" s="55"/>
      <c r="BL35" s="55"/>
      <c r="BM35" s="55"/>
      <c r="BN35" s="448"/>
      <c r="BO35" s="55"/>
      <c r="BP35" s="55"/>
      <c r="BQ35" s="55"/>
      <c r="BR35" s="55"/>
      <c r="BS35" s="55"/>
      <c r="BT35" s="55"/>
      <c r="BU35" s="448"/>
      <c r="BV35" s="57"/>
      <c r="BW35" s="80"/>
      <c r="BX35" s="57"/>
      <c r="BY35" s="55"/>
      <c r="BZ35" s="55"/>
      <c r="CA35" s="754"/>
      <c r="CB35" s="754"/>
      <c r="CC35" s="754"/>
      <c r="CD35" s="754"/>
      <c r="CE35" s="754"/>
      <c r="CF35" s="754"/>
      <c r="CG35" s="754"/>
      <c r="CH35" s="429"/>
      <c r="CI35" s="439"/>
      <c r="CJ35" s="754"/>
      <c r="CK35" s="754"/>
      <c r="CL35" s="754"/>
      <c r="CM35" s="754"/>
      <c r="CN35" s="754"/>
      <c r="CO35" s="505"/>
      <c r="CP35" s="1085"/>
      <c r="CQ35" s="516"/>
      <c r="CR35" s="515"/>
      <c r="CS35" s="1087"/>
      <c r="CT35" s="516"/>
      <c r="CU35" s="516"/>
      <c r="CV35" s="516"/>
      <c r="CW35" s="516"/>
      <c r="CX35" s="516"/>
      <c r="CY35" s="516"/>
      <c r="CZ35" s="516"/>
      <c r="DA35" s="516"/>
      <c r="DB35" s="516"/>
      <c r="DC35" s="516"/>
      <c r="DD35" s="516"/>
      <c r="DE35" s="516"/>
      <c r="DF35" s="516"/>
      <c r="DG35" s="516"/>
      <c r="DH35" s="516"/>
      <c r="DI35" s="516"/>
      <c r="DJ35" s="516"/>
      <c r="DK35" s="516"/>
      <c r="DL35" s="516"/>
      <c r="DM35" s="516"/>
      <c r="DN35" s="516">
        <f t="shared" si="3"/>
        <v>0</v>
      </c>
      <c r="DO35" s="1085"/>
    </row>
    <row r="36" spans="1:119" s="16" customFormat="1" ht="15" x14ac:dyDescent="0.2">
      <c r="A36" s="119" t="s">
        <v>281</v>
      </c>
      <c r="B36" s="100" t="s">
        <v>578</v>
      </c>
      <c r="C36" s="45" t="s">
        <v>355</v>
      </c>
      <c r="D36" s="125">
        <v>10</v>
      </c>
      <c r="E36" s="127">
        <v>0.1</v>
      </c>
      <c r="F36" s="46">
        <v>43281</v>
      </c>
      <c r="G36" s="58">
        <v>120</v>
      </c>
      <c r="H36" s="145">
        <f t="shared" ref="H36:H41" si="6">100/G36</f>
        <v>0.83333333333333337</v>
      </c>
      <c r="I36" s="165">
        <f>H36*J36</f>
        <v>44.166666666666671</v>
      </c>
      <c r="J36" s="48">
        <f t="shared" ref="J36:J41" si="7">(YEAR(F36)-YEAR(S36))*12+MONTH(F36)-MONTH(S36)</f>
        <v>53</v>
      </c>
      <c r="K36" s="165">
        <f>L36*H36</f>
        <v>55.833333333333336</v>
      </c>
      <c r="L36" s="48">
        <f t="shared" ref="L36:L41" si="8">G36-J36</f>
        <v>67</v>
      </c>
      <c r="M36" s="165">
        <f>N36*H36</f>
        <v>55.833333333333336</v>
      </c>
      <c r="N36" s="48">
        <f t="shared" ref="N36:N41" si="9">G36-J36</f>
        <v>67</v>
      </c>
      <c r="O36" s="165">
        <f>K36-M36</f>
        <v>0</v>
      </c>
      <c r="P36" s="48">
        <f>L36-N36</f>
        <v>0</v>
      </c>
      <c r="Q36" s="462">
        <f t="shared" ref="Q36:Q41" si="10">DATE(YEAR(S36),MONTH(S36)+G36,DAY(S36))</f>
        <v>45292</v>
      </c>
      <c r="R36" s="125" t="s">
        <v>445</v>
      </c>
      <c r="S36" s="119">
        <v>41640</v>
      </c>
      <c r="T36" s="7">
        <v>600</v>
      </c>
      <c r="U36" s="72">
        <v>540</v>
      </c>
      <c r="V36" s="776">
        <v>60</v>
      </c>
      <c r="W36" s="776">
        <f t="shared" ref="W36:W41" si="11">U36</f>
        <v>540</v>
      </c>
      <c r="X36" s="47">
        <v>5</v>
      </c>
      <c r="Y36" s="106">
        <f t="shared" ref="Y36:Y41" si="12">X36*5</f>
        <v>25</v>
      </c>
      <c r="Z36" s="258">
        <f t="shared" ref="Z36:Z41" si="13">W36-Y36</f>
        <v>515</v>
      </c>
      <c r="AA36" s="57">
        <v>115.958</v>
      </c>
      <c r="AB36" s="80">
        <v>112.505</v>
      </c>
      <c r="AC36" s="57">
        <f t="shared" ref="AC36:AC41" si="14">AA36/AB36</f>
        <v>1.0306919692458114</v>
      </c>
      <c r="AD36" s="55">
        <f t="shared" ref="AD36:AD41" si="15">Z36*M36/100/K36*100/7</f>
        <v>73.571428571428569</v>
      </c>
      <c r="AE36" s="55">
        <f t="shared" ref="AE36:AE41" si="16">AD36*AC36</f>
        <v>75.829480594513271</v>
      </c>
      <c r="AF36" s="55"/>
      <c r="AG36" s="55"/>
      <c r="AH36" s="55"/>
      <c r="AI36" s="55"/>
      <c r="AJ36" s="55"/>
      <c r="AK36" s="55">
        <f t="shared" ref="AK36:AK41" si="17">AE36</f>
        <v>75.829480594513271</v>
      </c>
      <c r="AL36" s="55">
        <v>5.1534598462290573</v>
      </c>
      <c r="AM36" s="55">
        <v>5.1534598462290573</v>
      </c>
      <c r="AN36" s="55">
        <v>5.1534598462290573</v>
      </c>
      <c r="AO36" s="55">
        <v>5.1534598462290573</v>
      </c>
      <c r="AP36" s="55">
        <v>5.1534598462290573</v>
      </c>
      <c r="AQ36" s="55">
        <v>5.1534598462290573</v>
      </c>
      <c r="AR36" s="55">
        <f t="shared" ref="AR36:AR41" si="18">SUM(AF36:AQ36)</f>
        <v>106.7502396718876</v>
      </c>
      <c r="AS36" s="72">
        <f>Z36-AR36</f>
        <v>408.24976032811242</v>
      </c>
      <c r="AT36" s="55"/>
      <c r="AU36" s="55"/>
      <c r="AV36" s="55">
        <f t="shared" ref="AV36:AZ50" si="19">$AQ36</f>
        <v>5.1534598462290573</v>
      </c>
      <c r="AW36" s="55">
        <f t="shared" si="19"/>
        <v>5.1534598462290573</v>
      </c>
      <c r="AX36" s="55">
        <f t="shared" si="19"/>
        <v>5.1534598462290573</v>
      </c>
      <c r="AY36" s="55">
        <f t="shared" si="19"/>
        <v>5.1534598462290573</v>
      </c>
      <c r="AZ36" s="55">
        <f t="shared" si="19"/>
        <v>5.1534598462290573</v>
      </c>
      <c r="BA36" s="80">
        <v>118.901</v>
      </c>
      <c r="BB36" s="80">
        <v>112.505</v>
      </c>
      <c r="BC36" s="57">
        <f t="shared" ref="BC36:BC41" si="20">BA36/BB36</f>
        <v>1.0568508066308164</v>
      </c>
      <c r="BD36" s="165">
        <f t="shared" ref="BD36:BD41" si="21">T36/(D36*12)</f>
        <v>5</v>
      </c>
      <c r="BE36" s="165">
        <f t="shared" ref="BE36:BE41" si="22">BD36*BC36</f>
        <v>5.2842540331540819</v>
      </c>
      <c r="BF36" s="55">
        <f t="shared" ref="BF36:BI41" si="23">$BE36</f>
        <v>5.2842540331540819</v>
      </c>
      <c r="BG36" s="55">
        <f t="shared" si="23"/>
        <v>5.2842540331540819</v>
      </c>
      <c r="BH36" s="55">
        <f t="shared" si="23"/>
        <v>5.2842540331540819</v>
      </c>
      <c r="BI36" s="55">
        <f t="shared" si="23"/>
        <v>5.2842540331540819</v>
      </c>
      <c r="BJ36" s="55">
        <v>5.28</v>
      </c>
      <c r="BK36" s="55">
        <v>5.28</v>
      </c>
      <c r="BL36" s="55">
        <v>5.28</v>
      </c>
      <c r="BM36" s="55">
        <f t="shared" ref="BM36:BM41" si="24">SUM((AV36:AZ36),(BF36:BL36))</f>
        <v>62.744315363761622</v>
      </c>
      <c r="BN36" s="448">
        <f>(AS36-BM36)</f>
        <v>345.50544496435077</v>
      </c>
      <c r="BO36" s="55">
        <f t="shared" ref="BO36:BS37" si="25">$BE36</f>
        <v>5.2842540331540819</v>
      </c>
      <c r="BP36" s="55">
        <f t="shared" si="25"/>
        <v>5.2842540331540819</v>
      </c>
      <c r="BQ36" s="55">
        <f t="shared" si="25"/>
        <v>5.2842540331540819</v>
      </c>
      <c r="BR36" s="55">
        <f t="shared" si="25"/>
        <v>5.2842540331540819</v>
      </c>
      <c r="BS36" s="55">
        <f t="shared" si="25"/>
        <v>5.2842540331540819</v>
      </c>
      <c r="BT36" s="55">
        <f t="shared" ref="BT36:BT41" si="26">SUM(BO36:BS36)</f>
        <v>26.421270165770409</v>
      </c>
      <c r="BU36" s="448">
        <f t="shared" ref="BU36:BU41" si="27">BN36-BT36</f>
        <v>319.08417479858036</v>
      </c>
      <c r="BV36" s="57">
        <v>126.408</v>
      </c>
      <c r="BW36" s="57">
        <v>109.074</v>
      </c>
      <c r="BX36" s="57">
        <f t="shared" ref="BX36:BX41" si="28">BV36/BW36</f>
        <v>1.1589196325430442</v>
      </c>
      <c r="BY36" s="753">
        <f t="shared" ref="BY36:BY41" si="29">BU36/J36</f>
        <v>6.020456128275101</v>
      </c>
      <c r="BZ36" s="55">
        <f t="shared" ref="BZ36:BZ41" si="30">BY36*BX36</f>
        <v>6.9772248039220983</v>
      </c>
      <c r="CA36" s="754">
        <v>10.972837285165635</v>
      </c>
      <c r="CB36" s="754">
        <v>10.972837285165635</v>
      </c>
      <c r="CC36" s="754">
        <v>10.972837285165635</v>
      </c>
      <c r="CD36" s="754">
        <v>10.972837285165635</v>
      </c>
      <c r="CE36" s="754">
        <v>10.972837285165635</v>
      </c>
      <c r="CF36" s="754">
        <v>10.972837285165635</v>
      </c>
      <c r="CG36" s="754">
        <v>10.972837285165635</v>
      </c>
      <c r="CH36" s="429">
        <f t="shared" ref="CH36:CH41" si="31">SUM(CA36:CG36)</f>
        <v>76.809860996159458</v>
      </c>
      <c r="CI36" s="439">
        <f t="shared" ref="CI36:CI41" si="32">BU36-CH36</f>
        <v>242.27431380242092</v>
      </c>
      <c r="CJ36" s="754">
        <v>10.972837285165635</v>
      </c>
      <c r="CK36" s="754">
        <v>10.972837285165635</v>
      </c>
      <c r="CL36" s="754">
        <v>10.972837285165635</v>
      </c>
      <c r="CM36" s="754">
        <v>10.972837285165635</v>
      </c>
      <c r="CN36" s="754">
        <v>10.972837285165635</v>
      </c>
      <c r="CO36" s="505">
        <f t="shared" si="0"/>
        <v>54.86418642582818</v>
      </c>
      <c r="CP36" s="1085">
        <f t="shared" si="1"/>
        <v>187.41012737659275</v>
      </c>
      <c r="CQ36" s="1086">
        <v>132.28200000000001</v>
      </c>
      <c r="CR36" s="514">
        <v>109.074</v>
      </c>
      <c r="CS36" s="1087">
        <f>CQ36/CR36</f>
        <v>1.2127729798118709</v>
      </c>
      <c r="CT36" s="516">
        <f t="shared" ref="CT36:CT37" si="33">CP36/L36</f>
        <v>2.7971660802476532</v>
      </c>
      <c r="CU36" s="516">
        <f t="shared" ref="CU36" si="34">CS36*CT36</f>
        <v>3.3923274421706373</v>
      </c>
      <c r="CV36" s="516">
        <v>3.3923274421706373</v>
      </c>
      <c r="CW36" s="516">
        <v>3.3923274421706373</v>
      </c>
      <c r="CX36" s="516">
        <v>3.3923274421706373</v>
      </c>
      <c r="CY36" s="516">
        <v>3.3923274421706373</v>
      </c>
      <c r="CZ36" s="516">
        <v>3.3923274421706373</v>
      </c>
      <c r="DA36" s="516">
        <v>3.3923274421706373</v>
      </c>
      <c r="DB36" s="516">
        <v>3.3923274421706373</v>
      </c>
      <c r="DC36" s="516">
        <v>3.3923274421706373</v>
      </c>
      <c r="DD36" s="516">
        <v>3.3923274421706373</v>
      </c>
      <c r="DE36" s="516">
        <v>3.3923274421706373</v>
      </c>
      <c r="DF36" s="516">
        <v>3.3923274421706373</v>
      </c>
      <c r="DG36" s="516">
        <v>3.3923274421706373</v>
      </c>
      <c r="DH36" s="516">
        <v>3.3923274421706373</v>
      </c>
      <c r="DI36" s="516">
        <v>3.3923274421706373</v>
      </c>
      <c r="DJ36" s="516">
        <v>3.3923274421706373</v>
      </c>
      <c r="DK36" s="516">
        <v>3.3923274421706373</v>
      </c>
      <c r="DL36" s="516">
        <v>3.3923274421706373</v>
      </c>
      <c r="DM36" s="516">
        <v>3.3923274421706373</v>
      </c>
      <c r="DN36" s="516">
        <f t="shared" si="3"/>
        <v>61.061893959071483</v>
      </c>
      <c r="DO36" s="1085">
        <f t="shared" si="2"/>
        <v>126.34823341752127</v>
      </c>
    </row>
    <row r="37" spans="1:119" s="16" customFormat="1" ht="15" x14ac:dyDescent="0.2">
      <c r="A37" s="119" t="s">
        <v>281</v>
      </c>
      <c r="B37" s="100" t="s">
        <v>579</v>
      </c>
      <c r="C37" s="45" t="s">
        <v>355</v>
      </c>
      <c r="D37" s="125">
        <v>10</v>
      </c>
      <c r="E37" s="127">
        <v>0.1</v>
      </c>
      <c r="F37" s="46">
        <v>43281</v>
      </c>
      <c r="G37" s="58">
        <v>120</v>
      </c>
      <c r="H37" s="145">
        <f t="shared" si="6"/>
        <v>0.83333333333333337</v>
      </c>
      <c r="I37" s="165">
        <f>H37*J37</f>
        <v>44.166666666666671</v>
      </c>
      <c r="J37" s="48">
        <f t="shared" si="7"/>
        <v>53</v>
      </c>
      <c r="K37" s="165">
        <f>L37*H37</f>
        <v>55.833333333333336</v>
      </c>
      <c r="L37" s="48">
        <f t="shared" si="8"/>
        <v>67</v>
      </c>
      <c r="M37" s="165">
        <f>N37*H37</f>
        <v>55.833333333333336</v>
      </c>
      <c r="N37" s="48">
        <f t="shared" si="9"/>
        <v>67</v>
      </c>
      <c r="O37" s="165">
        <f>K37-M37</f>
        <v>0</v>
      </c>
      <c r="P37" s="48">
        <f>L37-N37</f>
        <v>0</v>
      </c>
      <c r="Q37" s="462">
        <f t="shared" si="10"/>
        <v>45292</v>
      </c>
      <c r="R37" s="125" t="s">
        <v>445</v>
      </c>
      <c r="S37" s="119">
        <v>41640</v>
      </c>
      <c r="T37" s="7">
        <v>890</v>
      </c>
      <c r="U37" s="72">
        <v>800.97</v>
      </c>
      <c r="V37" s="776">
        <v>89.030000000000015</v>
      </c>
      <c r="W37" s="776">
        <f t="shared" si="11"/>
        <v>800.97</v>
      </c>
      <c r="X37" s="47">
        <v>7.42</v>
      </c>
      <c r="Y37" s="106">
        <f t="shared" si="12"/>
        <v>37.1</v>
      </c>
      <c r="Z37" s="258">
        <f t="shared" si="13"/>
        <v>763.87</v>
      </c>
      <c r="AA37" s="57">
        <v>115.958</v>
      </c>
      <c r="AB37" s="80">
        <v>112.505</v>
      </c>
      <c r="AC37" s="57">
        <f t="shared" si="14"/>
        <v>1.0306919692458114</v>
      </c>
      <c r="AD37" s="55">
        <f t="shared" si="15"/>
        <v>109.1242857142857</v>
      </c>
      <c r="AE37" s="55">
        <f t="shared" si="16"/>
        <v>112.47352493539969</v>
      </c>
      <c r="AF37" s="55"/>
      <c r="AG37" s="55"/>
      <c r="AH37" s="55"/>
      <c r="AI37" s="55"/>
      <c r="AJ37" s="55"/>
      <c r="AK37" s="55">
        <f t="shared" si="17"/>
        <v>112.47352493539969</v>
      </c>
      <c r="AL37" s="55">
        <v>7.6438317917261953</v>
      </c>
      <c r="AM37" s="55">
        <v>7.6438317917261953</v>
      </c>
      <c r="AN37" s="55">
        <v>7.6438317917261953</v>
      </c>
      <c r="AO37" s="55">
        <v>7.6438317917261953</v>
      </c>
      <c r="AP37" s="55">
        <v>7.6438317917261953</v>
      </c>
      <c r="AQ37" s="55">
        <v>7.6438317917261953</v>
      </c>
      <c r="AR37" s="55">
        <f t="shared" si="18"/>
        <v>158.33651568575689</v>
      </c>
      <c r="AS37" s="72">
        <f>Z37-AR37</f>
        <v>605.53348431424308</v>
      </c>
      <c r="AT37" s="55"/>
      <c r="AU37" s="55"/>
      <c r="AV37" s="55">
        <f t="shared" si="19"/>
        <v>7.6438317917261953</v>
      </c>
      <c r="AW37" s="55">
        <f t="shared" si="19"/>
        <v>7.6438317917261953</v>
      </c>
      <c r="AX37" s="55">
        <f t="shared" si="19"/>
        <v>7.6438317917261953</v>
      </c>
      <c r="AY37" s="55">
        <f t="shared" si="19"/>
        <v>7.6438317917261953</v>
      </c>
      <c r="AZ37" s="55">
        <f t="shared" si="19"/>
        <v>7.6438317917261953</v>
      </c>
      <c r="BA37" s="80">
        <v>118.901</v>
      </c>
      <c r="BB37" s="80">
        <v>112.505</v>
      </c>
      <c r="BC37" s="57">
        <f t="shared" si="20"/>
        <v>1.0568508066308164</v>
      </c>
      <c r="BD37" s="165">
        <f t="shared" si="21"/>
        <v>7.416666666666667</v>
      </c>
      <c r="BE37" s="165">
        <f t="shared" si="22"/>
        <v>7.8383101491785556</v>
      </c>
      <c r="BF37" s="55">
        <f t="shared" si="23"/>
        <v>7.8383101491785556</v>
      </c>
      <c r="BG37" s="55">
        <f t="shared" si="23"/>
        <v>7.8383101491785556</v>
      </c>
      <c r="BH37" s="55">
        <f t="shared" si="23"/>
        <v>7.8383101491785556</v>
      </c>
      <c r="BI37" s="55">
        <f t="shared" si="23"/>
        <v>7.8383101491785556</v>
      </c>
      <c r="BJ37" s="55">
        <v>7.84</v>
      </c>
      <c r="BK37" s="55">
        <v>7.84</v>
      </c>
      <c r="BL37" s="55">
        <v>7.84</v>
      </c>
      <c r="BM37" s="55">
        <f t="shared" si="24"/>
        <v>93.09239955534521</v>
      </c>
      <c r="BN37" s="448">
        <f>(AS37-BM37)</f>
        <v>512.44108475889789</v>
      </c>
      <c r="BO37" s="55">
        <f t="shared" si="25"/>
        <v>7.8383101491785556</v>
      </c>
      <c r="BP37" s="55">
        <f t="shared" si="25"/>
        <v>7.8383101491785556</v>
      </c>
      <c r="BQ37" s="55">
        <f t="shared" si="25"/>
        <v>7.8383101491785556</v>
      </c>
      <c r="BR37" s="55">
        <f t="shared" si="25"/>
        <v>7.8383101491785556</v>
      </c>
      <c r="BS37" s="55">
        <f t="shared" si="25"/>
        <v>7.8383101491785556</v>
      </c>
      <c r="BT37" s="55">
        <f t="shared" si="26"/>
        <v>39.191550745892776</v>
      </c>
      <c r="BU37" s="448">
        <f t="shared" si="27"/>
        <v>473.24953401300513</v>
      </c>
      <c r="BV37" s="57">
        <v>126.408</v>
      </c>
      <c r="BW37" s="57">
        <v>109.074</v>
      </c>
      <c r="BX37" s="57">
        <f t="shared" si="28"/>
        <v>1.1589196325430442</v>
      </c>
      <c r="BY37" s="753">
        <f t="shared" si="29"/>
        <v>8.9292364908114177</v>
      </c>
      <c r="BZ37" s="55">
        <f t="shared" si="30"/>
        <v>10.34826747282111</v>
      </c>
      <c r="CA37" s="754">
        <v>16.274540226707842</v>
      </c>
      <c r="CB37" s="754">
        <v>16.274540226707842</v>
      </c>
      <c r="CC37" s="754">
        <v>16.274540226707842</v>
      </c>
      <c r="CD37" s="754">
        <v>16.274540226707842</v>
      </c>
      <c r="CE37" s="754">
        <v>16.274540226707842</v>
      </c>
      <c r="CF37" s="754">
        <v>16.274540226707842</v>
      </c>
      <c r="CG37" s="754">
        <v>16.274540226707842</v>
      </c>
      <c r="CH37" s="429">
        <f t="shared" si="31"/>
        <v>113.92178158695489</v>
      </c>
      <c r="CI37" s="439">
        <f t="shared" si="32"/>
        <v>359.32775242605021</v>
      </c>
      <c r="CJ37" s="754">
        <v>16.274540226707842</v>
      </c>
      <c r="CK37" s="754">
        <v>16.274540226707842</v>
      </c>
      <c r="CL37" s="754">
        <v>16.274540226707842</v>
      </c>
      <c r="CM37" s="754">
        <v>16.274540226707842</v>
      </c>
      <c r="CN37" s="754">
        <v>16.274540226707842</v>
      </c>
      <c r="CO37" s="505">
        <f t="shared" si="0"/>
        <v>81.372701133539209</v>
      </c>
      <c r="CP37" s="1085">
        <f t="shared" si="1"/>
        <v>277.95505129251103</v>
      </c>
      <c r="CQ37" s="1086">
        <v>132.28200000000001</v>
      </c>
      <c r="CR37" s="514">
        <v>109.074</v>
      </c>
      <c r="CS37" s="1087">
        <f t="shared" ref="CS37:CS41" si="35">CQ37/CR37</f>
        <v>1.2127729798118709</v>
      </c>
      <c r="CT37" s="516">
        <f t="shared" si="33"/>
        <v>4.1485828551121049</v>
      </c>
      <c r="CU37" s="516">
        <f>CT37*CS37</f>
        <v>5.0312891911907469</v>
      </c>
      <c r="CV37" s="516">
        <v>5.0312891911907469</v>
      </c>
      <c r="CW37" s="516">
        <v>5.0312891911907469</v>
      </c>
      <c r="CX37" s="516">
        <v>5.0312891911907469</v>
      </c>
      <c r="CY37" s="516">
        <v>5.0312891911907469</v>
      </c>
      <c r="CZ37" s="516">
        <v>5.0312891911907469</v>
      </c>
      <c r="DA37" s="516">
        <v>5.0312891911907469</v>
      </c>
      <c r="DB37" s="516">
        <v>5.0312891911907469</v>
      </c>
      <c r="DC37" s="516">
        <v>5.0312891911907469</v>
      </c>
      <c r="DD37" s="516">
        <v>5.0312891911907469</v>
      </c>
      <c r="DE37" s="516">
        <v>5.0312891911907469</v>
      </c>
      <c r="DF37" s="516">
        <v>5.0312891911907469</v>
      </c>
      <c r="DG37" s="516">
        <v>5.0312891911907469</v>
      </c>
      <c r="DH37" s="516">
        <v>5.0312891911907469</v>
      </c>
      <c r="DI37" s="516">
        <v>5.0312891911907469</v>
      </c>
      <c r="DJ37" s="516">
        <v>5.0312891911907469</v>
      </c>
      <c r="DK37" s="516">
        <v>5.0312891911907469</v>
      </c>
      <c r="DL37" s="516">
        <v>5.0312891911907469</v>
      </c>
      <c r="DM37" s="516">
        <v>5.0312891911907469</v>
      </c>
      <c r="DN37" s="516">
        <f t="shared" si="3"/>
        <v>90.563205441433453</v>
      </c>
      <c r="DO37" s="1085">
        <f t="shared" si="2"/>
        <v>187.39184585107756</v>
      </c>
    </row>
    <row r="38" spans="1:119" s="16" customFormat="1" ht="15" x14ac:dyDescent="0.2">
      <c r="A38" s="119" t="s">
        <v>281</v>
      </c>
      <c r="B38" s="100" t="s">
        <v>1116</v>
      </c>
      <c r="C38" s="45" t="s">
        <v>355</v>
      </c>
      <c r="D38" s="125">
        <v>10</v>
      </c>
      <c r="E38" s="127">
        <v>0.1</v>
      </c>
      <c r="F38" s="46">
        <v>43281</v>
      </c>
      <c r="G38" s="58">
        <v>120</v>
      </c>
      <c r="H38" s="145">
        <f t="shared" si="6"/>
        <v>0.83333333333333337</v>
      </c>
      <c r="I38" s="165">
        <v>0</v>
      </c>
      <c r="J38" s="48">
        <f t="shared" si="7"/>
        <v>17</v>
      </c>
      <c r="K38" s="165">
        <v>0</v>
      </c>
      <c r="L38" s="48">
        <f t="shared" si="8"/>
        <v>103</v>
      </c>
      <c r="M38" s="165">
        <v>0</v>
      </c>
      <c r="N38" s="48">
        <f t="shared" si="9"/>
        <v>103</v>
      </c>
      <c r="O38" s="165">
        <f>K38-M38</f>
        <v>0</v>
      </c>
      <c r="P38" s="48">
        <v>0</v>
      </c>
      <c r="Q38" s="462">
        <f t="shared" si="10"/>
        <v>46404</v>
      </c>
      <c r="R38" s="125" t="s">
        <v>1113</v>
      </c>
      <c r="S38" s="119">
        <v>42752</v>
      </c>
      <c r="T38" s="711">
        <v>1898</v>
      </c>
      <c r="U38" s="72">
        <v>800.97</v>
      </c>
      <c r="V38" s="776">
        <v>89.030000000000015</v>
      </c>
      <c r="W38" s="776">
        <f t="shared" si="11"/>
        <v>800.97</v>
      </c>
      <c r="X38" s="47">
        <v>7.42</v>
      </c>
      <c r="Y38" s="106">
        <f t="shared" si="12"/>
        <v>37.1</v>
      </c>
      <c r="Z38" s="258">
        <f t="shared" si="13"/>
        <v>763.87</v>
      </c>
      <c r="AA38" s="57">
        <v>115.958</v>
      </c>
      <c r="AB38" s="80">
        <v>112.505</v>
      </c>
      <c r="AC38" s="57">
        <f t="shared" si="14"/>
        <v>1.0306919692458114</v>
      </c>
      <c r="AD38" s="55" t="e">
        <f t="shared" si="15"/>
        <v>#DIV/0!</v>
      </c>
      <c r="AE38" s="55" t="e">
        <f t="shared" si="16"/>
        <v>#DIV/0!</v>
      </c>
      <c r="AF38" s="55"/>
      <c r="AG38" s="55"/>
      <c r="AH38" s="55"/>
      <c r="AI38" s="55"/>
      <c r="AJ38" s="55"/>
      <c r="AK38" s="55" t="e">
        <f t="shared" si="17"/>
        <v>#DIV/0!</v>
      </c>
      <c r="AL38" s="55">
        <v>7.6438317917261953</v>
      </c>
      <c r="AM38" s="55">
        <v>7.6438317917261953</v>
      </c>
      <c r="AN38" s="55">
        <v>7.6438317917261953</v>
      </c>
      <c r="AO38" s="55">
        <v>7.6438317917261953</v>
      </c>
      <c r="AP38" s="55">
        <v>7.6438317917261953</v>
      </c>
      <c r="AQ38" s="55">
        <v>7.6438317917261953</v>
      </c>
      <c r="AR38" s="55" t="e">
        <f t="shared" si="18"/>
        <v>#DIV/0!</v>
      </c>
      <c r="AS38" s="72">
        <v>1630.2</v>
      </c>
      <c r="AT38" s="55"/>
      <c r="AU38" s="55"/>
      <c r="AV38" s="55">
        <f t="shared" si="19"/>
        <v>7.6438317917261953</v>
      </c>
      <c r="AW38" s="55">
        <f t="shared" si="19"/>
        <v>7.6438317917261953</v>
      </c>
      <c r="AX38" s="55">
        <f t="shared" si="19"/>
        <v>7.6438317917261953</v>
      </c>
      <c r="AY38" s="55">
        <f t="shared" si="19"/>
        <v>7.6438317917261953</v>
      </c>
      <c r="AZ38" s="55">
        <f t="shared" si="19"/>
        <v>7.6438317917261953</v>
      </c>
      <c r="BA38" s="80">
        <v>118.901</v>
      </c>
      <c r="BB38" s="80">
        <v>124.598</v>
      </c>
      <c r="BC38" s="57">
        <f t="shared" si="20"/>
        <v>0.95427695468627105</v>
      </c>
      <c r="BD38" s="165">
        <f t="shared" si="21"/>
        <v>15.816666666666666</v>
      </c>
      <c r="BE38" s="165">
        <f t="shared" si="22"/>
        <v>15.09348049995452</v>
      </c>
      <c r="BF38" s="55">
        <f t="shared" si="23"/>
        <v>15.09348049995452</v>
      </c>
      <c r="BG38" s="55">
        <f t="shared" si="23"/>
        <v>15.09348049995452</v>
      </c>
      <c r="BH38" s="55">
        <f t="shared" si="23"/>
        <v>15.09348049995452</v>
      </c>
      <c r="BI38" s="55">
        <f t="shared" si="23"/>
        <v>15.09348049995452</v>
      </c>
      <c r="BJ38" s="55">
        <v>7.84</v>
      </c>
      <c r="BK38" s="55">
        <v>7.84</v>
      </c>
      <c r="BL38" s="55">
        <v>7.84</v>
      </c>
      <c r="BM38" s="55">
        <f t="shared" si="24"/>
        <v>122.11308095844907</v>
      </c>
      <c r="BN38" s="448">
        <v>1898</v>
      </c>
      <c r="BO38" s="55"/>
      <c r="BP38" s="55"/>
      <c r="BQ38" s="55"/>
      <c r="BR38" s="55">
        <v>15.09</v>
      </c>
      <c r="BS38" s="55">
        <v>15.09</v>
      </c>
      <c r="BT38" s="55">
        <f t="shared" si="26"/>
        <v>30.18</v>
      </c>
      <c r="BU38" s="448">
        <f t="shared" si="27"/>
        <v>1867.82</v>
      </c>
      <c r="BV38" s="57">
        <v>126.408</v>
      </c>
      <c r="BW38" s="57">
        <v>109.074</v>
      </c>
      <c r="BX38" s="57">
        <f t="shared" si="28"/>
        <v>1.1589196325430442</v>
      </c>
      <c r="BY38" s="753">
        <f t="shared" si="29"/>
        <v>109.87176470588236</v>
      </c>
      <c r="BZ38" s="55">
        <f t="shared" si="30"/>
        <v>127.33254517979699</v>
      </c>
      <c r="CA38" s="754">
        <v>432.93065361130971</v>
      </c>
      <c r="CB38" s="754">
        <v>432.93065361130971</v>
      </c>
      <c r="CC38" s="754">
        <v>432.93065361130971</v>
      </c>
      <c r="CD38" s="754">
        <v>432.93065361130971</v>
      </c>
      <c r="CE38" s="754">
        <v>135.1</v>
      </c>
      <c r="CF38" s="754">
        <v>0</v>
      </c>
      <c r="CG38" s="754">
        <v>0</v>
      </c>
      <c r="CH38" s="429">
        <f t="shared" si="31"/>
        <v>1866.8226144452387</v>
      </c>
      <c r="CI38" s="439">
        <f t="shared" si="32"/>
        <v>0.99738555476119473</v>
      </c>
      <c r="CJ38" s="754">
        <v>0</v>
      </c>
      <c r="CK38" s="754">
        <v>0</v>
      </c>
      <c r="CL38" s="754">
        <v>0</v>
      </c>
      <c r="CM38" s="754">
        <v>0</v>
      </c>
      <c r="CN38" s="754">
        <v>0</v>
      </c>
      <c r="CO38" s="505">
        <f t="shared" si="0"/>
        <v>0</v>
      </c>
      <c r="CP38" s="1085">
        <f t="shared" si="1"/>
        <v>0.99738555476119473</v>
      </c>
      <c r="CQ38" s="1086">
        <v>132.28200000000001</v>
      </c>
      <c r="CR38" s="514">
        <v>109.074</v>
      </c>
      <c r="CS38" s="1087">
        <f t="shared" si="35"/>
        <v>1.2127729798118709</v>
      </c>
      <c r="CT38" s="516">
        <v>0</v>
      </c>
      <c r="CU38" s="516">
        <f>CT38*CS38</f>
        <v>0</v>
      </c>
      <c r="CV38" s="516">
        <v>0</v>
      </c>
      <c r="CW38" s="516">
        <v>0</v>
      </c>
      <c r="CX38" s="516">
        <v>0</v>
      </c>
      <c r="CY38" s="516">
        <v>0</v>
      </c>
      <c r="CZ38" s="516">
        <v>0</v>
      </c>
      <c r="DA38" s="516">
        <v>0</v>
      </c>
      <c r="DB38" s="516">
        <v>0</v>
      </c>
      <c r="DC38" s="516">
        <v>0</v>
      </c>
      <c r="DD38" s="516">
        <v>0</v>
      </c>
      <c r="DE38" s="516">
        <v>0</v>
      </c>
      <c r="DF38" s="516">
        <v>0</v>
      </c>
      <c r="DG38" s="516">
        <v>0</v>
      </c>
      <c r="DH38" s="516">
        <v>0</v>
      </c>
      <c r="DI38" s="516">
        <v>0</v>
      </c>
      <c r="DJ38" s="516">
        <v>0</v>
      </c>
      <c r="DK38" s="516">
        <v>0</v>
      </c>
      <c r="DL38" s="516">
        <v>0</v>
      </c>
      <c r="DM38" s="516">
        <v>0</v>
      </c>
      <c r="DN38" s="516">
        <f t="shared" si="3"/>
        <v>0</v>
      </c>
      <c r="DO38" s="1085">
        <f t="shared" si="2"/>
        <v>0.99738555476119473</v>
      </c>
    </row>
    <row r="39" spans="1:119" s="16" customFormat="1" ht="15" x14ac:dyDescent="0.2">
      <c r="A39" s="119" t="s">
        <v>281</v>
      </c>
      <c r="B39" s="100" t="s">
        <v>1117</v>
      </c>
      <c r="C39" s="45" t="s">
        <v>355</v>
      </c>
      <c r="D39" s="125">
        <v>10</v>
      </c>
      <c r="E39" s="127">
        <v>0.1</v>
      </c>
      <c r="F39" s="46">
        <v>43281</v>
      </c>
      <c r="G39" s="58">
        <v>120</v>
      </c>
      <c r="H39" s="145">
        <f t="shared" si="6"/>
        <v>0.83333333333333337</v>
      </c>
      <c r="I39" s="165">
        <v>0</v>
      </c>
      <c r="J39" s="48">
        <f t="shared" si="7"/>
        <v>17</v>
      </c>
      <c r="K39" s="165">
        <v>0</v>
      </c>
      <c r="L39" s="48">
        <f t="shared" si="8"/>
        <v>103</v>
      </c>
      <c r="M39" s="165">
        <v>0</v>
      </c>
      <c r="N39" s="48">
        <f t="shared" si="9"/>
        <v>103</v>
      </c>
      <c r="O39" s="165">
        <f>K39-M39</f>
        <v>0</v>
      </c>
      <c r="P39" s="48">
        <v>0</v>
      </c>
      <c r="Q39" s="462">
        <f t="shared" si="10"/>
        <v>46404</v>
      </c>
      <c r="R39" s="125" t="s">
        <v>1113</v>
      </c>
      <c r="S39" s="119">
        <v>42752</v>
      </c>
      <c r="T39" s="711">
        <v>4698</v>
      </c>
      <c r="U39" s="72">
        <v>800.97</v>
      </c>
      <c r="V39" s="776">
        <v>89.030000000000015</v>
      </c>
      <c r="W39" s="776">
        <f t="shared" si="11"/>
        <v>800.97</v>
      </c>
      <c r="X39" s="47">
        <v>7.42</v>
      </c>
      <c r="Y39" s="106">
        <f t="shared" si="12"/>
        <v>37.1</v>
      </c>
      <c r="Z39" s="258">
        <f t="shared" si="13"/>
        <v>763.87</v>
      </c>
      <c r="AA39" s="57">
        <v>115.958</v>
      </c>
      <c r="AB39" s="80">
        <v>112.505</v>
      </c>
      <c r="AC39" s="57">
        <f t="shared" si="14"/>
        <v>1.0306919692458114</v>
      </c>
      <c r="AD39" s="55" t="e">
        <f t="shared" si="15"/>
        <v>#DIV/0!</v>
      </c>
      <c r="AE39" s="55" t="e">
        <f t="shared" si="16"/>
        <v>#DIV/0!</v>
      </c>
      <c r="AF39" s="55"/>
      <c r="AG39" s="55"/>
      <c r="AH39" s="55"/>
      <c r="AI39" s="55"/>
      <c r="AJ39" s="55"/>
      <c r="AK39" s="55" t="e">
        <f t="shared" si="17"/>
        <v>#DIV/0!</v>
      </c>
      <c r="AL39" s="55">
        <v>7.6438317917261953</v>
      </c>
      <c r="AM39" s="55">
        <v>7.6438317917261953</v>
      </c>
      <c r="AN39" s="55">
        <v>7.6438317917261953</v>
      </c>
      <c r="AO39" s="55">
        <v>7.6438317917261953</v>
      </c>
      <c r="AP39" s="55">
        <v>7.6438317917261953</v>
      </c>
      <c r="AQ39" s="55">
        <v>7.6438317917261953</v>
      </c>
      <c r="AR39" s="55" t="e">
        <f t="shared" si="18"/>
        <v>#DIV/0!</v>
      </c>
      <c r="AS39" s="72">
        <v>1630.2</v>
      </c>
      <c r="AT39" s="55"/>
      <c r="AU39" s="55"/>
      <c r="AV39" s="55">
        <f t="shared" si="19"/>
        <v>7.6438317917261953</v>
      </c>
      <c r="AW39" s="55">
        <f t="shared" si="19"/>
        <v>7.6438317917261953</v>
      </c>
      <c r="AX39" s="55">
        <f t="shared" si="19"/>
        <v>7.6438317917261953</v>
      </c>
      <c r="AY39" s="55">
        <f t="shared" si="19"/>
        <v>7.6438317917261953</v>
      </c>
      <c r="AZ39" s="55">
        <f t="shared" si="19"/>
        <v>7.6438317917261953</v>
      </c>
      <c r="BA39" s="80">
        <v>118.901</v>
      </c>
      <c r="BB39" s="80">
        <v>124.598</v>
      </c>
      <c r="BC39" s="57">
        <f t="shared" si="20"/>
        <v>0.95427695468627105</v>
      </c>
      <c r="BD39" s="165">
        <f t="shared" si="21"/>
        <v>39.15</v>
      </c>
      <c r="BE39" s="165">
        <f t="shared" si="22"/>
        <v>37.359942775967511</v>
      </c>
      <c r="BF39" s="55">
        <f t="shared" si="23"/>
        <v>37.359942775967511</v>
      </c>
      <c r="BG39" s="55">
        <f t="shared" si="23"/>
        <v>37.359942775967511</v>
      </c>
      <c r="BH39" s="55">
        <f t="shared" si="23"/>
        <v>37.359942775967511</v>
      </c>
      <c r="BI39" s="55">
        <f t="shared" si="23"/>
        <v>37.359942775967511</v>
      </c>
      <c r="BJ39" s="55">
        <v>7.84</v>
      </c>
      <c r="BK39" s="55">
        <v>7.84</v>
      </c>
      <c r="BL39" s="55">
        <v>7.84</v>
      </c>
      <c r="BM39" s="55">
        <f t="shared" si="24"/>
        <v>211.17893006250102</v>
      </c>
      <c r="BN39" s="448">
        <v>4698</v>
      </c>
      <c r="BO39" s="55"/>
      <c r="BP39" s="55"/>
      <c r="BQ39" s="55"/>
      <c r="BR39" s="55">
        <v>37.36</v>
      </c>
      <c r="BS39" s="55">
        <v>37.36</v>
      </c>
      <c r="BT39" s="55">
        <f t="shared" si="26"/>
        <v>74.72</v>
      </c>
      <c r="BU39" s="752">
        <f t="shared" si="27"/>
        <v>4623.28</v>
      </c>
      <c r="BV39" s="57">
        <v>126.408</v>
      </c>
      <c r="BW39" s="57">
        <v>109.074</v>
      </c>
      <c r="BX39" s="57">
        <f t="shared" si="28"/>
        <v>1.1589196325430442</v>
      </c>
      <c r="BY39" s="753">
        <f t="shared" si="29"/>
        <v>271.95764705882351</v>
      </c>
      <c r="BZ39" s="55">
        <f t="shared" si="30"/>
        <v>315.17705639668264</v>
      </c>
      <c r="CA39" s="754">
        <v>1071.601991748721</v>
      </c>
      <c r="CB39" s="754">
        <v>1071.601991748721</v>
      </c>
      <c r="CC39" s="754">
        <v>1071.601991748721</v>
      </c>
      <c r="CD39" s="754">
        <v>1071.601991748721</v>
      </c>
      <c r="CE39" s="754">
        <v>335.87</v>
      </c>
      <c r="CF39" s="754">
        <v>0</v>
      </c>
      <c r="CG39" s="754">
        <v>0</v>
      </c>
      <c r="CH39" s="429">
        <f t="shared" si="31"/>
        <v>4622.2779669948841</v>
      </c>
      <c r="CI39" s="439">
        <f t="shared" si="32"/>
        <v>1.0020330051156634</v>
      </c>
      <c r="CJ39" s="754">
        <v>0</v>
      </c>
      <c r="CK39" s="754">
        <v>0</v>
      </c>
      <c r="CL39" s="754">
        <v>0</v>
      </c>
      <c r="CM39" s="754">
        <v>0</v>
      </c>
      <c r="CN39" s="754">
        <v>0</v>
      </c>
      <c r="CO39" s="505">
        <f t="shared" si="0"/>
        <v>0</v>
      </c>
      <c r="CP39" s="1085">
        <f t="shared" si="1"/>
        <v>1.0020330051156634</v>
      </c>
      <c r="CQ39" s="1086">
        <v>132.28200000000001</v>
      </c>
      <c r="CR39" s="514">
        <v>109.074</v>
      </c>
      <c r="CS39" s="1087">
        <f t="shared" si="35"/>
        <v>1.2127729798118709</v>
      </c>
      <c r="CT39" s="516">
        <v>0</v>
      </c>
      <c r="CU39" s="516">
        <f>CT39*CS39</f>
        <v>0</v>
      </c>
      <c r="CV39" s="516">
        <v>0</v>
      </c>
      <c r="CW39" s="516">
        <v>0</v>
      </c>
      <c r="CX39" s="516">
        <v>0</v>
      </c>
      <c r="CY39" s="516">
        <v>0</v>
      </c>
      <c r="CZ39" s="516">
        <v>0</v>
      </c>
      <c r="DA39" s="516">
        <v>0</v>
      </c>
      <c r="DB39" s="516">
        <v>0</v>
      </c>
      <c r="DC39" s="516">
        <v>0</v>
      </c>
      <c r="DD39" s="516">
        <v>0</v>
      </c>
      <c r="DE39" s="516">
        <v>0</v>
      </c>
      <c r="DF39" s="516">
        <v>0</v>
      </c>
      <c r="DG39" s="516">
        <v>0</v>
      </c>
      <c r="DH39" s="516">
        <v>0</v>
      </c>
      <c r="DI39" s="516">
        <v>0</v>
      </c>
      <c r="DJ39" s="516">
        <v>0</v>
      </c>
      <c r="DK39" s="516">
        <v>0</v>
      </c>
      <c r="DL39" s="516">
        <v>0</v>
      </c>
      <c r="DM39" s="516">
        <v>0</v>
      </c>
      <c r="DN39" s="516">
        <f t="shared" si="3"/>
        <v>0</v>
      </c>
      <c r="DO39" s="1085">
        <f t="shared" si="2"/>
        <v>1.0020330051156634</v>
      </c>
    </row>
    <row r="40" spans="1:119" s="16" customFormat="1" ht="15" x14ac:dyDescent="0.2">
      <c r="A40" s="119" t="s">
        <v>281</v>
      </c>
      <c r="B40" s="100" t="s">
        <v>1118</v>
      </c>
      <c r="C40" s="45" t="s">
        <v>355</v>
      </c>
      <c r="D40" s="125">
        <v>10</v>
      </c>
      <c r="E40" s="127">
        <v>0.1</v>
      </c>
      <c r="F40" s="46">
        <v>43281</v>
      </c>
      <c r="G40" s="58">
        <v>120</v>
      </c>
      <c r="H40" s="145">
        <f t="shared" si="6"/>
        <v>0.83333333333333337</v>
      </c>
      <c r="I40" s="165">
        <v>0</v>
      </c>
      <c r="J40" s="48">
        <f t="shared" si="7"/>
        <v>17</v>
      </c>
      <c r="K40" s="165">
        <v>0</v>
      </c>
      <c r="L40" s="48">
        <f t="shared" si="8"/>
        <v>103</v>
      </c>
      <c r="M40" s="165">
        <v>0</v>
      </c>
      <c r="N40" s="48">
        <f t="shared" si="9"/>
        <v>103</v>
      </c>
      <c r="O40" s="165">
        <f>K40-M40</f>
        <v>0</v>
      </c>
      <c r="P40" s="48">
        <v>0</v>
      </c>
      <c r="Q40" s="462">
        <f t="shared" si="10"/>
        <v>46404</v>
      </c>
      <c r="R40" s="125" t="s">
        <v>1113</v>
      </c>
      <c r="S40" s="119">
        <v>42752</v>
      </c>
      <c r="T40" s="711">
        <v>3416</v>
      </c>
      <c r="U40" s="72">
        <v>800.97</v>
      </c>
      <c r="V40" s="776">
        <v>89.030000000000015</v>
      </c>
      <c r="W40" s="776">
        <f t="shared" si="11"/>
        <v>800.97</v>
      </c>
      <c r="X40" s="47">
        <v>7.42</v>
      </c>
      <c r="Y40" s="106">
        <f t="shared" si="12"/>
        <v>37.1</v>
      </c>
      <c r="Z40" s="258">
        <f t="shared" si="13"/>
        <v>763.87</v>
      </c>
      <c r="AA40" s="57">
        <v>115.958</v>
      </c>
      <c r="AB40" s="80">
        <v>112.505</v>
      </c>
      <c r="AC40" s="57">
        <f t="shared" si="14"/>
        <v>1.0306919692458114</v>
      </c>
      <c r="AD40" s="55" t="e">
        <f t="shared" si="15"/>
        <v>#DIV/0!</v>
      </c>
      <c r="AE40" s="55" t="e">
        <f t="shared" si="16"/>
        <v>#DIV/0!</v>
      </c>
      <c r="AF40" s="55"/>
      <c r="AG40" s="55"/>
      <c r="AH40" s="55"/>
      <c r="AI40" s="55"/>
      <c r="AJ40" s="55"/>
      <c r="AK40" s="55" t="e">
        <f t="shared" si="17"/>
        <v>#DIV/0!</v>
      </c>
      <c r="AL40" s="55">
        <v>7.6438317917261953</v>
      </c>
      <c r="AM40" s="55">
        <v>7.6438317917261953</v>
      </c>
      <c r="AN40" s="55">
        <v>7.6438317917261953</v>
      </c>
      <c r="AO40" s="55">
        <v>7.6438317917261953</v>
      </c>
      <c r="AP40" s="55">
        <v>7.6438317917261953</v>
      </c>
      <c r="AQ40" s="55">
        <v>7.6438317917261953</v>
      </c>
      <c r="AR40" s="55" t="e">
        <f t="shared" si="18"/>
        <v>#DIV/0!</v>
      </c>
      <c r="AS40" s="72">
        <v>1630.2</v>
      </c>
      <c r="AT40" s="55"/>
      <c r="AU40" s="55"/>
      <c r="AV40" s="55">
        <f t="shared" si="19"/>
        <v>7.6438317917261953</v>
      </c>
      <c r="AW40" s="55">
        <f t="shared" si="19"/>
        <v>7.6438317917261953</v>
      </c>
      <c r="AX40" s="55">
        <f t="shared" si="19"/>
        <v>7.6438317917261953</v>
      </c>
      <c r="AY40" s="55">
        <f t="shared" si="19"/>
        <v>7.6438317917261953</v>
      </c>
      <c r="AZ40" s="55">
        <f t="shared" si="19"/>
        <v>7.6438317917261953</v>
      </c>
      <c r="BA40" s="80">
        <v>118.901</v>
      </c>
      <c r="BB40" s="80">
        <v>124.598</v>
      </c>
      <c r="BC40" s="57">
        <f t="shared" si="20"/>
        <v>0.95427695468627105</v>
      </c>
      <c r="BD40" s="165">
        <f t="shared" si="21"/>
        <v>28.466666666666665</v>
      </c>
      <c r="BE40" s="165">
        <f t="shared" si="22"/>
        <v>27.165083976735847</v>
      </c>
      <c r="BF40" s="55">
        <f t="shared" si="23"/>
        <v>27.165083976735847</v>
      </c>
      <c r="BG40" s="55">
        <f t="shared" si="23"/>
        <v>27.165083976735847</v>
      </c>
      <c r="BH40" s="55">
        <f t="shared" si="23"/>
        <v>27.165083976735847</v>
      </c>
      <c r="BI40" s="55">
        <f t="shared" si="23"/>
        <v>27.165083976735847</v>
      </c>
      <c r="BJ40" s="55">
        <v>7.84</v>
      </c>
      <c r="BK40" s="55">
        <v>7.84</v>
      </c>
      <c r="BL40" s="55">
        <v>7.84</v>
      </c>
      <c r="BM40" s="55">
        <f t="shared" si="24"/>
        <v>170.39949486557438</v>
      </c>
      <c r="BN40" s="448">
        <v>3416</v>
      </c>
      <c r="BO40" s="55"/>
      <c r="BP40" s="55"/>
      <c r="BQ40" s="55"/>
      <c r="BR40" s="55">
        <v>27.17</v>
      </c>
      <c r="BS40" s="55">
        <v>27.17</v>
      </c>
      <c r="BT40" s="55">
        <f t="shared" si="26"/>
        <v>54.34</v>
      </c>
      <c r="BU40" s="752">
        <f t="shared" si="27"/>
        <v>3361.66</v>
      </c>
      <c r="BV40" s="57">
        <v>126.408</v>
      </c>
      <c r="BW40" s="57">
        <v>109.074</v>
      </c>
      <c r="BX40" s="57">
        <f t="shared" si="28"/>
        <v>1.1589196325430442</v>
      </c>
      <c r="BY40" s="753">
        <f t="shared" si="29"/>
        <v>197.74470588235295</v>
      </c>
      <c r="BZ40" s="55">
        <f t="shared" si="30"/>
        <v>229.17022187850884</v>
      </c>
      <c r="CA40" s="754">
        <v>779.17875438693</v>
      </c>
      <c r="CB40" s="754">
        <v>779.17875438693</v>
      </c>
      <c r="CC40" s="754">
        <v>779.17875438693</v>
      </c>
      <c r="CD40" s="754">
        <v>779.17875438693</v>
      </c>
      <c r="CE40" s="754">
        <v>243.94</v>
      </c>
      <c r="CF40" s="754">
        <v>0</v>
      </c>
      <c r="CG40" s="754">
        <v>0</v>
      </c>
      <c r="CH40" s="429">
        <f t="shared" si="31"/>
        <v>3360.65501754772</v>
      </c>
      <c r="CI40" s="439">
        <f t="shared" si="32"/>
        <v>1.004982452279819</v>
      </c>
      <c r="CJ40" s="754">
        <v>0</v>
      </c>
      <c r="CK40" s="754">
        <v>0</v>
      </c>
      <c r="CL40" s="754">
        <v>0</v>
      </c>
      <c r="CM40" s="754">
        <v>0</v>
      </c>
      <c r="CN40" s="754">
        <v>0</v>
      </c>
      <c r="CO40" s="505">
        <f t="shared" si="0"/>
        <v>0</v>
      </c>
      <c r="CP40" s="1085">
        <f t="shared" si="1"/>
        <v>1.004982452279819</v>
      </c>
      <c r="CQ40" s="1086">
        <v>132.28200000000001</v>
      </c>
      <c r="CR40" s="514">
        <v>109.074</v>
      </c>
      <c r="CS40" s="1087">
        <f t="shared" si="35"/>
        <v>1.2127729798118709</v>
      </c>
      <c r="CT40" s="516">
        <v>0</v>
      </c>
      <c r="CU40" s="516">
        <f>CT40*CS40</f>
        <v>0</v>
      </c>
      <c r="CV40" s="516">
        <v>0</v>
      </c>
      <c r="CW40" s="516">
        <v>0</v>
      </c>
      <c r="CX40" s="516">
        <v>0</v>
      </c>
      <c r="CY40" s="516">
        <v>0</v>
      </c>
      <c r="CZ40" s="516">
        <v>0</v>
      </c>
      <c r="DA40" s="516">
        <v>0</v>
      </c>
      <c r="DB40" s="516">
        <v>0</v>
      </c>
      <c r="DC40" s="516">
        <v>0</v>
      </c>
      <c r="DD40" s="516">
        <v>0</v>
      </c>
      <c r="DE40" s="516">
        <v>0</v>
      </c>
      <c r="DF40" s="516">
        <v>0</v>
      </c>
      <c r="DG40" s="516">
        <v>0</v>
      </c>
      <c r="DH40" s="516">
        <v>0</v>
      </c>
      <c r="DI40" s="516">
        <v>0</v>
      </c>
      <c r="DJ40" s="516">
        <v>0</v>
      </c>
      <c r="DK40" s="516">
        <v>0</v>
      </c>
      <c r="DL40" s="516">
        <v>0</v>
      </c>
      <c r="DM40" s="516">
        <v>0</v>
      </c>
      <c r="DN40" s="516">
        <f t="shared" si="3"/>
        <v>0</v>
      </c>
      <c r="DO40" s="1085">
        <f t="shared" si="2"/>
        <v>1.004982452279819</v>
      </c>
    </row>
    <row r="41" spans="1:119" s="16" customFormat="1" ht="15" x14ac:dyDescent="0.2">
      <c r="A41" s="119" t="s">
        <v>281</v>
      </c>
      <c r="B41" s="100" t="s">
        <v>1116</v>
      </c>
      <c r="C41" s="45" t="s">
        <v>355</v>
      </c>
      <c r="D41" s="125">
        <v>10</v>
      </c>
      <c r="E41" s="127">
        <v>0.1</v>
      </c>
      <c r="F41" s="46">
        <v>43281</v>
      </c>
      <c r="G41" s="58">
        <v>120</v>
      </c>
      <c r="H41" s="145">
        <f t="shared" si="6"/>
        <v>0.83333333333333337</v>
      </c>
      <c r="I41" s="165">
        <v>0</v>
      </c>
      <c r="J41" s="48">
        <f t="shared" si="7"/>
        <v>17</v>
      </c>
      <c r="K41" s="165">
        <v>0</v>
      </c>
      <c r="L41" s="48">
        <f t="shared" si="8"/>
        <v>103</v>
      </c>
      <c r="M41" s="165">
        <v>0</v>
      </c>
      <c r="N41" s="48">
        <f t="shared" si="9"/>
        <v>103</v>
      </c>
      <c r="O41" s="165">
        <f>K41-M41</f>
        <v>0</v>
      </c>
      <c r="P41" s="48">
        <v>0</v>
      </c>
      <c r="Q41" s="462">
        <f t="shared" si="10"/>
        <v>46404</v>
      </c>
      <c r="R41" s="125" t="s">
        <v>1119</v>
      </c>
      <c r="S41" s="119">
        <v>42752</v>
      </c>
      <c r="T41" s="711">
        <v>346.84</v>
      </c>
      <c r="U41" s="72">
        <v>800.97</v>
      </c>
      <c r="V41" s="776">
        <v>89.030000000000015</v>
      </c>
      <c r="W41" s="776">
        <f t="shared" si="11"/>
        <v>800.97</v>
      </c>
      <c r="X41" s="47">
        <v>7.42</v>
      </c>
      <c r="Y41" s="106">
        <f t="shared" si="12"/>
        <v>37.1</v>
      </c>
      <c r="Z41" s="258">
        <f t="shared" si="13"/>
        <v>763.87</v>
      </c>
      <c r="AA41" s="57">
        <v>115.958</v>
      </c>
      <c r="AB41" s="80">
        <v>112.505</v>
      </c>
      <c r="AC41" s="57">
        <f t="shared" si="14"/>
        <v>1.0306919692458114</v>
      </c>
      <c r="AD41" s="55" t="e">
        <f t="shared" si="15"/>
        <v>#DIV/0!</v>
      </c>
      <c r="AE41" s="55" t="e">
        <f t="shared" si="16"/>
        <v>#DIV/0!</v>
      </c>
      <c r="AF41" s="55"/>
      <c r="AG41" s="55"/>
      <c r="AH41" s="55"/>
      <c r="AI41" s="55"/>
      <c r="AJ41" s="55"/>
      <c r="AK41" s="55" t="e">
        <f t="shared" si="17"/>
        <v>#DIV/0!</v>
      </c>
      <c r="AL41" s="55">
        <v>7.6438317917261953</v>
      </c>
      <c r="AM41" s="55">
        <v>7.6438317917261953</v>
      </c>
      <c r="AN41" s="55">
        <v>7.6438317917261953</v>
      </c>
      <c r="AO41" s="55">
        <v>7.6438317917261953</v>
      </c>
      <c r="AP41" s="55">
        <v>7.6438317917261953</v>
      </c>
      <c r="AQ41" s="55">
        <v>7.6438317917261953</v>
      </c>
      <c r="AR41" s="55" t="e">
        <f t="shared" si="18"/>
        <v>#DIV/0!</v>
      </c>
      <c r="AS41" s="72">
        <v>1630.2</v>
      </c>
      <c r="AT41" s="55"/>
      <c r="AU41" s="55"/>
      <c r="AV41" s="55">
        <f t="shared" si="19"/>
        <v>7.6438317917261953</v>
      </c>
      <c r="AW41" s="55">
        <f t="shared" si="19"/>
        <v>7.6438317917261953</v>
      </c>
      <c r="AX41" s="55">
        <f t="shared" si="19"/>
        <v>7.6438317917261953</v>
      </c>
      <c r="AY41" s="55">
        <f t="shared" si="19"/>
        <v>7.6438317917261953</v>
      </c>
      <c r="AZ41" s="55">
        <f t="shared" si="19"/>
        <v>7.6438317917261953</v>
      </c>
      <c r="BA41" s="80">
        <v>118.901</v>
      </c>
      <c r="BB41" s="80">
        <v>124.598</v>
      </c>
      <c r="BC41" s="57">
        <f t="shared" si="20"/>
        <v>0.95427695468627105</v>
      </c>
      <c r="BD41" s="165">
        <f t="shared" si="21"/>
        <v>2.890333333333333</v>
      </c>
      <c r="BE41" s="165">
        <f t="shared" si="22"/>
        <v>2.7581784913615519</v>
      </c>
      <c r="BF41" s="55">
        <f t="shared" si="23"/>
        <v>2.7581784913615519</v>
      </c>
      <c r="BG41" s="55">
        <f t="shared" si="23"/>
        <v>2.7581784913615519</v>
      </c>
      <c r="BH41" s="55">
        <f t="shared" si="23"/>
        <v>2.7581784913615519</v>
      </c>
      <c r="BI41" s="55">
        <f t="shared" si="23"/>
        <v>2.7581784913615519</v>
      </c>
      <c r="BJ41" s="55">
        <v>7.84</v>
      </c>
      <c r="BK41" s="55">
        <v>7.84</v>
      </c>
      <c r="BL41" s="55">
        <v>7.84</v>
      </c>
      <c r="BM41" s="55">
        <f t="shared" si="24"/>
        <v>72.771872924077201</v>
      </c>
      <c r="BN41" s="448">
        <v>346.84</v>
      </c>
      <c r="BO41" s="55"/>
      <c r="BP41" s="55"/>
      <c r="BQ41" s="55"/>
      <c r="BR41" s="55">
        <v>2.89</v>
      </c>
      <c r="BS41" s="55">
        <v>2.89</v>
      </c>
      <c r="BT41" s="55">
        <f t="shared" si="26"/>
        <v>5.78</v>
      </c>
      <c r="BU41" s="448">
        <f t="shared" si="27"/>
        <v>341.06</v>
      </c>
      <c r="BV41" s="57">
        <v>126.408</v>
      </c>
      <c r="BW41" s="57">
        <v>109.074</v>
      </c>
      <c r="BX41" s="57">
        <f t="shared" si="28"/>
        <v>1.1589196325430442</v>
      </c>
      <c r="BY41" s="753">
        <f t="shared" si="29"/>
        <v>20.062352941176471</v>
      </c>
      <c r="BZ41" s="55">
        <f t="shared" si="30"/>
        <v>23.250654698537097</v>
      </c>
      <c r="CA41" s="754">
        <v>79.052225975026133</v>
      </c>
      <c r="CB41" s="754">
        <v>79.052225975026133</v>
      </c>
      <c r="CC41" s="754">
        <v>79.052225975026133</v>
      </c>
      <c r="CD41" s="754">
        <v>79.052225975026133</v>
      </c>
      <c r="CE41" s="754">
        <v>23.85</v>
      </c>
      <c r="CF41" s="754">
        <v>0</v>
      </c>
      <c r="CG41" s="754">
        <v>0</v>
      </c>
      <c r="CH41" s="429">
        <f t="shared" si="31"/>
        <v>340.05890390010455</v>
      </c>
      <c r="CI41" s="439">
        <f t="shared" si="32"/>
        <v>1.0010960998954488</v>
      </c>
      <c r="CJ41" s="754">
        <v>0</v>
      </c>
      <c r="CK41" s="754">
        <v>0</v>
      </c>
      <c r="CL41" s="754">
        <v>0</v>
      </c>
      <c r="CM41" s="754">
        <v>0</v>
      </c>
      <c r="CN41" s="754">
        <v>0</v>
      </c>
      <c r="CO41" s="505">
        <f t="shared" si="0"/>
        <v>0</v>
      </c>
      <c r="CP41" s="1085">
        <f t="shared" si="1"/>
        <v>1.0010960998954488</v>
      </c>
      <c r="CQ41" s="1086">
        <v>132.28200000000001</v>
      </c>
      <c r="CR41" s="514">
        <v>109.074</v>
      </c>
      <c r="CS41" s="1087">
        <f t="shared" si="35"/>
        <v>1.2127729798118709</v>
      </c>
      <c r="CT41" s="516">
        <v>0</v>
      </c>
      <c r="CU41" s="516">
        <f>CT41*CS41</f>
        <v>0</v>
      </c>
      <c r="CV41" s="516">
        <v>0</v>
      </c>
      <c r="CW41" s="516">
        <v>0</v>
      </c>
      <c r="CX41" s="516">
        <v>0</v>
      </c>
      <c r="CY41" s="516">
        <v>0</v>
      </c>
      <c r="CZ41" s="516">
        <v>0</v>
      </c>
      <c r="DA41" s="516">
        <v>0</v>
      </c>
      <c r="DB41" s="516">
        <v>0</v>
      </c>
      <c r="DC41" s="516">
        <v>0</v>
      </c>
      <c r="DD41" s="516">
        <v>0</v>
      </c>
      <c r="DE41" s="516">
        <v>0</v>
      </c>
      <c r="DF41" s="516">
        <v>0</v>
      </c>
      <c r="DG41" s="516">
        <v>0</v>
      </c>
      <c r="DH41" s="516">
        <v>0</v>
      </c>
      <c r="DI41" s="516">
        <v>0</v>
      </c>
      <c r="DJ41" s="516">
        <v>0</v>
      </c>
      <c r="DK41" s="516">
        <v>0</v>
      </c>
      <c r="DL41" s="516">
        <v>0</v>
      </c>
      <c r="DM41" s="516">
        <v>0</v>
      </c>
      <c r="DN41" s="516">
        <f t="shared" si="3"/>
        <v>0</v>
      </c>
      <c r="DO41" s="1085">
        <f t="shared" si="2"/>
        <v>1.0010960998954488</v>
      </c>
    </row>
    <row r="42" spans="1:119" s="16" customFormat="1" ht="15" x14ac:dyDescent="0.2">
      <c r="A42" s="120" t="s">
        <v>71</v>
      </c>
      <c r="B42" s="120" t="s">
        <v>26</v>
      </c>
      <c r="C42" s="45"/>
      <c r="D42" s="241"/>
      <c r="E42" s="6"/>
      <c r="F42" s="46"/>
      <c r="G42" s="58"/>
      <c r="H42" s="145"/>
      <c r="I42" s="165"/>
      <c r="J42" s="48"/>
      <c r="K42" s="165"/>
      <c r="L42" s="48"/>
      <c r="M42" s="165"/>
      <c r="N42" s="48"/>
      <c r="O42" s="165"/>
      <c r="P42" s="48"/>
      <c r="Q42" s="48"/>
      <c r="R42" s="125"/>
      <c r="S42" s="128"/>
      <c r="T42" s="7"/>
      <c r="U42" s="72"/>
      <c r="V42" s="776"/>
      <c r="W42" s="776"/>
      <c r="X42" s="47"/>
      <c r="Y42" s="106"/>
      <c r="Z42" s="257"/>
      <c r="AA42" s="57"/>
      <c r="AB42" s="80"/>
      <c r="AC42" s="57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72"/>
      <c r="AT42" s="55"/>
      <c r="AU42" s="55"/>
      <c r="AV42" s="55">
        <f t="shared" si="19"/>
        <v>0</v>
      </c>
      <c r="AW42" s="55">
        <f t="shared" si="19"/>
        <v>0</v>
      </c>
      <c r="AX42" s="55">
        <f t="shared" si="19"/>
        <v>0</v>
      </c>
      <c r="AY42" s="55">
        <f t="shared" si="19"/>
        <v>0</v>
      </c>
      <c r="AZ42" s="55">
        <f t="shared" si="19"/>
        <v>0</v>
      </c>
      <c r="BA42" s="57"/>
      <c r="BB42" s="80"/>
      <c r="BC42" s="57"/>
      <c r="BD42" s="165"/>
      <c r="BE42" s="165"/>
      <c r="BF42" s="55"/>
      <c r="BG42" s="55"/>
      <c r="BH42" s="55"/>
      <c r="BI42" s="55"/>
      <c r="BJ42" s="55"/>
      <c r="BK42" s="55"/>
      <c r="BL42" s="55"/>
      <c r="BM42" s="55"/>
      <c r="BN42" s="448"/>
      <c r="BO42" s="55"/>
      <c r="BP42" s="55"/>
      <c r="BQ42" s="55"/>
      <c r="BR42" s="55"/>
      <c r="BS42" s="55"/>
      <c r="BT42" s="55"/>
      <c r="BU42" s="448"/>
      <c r="BV42" s="57"/>
      <c r="BW42" s="136"/>
      <c r="BX42" s="57"/>
      <c r="BY42" s="55"/>
      <c r="BZ42" s="55"/>
      <c r="CA42" s="754"/>
      <c r="CB42" s="754"/>
      <c r="CC42" s="754"/>
      <c r="CD42" s="754"/>
      <c r="CE42" s="754"/>
      <c r="CF42" s="754"/>
      <c r="CG42" s="754"/>
      <c r="CH42" s="429"/>
      <c r="CI42" s="439"/>
      <c r="CJ42" s="754"/>
      <c r="CK42" s="754"/>
      <c r="CL42" s="754"/>
      <c r="CM42" s="754"/>
      <c r="CN42" s="754"/>
      <c r="CO42" s="505"/>
      <c r="CP42" s="1085"/>
      <c r="CQ42" s="514"/>
      <c r="CR42" s="1120"/>
      <c r="CS42" s="1087"/>
      <c r="CT42" s="516"/>
      <c r="CU42" s="516"/>
      <c r="CV42" s="516"/>
      <c r="CW42" s="516"/>
      <c r="CX42" s="516"/>
      <c r="CY42" s="516"/>
      <c r="CZ42" s="516"/>
      <c r="DA42" s="516"/>
      <c r="DB42" s="516"/>
      <c r="DC42" s="516"/>
      <c r="DD42" s="516"/>
      <c r="DE42" s="516"/>
      <c r="DF42" s="516"/>
      <c r="DG42" s="516"/>
      <c r="DH42" s="516"/>
      <c r="DI42" s="516"/>
      <c r="DJ42" s="516"/>
      <c r="DK42" s="516"/>
      <c r="DL42" s="516"/>
      <c r="DM42" s="516"/>
      <c r="DN42" s="516">
        <f t="shared" si="3"/>
        <v>0</v>
      </c>
      <c r="DO42" s="1085"/>
    </row>
    <row r="43" spans="1:119" s="16" customFormat="1" ht="15" x14ac:dyDescent="0.2">
      <c r="A43" s="120" t="s">
        <v>76</v>
      </c>
      <c r="B43" s="28"/>
      <c r="C43" s="45"/>
      <c r="D43" s="252"/>
      <c r="E43" s="111"/>
      <c r="F43" s="46"/>
      <c r="G43" s="58"/>
      <c r="H43" s="145"/>
      <c r="I43" s="165"/>
      <c r="J43" s="48"/>
      <c r="K43" s="165"/>
      <c r="L43" s="48"/>
      <c r="M43" s="165"/>
      <c r="N43" s="48"/>
      <c r="O43" s="165"/>
      <c r="P43" s="48"/>
      <c r="Q43" s="48"/>
      <c r="R43" s="125"/>
      <c r="S43" s="132"/>
      <c r="T43" s="107"/>
      <c r="U43" s="72"/>
      <c r="V43" s="776"/>
      <c r="W43" s="776"/>
      <c r="X43" s="47"/>
      <c r="Y43" s="106"/>
      <c r="Z43" s="257"/>
      <c r="AA43" s="57"/>
      <c r="AB43" s="80"/>
      <c r="AC43" s="57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72"/>
      <c r="AT43" s="55"/>
      <c r="AU43" s="55"/>
      <c r="AV43" s="55">
        <f t="shared" si="19"/>
        <v>0</v>
      </c>
      <c r="AW43" s="55">
        <f t="shared" si="19"/>
        <v>0</v>
      </c>
      <c r="AX43" s="55">
        <f t="shared" si="19"/>
        <v>0</v>
      </c>
      <c r="AY43" s="55">
        <f t="shared" si="19"/>
        <v>0</v>
      </c>
      <c r="AZ43" s="55">
        <f t="shared" si="19"/>
        <v>0</v>
      </c>
      <c r="BA43" s="57"/>
      <c r="BB43" s="80"/>
      <c r="BC43" s="57"/>
      <c r="BD43" s="165"/>
      <c r="BE43" s="165"/>
      <c r="BF43" s="55"/>
      <c r="BG43" s="55"/>
      <c r="BH43" s="55"/>
      <c r="BI43" s="55"/>
      <c r="BJ43" s="55"/>
      <c r="BK43" s="55"/>
      <c r="BL43" s="55"/>
      <c r="BM43" s="55"/>
      <c r="BN43" s="448"/>
      <c r="BO43" s="55"/>
      <c r="BP43" s="55"/>
      <c r="BQ43" s="55"/>
      <c r="BR43" s="55"/>
      <c r="BS43" s="55"/>
      <c r="BT43" s="55"/>
      <c r="BU43" s="448"/>
      <c r="BV43" s="57"/>
      <c r="BW43" s="80"/>
      <c r="BX43" s="57"/>
      <c r="BY43" s="55"/>
      <c r="BZ43" s="55"/>
      <c r="CA43" s="754"/>
      <c r="CB43" s="754"/>
      <c r="CC43" s="754"/>
      <c r="CD43" s="754"/>
      <c r="CE43" s="754"/>
      <c r="CF43" s="754"/>
      <c r="CG43" s="754"/>
      <c r="CH43" s="429"/>
      <c r="CI43" s="439"/>
      <c r="CJ43" s="754"/>
      <c r="CK43" s="754"/>
      <c r="CL43" s="754"/>
      <c r="CM43" s="754"/>
      <c r="CN43" s="754"/>
      <c r="CO43" s="505"/>
      <c r="CP43" s="1085"/>
      <c r="CQ43" s="1086"/>
      <c r="CR43" s="515"/>
      <c r="CS43" s="1087"/>
      <c r="CT43" s="516"/>
      <c r="CU43" s="516"/>
      <c r="CV43" s="516"/>
      <c r="CW43" s="516"/>
      <c r="CX43" s="516"/>
      <c r="CY43" s="516"/>
      <c r="CZ43" s="516"/>
      <c r="DA43" s="516"/>
      <c r="DB43" s="516"/>
      <c r="DC43" s="516"/>
      <c r="DD43" s="516"/>
      <c r="DE43" s="516"/>
      <c r="DF43" s="516"/>
      <c r="DG43" s="516"/>
      <c r="DH43" s="516"/>
      <c r="DI43" s="516"/>
      <c r="DJ43" s="516"/>
      <c r="DK43" s="516"/>
      <c r="DL43" s="516"/>
      <c r="DM43" s="516"/>
      <c r="DN43" s="516">
        <f t="shared" si="3"/>
        <v>0</v>
      </c>
      <c r="DO43" s="1085"/>
    </row>
    <row r="44" spans="1:119" s="35" customFormat="1" ht="15" x14ac:dyDescent="0.2">
      <c r="A44" s="119" t="s">
        <v>282</v>
      </c>
      <c r="B44" s="100" t="s">
        <v>580</v>
      </c>
      <c r="C44" s="100" t="s">
        <v>355</v>
      </c>
      <c r="D44" s="125">
        <v>10</v>
      </c>
      <c r="E44" s="130">
        <v>0.1</v>
      </c>
      <c r="F44" s="119">
        <v>43281</v>
      </c>
      <c r="G44" s="8">
        <v>120</v>
      </c>
      <c r="H44" s="146">
        <f>100/G44</f>
        <v>0.83333333333333337</v>
      </c>
      <c r="I44" s="1167">
        <f>H44*J44</f>
        <v>61.666666666666671</v>
      </c>
      <c r="J44" s="125">
        <f t="shared" ref="J44" si="36">(YEAR(F44)-YEAR(S44))*12+MONTH(F44)-MONTH(S44)</f>
        <v>74</v>
      </c>
      <c r="K44" s="1167">
        <f>L44*H44</f>
        <v>38.333333333333336</v>
      </c>
      <c r="L44" s="125">
        <f>G44-J44</f>
        <v>46</v>
      </c>
      <c r="M44" s="1167">
        <f>N44*H44</f>
        <v>38.333333333333336</v>
      </c>
      <c r="N44" s="125">
        <f t="shared" ref="N44" si="37">G44-J44</f>
        <v>46</v>
      </c>
      <c r="O44" s="1167">
        <f>K44-M44</f>
        <v>0</v>
      </c>
      <c r="P44" s="125">
        <f>L44-N44</f>
        <v>0</v>
      </c>
      <c r="Q44" s="367">
        <f>DATE(YEAR(S44),MONTH(S44)+G44,DAY(S44))</f>
        <v>44663</v>
      </c>
      <c r="R44" s="125" t="s">
        <v>445</v>
      </c>
      <c r="S44" s="119">
        <v>41011</v>
      </c>
      <c r="T44" s="7">
        <v>2146</v>
      </c>
      <c r="U44" s="1169">
        <v>1573.7633333333333</v>
      </c>
      <c r="V44" s="776">
        <v>214.56999999999996</v>
      </c>
      <c r="W44" s="776">
        <f>U44</f>
        <v>1573.7633333333333</v>
      </c>
      <c r="X44" s="134">
        <v>17.88</v>
      </c>
      <c r="Y44" s="7">
        <f>X44*5</f>
        <v>89.399999999999991</v>
      </c>
      <c r="Z44" s="129">
        <f>W44-Y44</f>
        <v>1484.3633333333332</v>
      </c>
      <c r="AA44" s="64">
        <v>115.958</v>
      </c>
      <c r="AB44" s="82">
        <v>104.22799999999999</v>
      </c>
      <c r="AC44" s="64">
        <f>AA44/AB44</f>
        <v>1.1125417354261811</v>
      </c>
      <c r="AD44" s="62">
        <f>Z44*M44/100/K44*100/7</f>
        <v>212.05190476190475</v>
      </c>
      <c r="AE44" s="62">
        <f>AD44*AC44</f>
        <v>235.91659412423678</v>
      </c>
      <c r="AF44" s="62"/>
      <c r="AG44" s="62"/>
      <c r="AH44" s="62"/>
      <c r="AI44" s="62"/>
      <c r="AJ44" s="62"/>
      <c r="AK44" s="62">
        <f>AE44</f>
        <v>235.91659412423678</v>
      </c>
      <c r="AL44" s="62">
        <v>20.139221449629964</v>
      </c>
      <c r="AM44" s="62">
        <v>20.139221449629964</v>
      </c>
      <c r="AN44" s="62">
        <v>20.139221449629964</v>
      </c>
      <c r="AO44" s="62">
        <v>20.139221449629964</v>
      </c>
      <c r="AP44" s="62">
        <v>20.139221449629964</v>
      </c>
      <c r="AQ44" s="62">
        <v>20.139221449629964</v>
      </c>
      <c r="AR44" s="62">
        <f>SUM(AF44:AQ44)</f>
        <v>356.7519228220167</v>
      </c>
      <c r="AS44" s="1169">
        <f>Z44-AR44</f>
        <v>1127.6114105113165</v>
      </c>
      <c r="AT44" s="62"/>
      <c r="AU44" s="62"/>
      <c r="AV44" s="62">
        <f t="shared" si="19"/>
        <v>20.139221449629964</v>
      </c>
      <c r="AW44" s="62">
        <f t="shared" si="19"/>
        <v>20.139221449629964</v>
      </c>
      <c r="AX44" s="62">
        <f t="shared" si="19"/>
        <v>20.139221449629964</v>
      </c>
      <c r="AY44" s="62">
        <f t="shared" si="19"/>
        <v>20.139221449629964</v>
      </c>
      <c r="AZ44" s="62">
        <f t="shared" si="19"/>
        <v>20.139221449629964</v>
      </c>
      <c r="BA44" s="82">
        <v>118.901</v>
      </c>
      <c r="BB44" s="82">
        <v>104.22799999999999</v>
      </c>
      <c r="BC44" s="64">
        <f>BA44/BB44</f>
        <v>1.1407779099666118</v>
      </c>
      <c r="BD44" s="1167">
        <f>T44/(D44*12)</f>
        <v>17.883333333333333</v>
      </c>
      <c r="BE44" s="1167">
        <f>BD44*BC44</f>
        <v>20.40091162323624</v>
      </c>
      <c r="BF44" s="62">
        <f t="shared" ref="BF44:BI44" si="38">$BE44</f>
        <v>20.40091162323624</v>
      </c>
      <c r="BG44" s="62">
        <f t="shared" si="38"/>
        <v>20.40091162323624</v>
      </c>
      <c r="BH44" s="62">
        <f t="shared" si="38"/>
        <v>20.40091162323624</v>
      </c>
      <c r="BI44" s="62">
        <f t="shared" si="38"/>
        <v>20.40091162323624</v>
      </c>
      <c r="BJ44" s="62">
        <v>20.399999999999999</v>
      </c>
      <c r="BK44" s="62">
        <v>20.399999999999999</v>
      </c>
      <c r="BL44" s="62">
        <v>20.399999999999999</v>
      </c>
      <c r="BM44" s="62">
        <f>SUM((AV44:AZ44),(BF44:BL44))</f>
        <v>243.49975374109479</v>
      </c>
      <c r="BN44" s="927">
        <f>(AS44-BM44)</f>
        <v>884.11165677022177</v>
      </c>
      <c r="BO44" s="62">
        <f t="shared" ref="BO44:BS44" si="39">$BE44</f>
        <v>20.40091162323624</v>
      </c>
      <c r="BP44" s="62">
        <f t="shared" si="39"/>
        <v>20.40091162323624</v>
      </c>
      <c r="BQ44" s="62">
        <f t="shared" si="39"/>
        <v>20.40091162323624</v>
      </c>
      <c r="BR44" s="62">
        <f t="shared" si="39"/>
        <v>20.40091162323624</v>
      </c>
      <c r="BS44" s="62">
        <f t="shared" si="39"/>
        <v>20.40091162323624</v>
      </c>
      <c r="BT44" s="62">
        <f>SUM(BO44:BS44)</f>
        <v>102.0045581161812</v>
      </c>
      <c r="BU44" s="927">
        <v>997.88447132864758</v>
      </c>
      <c r="BV44" s="64">
        <v>126.408</v>
      </c>
      <c r="BW44" s="64">
        <v>109.074</v>
      </c>
      <c r="BX44" s="64">
        <f>BV44/BW44</f>
        <v>1.1589196325430442</v>
      </c>
      <c r="BY44" s="1204">
        <f>BU44/J44</f>
        <v>13.484925288224968</v>
      </c>
      <c r="BZ44" s="62">
        <f>BY44*BX44</f>
        <v>15.627944659900084</v>
      </c>
      <c r="CA44" s="756">
        <v>18.652708142461393</v>
      </c>
      <c r="CB44" s="756">
        <v>18.652708142461393</v>
      </c>
      <c r="CC44" s="756">
        <v>18.652708142461393</v>
      </c>
      <c r="CD44" s="756">
        <v>18.652708142461393</v>
      </c>
      <c r="CE44" s="756">
        <v>18.652708142461393</v>
      </c>
      <c r="CF44" s="756">
        <v>18.652708142461393</v>
      </c>
      <c r="CG44" s="756">
        <v>18.652708142461393</v>
      </c>
      <c r="CH44" s="510">
        <f>SUM(CA44:CG44)</f>
        <v>130.56895699722975</v>
      </c>
      <c r="CI44" s="439">
        <f>BU44-CH44</f>
        <v>867.31551433141783</v>
      </c>
      <c r="CJ44" s="756">
        <v>18.652708142461393</v>
      </c>
      <c r="CK44" s="756">
        <v>18.652708142461393</v>
      </c>
      <c r="CL44" s="756">
        <v>18.652708142461393</v>
      </c>
      <c r="CM44" s="756">
        <v>18.652708142461393</v>
      </c>
      <c r="CN44" s="756">
        <v>18.652708142461393</v>
      </c>
      <c r="CO44" s="1170">
        <f t="shared" si="0"/>
        <v>93.263540712306963</v>
      </c>
      <c r="CP44" s="1085">
        <f t="shared" si="1"/>
        <v>774.05197361911087</v>
      </c>
      <c r="CQ44" s="1195">
        <v>132.28200000000001</v>
      </c>
      <c r="CR44" s="1190">
        <v>109.074</v>
      </c>
      <c r="CS44" s="1196">
        <f>CQ44/CR44</f>
        <v>1.2127729798118709</v>
      </c>
      <c r="CT44" s="538">
        <f>CP44/L44</f>
        <v>16.827216817806757</v>
      </c>
      <c r="CU44" s="538">
        <f>CS44*CT44</f>
        <v>20.407593882071929</v>
      </c>
      <c r="CV44" s="538">
        <v>20.407593882071929</v>
      </c>
      <c r="CW44" s="538">
        <v>20.407593882071929</v>
      </c>
      <c r="CX44" s="538">
        <v>20.407593882071929</v>
      </c>
      <c r="CY44" s="538">
        <v>20.407593882071929</v>
      </c>
      <c r="CZ44" s="538">
        <v>20.407593882071929</v>
      </c>
      <c r="DA44" s="538">
        <v>20.407593882071929</v>
      </c>
      <c r="DB44" s="538">
        <v>20.407593882071929</v>
      </c>
      <c r="DC44" s="538">
        <v>20.407593882071929</v>
      </c>
      <c r="DD44" s="538">
        <v>20.407593882071929</v>
      </c>
      <c r="DE44" s="538">
        <v>20.407593882071929</v>
      </c>
      <c r="DF44" s="538">
        <v>20.407593882071929</v>
      </c>
      <c r="DG44" s="538">
        <v>20.407593882071929</v>
      </c>
      <c r="DH44" s="538">
        <v>20.407593882071929</v>
      </c>
      <c r="DI44" s="538">
        <v>20.407593882071929</v>
      </c>
      <c r="DJ44" s="538">
        <v>20.407593882071929</v>
      </c>
      <c r="DK44" s="538">
        <v>20.407593882071929</v>
      </c>
      <c r="DL44" s="538">
        <v>20.407593882071929</v>
      </c>
      <c r="DM44" s="538">
        <v>20.407593882071929</v>
      </c>
      <c r="DN44" s="538">
        <f t="shared" si="3"/>
        <v>367.33668987729465</v>
      </c>
      <c r="DO44" s="1085">
        <f t="shared" si="2"/>
        <v>406.71528374181622</v>
      </c>
    </row>
    <row r="45" spans="1:119" s="16" customFormat="1" ht="15" x14ac:dyDescent="0.2">
      <c r="A45" s="120" t="s">
        <v>65</v>
      </c>
      <c r="B45" s="120" t="s">
        <v>231</v>
      </c>
      <c r="C45" s="45"/>
      <c r="D45" s="125"/>
      <c r="E45" s="130"/>
      <c r="F45" s="46"/>
      <c r="G45" s="58"/>
      <c r="H45" s="145"/>
      <c r="I45" s="165"/>
      <c r="J45" s="48"/>
      <c r="K45" s="165"/>
      <c r="L45" s="48"/>
      <c r="M45" s="165"/>
      <c r="N45" s="48"/>
      <c r="O45" s="165"/>
      <c r="P45" s="48"/>
      <c r="Q45" s="48"/>
      <c r="R45" s="125"/>
      <c r="S45" s="128"/>
      <c r="T45" s="7"/>
      <c r="U45" s="72"/>
      <c r="V45" s="156"/>
      <c r="W45" s="156"/>
      <c r="X45" s="134"/>
      <c r="Y45" s="106"/>
      <c r="Z45" s="257"/>
      <c r="AA45" s="57"/>
      <c r="AB45" s="57"/>
      <c r="AC45" s="57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72"/>
      <c r="AT45" s="55"/>
      <c r="AU45" s="55"/>
      <c r="AV45" s="55">
        <f t="shared" si="19"/>
        <v>0</v>
      </c>
      <c r="AW45" s="55">
        <f t="shared" si="19"/>
        <v>0</v>
      </c>
      <c r="AX45" s="55">
        <f t="shared" si="19"/>
        <v>0</v>
      </c>
      <c r="AY45" s="55">
        <f t="shared" si="19"/>
        <v>0</v>
      </c>
      <c r="AZ45" s="55">
        <f t="shared" si="19"/>
        <v>0</v>
      </c>
      <c r="BA45" s="57"/>
      <c r="BB45" s="57"/>
      <c r="BC45" s="57"/>
      <c r="BD45" s="165"/>
      <c r="BE45" s="165"/>
      <c r="BF45" s="55"/>
      <c r="BG45" s="55"/>
      <c r="BH45" s="55"/>
      <c r="BI45" s="55"/>
      <c r="BJ45" s="55"/>
      <c r="BK45" s="55"/>
      <c r="BL45" s="55"/>
      <c r="BM45" s="55"/>
      <c r="BN45" s="448"/>
      <c r="BO45" s="55"/>
      <c r="BP45" s="55"/>
      <c r="BQ45" s="55"/>
      <c r="BR45" s="55"/>
      <c r="BS45" s="55"/>
      <c r="BT45" s="55"/>
      <c r="BU45" s="448"/>
      <c r="BV45" s="57"/>
      <c r="BW45" s="80"/>
      <c r="BX45" s="57"/>
      <c r="BY45" s="55"/>
      <c r="BZ45" s="55"/>
      <c r="CA45" s="754"/>
      <c r="CB45" s="754"/>
      <c r="CC45" s="754"/>
      <c r="CD45" s="754"/>
      <c r="CE45" s="754"/>
      <c r="CF45" s="754"/>
      <c r="CG45" s="754"/>
      <c r="CH45" s="429"/>
      <c r="CI45" s="439"/>
      <c r="CJ45" s="754"/>
      <c r="CK45" s="754"/>
      <c r="CL45" s="754"/>
      <c r="CM45" s="754"/>
      <c r="CN45" s="754"/>
      <c r="CO45" s="505"/>
      <c r="CP45" s="1085"/>
      <c r="CQ45" s="514"/>
      <c r="CR45" s="515"/>
      <c r="CS45" s="1087"/>
      <c r="CT45" s="516"/>
      <c r="CU45" s="516"/>
      <c r="CV45" s="516"/>
      <c r="CW45" s="516"/>
      <c r="CX45" s="516"/>
      <c r="CY45" s="516"/>
      <c r="CZ45" s="516"/>
      <c r="DA45" s="516"/>
      <c r="DB45" s="516"/>
      <c r="DC45" s="516"/>
      <c r="DD45" s="516"/>
      <c r="DE45" s="516"/>
      <c r="DF45" s="516"/>
      <c r="DG45" s="516"/>
      <c r="DH45" s="516"/>
      <c r="DI45" s="516"/>
      <c r="DJ45" s="516"/>
      <c r="DK45" s="516"/>
      <c r="DL45" s="516"/>
      <c r="DM45" s="516"/>
      <c r="DN45" s="516">
        <f t="shared" si="3"/>
        <v>0</v>
      </c>
      <c r="DO45" s="1085"/>
    </row>
    <row r="46" spans="1:119" s="16" customFormat="1" ht="15" x14ac:dyDescent="0.2">
      <c r="A46" s="120" t="s">
        <v>230</v>
      </c>
      <c r="B46" s="100"/>
      <c r="C46" s="45"/>
      <c r="D46" s="125"/>
      <c r="E46" s="130"/>
      <c r="F46" s="46"/>
      <c r="G46" s="58"/>
      <c r="H46" s="145"/>
      <c r="I46" s="165"/>
      <c r="J46" s="48"/>
      <c r="K46" s="165"/>
      <c r="L46" s="48"/>
      <c r="M46" s="165"/>
      <c r="N46" s="48"/>
      <c r="O46" s="165"/>
      <c r="P46" s="48"/>
      <c r="Q46" s="48"/>
      <c r="R46" s="46"/>
      <c r="S46" s="128"/>
      <c r="T46" s="251"/>
      <c r="U46" s="72"/>
      <c r="V46" s="776"/>
      <c r="W46" s="776"/>
      <c r="X46" s="47"/>
      <c r="Y46" s="106"/>
      <c r="Z46" s="258"/>
      <c r="AA46" s="57"/>
      <c r="AB46" s="57"/>
      <c r="AC46" s="57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72"/>
      <c r="AT46" s="55"/>
      <c r="AU46" s="55"/>
      <c r="AV46" s="55">
        <f t="shared" si="19"/>
        <v>0</v>
      </c>
      <c r="AW46" s="55">
        <f t="shared" si="19"/>
        <v>0</v>
      </c>
      <c r="AX46" s="55">
        <f t="shared" si="19"/>
        <v>0</v>
      </c>
      <c r="AY46" s="55">
        <f t="shared" si="19"/>
        <v>0</v>
      </c>
      <c r="AZ46" s="55">
        <f t="shared" si="19"/>
        <v>0</v>
      </c>
      <c r="BA46" s="57"/>
      <c r="BB46" s="57"/>
      <c r="BC46" s="57"/>
      <c r="BD46" s="165"/>
      <c r="BE46" s="165"/>
      <c r="BF46" s="55"/>
      <c r="BG46" s="55"/>
      <c r="BH46" s="55"/>
      <c r="BI46" s="55"/>
      <c r="BJ46" s="55"/>
      <c r="BK46" s="55"/>
      <c r="BL46" s="55"/>
      <c r="BM46" s="55"/>
      <c r="BN46" s="448"/>
      <c r="BO46" s="55"/>
      <c r="BP46" s="55"/>
      <c r="BQ46" s="55"/>
      <c r="BR46" s="55"/>
      <c r="BS46" s="55"/>
      <c r="BT46" s="55"/>
      <c r="BU46" s="448"/>
      <c r="BV46" s="57"/>
      <c r="BW46" s="80"/>
      <c r="BX46" s="57"/>
      <c r="BY46" s="55"/>
      <c r="BZ46" s="55"/>
      <c r="CA46" s="754"/>
      <c r="CB46" s="754"/>
      <c r="CC46" s="754"/>
      <c r="CD46" s="754"/>
      <c r="CE46" s="754"/>
      <c r="CF46" s="754"/>
      <c r="CG46" s="754"/>
      <c r="CH46" s="429"/>
      <c r="CI46" s="439"/>
      <c r="CJ46" s="754"/>
      <c r="CK46" s="754"/>
      <c r="CL46" s="754"/>
      <c r="CM46" s="754"/>
      <c r="CN46" s="754"/>
      <c r="CO46" s="505"/>
      <c r="CP46" s="1085"/>
      <c r="CQ46" s="520"/>
      <c r="CR46" s="515"/>
      <c r="CS46" s="1087"/>
      <c r="CT46" s="516"/>
      <c r="CU46" s="516"/>
      <c r="CV46" s="516"/>
      <c r="CW46" s="516"/>
      <c r="CX46" s="516"/>
      <c r="CY46" s="516"/>
      <c r="CZ46" s="516"/>
      <c r="DA46" s="516"/>
      <c r="DB46" s="516"/>
      <c r="DC46" s="516"/>
      <c r="DD46" s="516"/>
      <c r="DE46" s="516"/>
      <c r="DF46" s="516"/>
      <c r="DG46" s="516"/>
      <c r="DH46" s="516"/>
      <c r="DI46" s="516"/>
      <c r="DJ46" s="516"/>
      <c r="DK46" s="516"/>
      <c r="DL46" s="516"/>
      <c r="DM46" s="516"/>
      <c r="DN46" s="516">
        <f t="shared" si="3"/>
        <v>0</v>
      </c>
      <c r="DO46" s="1085"/>
    </row>
    <row r="47" spans="1:119" s="16" customFormat="1" ht="15" x14ac:dyDescent="0.2">
      <c r="A47" s="8" t="s">
        <v>283</v>
      </c>
      <c r="B47" s="100" t="s">
        <v>581</v>
      </c>
      <c r="C47" s="45" t="s">
        <v>355</v>
      </c>
      <c r="D47" s="125">
        <v>10</v>
      </c>
      <c r="E47" s="130">
        <v>0.1</v>
      </c>
      <c r="F47" s="46">
        <v>43281</v>
      </c>
      <c r="G47" s="58">
        <v>120</v>
      </c>
      <c r="H47" s="145">
        <f>100/G47</f>
        <v>0.83333333333333337</v>
      </c>
      <c r="I47" s="165">
        <f>H47*J47</f>
        <v>44.166666666666671</v>
      </c>
      <c r="J47" s="48">
        <f t="shared" ref="J47:J48" si="40">(YEAR(F47)-YEAR(S47))*12+MONTH(F47)-MONTH(S47)</f>
        <v>53</v>
      </c>
      <c r="K47" s="165">
        <f>L47*H47</f>
        <v>55.833333333333336</v>
      </c>
      <c r="L47" s="48">
        <f>G47-J47</f>
        <v>67</v>
      </c>
      <c r="M47" s="165">
        <f>N47*H47</f>
        <v>55.833333333333336</v>
      </c>
      <c r="N47" s="48">
        <f>G47-J47</f>
        <v>67</v>
      </c>
      <c r="O47" s="165">
        <f>K47-M47</f>
        <v>0</v>
      </c>
      <c r="P47" s="48">
        <f>L47-N47</f>
        <v>0</v>
      </c>
      <c r="Q47" s="462">
        <f>DATE(YEAR(S47),MONTH(S47)+G47,DAY(S47))</f>
        <v>45292</v>
      </c>
      <c r="R47" s="125" t="s">
        <v>445</v>
      </c>
      <c r="S47" s="128">
        <v>41640</v>
      </c>
      <c r="T47" s="7">
        <v>250</v>
      </c>
      <c r="U47" s="72">
        <v>225.03</v>
      </c>
      <c r="V47" s="776">
        <v>24.969999999999992</v>
      </c>
      <c r="W47" s="776">
        <f>U47</f>
        <v>225.03</v>
      </c>
      <c r="X47" s="47">
        <v>2.08</v>
      </c>
      <c r="Y47" s="106">
        <f>X47*5</f>
        <v>10.4</v>
      </c>
      <c r="Z47" s="258">
        <f>W47-Y47</f>
        <v>214.63</v>
      </c>
      <c r="AA47" s="57">
        <v>115.958</v>
      </c>
      <c r="AB47" s="80">
        <v>112.505</v>
      </c>
      <c r="AC47" s="57">
        <f>AA47/AB47</f>
        <v>1.0306919692458114</v>
      </c>
      <c r="AD47" s="55">
        <f>Z47*M47/100/K47*100/7</f>
        <v>30.661428571428566</v>
      </c>
      <c r="AE47" s="55">
        <f>AD47*AC47</f>
        <v>31.602488194175496</v>
      </c>
      <c r="AF47" s="55"/>
      <c r="AG47" s="55"/>
      <c r="AH47" s="55"/>
      <c r="AI47" s="55"/>
      <c r="AJ47" s="55"/>
      <c r="AK47" s="55">
        <f>AE47</f>
        <v>31.602488194175496</v>
      </c>
      <c r="AL47" s="55">
        <v>2.1477419161090148</v>
      </c>
      <c r="AM47" s="55">
        <v>2.1477419161090148</v>
      </c>
      <c r="AN47" s="55">
        <v>2.1477419161090148</v>
      </c>
      <c r="AO47" s="55">
        <v>2.1477419161090148</v>
      </c>
      <c r="AP47" s="55">
        <v>2.1477419161090148</v>
      </c>
      <c r="AQ47" s="55">
        <v>2.1477419161090148</v>
      </c>
      <c r="AR47" s="55">
        <f>SUM(AF47:AQ47)</f>
        <v>44.488939690829575</v>
      </c>
      <c r="AS47" s="72">
        <f>Z47-AR47</f>
        <v>170.14106030917043</v>
      </c>
      <c r="AT47" s="55"/>
      <c r="AU47" s="55"/>
      <c r="AV47" s="55">
        <f t="shared" si="19"/>
        <v>2.1477419161090148</v>
      </c>
      <c r="AW47" s="55">
        <f t="shared" si="19"/>
        <v>2.1477419161090148</v>
      </c>
      <c r="AX47" s="55">
        <f t="shared" si="19"/>
        <v>2.1477419161090148</v>
      </c>
      <c r="AY47" s="55">
        <f t="shared" si="19"/>
        <v>2.1477419161090148</v>
      </c>
      <c r="AZ47" s="55">
        <f t="shared" si="19"/>
        <v>2.1477419161090148</v>
      </c>
      <c r="BA47" s="80">
        <v>118.901</v>
      </c>
      <c r="BB47" s="80">
        <v>112.505</v>
      </c>
      <c r="BC47" s="57">
        <f>BA47/BB47</f>
        <v>1.0568508066308164</v>
      </c>
      <c r="BD47" s="165">
        <f>T47/(D47*12)</f>
        <v>2.0833333333333335</v>
      </c>
      <c r="BE47" s="165">
        <f>BD47*BC47</f>
        <v>2.201772513814201</v>
      </c>
      <c r="BF47" s="55">
        <f t="shared" ref="BF47:BI48" si="41">$BE47</f>
        <v>2.201772513814201</v>
      </c>
      <c r="BG47" s="55">
        <f t="shared" si="41"/>
        <v>2.201772513814201</v>
      </c>
      <c r="BH47" s="55">
        <f t="shared" si="41"/>
        <v>2.201772513814201</v>
      </c>
      <c r="BI47" s="55">
        <f t="shared" si="41"/>
        <v>2.201772513814201</v>
      </c>
      <c r="BJ47" s="55">
        <v>2.2000000000000002</v>
      </c>
      <c r="BK47" s="55">
        <v>2.2000000000000002</v>
      </c>
      <c r="BL47" s="55">
        <v>2.2000000000000002</v>
      </c>
      <c r="BM47" s="55">
        <f>SUM((AV47:AZ47),(BF47:BL47))</f>
        <v>26.145799635801879</v>
      </c>
      <c r="BN47" s="448">
        <f>(AS47-BM47)</f>
        <v>143.99526067336853</v>
      </c>
      <c r="BO47" s="55">
        <f t="shared" ref="BO47:BS48" si="42">$BE47</f>
        <v>2.201772513814201</v>
      </c>
      <c r="BP47" s="55">
        <f t="shared" si="42"/>
        <v>2.201772513814201</v>
      </c>
      <c r="BQ47" s="55">
        <f t="shared" si="42"/>
        <v>2.201772513814201</v>
      </c>
      <c r="BR47" s="55">
        <f t="shared" si="42"/>
        <v>2.201772513814201</v>
      </c>
      <c r="BS47" s="55">
        <f t="shared" si="42"/>
        <v>2.201772513814201</v>
      </c>
      <c r="BT47" s="55">
        <f>SUM(BO47:BS47)</f>
        <v>11.008862569071006</v>
      </c>
      <c r="BU47" s="448">
        <v>162.441144382364</v>
      </c>
      <c r="BV47" s="57">
        <v>126.408</v>
      </c>
      <c r="BW47" s="57">
        <v>109.074</v>
      </c>
      <c r="BX47" s="57">
        <f>BV47/BW47</f>
        <v>1.1589196325430442</v>
      </c>
      <c r="BY47" s="753">
        <f>BU47/J47</f>
        <v>3.064927252497434</v>
      </c>
      <c r="BZ47" s="55">
        <f>BY47*BX47</f>
        <v>3.5520043652354882</v>
      </c>
      <c r="CA47" s="754">
        <v>4.591615398962948</v>
      </c>
      <c r="CB47" s="754">
        <v>4.591615398962948</v>
      </c>
      <c r="CC47" s="754">
        <v>4.591615398962948</v>
      </c>
      <c r="CD47" s="754">
        <v>4.591615398962948</v>
      </c>
      <c r="CE47" s="754">
        <v>4.591615398962948</v>
      </c>
      <c r="CF47" s="754">
        <v>4.591615398962948</v>
      </c>
      <c r="CG47" s="754">
        <v>4.591615398962948</v>
      </c>
      <c r="CH47" s="429">
        <f>SUM(CA47:CG47)</f>
        <v>32.141307792740633</v>
      </c>
      <c r="CI47" s="439">
        <f>BU47-CH47</f>
        <v>130.29983658962337</v>
      </c>
      <c r="CJ47" s="754">
        <v>4.591615398962948</v>
      </c>
      <c r="CK47" s="754">
        <v>4.591615398962948</v>
      </c>
      <c r="CL47" s="754">
        <v>4.591615398962948</v>
      </c>
      <c r="CM47" s="754">
        <v>4.591615398962948</v>
      </c>
      <c r="CN47" s="754">
        <v>4.591615398962948</v>
      </c>
      <c r="CO47" s="505">
        <f t="shared" si="0"/>
        <v>22.958076994814739</v>
      </c>
      <c r="CP47" s="1085">
        <f t="shared" si="1"/>
        <v>107.34175959480862</v>
      </c>
      <c r="CQ47" s="1086">
        <v>132.28200000000001</v>
      </c>
      <c r="CR47" s="514">
        <v>109.074</v>
      </c>
      <c r="CS47" s="1087">
        <f>CQ47/CR47</f>
        <v>1.2127729798118709</v>
      </c>
      <c r="CT47" s="516">
        <f>CP47/L47</f>
        <v>1.6021158148478898</v>
      </c>
      <c r="CU47" s="516">
        <f>CS47*CT47</f>
        <v>1.9430027707767989</v>
      </c>
      <c r="CV47" s="516">
        <v>1.9430027707767989</v>
      </c>
      <c r="CW47" s="516">
        <v>1.9430027707767989</v>
      </c>
      <c r="CX47" s="516">
        <v>1.9430027707767989</v>
      </c>
      <c r="CY47" s="516">
        <v>1.9430027707767989</v>
      </c>
      <c r="CZ47" s="516">
        <v>1.9430027707767989</v>
      </c>
      <c r="DA47" s="516">
        <v>1.9430027707767989</v>
      </c>
      <c r="DB47" s="516">
        <v>1.9430027707767989</v>
      </c>
      <c r="DC47" s="516">
        <v>1.9430027707767989</v>
      </c>
      <c r="DD47" s="516">
        <v>1.9430027707767989</v>
      </c>
      <c r="DE47" s="516">
        <v>1.9430027707767989</v>
      </c>
      <c r="DF47" s="516">
        <v>1.9430027707767989</v>
      </c>
      <c r="DG47" s="516">
        <v>1.9430027707767989</v>
      </c>
      <c r="DH47" s="516">
        <v>1.9430027707767989</v>
      </c>
      <c r="DI47" s="516">
        <v>1.9430027707767989</v>
      </c>
      <c r="DJ47" s="516">
        <v>1.9430027707767989</v>
      </c>
      <c r="DK47" s="516">
        <v>1.9430027707767989</v>
      </c>
      <c r="DL47" s="516">
        <v>1.9430027707767989</v>
      </c>
      <c r="DM47" s="516">
        <v>1.9430027707767989</v>
      </c>
      <c r="DN47" s="516">
        <f t="shared" si="3"/>
        <v>34.974049873982395</v>
      </c>
      <c r="DO47" s="1085">
        <f t="shared" si="2"/>
        <v>72.367709720826227</v>
      </c>
    </row>
    <row r="48" spans="1:119" s="16" customFormat="1" ht="15" x14ac:dyDescent="0.2">
      <c r="A48" s="8" t="s">
        <v>283</v>
      </c>
      <c r="B48" s="100" t="s">
        <v>582</v>
      </c>
      <c r="C48" s="45" t="s">
        <v>355</v>
      </c>
      <c r="D48" s="125">
        <v>10</v>
      </c>
      <c r="E48" s="130">
        <v>0.1</v>
      </c>
      <c r="F48" s="46">
        <v>43281</v>
      </c>
      <c r="G48" s="58">
        <v>120</v>
      </c>
      <c r="H48" s="145">
        <f>100/G48</f>
        <v>0.83333333333333337</v>
      </c>
      <c r="I48" s="165">
        <f>H48*J48</f>
        <v>44.166666666666671</v>
      </c>
      <c r="J48" s="48">
        <f t="shared" si="40"/>
        <v>53</v>
      </c>
      <c r="K48" s="165">
        <f>L48*H48</f>
        <v>55.833333333333336</v>
      </c>
      <c r="L48" s="48">
        <f>G48-J48</f>
        <v>67</v>
      </c>
      <c r="M48" s="165">
        <f>N48*H48</f>
        <v>55.833333333333336</v>
      </c>
      <c r="N48" s="48">
        <f>G48-J48</f>
        <v>67</v>
      </c>
      <c r="O48" s="165">
        <f>K48-M48</f>
        <v>0</v>
      </c>
      <c r="P48" s="48">
        <f>L48-N48</f>
        <v>0</v>
      </c>
      <c r="Q48" s="462">
        <f>DATE(YEAR(S48),MONTH(S48)+G48,DAY(S48))</f>
        <v>45292</v>
      </c>
      <c r="R48" s="125" t="s">
        <v>445</v>
      </c>
      <c r="S48" s="119">
        <v>41640</v>
      </c>
      <c r="T48" s="7">
        <v>250</v>
      </c>
      <c r="U48" s="72">
        <v>225.03333333333333</v>
      </c>
      <c r="V48" s="776">
        <v>24.966666666666661</v>
      </c>
      <c r="W48" s="776">
        <f>U48</f>
        <v>225.03333333333333</v>
      </c>
      <c r="X48" s="47">
        <v>2.08</v>
      </c>
      <c r="Y48" s="106">
        <f>X48*5</f>
        <v>10.4</v>
      </c>
      <c r="Z48" s="258">
        <f>W48-Y48</f>
        <v>214.63333333333333</v>
      </c>
      <c r="AA48" s="57">
        <v>115.958</v>
      </c>
      <c r="AB48" s="80">
        <v>112.505</v>
      </c>
      <c r="AC48" s="57">
        <f>AA48/AB48</f>
        <v>1.0306919692458114</v>
      </c>
      <c r="AD48" s="55">
        <f>Z48*M48/100/K48*100/7</f>
        <v>30.661904761904765</v>
      </c>
      <c r="AE48" s="55">
        <f>AD48*AC48</f>
        <v>31.602978999875145</v>
      </c>
      <c r="AF48" s="55"/>
      <c r="AG48" s="55"/>
      <c r="AH48" s="55"/>
      <c r="AI48" s="55"/>
      <c r="AJ48" s="55"/>
      <c r="AK48" s="55">
        <f>AE48</f>
        <v>31.602978999875145</v>
      </c>
      <c r="AL48" s="55">
        <v>2.1477752718361742</v>
      </c>
      <c r="AM48" s="55">
        <v>2.1477752718361742</v>
      </c>
      <c r="AN48" s="55">
        <v>2.1477752718361742</v>
      </c>
      <c r="AO48" s="55">
        <v>2.1477752718361742</v>
      </c>
      <c r="AP48" s="55">
        <v>2.1477752718361742</v>
      </c>
      <c r="AQ48" s="55">
        <v>2.1477752718361742</v>
      </c>
      <c r="AR48" s="55">
        <f>SUM(AF48:AQ48)</f>
        <v>44.489630630892187</v>
      </c>
      <c r="AS48" s="72">
        <f>Z48-AR48</f>
        <v>170.14370270244115</v>
      </c>
      <c r="AT48" s="55"/>
      <c r="AU48" s="55"/>
      <c r="AV48" s="55">
        <f t="shared" si="19"/>
        <v>2.1477752718361742</v>
      </c>
      <c r="AW48" s="55">
        <f t="shared" si="19"/>
        <v>2.1477752718361742</v>
      </c>
      <c r="AX48" s="55">
        <f t="shared" si="19"/>
        <v>2.1477752718361742</v>
      </c>
      <c r="AY48" s="55">
        <f t="shared" si="19"/>
        <v>2.1477752718361742</v>
      </c>
      <c r="AZ48" s="55">
        <f t="shared" si="19"/>
        <v>2.1477752718361742</v>
      </c>
      <c r="BA48" s="80">
        <v>118.901</v>
      </c>
      <c r="BB48" s="80">
        <v>112.505</v>
      </c>
      <c r="BC48" s="57">
        <f>BA48/BB48</f>
        <v>1.0568508066308164</v>
      </c>
      <c r="BD48" s="165">
        <f>T48/(D48*12)</f>
        <v>2.0833333333333335</v>
      </c>
      <c r="BE48" s="165">
        <f>BD48*BC48</f>
        <v>2.201772513814201</v>
      </c>
      <c r="BF48" s="55">
        <f t="shared" si="41"/>
        <v>2.201772513814201</v>
      </c>
      <c r="BG48" s="55">
        <f t="shared" si="41"/>
        <v>2.201772513814201</v>
      </c>
      <c r="BH48" s="55">
        <f t="shared" si="41"/>
        <v>2.201772513814201</v>
      </c>
      <c r="BI48" s="55">
        <f t="shared" si="41"/>
        <v>2.201772513814201</v>
      </c>
      <c r="BJ48" s="55">
        <v>2.2000000000000002</v>
      </c>
      <c r="BK48" s="55">
        <v>2.2000000000000002</v>
      </c>
      <c r="BL48" s="55">
        <v>2.2000000000000002</v>
      </c>
      <c r="BM48" s="55">
        <f>SUM((AV48:AZ48),(BF48:BL48))</f>
        <v>26.145966414437677</v>
      </c>
      <c r="BN48" s="448">
        <f>(AS48-BM48)</f>
        <v>143.99773628800347</v>
      </c>
      <c r="BO48" s="55">
        <f t="shared" si="42"/>
        <v>2.201772513814201</v>
      </c>
      <c r="BP48" s="55">
        <f t="shared" si="42"/>
        <v>2.201772513814201</v>
      </c>
      <c r="BQ48" s="55">
        <f t="shared" si="42"/>
        <v>2.201772513814201</v>
      </c>
      <c r="BR48" s="55">
        <f t="shared" si="42"/>
        <v>2.201772513814201</v>
      </c>
      <c r="BS48" s="55">
        <f t="shared" si="42"/>
        <v>2.201772513814201</v>
      </c>
      <c r="BT48" s="55">
        <f>SUM(BO48:BS48)</f>
        <v>11.008862569071006</v>
      </c>
      <c r="BU48" s="448">
        <v>162.44407744697142</v>
      </c>
      <c r="BV48" s="57">
        <v>126.408</v>
      </c>
      <c r="BW48" s="80">
        <v>113.032</v>
      </c>
      <c r="BX48" s="57">
        <f>BV48/BW48</f>
        <v>1.1183381697218486</v>
      </c>
      <c r="BY48" s="753">
        <f>BU48/J48</f>
        <v>3.0649825933390833</v>
      </c>
      <c r="BZ48" s="55">
        <f>BY48*BX48</f>
        <v>3.4276870236641557</v>
      </c>
      <c r="CA48" s="754">
        <v>4.4309124940048843</v>
      </c>
      <c r="CB48" s="754">
        <v>4.4309124940048843</v>
      </c>
      <c r="CC48" s="754">
        <v>4.4309124940048843</v>
      </c>
      <c r="CD48" s="754">
        <v>4.4309124940048843</v>
      </c>
      <c r="CE48" s="754">
        <v>4.4309124940048843</v>
      </c>
      <c r="CF48" s="754">
        <v>4.4309124940048843</v>
      </c>
      <c r="CG48" s="754">
        <v>4.4309124940048843</v>
      </c>
      <c r="CH48" s="429">
        <f>SUM(CA48:CG48)</f>
        <v>31.016387458034195</v>
      </c>
      <c r="CI48" s="439">
        <f>BU48-CH48</f>
        <v>131.42768998893723</v>
      </c>
      <c r="CJ48" s="754">
        <v>4.4309124940048843</v>
      </c>
      <c r="CK48" s="754">
        <v>4.4309124940048843</v>
      </c>
      <c r="CL48" s="754">
        <v>4.4309124940048843</v>
      </c>
      <c r="CM48" s="754">
        <v>4.4309124940048843</v>
      </c>
      <c r="CN48" s="754">
        <v>4.4309124940048843</v>
      </c>
      <c r="CO48" s="505">
        <f t="shared" si="0"/>
        <v>22.154562470024423</v>
      </c>
      <c r="CP48" s="1085">
        <f t="shared" si="1"/>
        <v>109.27312751891282</v>
      </c>
      <c r="CQ48" s="1086">
        <v>132.28200000000001</v>
      </c>
      <c r="CR48" s="515">
        <v>113.032</v>
      </c>
      <c r="CS48" s="1087">
        <f>CQ48/CR48</f>
        <v>1.1703057541227264</v>
      </c>
      <c r="CT48" s="516">
        <f>CP48/L48</f>
        <v>1.6309422017748181</v>
      </c>
      <c r="CU48" s="516">
        <v>1.91</v>
      </c>
      <c r="CV48" s="516"/>
      <c r="CW48" s="516"/>
      <c r="CX48" s="516"/>
      <c r="CY48" s="516">
        <v>7.64</v>
      </c>
      <c r="CZ48" s="516">
        <v>1.91</v>
      </c>
      <c r="DA48" s="516">
        <v>1.91</v>
      </c>
      <c r="DB48" s="516">
        <v>1.91</v>
      </c>
      <c r="DC48" s="516">
        <v>1.91</v>
      </c>
      <c r="DD48" s="516">
        <v>1.91</v>
      </c>
      <c r="DE48" s="516">
        <v>1.91</v>
      </c>
      <c r="DF48" s="516">
        <v>1.91</v>
      </c>
      <c r="DG48" s="516">
        <v>1.91</v>
      </c>
      <c r="DH48" s="516">
        <v>1.91</v>
      </c>
      <c r="DI48" s="516">
        <v>1.91</v>
      </c>
      <c r="DJ48" s="516">
        <v>1.91</v>
      </c>
      <c r="DK48" s="516">
        <v>1.91</v>
      </c>
      <c r="DL48" s="516">
        <v>1.91</v>
      </c>
      <c r="DM48" s="516">
        <v>1.91</v>
      </c>
      <c r="DN48" s="516">
        <f t="shared" si="3"/>
        <v>34.379999999999995</v>
      </c>
      <c r="DO48" s="1085">
        <f t="shared" si="2"/>
        <v>74.89312751891282</v>
      </c>
    </row>
    <row r="49" spans="1:323" s="16" customFormat="1" ht="15" x14ac:dyDescent="0.2">
      <c r="A49" s="120" t="s">
        <v>65</v>
      </c>
      <c r="B49" s="120" t="s">
        <v>87</v>
      </c>
      <c r="C49" s="45"/>
      <c r="D49" s="125"/>
      <c r="E49" s="130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19"/>
      <c r="S49" s="128"/>
      <c r="T49" s="7"/>
      <c r="U49" s="72"/>
      <c r="V49" s="134"/>
      <c r="W49" s="134"/>
      <c r="X49" s="134"/>
      <c r="Y49" s="108"/>
      <c r="Z49" s="257"/>
      <c r="AA49" s="66"/>
      <c r="AB49" s="80"/>
      <c r="AC49" s="66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73"/>
      <c r="AT49" s="55"/>
      <c r="AU49" s="55"/>
      <c r="AV49" s="55">
        <f t="shared" si="19"/>
        <v>0</v>
      </c>
      <c r="AW49" s="55">
        <f t="shared" si="19"/>
        <v>0</v>
      </c>
      <c r="AX49" s="55">
        <f t="shared" si="19"/>
        <v>0</v>
      </c>
      <c r="AY49" s="55">
        <f t="shared" si="19"/>
        <v>0</v>
      </c>
      <c r="AZ49" s="55">
        <f t="shared" si="19"/>
        <v>0</v>
      </c>
      <c r="BA49" s="66"/>
      <c r="BB49" s="80"/>
      <c r="BC49" s="57"/>
      <c r="BD49" s="165"/>
      <c r="BE49" s="165"/>
      <c r="BF49" s="55"/>
      <c r="BG49" s="55"/>
      <c r="BH49" s="55"/>
      <c r="BI49" s="55"/>
      <c r="BJ49" s="55"/>
      <c r="BK49" s="55"/>
      <c r="BL49" s="55"/>
      <c r="BM49" s="55"/>
      <c r="BN49" s="448"/>
      <c r="BO49" s="55"/>
      <c r="BP49" s="55"/>
      <c r="BQ49" s="55"/>
      <c r="BR49" s="55"/>
      <c r="BS49" s="55"/>
      <c r="BT49" s="55"/>
      <c r="BU49" s="448"/>
      <c r="BV49" s="28"/>
      <c r="BW49" s="136"/>
      <c r="BX49" s="28"/>
      <c r="BY49" s="709"/>
      <c r="BZ49" s="709"/>
      <c r="CA49" s="755"/>
      <c r="CB49" s="755"/>
      <c r="CC49" s="755"/>
      <c r="CD49" s="755"/>
      <c r="CE49" s="755"/>
      <c r="CF49" s="755"/>
      <c r="CG49" s="755"/>
      <c r="CH49" s="429"/>
      <c r="CI49" s="439"/>
      <c r="CJ49" s="755"/>
      <c r="CK49" s="755"/>
      <c r="CL49" s="755"/>
      <c r="CM49" s="755"/>
      <c r="CN49" s="755"/>
      <c r="CO49" s="505"/>
      <c r="CP49" s="1085"/>
      <c r="CQ49" s="520"/>
      <c r="CR49" s="1120"/>
      <c r="CS49" s="1087"/>
      <c r="CT49" s="516"/>
      <c r="CU49" s="516"/>
      <c r="CV49" s="516"/>
      <c r="CW49" s="516"/>
      <c r="CX49" s="516"/>
      <c r="CY49" s="516"/>
      <c r="CZ49" s="516"/>
      <c r="DA49" s="516"/>
      <c r="DB49" s="516"/>
      <c r="DC49" s="516"/>
      <c r="DD49" s="516"/>
      <c r="DE49" s="516"/>
      <c r="DF49" s="516"/>
      <c r="DG49" s="516"/>
      <c r="DH49" s="516"/>
      <c r="DI49" s="516"/>
      <c r="DJ49" s="516"/>
      <c r="DK49" s="516"/>
      <c r="DL49" s="516"/>
      <c r="DM49" s="516"/>
      <c r="DN49" s="516">
        <f t="shared" si="3"/>
        <v>0</v>
      </c>
      <c r="DO49" s="1085"/>
    </row>
    <row r="50" spans="1:323" s="16" customFormat="1" ht="15" x14ac:dyDescent="0.2">
      <c r="A50" s="120" t="s">
        <v>83</v>
      </c>
      <c r="B50" s="100"/>
      <c r="C50" s="45"/>
      <c r="D50" s="125"/>
      <c r="E50" s="130"/>
      <c r="F50" s="46"/>
      <c r="G50" s="58"/>
      <c r="H50" s="145"/>
      <c r="I50" s="165"/>
      <c r="J50" s="48"/>
      <c r="K50" s="165"/>
      <c r="L50" s="48"/>
      <c r="M50" s="165"/>
      <c r="N50" s="48"/>
      <c r="O50" s="165"/>
      <c r="P50" s="48"/>
      <c r="Q50" s="46"/>
      <c r="R50" s="46"/>
      <c r="S50" s="132"/>
      <c r="T50" s="107"/>
      <c r="U50" s="72"/>
      <c r="V50" s="776"/>
      <c r="W50" s="776"/>
      <c r="X50" s="47"/>
      <c r="Y50" s="106"/>
      <c r="Z50" s="258"/>
      <c r="AA50" s="57"/>
      <c r="AB50" s="80"/>
      <c r="AC50" s="57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72"/>
      <c r="AT50" s="55"/>
      <c r="AU50" s="55"/>
      <c r="AV50" s="55">
        <f t="shared" si="19"/>
        <v>0</v>
      </c>
      <c r="AW50" s="55">
        <f t="shared" si="19"/>
        <v>0</v>
      </c>
      <c r="AX50" s="55">
        <f t="shared" si="19"/>
        <v>0</v>
      </c>
      <c r="AY50" s="55">
        <f t="shared" si="19"/>
        <v>0</v>
      </c>
      <c r="AZ50" s="55">
        <f t="shared" si="19"/>
        <v>0</v>
      </c>
      <c r="BA50" s="57"/>
      <c r="BB50" s="80"/>
      <c r="BC50" s="57"/>
      <c r="BD50" s="165"/>
      <c r="BE50" s="165"/>
      <c r="BF50" s="55"/>
      <c r="BG50" s="55"/>
      <c r="BH50" s="55"/>
      <c r="BI50" s="55"/>
      <c r="BJ50" s="55"/>
      <c r="BK50" s="55"/>
      <c r="BL50" s="55"/>
      <c r="BM50" s="55"/>
      <c r="BN50" s="448"/>
      <c r="BO50" s="55"/>
      <c r="BP50" s="55"/>
      <c r="BQ50" s="55"/>
      <c r="BR50" s="55"/>
      <c r="BS50" s="55"/>
      <c r="BT50" s="55"/>
      <c r="BU50" s="448"/>
      <c r="BV50" s="28"/>
      <c r="BW50" s="136"/>
      <c r="BX50" s="28"/>
      <c r="BY50" s="28"/>
      <c r="BZ50" s="28"/>
      <c r="CA50" s="755"/>
      <c r="CB50" s="755"/>
      <c r="CC50" s="755"/>
      <c r="CD50" s="755"/>
      <c r="CE50" s="755"/>
      <c r="CF50" s="755"/>
      <c r="CG50" s="755"/>
      <c r="CH50" s="710"/>
      <c r="CI50" s="710"/>
      <c r="CJ50" s="755"/>
      <c r="CK50" s="755"/>
      <c r="CL50" s="755"/>
      <c r="CM50" s="755"/>
      <c r="CN50" s="755"/>
      <c r="CO50" s="505"/>
      <c r="CP50" s="1085"/>
      <c r="CQ50" s="514"/>
      <c r="CR50" s="1120"/>
      <c r="CS50" s="1087"/>
      <c r="CT50" s="516"/>
      <c r="CU50" s="516"/>
      <c r="CV50" s="516"/>
      <c r="CW50" s="516"/>
      <c r="CX50" s="516"/>
      <c r="CY50" s="516"/>
      <c r="CZ50" s="516"/>
      <c r="DA50" s="516"/>
      <c r="DB50" s="516"/>
      <c r="DC50" s="516"/>
      <c r="DD50" s="516"/>
      <c r="DE50" s="516"/>
      <c r="DF50" s="516"/>
      <c r="DG50" s="516"/>
      <c r="DH50" s="516"/>
      <c r="DI50" s="516"/>
      <c r="DJ50" s="516"/>
      <c r="DK50" s="516"/>
      <c r="DL50" s="516"/>
      <c r="DM50" s="516"/>
      <c r="DN50" s="516">
        <f t="shared" si="3"/>
        <v>0</v>
      </c>
      <c r="DO50" s="1085"/>
    </row>
    <row r="51" spans="1:323" s="340" customFormat="1" ht="15" x14ac:dyDescent="0.2">
      <c r="A51" s="328" t="s">
        <v>284</v>
      </c>
      <c r="B51" s="328" t="s">
        <v>719</v>
      </c>
      <c r="C51" s="341" t="s">
        <v>355</v>
      </c>
      <c r="D51" s="329">
        <v>10</v>
      </c>
      <c r="E51" s="342">
        <v>0.1</v>
      </c>
      <c r="F51" s="46">
        <v>43281</v>
      </c>
      <c r="G51" s="331">
        <v>120</v>
      </c>
      <c r="H51" s="332">
        <f>100/G51</f>
        <v>0.83333333333333337</v>
      </c>
      <c r="I51" s="333">
        <f>H51*J51</f>
        <v>25</v>
      </c>
      <c r="J51" s="48">
        <f t="shared" ref="J51:J52" si="43">(YEAR(F51)-YEAR(S51))*12+MONTH(F51)-MONTH(S51)</f>
        <v>30</v>
      </c>
      <c r="K51" s="333">
        <f>L51*H51</f>
        <v>75</v>
      </c>
      <c r="L51" s="331">
        <f>G51-J51</f>
        <v>90</v>
      </c>
      <c r="M51" s="333">
        <f>N51*H51</f>
        <v>75</v>
      </c>
      <c r="N51" s="48">
        <f>G51-J51</f>
        <v>90</v>
      </c>
      <c r="O51" s="333">
        <f>P51*H51</f>
        <v>0</v>
      </c>
      <c r="P51" s="331">
        <f>L51-N51</f>
        <v>0</v>
      </c>
      <c r="Q51" s="462">
        <f>DATE(YEAR(S51),MONTH(S51)+G51,DAY(S51))</f>
        <v>45997</v>
      </c>
      <c r="R51" s="331">
        <v>3337</v>
      </c>
      <c r="S51" s="330">
        <v>42344</v>
      </c>
      <c r="T51" s="335">
        <f>2*734</f>
        <v>1468</v>
      </c>
      <c r="U51" s="337">
        <v>0</v>
      </c>
      <c r="V51" s="338">
        <v>0</v>
      </c>
      <c r="W51" s="338">
        <v>0</v>
      </c>
      <c r="X51" s="337">
        <v>115.958</v>
      </c>
      <c r="Y51" s="345">
        <v>0</v>
      </c>
      <c r="Z51" s="337">
        <v>0</v>
      </c>
      <c r="AA51" s="345">
        <v>115.958</v>
      </c>
      <c r="AB51" s="338">
        <v>118.532</v>
      </c>
      <c r="AC51" s="338">
        <f>AA51/AB51</f>
        <v>0.97828434515573859</v>
      </c>
      <c r="AD51" s="338">
        <f>H51*T51/100</f>
        <v>12.233333333333334</v>
      </c>
      <c r="AE51" s="338">
        <f>AD51*AC51</f>
        <v>11.96767848907187</v>
      </c>
      <c r="AF51" s="338"/>
      <c r="AG51" s="338"/>
      <c r="AH51" s="338"/>
      <c r="AI51" s="338"/>
      <c r="AJ51" s="338"/>
      <c r="AK51" s="339"/>
      <c r="AL51" s="339"/>
      <c r="AM51" s="339"/>
      <c r="AN51" s="339">
        <v>0</v>
      </c>
      <c r="AO51" s="339">
        <v>0</v>
      </c>
      <c r="AP51" s="339">
        <f>T51</f>
        <v>1468</v>
      </c>
      <c r="AQ51" s="493"/>
      <c r="AR51" s="493"/>
      <c r="AS51" s="493">
        <f>T51</f>
        <v>1468</v>
      </c>
      <c r="AT51" s="55"/>
      <c r="AU51" s="55"/>
      <c r="AV51" s="55">
        <f>11.97</f>
        <v>11.97</v>
      </c>
      <c r="AW51" s="55">
        <f>11.97</f>
        <v>11.97</v>
      </c>
      <c r="AX51" s="55">
        <f>11.97</f>
        <v>11.97</v>
      </c>
      <c r="AY51" s="55">
        <f>11.97</f>
        <v>11.97</v>
      </c>
      <c r="AZ51" s="55">
        <f>11.97</f>
        <v>11.97</v>
      </c>
      <c r="BA51" s="80">
        <v>118.901</v>
      </c>
      <c r="BB51" s="338">
        <v>118.532</v>
      </c>
      <c r="BC51" s="57">
        <f>BA51/BB51</f>
        <v>1.0031130833867647</v>
      </c>
      <c r="BD51" s="165">
        <f>T51/(D51*12)</f>
        <v>12.233333333333333</v>
      </c>
      <c r="BE51" s="165">
        <f>BD51*BC51</f>
        <v>12.271416720098088</v>
      </c>
      <c r="BF51" s="55">
        <f t="shared" ref="BF51:BI52" si="44">$BE51</f>
        <v>12.271416720098088</v>
      </c>
      <c r="BG51" s="55">
        <f t="shared" si="44"/>
        <v>12.271416720098088</v>
      </c>
      <c r="BH51" s="55">
        <f t="shared" si="44"/>
        <v>12.271416720098088</v>
      </c>
      <c r="BI51" s="55">
        <f t="shared" si="44"/>
        <v>12.271416720098088</v>
      </c>
      <c r="BJ51" s="55">
        <v>12.27</v>
      </c>
      <c r="BK51" s="55">
        <v>12.27</v>
      </c>
      <c r="BL51" s="55">
        <v>12.27</v>
      </c>
      <c r="BM51" s="55">
        <f>SUM((AV51:AZ51),(BF51:BL51))</f>
        <v>145.74566688039238</v>
      </c>
      <c r="BN51" s="448">
        <f>(AS51-BM51)</f>
        <v>1322.2543331196075</v>
      </c>
      <c r="BO51" s="55">
        <f t="shared" ref="BO51:BS52" si="45">$BE51</f>
        <v>12.271416720098088</v>
      </c>
      <c r="BP51" s="55">
        <f t="shared" si="45"/>
        <v>12.271416720098088</v>
      </c>
      <c r="BQ51" s="55">
        <f t="shared" si="45"/>
        <v>12.271416720098088</v>
      </c>
      <c r="BR51" s="55">
        <f t="shared" si="45"/>
        <v>12.271416720098088</v>
      </c>
      <c r="BS51" s="55">
        <f t="shared" si="45"/>
        <v>12.271416720098088</v>
      </c>
      <c r="BT51" s="55">
        <f>SUM(BO51:BS51)</f>
        <v>61.357083600490441</v>
      </c>
      <c r="BU51" s="448">
        <v>1260.8972495191172</v>
      </c>
      <c r="BV51" s="57">
        <v>126.408</v>
      </c>
      <c r="BW51" s="57">
        <v>109.074</v>
      </c>
      <c r="BX51" s="57">
        <f>BV51/BW51</f>
        <v>1.1589196325430442</v>
      </c>
      <c r="BY51" s="753">
        <f>BU51/J51</f>
        <v>42.029908317303907</v>
      </c>
      <c r="BZ51" s="55">
        <f>BY51*BX51</f>
        <v>48.709285902907681</v>
      </c>
      <c r="CA51" s="754">
        <v>81.182143171512806</v>
      </c>
      <c r="CB51" s="754">
        <v>81.182143171512806</v>
      </c>
      <c r="CC51" s="754">
        <v>81.182143171512806</v>
      </c>
      <c r="CD51" s="754">
        <v>81.182143171512806</v>
      </c>
      <c r="CE51" s="754">
        <v>81.182143171512806</v>
      </c>
      <c r="CF51" s="754">
        <v>81.182143171512806</v>
      </c>
      <c r="CG51" s="754">
        <v>81.182143171512806</v>
      </c>
      <c r="CH51" s="429">
        <f>SUM(CA51:CG51)</f>
        <v>568.2750022005896</v>
      </c>
      <c r="CI51" s="439">
        <f>BU51-CH51</f>
        <v>692.62224731852757</v>
      </c>
      <c r="CJ51" s="754">
        <v>81.182143171512806</v>
      </c>
      <c r="CK51" s="754">
        <v>81.182143171512806</v>
      </c>
      <c r="CL51" s="754">
        <v>81.182143171512806</v>
      </c>
      <c r="CM51" s="754">
        <v>81.182143171512806</v>
      </c>
      <c r="CN51" s="754">
        <v>81.182143171512806</v>
      </c>
      <c r="CO51" s="505">
        <f t="shared" si="0"/>
        <v>405.91071585756401</v>
      </c>
      <c r="CP51" s="1085">
        <f t="shared" si="1"/>
        <v>286.71153146096356</v>
      </c>
      <c r="CQ51" s="1086">
        <v>132.28200000000001</v>
      </c>
      <c r="CR51" s="514">
        <v>109.074</v>
      </c>
      <c r="CS51" s="1087">
        <f>CQ51/CR51</f>
        <v>1.2127729798118709</v>
      </c>
      <c r="CT51" s="516">
        <f t="shared" ref="CT51:CT52" si="46">CP51/L51</f>
        <v>3.1856836828995951</v>
      </c>
      <c r="CU51" s="516">
        <f>CS51*CT51</f>
        <v>3.8635110928481975</v>
      </c>
      <c r="CV51" s="516">
        <v>3.8635110928481975</v>
      </c>
      <c r="CW51" s="516">
        <v>3.8635110928481975</v>
      </c>
      <c r="CX51" s="516">
        <v>3.8635110928481975</v>
      </c>
      <c r="CY51" s="516">
        <v>3.8635110928481975</v>
      </c>
      <c r="CZ51" s="516">
        <v>3.8635110928481975</v>
      </c>
      <c r="DA51" s="516">
        <v>3.8635110928481975</v>
      </c>
      <c r="DB51" s="516">
        <v>3.8635110928481975</v>
      </c>
      <c r="DC51" s="516">
        <v>3.8635110928481975</v>
      </c>
      <c r="DD51" s="516">
        <v>3.8635110928481975</v>
      </c>
      <c r="DE51" s="516">
        <v>3.8635110928481975</v>
      </c>
      <c r="DF51" s="516">
        <v>3.8635110928481975</v>
      </c>
      <c r="DG51" s="516">
        <v>3.8635110928481975</v>
      </c>
      <c r="DH51" s="516">
        <v>3.8635110928481975</v>
      </c>
      <c r="DI51" s="516">
        <v>3.8635110928481975</v>
      </c>
      <c r="DJ51" s="516">
        <v>3.8635110928481975</v>
      </c>
      <c r="DK51" s="516">
        <v>3.8635110928481975</v>
      </c>
      <c r="DL51" s="516">
        <v>3.8635110928481975</v>
      </c>
      <c r="DM51" s="516">
        <v>3.8635110928481975</v>
      </c>
      <c r="DN51" s="516">
        <f t="shared" si="3"/>
        <v>69.543199671267573</v>
      </c>
      <c r="DO51" s="1085">
        <f t="shared" si="2"/>
        <v>217.16833178969597</v>
      </c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</row>
    <row r="52" spans="1:323" s="16" customFormat="1" ht="15" x14ac:dyDescent="0.2">
      <c r="A52" s="119" t="s">
        <v>284</v>
      </c>
      <c r="B52" s="100" t="s">
        <v>583</v>
      </c>
      <c r="C52" s="45" t="s">
        <v>355</v>
      </c>
      <c r="D52" s="125">
        <v>10</v>
      </c>
      <c r="E52" s="130">
        <v>0.1</v>
      </c>
      <c r="F52" s="46">
        <v>43281</v>
      </c>
      <c r="G52" s="58">
        <v>120</v>
      </c>
      <c r="H52" s="145">
        <f>100/G52</f>
        <v>0.83333333333333337</v>
      </c>
      <c r="I52" s="165">
        <f>H52*J52</f>
        <v>44.166666666666671</v>
      </c>
      <c r="J52" s="48">
        <f t="shared" si="43"/>
        <v>53</v>
      </c>
      <c r="K52" s="165">
        <f>L52*H52</f>
        <v>55.833333333333336</v>
      </c>
      <c r="L52" s="48">
        <f>G52-J52</f>
        <v>67</v>
      </c>
      <c r="M52" s="165">
        <f>N52*H52</f>
        <v>55.833333333333336</v>
      </c>
      <c r="N52" s="48">
        <f>G52-J52</f>
        <v>67</v>
      </c>
      <c r="O52" s="165">
        <f>K52-M52</f>
        <v>0</v>
      </c>
      <c r="P52" s="48">
        <f>L52-N52</f>
        <v>0</v>
      </c>
      <c r="Q52" s="462">
        <f>DATE(YEAR(S52),MONTH(S52)+G52,DAY(S52))</f>
        <v>45292</v>
      </c>
      <c r="R52" s="125" t="s">
        <v>445</v>
      </c>
      <c r="S52" s="132">
        <v>41640</v>
      </c>
      <c r="T52" s="107">
        <v>770</v>
      </c>
      <c r="U52" s="72">
        <v>692.97</v>
      </c>
      <c r="V52" s="776">
        <v>77.030000000000015</v>
      </c>
      <c r="W52" s="776">
        <f>U52</f>
        <v>692.97</v>
      </c>
      <c r="X52" s="47">
        <v>6.42</v>
      </c>
      <c r="Y52" s="106">
        <f>X52*5</f>
        <v>32.1</v>
      </c>
      <c r="Z52" s="258">
        <f>W52-Y52</f>
        <v>660.87</v>
      </c>
      <c r="AA52" s="57">
        <v>115.958</v>
      </c>
      <c r="AB52" s="80">
        <v>107.678</v>
      </c>
      <c r="AC52" s="57">
        <f>AA52/AB52</f>
        <v>1.0768959304593324</v>
      </c>
      <c r="AD52" s="55">
        <f>Z52*M52/100/K52*100/7</f>
        <v>94.410000000000011</v>
      </c>
      <c r="AE52" s="55">
        <f>AD52*AC52</f>
        <v>101.66974479466559</v>
      </c>
      <c r="AF52" s="55"/>
      <c r="AG52" s="55"/>
      <c r="AH52" s="55"/>
      <c r="AI52" s="55"/>
      <c r="AJ52" s="55"/>
      <c r="AK52" s="55">
        <f>AE52</f>
        <v>101.66974479466559</v>
      </c>
      <c r="AL52" s="55">
        <v>6.9095943064335819</v>
      </c>
      <c r="AM52" s="55">
        <v>6.9095943064335819</v>
      </c>
      <c r="AN52" s="55">
        <v>6.9095943064335819</v>
      </c>
      <c r="AO52" s="55">
        <v>6.9095943064335819</v>
      </c>
      <c r="AP52" s="55">
        <v>6.9095943064335819</v>
      </c>
      <c r="AQ52" s="55">
        <v>6.9095943064335819</v>
      </c>
      <c r="AR52" s="55">
        <f>SUM(AF52:AQ52)</f>
        <v>143.12731063326706</v>
      </c>
      <c r="AS52" s="72">
        <f>Z52-AR52</f>
        <v>517.74268936673298</v>
      </c>
      <c r="AT52" s="55"/>
      <c r="AU52" s="55"/>
      <c r="AV52" s="55">
        <f t="shared" ref="AV52:AZ57" si="47">$AQ52</f>
        <v>6.9095943064335819</v>
      </c>
      <c r="AW52" s="55">
        <f t="shared" si="47"/>
        <v>6.9095943064335819</v>
      </c>
      <c r="AX52" s="55">
        <f t="shared" si="47"/>
        <v>6.9095943064335819</v>
      </c>
      <c r="AY52" s="55">
        <f t="shared" si="47"/>
        <v>6.9095943064335819</v>
      </c>
      <c r="AZ52" s="55">
        <f t="shared" si="47"/>
        <v>6.9095943064335819</v>
      </c>
      <c r="BA52" s="80">
        <v>118.901</v>
      </c>
      <c r="BB52" s="80">
        <v>107.678</v>
      </c>
      <c r="BC52" s="57">
        <f>BA52/BB52</f>
        <v>1.1042274187856387</v>
      </c>
      <c r="BD52" s="165">
        <f>T52/(D52*12)</f>
        <v>6.416666666666667</v>
      </c>
      <c r="BE52" s="165">
        <f>BD52*BC52</f>
        <v>7.0854592705411816</v>
      </c>
      <c r="BF52" s="55">
        <f t="shared" si="44"/>
        <v>7.0854592705411816</v>
      </c>
      <c r="BG52" s="55">
        <f t="shared" si="44"/>
        <v>7.0854592705411816</v>
      </c>
      <c r="BH52" s="55">
        <f t="shared" si="44"/>
        <v>7.0854592705411816</v>
      </c>
      <c r="BI52" s="55">
        <f t="shared" si="44"/>
        <v>7.0854592705411816</v>
      </c>
      <c r="BJ52" s="55">
        <v>7.09</v>
      </c>
      <c r="BK52" s="55">
        <v>7.09</v>
      </c>
      <c r="BL52" s="55">
        <v>7.09</v>
      </c>
      <c r="BM52" s="55">
        <f>SUM((AV52:AZ52),(BF52:BL52))</f>
        <v>84.159808614332633</v>
      </c>
      <c r="BN52" s="448">
        <f>(AS52-BM52)</f>
        <v>433.58288075240034</v>
      </c>
      <c r="BO52" s="55">
        <f t="shared" si="45"/>
        <v>7.0854592705411816</v>
      </c>
      <c r="BP52" s="55">
        <f t="shared" si="45"/>
        <v>7.0854592705411816</v>
      </c>
      <c r="BQ52" s="55">
        <f t="shared" si="45"/>
        <v>7.0854592705411816</v>
      </c>
      <c r="BR52" s="55">
        <f t="shared" si="45"/>
        <v>7.0854592705411816</v>
      </c>
      <c r="BS52" s="55">
        <f t="shared" si="45"/>
        <v>7.0854592705411816</v>
      </c>
      <c r="BT52" s="55">
        <f>SUM(BO52:BS52)</f>
        <v>35.427296352705909</v>
      </c>
      <c r="BU52" s="448">
        <v>492.91573488792636</v>
      </c>
      <c r="BV52" s="57">
        <v>126.408</v>
      </c>
      <c r="BW52" s="57">
        <v>109.074</v>
      </c>
      <c r="BX52" s="57">
        <f>BV52/BW52</f>
        <v>1.1589196325430442</v>
      </c>
      <c r="BY52" s="753">
        <f>BU52/J52</f>
        <v>9.3002968846778558</v>
      </c>
      <c r="BZ52" s="55">
        <f>BY52*BX52</f>
        <v>10.778296648132079</v>
      </c>
      <c r="CA52" s="754">
        <v>13.932920057341468</v>
      </c>
      <c r="CB52" s="754">
        <v>13.932920057341468</v>
      </c>
      <c r="CC52" s="754">
        <v>13.932920057341468</v>
      </c>
      <c r="CD52" s="754">
        <v>13.932920057341468</v>
      </c>
      <c r="CE52" s="754">
        <v>13.932920057341468</v>
      </c>
      <c r="CF52" s="754">
        <v>13.932920057341468</v>
      </c>
      <c r="CG52" s="754">
        <v>13.932920057341468</v>
      </c>
      <c r="CH52" s="429">
        <f>SUM(CA52:CG52)</f>
        <v>97.530440401390265</v>
      </c>
      <c r="CI52" s="439">
        <f>BU52-CH52</f>
        <v>395.38529448653611</v>
      </c>
      <c r="CJ52" s="754">
        <v>13.932920057341468</v>
      </c>
      <c r="CK52" s="754">
        <v>13.932920057341468</v>
      </c>
      <c r="CL52" s="754">
        <v>13.932920057341468</v>
      </c>
      <c r="CM52" s="754">
        <v>13.932920057341468</v>
      </c>
      <c r="CN52" s="754">
        <v>13.932920057341468</v>
      </c>
      <c r="CO52" s="505">
        <f t="shared" si="0"/>
        <v>69.664600286707341</v>
      </c>
      <c r="CP52" s="1085">
        <f t="shared" si="1"/>
        <v>325.72069419982876</v>
      </c>
      <c r="CQ52" s="1086">
        <v>132.28200000000001</v>
      </c>
      <c r="CR52" s="514">
        <v>109.074</v>
      </c>
      <c r="CS52" s="1087">
        <f>CQ52/CR52</f>
        <v>1.2127729798118709</v>
      </c>
      <c r="CT52" s="516">
        <f t="shared" si="46"/>
        <v>4.8615028985049067</v>
      </c>
      <c r="CU52" s="516">
        <f>CS52*CT52</f>
        <v>5.8958993565838433</v>
      </c>
      <c r="CV52" s="516">
        <v>5.8958993565838433</v>
      </c>
      <c r="CW52" s="516">
        <v>5.8958993565838433</v>
      </c>
      <c r="CX52" s="516">
        <v>5.8958993565838433</v>
      </c>
      <c r="CY52" s="516">
        <v>5.8958993565838433</v>
      </c>
      <c r="CZ52" s="516">
        <v>5.8958993565838433</v>
      </c>
      <c r="DA52" s="516">
        <v>5.8958993565838433</v>
      </c>
      <c r="DB52" s="516">
        <v>5.8958993565838433</v>
      </c>
      <c r="DC52" s="516">
        <v>5.8958993565838433</v>
      </c>
      <c r="DD52" s="516">
        <v>5.8958993565838433</v>
      </c>
      <c r="DE52" s="516">
        <v>5.8958993565838433</v>
      </c>
      <c r="DF52" s="516">
        <v>5.8958993565838433</v>
      </c>
      <c r="DG52" s="516">
        <v>5.8958993565838433</v>
      </c>
      <c r="DH52" s="516">
        <v>5.8958993565838433</v>
      </c>
      <c r="DI52" s="516">
        <v>5.8958993565838433</v>
      </c>
      <c r="DJ52" s="516">
        <v>5.8958993565838433</v>
      </c>
      <c r="DK52" s="516">
        <v>5.8958993565838433</v>
      </c>
      <c r="DL52" s="516">
        <v>5.8958993565838433</v>
      </c>
      <c r="DM52" s="516">
        <v>5.8958993565838433</v>
      </c>
      <c r="DN52" s="516">
        <f t="shared" si="3"/>
        <v>106.12618841850914</v>
      </c>
      <c r="DO52" s="1085">
        <f t="shared" si="2"/>
        <v>219.59450578131961</v>
      </c>
    </row>
    <row r="53" spans="1:323" s="16" customFormat="1" ht="15" x14ac:dyDescent="0.2">
      <c r="A53" s="120" t="s">
        <v>71</v>
      </c>
      <c r="B53" s="120" t="s">
        <v>84</v>
      </c>
      <c r="C53" s="45"/>
      <c r="D53" s="125"/>
      <c r="E53" s="130"/>
      <c r="F53" s="46"/>
      <c r="G53" s="58"/>
      <c r="H53" s="145"/>
      <c r="I53" s="165"/>
      <c r="J53" s="48"/>
      <c r="K53" s="165"/>
      <c r="L53" s="48"/>
      <c r="M53" s="165"/>
      <c r="N53" s="48"/>
      <c r="O53" s="165"/>
      <c r="P53" s="48"/>
      <c r="Q53" s="48"/>
      <c r="R53" s="119"/>
      <c r="S53" s="119"/>
      <c r="T53" s="7"/>
      <c r="U53" s="72"/>
      <c r="V53" s="776"/>
      <c r="W53" s="776"/>
      <c r="X53" s="47"/>
      <c r="Y53" s="106"/>
      <c r="Z53" s="257"/>
      <c r="AA53" s="57"/>
      <c r="AB53" s="80"/>
      <c r="AC53" s="57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72"/>
      <c r="AT53" s="55"/>
      <c r="AU53" s="55"/>
      <c r="AV53" s="55">
        <f t="shared" si="47"/>
        <v>0</v>
      </c>
      <c r="AW53" s="55">
        <f t="shared" si="47"/>
        <v>0</v>
      </c>
      <c r="AX53" s="55">
        <f t="shared" si="47"/>
        <v>0</v>
      </c>
      <c r="AY53" s="55">
        <f t="shared" si="47"/>
        <v>0</v>
      </c>
      <c r="AZ53" s="55">
        <f t="shared" si="47"/>
        <v>0</v>
      </c>
      <c r="BA53" s="57"/>
      <c r="BB53" s="80"/>
      <c r="BC53" s="57"/>
      <c r="BD53" s="165"/>
      <c r="BE53" s="165"/>
      <c r="BF53" s="55"/>
      <c r="BG53" s="55"/>
      <c r="BH53" s="55"/>
      <c r="BI53" s="55"/>
      <c r="BJ53" s="55"/>
      <c r="BK53" s="55"/>
      <c r="BL53" s="55"/>
      <c r="BM53" s="55"/>
      <c r="BN53" s="448"/>
      <c r="BO53" s="55"/>
      <c r="BP53" s="55"/>
      <c r="BQ53" s="55"/>
      <c r="BR53" s="55"/>
      <c r="BS53" s="55"/>
      <c r="BT53" s="55"/>
      <c r="BU53" s="448"/>
      <c r="BV53" s="28"/>
      <c r="BW53" s="136"/>
      <c r="BX53" s="28"/>
      <c r="BY53" s="28"/>
      <c r="BZ53" s="28"/>
      <c r="CA53" s="755"/>
      <c r="CB53" s="755"/>
      <c r="CC53" s="755"/>
      <c r="CD53" s="755"/>
      <c r="CE53" s="755"/>
      <c r="CF53" s="755"/>
      <c r="CG53" s="755"/>
      <c r="CH53" s="28"/>
      <c r="CI53" s="28"/>
      <c r="CJ53" s="755"/>
      <c r="CK53" s="755"/>
      <c r="CL53" s="755"/>
      <c r="CM53" s="755"/>
      <c r="CN53" s="755"/>
      <c r="CO53" s="505"/>
      <c r="CP53" s="1085"/>
      <c r="CQ53" s="516"/>
      <c r="CR53" s="1120"/>
      <c r="CS53" s="1087"/>
      <c r="CT53" s="516"/>
      <c r="CU53" s="516"/>
      <c r="CV53" s="516"/>
      <c r="CW53" s="516"/>
      <c r="CX53" s="516"/>
      <c r="CY53" s="516"/>
      <c r="CZ53" s="516"/>
      <c r="DA53" s="516"/>
      <c r="DB53" s="516"/>
      <c r="DC53" s="516"/>
      <c r="DD53" s="516"/>
      <c r="DE53" s="516"/>
      <c r="DF53" s="516"/>
      <c r="DG53" s="516"/>
      <c r="DH53" s="516"/>
      <c r="DI53" s="516"/>
      <c r="DJ53" s="516"/>
      <c r="DK53" s="516"/>
      <c r="DL53" s="516"/>
      <c r="DM53" s="516"/>
      <c r="DN53" s="516">
        <f t="shared" si="3"/>
        <v>0</v>
      </c>
      <c r="DO53" s="1085"/>
    </row>
    <row r="54" spans="1:323" s="16" customFormat="1" ht="15" x14ac:dyDescent="0.2">
      <c r="A54" s="120" t="s">
        <v>97</v>
      </c>
      <c r="B54" s="100"/>
      <c r="C54" s="124"/>
      <c r="D54" s="125"/>
      <c r="E54" s="130"/>
      <c r="F54" s="46"/>
      <c r="G54" s="58"/>
      <c r="H54" s="145"/>
      <c r="I54" s="165"/>
      <c r="J54" s="48"/>
      <c r="K54" s="165"/>
      <c r="L54" s="48"/>
      <c r="M54" s="165"/>
      <c r="N54" s="48"/>
      <c r="O54" s="165"/>
      <c r="P54" s="48"/>
      <c r="Q54" s="48"/>
      <c r="R54" s="46"/>
      <c r="S54" s="119"/>
      <c r="T54" s="7"/>
      <c r="U54" s="113"/>
      <c r="V54" s="776"/>
      <c r="W54" s="776"/>
      <c r="X54" s="47"/>
      <c r="Y54" s="106"/>
      <c r="Z54" s="258"/>
      <c r="AA54" s="57"/>
      <c r="AB54" s="82"/>
      <c r="AC54" s="57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72"/>
      <c r="AT54" s="55"/>
      <c r="AU54" s="55"/>
      <c r="AV54" s="55">
        <f t="shared" si="47"/>
        <v>0</v>
      </c>
      <c r="AW54" s="55">
        <f t="shared" si="47"/>
        <v>0</v>
      </c>
      <c r="AX54" s="55">
        <f t="shared" si="47"/>
        <v>0</v>
      </c>
      <c r="AY54" s="55">
        <f t="shared" si="47"/>
        <v>0</v>
      </c>
      <c r="AZ54" s="55">
        <f t="shared" si="47"/>
        <v>0</v>
      </c>
      <c r="BA54" s="57"/>
      <c r="BB54" s="82"/>
      <c r="BC54" s="57"/>
      <c r="BD54" s="165"/>
      <c r="BE54" s="165"/>
      <c r="BF54" s="55"/>
      <c r="BG54" s="55"/>
      <c r="BH54" s="55"/>
      <c r="BI54" s="55"/>
      <c r="BJ54" s="55"/>
      <c r="BK54" s="55"/>
      <c r="BL54" s="55"/>
      <c r="BM54" s="55"/>
      <c r="BN54" s="448"/>
      <c r="BO54" s="55"/>
      <c r="BP54" s="55"/>
      <c r="BQ54" s="55"/>
      <c r="BR54" s="55"/>
      <c r="BS54" s="55"/>
      <c r="BT54" s="55"/>
      <c r="BU54" s="448"/>
      <c r="BV54" s="28"/>
      <c r="BW54" s="136"/>
      <c r="BX54" s="28"/>
      <c r="BY54" s="28"/>
      <c r="BZ54" s="28"/>
      <c r="CA54" s="755"/>
      <c r="CB54" s="755"/>
      <c r="CC54" s="755"/>
      <c r="CD54" s="755"/>
      <c r="CE54" s="755"/>
      <c r="CF54" s="755"/>
      <c r="CG54" s="755"/>
      <c r="CH54" s="28"/>
      <c r="CI54" s="28"/>
      <c r="CJ54" s="755"/>
      <c r="CK54" s="755"/>
      <c r="CL54" s="755"/>
      <c r="CM54" s="755"/>
      <c r="CN54" s="755"/>
      <c r="CO54" s="505"/>
      <c r="CP54" s="1085"/>
      <c r="CQ54" s="520"/>
      <c r="CR54" s="1120"/>
      <c r="CS54" s="1087"/>
      <c r="CT54" s="516"/>
      <c r="CU54" s="516"/>
      <c r="CV54" s="516"/>
      <c r="CW54" s="516"/>
      <c r="CX54" s="516"/>
      <c r="CY54" s="516"/>
      <c r="CZ54" s="516"/>
      <c r="DA54" s="516"/>
      <c r="DB54" s="516"/>
      <c r="DC54" s="516"/>
      <c r="DD54" s="516"/>
      <c r="DE54" s="516"/>
      <c r="DF54" s="516"/>
      <c r="DG54" s="516"/>
      <c r="DH54" s="516"/>
      <c r="DI54" s="516"/>
      <c r="DJ54" s="516"/>
      <c r="DK54" s="516"/>
      <c r="DL54" s="516"/>
      <c r="DM54" s="516"/>
      <c r="DN54" s="516">
        <f t="shared" si="3"/>
        <v>0</v>
      </c>
      <c r="DO54" s="1085"/>
    </row>
    <row r="55" spans="1:323" s="16" customFormat="1" ht="15" x14ac:dyDescent="0.2">
      <c r="A55" s="119" t="s">
        <v>285</v>
      </c>
      <c r="B55" s="100" t="s">
        <v>584</v>
      </c>
      <c r="C55" s="45" t="s">
        <v>355</v>
      </c>
      <c r="D55" s="125">
        <v>10</v>
      </c>
      <c r="E55" s="130">
        <v>0.1</v>
      </c>
      <c r="F55" s="46">
        <v>43281</v>
      </c>
      <c r="G55" s="58">
        <v>120</v>
      </c>
      <c r="H55" s="145">
        <f>100/G55</f>
        <v>0.83333333333333337</v>
      </c>
      <c r="I55" s="165">
        <f>H55*J55</f>
        <v>44.166666666666671</v>
      </c>
      <c r="J55" s="48">
        <f>(YEAR(F55)-YEAR(S55))*12+MONTH(F55)-MONTH(S55)</f>
        <v>53</v>
      </c>
      <c r="K55" s="165">
        <f>L55*H55</f>
        <v>55.833333333333336</v>
      </c>
      <c r="L55" s="48">
        <f>G55-J55</f>
        <v>67</v>
      </c>
      <c r="M55" s="165">
        <f>N55*H55</f>
        <v>55.833333333333336</v>
      </c>
      <c r="N55" s="48">
        <f>G55-J55</f>
        <v>67</v>
      </c>
      <c r="O55" s="165">
        <f>K55-M55</f>
        <v>0</v>
      </c>
      <c r="P55" s="48">
        <f>L55-N55</f>
        <v>0</v>
      </c>
      <c r="Q55" s="462">
        <f>DATE(YEAR(S55),MONTH(S55)+G55,DAY(S55))</f>
        <v>45292</v>
      </c>
      <c r="R55" s="125" t="s">
        <v>445</v>
      </c>
      <c r="S55" s="128">
        <v>41640</v>
      </c>
      <c r="T55" s="7">
        <v>3493</v>
      </c>
      <c r="U55" s="72">
        <v>3143.6849999999999</v>
      </c>
      <c r="V55" s="776">
        <v>349.31500000000011</v>
      </c>
      <c r="W55" s="776">
        <f>U55</f>
        <v>3143.6849999999999</v>
      </c>
      <c r="X55" s="47">
        <v>29.11</v>
      </c>
      <c r="Y55" s="106">
        <f>X55*5</f>
        <v>145.55000000000001</v>
      </c>
      <c r="Z55" s="258">
        <f>W55-Y55</f>
        <v>2998.1349999999998</v>
      </c>
      <c r="AA55" s="57">
        <v>115.958</v>
      </c>
      <c r="AB55" s="80">
        <v>107.678</v>
      </c>
      <c r="AC55" s="57">
        <f>AA55/AB55</f>
        <v>1.0768959304593324</v>
      </c>
      <c r="AD55" s="55">
        <f>Z55*M55/100/K55*100/7</f>
        <v>428.30499999999995</v>
      </c>
      <c r="AE55" s="55">
        <f>AD55*AC55</f>
        <v>461.23991149538432</v>
      </c>
      <c r="AF55" s="55"/>
      <c r="AG55" s="55"/>
      <c r="AH55" s="55"/>
      <c r="AI55" s="55"/>
      <c r="AJ55" s="55"/>
      <c r="AK55" s="55">
        <f>AE55</f>
        <v>461.23991149538432</v>
      </c>
      <c r="AL55" s="55">
        <v>31.346401752113501</v>
      </c>
      <c r="AM55" s="55">
        <v>31.346401752113501</v>
      </c>
      <c r="AN55" s="55">
        <v>31.346401752113501</v>
      </c>
      <c r="AO55" s="55">
        <v>31.346401752113501</v>
      </c>
      <c r="AP55" s="55">
        <v>31.346401752113501</v>
      </c>
      <c r="AQ55" s="55">
        <v>31.346401752113501</v>
      </c>
      <c r="AR55" s="55">
        <f>SUM(AF55:AQ55)</f>
        <v>649.31832200806525</v>
      </c>
      <c r="AS55" s="72">
        <f>Z55-AR55</f>
        <v>2348.8166779919347</v>
      </c>
      <c r="AT55" s="55"/>
      <c r="AU55" s="55"/>
      <c r="AV55" s="55">
        <f t="shared" si="47"/>
        <v>31.346401752113501</v>
      </c>
      <c r="AW55" s="55">
        <f t="shared" si="47"/>
        <v>31.346401752113501</v>
      </c>
      <c r="AX55" s="55">
        <f t="shared" si="47"/>
        <v>31.346401752113501</v>
      </c>
      <c r="AY55" s="55">
        <f t="shared" si="47"/>
        <v>31.346401752113501</v>
      </c>
      <c r="AZ55" s="55">
        <f t="shared" si="47"/>
        <v>31.346401752113501</v>
      </c>
      <c r="BA55" s="80">
        <v>118.901</v>
      </c>
      <c r="BB55" s="80">
        <v>107.678</v>
      </c>
      <c r="BC55" s="57">
        <f>BA55/BB55</f>
        <v>1.1042274187856387</v>
      </c>
      <c r="BD55" s="165">
        <f>T55/(D55*12)</f>
        <v>29.108333333333334</v>
      </c>
      <c r="BE55" s="165">
        <f>BD55*BC55</f>
        <v>32.142219781818632</v>
      </c>
      <c r="BF55" s="55">
        <f>$BE55</f>
        <v>32.142219781818632</v>
      </c>
      <c r="BG55" s="55">
        <f>$BE55</f>
        <v>32.142219781818632</v>
      </c>
      <c r="BH55" s="55">
        <f>$BE55</f>
        <v>32.142219781818632</v>
      </c>
      <c r="BI55" s="55">
        <f>$BE55</f>
        <v>32.142219781818632</v>
      </c>
      <c r="BJ55" s="55">
        <v>32.14</v>
      </c>
      <c r="BK55" s="55">
        <v>32.14</v>
      </c>
      <c r="BL55" s="55">
        <v>32.14</v>
      </c>
      <c r="BM55" s="55">
        <f>SUM((AV55:AZ55),(BF55:BL55))</f>
        <v>381.72088788784197</v>
      </c>
      <c r="BN55" s="448">
        <f>(AS55-BM55)</f>
        <v>1967.0957901040929</v>
      </c>
      <c r="BO55" s="55">
        <f>$BE55</f>
        <v>32.142219781818632</v>
      </c>
      <c r="BP55" s="55">
        <f>$BE55</f>
        <v>32.142219781818632</v>
      </c>
      <c r="BQ55" s="55">
        <f>$BE55</f>
        <v>32.142219781818632</v>
      </c>
      <c r="BR55" s="55">
        <f>$BE55</f>
        <v>32.142219781818632</v>
      </c>
      <c r="BS55" s="55">
        <f>$BE55</f>
        <v>32.142219781818632</v>
      </c>
      <c r="BT55" s="55">
        <f>SUM(BO55:BS55)</f>
        <v>160.71109890909315</v>
      </c>
      <c r="BU55" s="448">
        <v>2236.2782009382699</v>
      </c>
      <c r="BV55" s="57">
        <v>126.408</v>
      </c>
      <c r="BW55" s="57">
        <v>109.074</v>
      </c>
      <c r="BX55" s="57">
        <f>BV55/BW55</f>
        <v>1.1589196325430442</v>
      </c>
      <c r="BY55" s="753">
        <f>BU55/J55</f>
        <v>42.19392831959</v>
      </c>
      <c r="BZ55" s="55">
        <f>BY55*BX55</f>
        <v>48.899371903686792</v>
      </c>
      <c r="CA55" s="754">
        <v>63.211383192570722</v>
      </c>
      <c r="CB55" s="754">
        <v>63.211383192570722</v>
      </c>
      <c r="CC55" s="754">
        <v>63.211383192570722</v>
      </c>
      <c r="CD55" s="754">
        <v>63.211383192570722</v>
      </c>
      <c r="CE55" s="754">
        <v>63.211383192570722</v>
      </c>
      <c r="CF55" s="754">
        <v>63.211383192570722</v>
      </c>
      <c r="CG55" s="754">
        <v>63.211383192570722</v>
      </c>
      <c r="CH55" s="429">
        <f>SUM(CA55:CG55)</f>
        <v>442.47968234799509</v>
      </c>
      <c r="CI55" s="439">
        <f>BU55-CH55</f>
        <v>1793.7985185902749</v>
      </c>
      <c r="CJ55" s="754">
        <v>63.211383192570722</v>
      </c>
      <c r="CK55" s="754">
        <v>63.211383192570722</v>
      </c>
      <c r="CL55" s="754">
        <v>63.211383192570722</v>
      </c>
      <c r="CM55" s="754">
        <v>63.211383192570722</v>
      </c>
      <c r="CN55" s="754">
        <v>63.211383192570722</v>
      </c>
      <c r="CO55" s="505">
        <f t="shared" si="0"/>
        <v>316.05691596285362</v>
      </c>
      <c r="CP55" s="1085">
        <f t="shared" si="1"/>
        <v>1477.7416026274213</v>
      </c>
      <c r="CQ55" s="1086">
        <v>132.28200000000001</v>
      </c>
      <c r="CR55" s="514">
        <v>109.074</v>
      </c>
      <c r="CS55" s="1087">
        <f>CQ55/CR55</f>
        <v>1.2127729798118709</v>
      </c>
      <c r="CT55" s="516">
        <f>CP55/L55</f>
        <v>22.055844815334648</v>
      </c>
      <c r="CU55" s="516">
        <f>CS55*CT55</f>
        <v>26.748732638961606</v>
      </c>
      <c r="CV55" s="516">
        <v>26.748732638961606</v>
      </c>
      <c r="CW55" s="516">
        <v>26.748732638961606</v>
      </c>
      <c r="CX55" s="516">
        <v>26.748732638961606</v>
      </c>
      <c r="CY55" s="516">
        <v>26.748732638961606</v>
      </c>
      <c r="CZ55" s="516">
        <v>26.748732638961606</v>
      </c>
      <c r="DA55" s="516">
        <v>26.748732638961606</v>
      </c>
      <c r="DB55" s="516">
        <v>26.748732638961606</v>
      </c>
      <c r="DC55" s="516">
        <v>26.748732638961606</v>
      </c>
      <c r="DD55" s="516">
        <v>26.748732638961606</v>
      </c>
      <c r="DE55" s="516">
        <v>26.748732638961606</v>
      </c>
      <c r="DF55" s="516">
        <v>26.748732638961606</v>
      </c>
      <c r="DG55" s="516">
        <v>26.748732638961606</v>
      </c>
      <c r="DH55" s="516">
        <v>26.748732638961606</v>
      </c>
      <c r="DI55" s="516">
        <v>26.748732638961606</v>
      </c>
      <c r="DJ55" s="516">
        <v>26.748732638961606</v>
      </c>
      <c r="DK55" s="516">
        <v>26.748732638961606</v>
      </c>
      <c r="DL55" s="516">
        <v>26.748732638961606</v>
      </c>
      <c r="DM55" s="516">
        <v>26.748732638961606</v>
      </c>
      <c r="DN55" s="516">
        <f t="shared" si="3"/>
        <v>481.47718750130883</v>
      </c>
      <c r="DO55" s="1085">
        <f t="shared" si="2"/>
        <v>996.26441512611245</v>
      </c>
    </row>
    <row r="56" spans="1:323" s="16" customFormat="1" ht="15" x14ac:dyDescent="0.2">
      <c r="A56" s="120" t="s">
        <v>65</v>
      </c>
      <c r="B56" s="120" t="s">
        <v>287</v>
      </c>
      <c r="C56" s="45"/>
      <c r="D56" s="143"/>
      <c r="E56" s="28"/>
      <c r="F56" s="46"/>
      <c r="G56" s="58"/>
      <c r="H56" s="145"/>
      <c r="I56" s="165"/>
      <c r="J56" s="48"/>
      <c r="K56" s="165"/>
      <c r="L56" s="48"/>
      <c r="M56" s="165"/>
      <c r="N56" s="48"/>
      <c r="O56" s="165"/>
      <c r="P56" s="48"/>
      <c r="Q56" s="48"/>
      <c r="R56" s="46"/>
      <c r="S56" s="132"/>
      <c r="T56" s="107"/>
      <c r="U56" s="72"/>
      <c r="V56" s="776"/>
      <c r="W56" s="776"/>
      <c r="X56" s="47"/>
      <c r="Y56" s="106"/>
      <c r="Z56" s="258"/>
      <c r="AA56" s="57"/>
      <c r="AB56" s="80"/>
      <c r="AC56" s="57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72"/>
      <c r="AT56" s="55"/>
      <c r="AU56" s="55"/>
      <c r="AV56" s="55">
        <f t="shared" si="47"/>
        <v>0</v>
      </c>
      <c r="AW56" s="55">
        <f t="shared" si="47"/>
        <v>0</v>
      </c>
      <c r="AX56" s="55">
        <f t="shared" si="47"/>
        <v>0</v>
      </c>
      <c r="AY56" s="55">
        <f t="shared" si="47"/>
        <v>0</v>
      </c>
      <c r="AZ56" s="55">
        <f t="shared" si="47"/>
        <v>0</v>
      </c>
      <c r="BA56" s="57"/>
      <c r="BB56" s="80"/>
      <c r="BC56" s="57"/>
      <c r="BD56" s="165"/>
      <c r="BE56" s="165"/>
      <c r="BF56" s="55"/>
      <c r="BG56" s="55"/>
      <c r="BH56" s="55"/>
      <c r="BI56" s="55"/>
      <c r="BJ56" s="55"/>
      <c r="BK56" s="55"/>
      <c r="BL56" s="55"/>
      <c r="BM56" s="55"/>
      <c r="BN56" s="448"/>
      <c r="BO56" s="55"/>
      <c r="BP56" s="55"/>
      <c r="BQ56" s="55"/>
      <c r="BR56" s="55"/>
      <c r="BS56" s="55"/>
      <c r="BT56" s="55"/>
      <c r="BU56" s="448"/>
      <c r="BV56" s="28"/>
      <c r="BW56" s="136"/>
      <c r="BX56" s="28"/>
      <c r="BY56" s="28"/>
      <c r="BZ56" s="28"/>
      <c r="CA56" s="755"/>
      <c r="CB56" s="755"/>
      <c r="CC56" s="755"/>
      <c r="CD56" s="755"/>
      <c r="CE56" s="755"/>
      <c r="CF56" s="755"/>
      <c r="CG56" s="755"/>
      <c r="CH56" s="28"/>
      <c r="CI56" s="28"/>
      <c r="CJ56" s="755"/>
      <c r="CK56" s="755"/>
      <c r="CL56" s="755"/>
      <c r="CM56" s="755"/>
      <c r="CN56" s="755"/>
      <c r="CO56" s="505"/>
      <c r="CP56" s="1085"/>
      <c r="CQ56" s="1086"/>
      <c r="CR56" s="1120"/>
      <c r="CS56" s="1087"/>
      <c r="CT56" s="516"/>
      <c r="CU56" s="516"/>
      <c r="CV56" s="516"/>
      <c r="CW56" s="516"/>
      <c r="CX56" s="516"/>
      <c r="CY56" s="516"/>
      <c r="CZ56" s="516"/>
      <c r="DA56" s="516"/>
      <c r="DB56" s="516"/>
      <c r="DC56" s="516"/>
      <c r="DD56" s="516"/>
      <c r="DE56" s="516"/>
      <c r="DF56" s="516"/>
      <c r="DG56" s="516"/>
      <c r="DH56" s="516"/>
      <c r="DI56" s="516"/>
      <c r="DJ56" s="516"/>
      <c r="DK56" s="516"/>
      <c r="DL56" s="516"/>
      <c r="DM56" s="516"/>
      <c r="DN56" s="516">
        <f t="shared" si="3"/>
        <v>0</v>
      </c>
      <c r="DO56" s="1085"/>
    </row>
    <row r="57" spans="1:323" s="16" customFormat="1" ht="15" x14ac:dyDescent="0.2">
      <c r="A57" s="120" t="s">
        <v>286</v>
      </c>
      <c r="B57" s="126"/>
      <c r="C57" s="124"/>
      <c r="D57" s="143"/>
      <c r="E57" s="28"/>
      <c r="F57" s="46"/>
      <c r="G57" s="58"/>
      <c r="H57" s="145"/>
      <c r="I57" s="165"/>
      <c r="J57" s="48"/>
      <c r="K57" s="165"/>
      <c r="L57" s="48"/>
      <c r="M57" s="165"/>
      <c r="N57" s="48"/>
      <c r="O57" s="165"/>
      <c r="P57" s="48"/>
      <c r="Q57" s="48"/>
      <c r="R57" s="46"/>
      <c r="S57" s="119"/>
      <c r="T57" s="7"/>
      <c r="U57" s="113"/>
      <c r="V57" s="776"/>
      <c r="W57" s="776"/>
      <c r="X57" s="47"/>
      <c r="Y57" s="106"/>
      <c r="Z57" s="258"/>
      <c r="AA57" s="57"/>
      <c r="AB57" s="82"/>
      <c r="AC57" s="57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72"/>
      <c r="AT57" s="55"/>
      <c r="AU57" s="55"/>
      <c r="AV57" s="55">
        <f t="shared" si="47"/>
        <v>0</v>
      </c>
      <c r="AW57" s="55">
        <f t="shared" si="47"/>
        <v>0</v>
      </c>
      <c r="AX57" s="55">
        <f t="shared" si="47"/>
        <v>0</v>
      </c>
      <c r="AY57" s="55">
        <f t="shared" si="47"/>
        <v>0</v>
      </c>
      <c r="AZ57" s="55">
        <f t="shared" si="47"/>
        <v>0</v>
      </c>
      <c r="BA57" s="57"/>
      <c r="BB57" s="82"/>
      <c r="BC57" s="57"/>
      <c r="BD57" s="165"/>
      <c r="BE57" s="165"/>
      <c r="BF57" s="55"/>
      <c r="BG57" s="55"/>
      <c r="BH57" s="55"/>
      <c r="BI57" s="55"/>
      <c r="BJ57" s="55"/>
      <c r="BK57" s="55"/>
      <c r="BL57" s="55"/>
      <c r="BM57" s="55"/>
      <c r="BN57" s="448"/>
      <c r="BO57" s="55"/>
      <c r="BP57" s="55"/>
      <c r="BQ57" s="55"/>
      <c r="BR57" s="55"/>
      <c r="BS57" s="55"/>
      <c r="BT57" s="55"/>
      <c r="BU57" s="448"/>
      <c r="BV57" s="28"/>
      <c r="BW57" s="136"/>
      <c r="BX57" s="28"/>
      <c r="BY57" s="28"/>
      <c r="BZ57" s="28"/>
      <c r="CA57" s="755"/>
      <c r="CB57" s="755"/>
      <c r="CC57" s="755"/>
      <c r="CD57" s="755"/>
      <c r="CE57" s="755"/>
      <c r="CF57" s="755"/>
      <c r="CG57" s="755"/>
      <c r="CH57" s="28"/>
      <c r="CI57" s="28"/>
      <c r="CJ57" s="755"/>
      <c r="CK57" s="755"/>
      <c r="CL57" s="755"/>
      <c r="CM57" s="755"/>
      <c r="CN57" s="755"/>
      <c r="CO57" s="505"/>
      <c r="CP57" s="1085"/>
      <c r="CQ57" s="516"/>
      <c r="CR57" s="1120"/>
      <c r="CS57" s="1087"/>
      <c r="CT57" s="516"/>
      <c r="CU57" s="516"/>
      <c r="CV57" s="516"/>
      <c r="CW57" s="516"/>
      <c r="CX57" s="516"/>
      <c r="CY57" s="516"/>
      <c r="CZ57" s="516"/>
      <c r="DA57" s="516"/>
      <c r="DB57" s="516"/>
      <c r="DC57" s="516"/>
      <c r="DD57" s="516"/>
      <c r="DE57" s="516"/>
      <c r="DF57" s="516"/>
      <c r="DG57" s="516"/>
      <c r="DH57" s="516"/>
      <c r="DI57" s="516"/>
      <c r="DJ57" s="516"/>
      <c r="DK57" s="516"/>
      <c r="DL57" s="516"/>
      <c r="DM57" s="516"/>
      <c r="DN57" s="516">
        <f t="shared" si="3"/>
        <v>0</v>
      </c>
      <c r="DO57" s="1085"/>
    </row>
    <row r="58" spans="1:323" s="35" customFormat="1" ht="15" x14ac:dyDescent="0.2">
      <c r="A58" s="119" t="s">
        <v>288</v>
      </c>
      <c r="B58" s="100" t="s">
        <v>585</v>
      </c>
      <c r="C58" s="100" t="s">
        <v>355</v>
      </c>
      <c r="D58" s="125">
        <v>3</v>
      </c>
      <c r="E58" s="127">
        <v>0.33329999999999999</v>
      </c>
      <c r="F58" s="119">
        <v>43281</v>
      </c>
      <c r="G58" s="8">
        <v>36</v>
      </c>
      <c r="H58" s="146">
        <f>100/G58</f>
        <v>2.7777777777777777</v>
      </c>
      <c r="I58" s="1167">
        <f>H58*J58</f>
        <v>175</v>
      </c>
      <c r="J58" s="125">
        <f>(YEAR(F58)-YEAR(S58))*12+MONTH(F58)-MONTH(S58)</f>
        <v>63</v>
      </c>
      <c r="K58" s="1167">
        <f>L58*H58</f>
        <v>-75</v>
      </c>
      <c r="L58" s="125">
        <f>G58-J58</f>
        <v>-27</v>
      </c>
      <c r="M58" s="1167">
        <f>N58*H58</f>
        <v>-75</v>
      </c>
      <c r="N58" s="125">
        <f>G58-J58</f>
        <v>-27</v>
      </c>
      <c r="O58" s="1167">
        <f>K58-M58</f>
        <v>0</v>
      </c>
      <c r="P58" s="125">
        <f>L58-N58</f>
        <v>0</v>
      </c>
      <c r="Q58" s="367">
        <f>DATE(YEAR(S58),MONTH(S58)+G58,DAY(S58))</f>
        <v>42451</v>
      </c>
      <c r="R58" s="125" t="s">
        <v>445</v>
      </c>
      <c r="S58" s="128">
        <v>41355</v>
      </c>
      <c r="T58" s="129">
        <v>11000</v>
      </c>
      <c r="U58" s="1169">
        <v>4583.920000000001</v>
      </c>
      <c r="V58" s="776">
        <v>3666.3549999999987</v>
      </c>
      <c r="W58" s="776">
        <f>U58</f>
        <v>4583.920000000001</v>
      </c>
      <c r="X58" s="134">
        <v>305.52999999999997</v>
      </c>
      <c r="Y58" s="7">
        <f>X58*5</f>
        <v>1527.6499999999999</v>
      </c>
      <c r="Z58" s="129">
        <f>W58-Y58</f>
        <v>3056.2700000000013</v>
      </c>
      <c r="AA58" s="64">
        <v>115.958</v>
      </c>
      <c r="AB58" s="82">
        <v>109.002</v>
      </c>
      <c r="AC58" s="64">
        <f>AA58/AB58</f>
        <v>1.0638153428377461</v>
      </c>
      <c r="AD58" s="62">
        <f>Z58*M58/100/K58*100/7</f>
        <v>436.61000000000013</v>
      </c>
      <c r="AE58" s="62">
        <f>AD58*AC58</f>
        <v>464.4724168363885</v>
      </c>
      <c r="AF58" s="62"/>
      <c r="AG58" s="62"/>
      <c r="AH58" s="62"/>
      <c r="AI58" s="62"/>
      <c r="AJ58" s="62"/>
      <c r="AK58" s="62">
        <f>AE58</f>
        <v>464.4724168363885</v>
      </c>
      <c r="AL58" s="62">
        <v>361.25632420607997</v>
      </c>
      <c r="AM58" s="62">
        <v>361.25632420607997</v>
      </c>
      <c r="AN58" s="62">
        <v>361.25632420607997</v>
      </c>
      <c r="AO58" s="62">
        <v>361.25632420607997</v>
      </c>
      <c r="AP58" s="62">
        <v>361.25632420607997</v>
      </c>
      <c r="AQ58" s="62">
        <v>361.25632420607997</v>
      </c>
      <c r="AR58" s="62">
        <f>SUM(AF58:AQ58)</f>
        <v>2632.0103620728687</v>
      </c>
      <c r="AS58" s="1169">
        <f>Z58-AR58</f>
        <v>424.25963792713264</v>
      </c>
      <c r="AT58" s="62"/>
      <c r="AU58" s="62"/>
      <c r="AV58" s="62">
        <f>$AQ58</f>
        <v>361.25632420607997</v>
      </c>
      <c r="AW58" s="62">
        <v>165.22</v>
      </c>
      <c r="AX58" s="62"/>
      <c r="AY58" s="62"/>
      <c r="AZ58" s="62"/>
      <c r="BA58" s="82">
        <v>118.901</v>
      </c>
      <c r="BB58" s="82">
        <v>109.002</v>
      </c>
      <c r="BC58" s="64">
        <f>BA58/BB58</f>
        <v>1.090814847433992</v>
      </c>
      <c r="BD58" s="1167">
        <f>T58/(D58*12)</f>
        <v>305.55555555555554</v>
      </c>
      <c r="BE58" s="1167">
        <f>BD58*BC58</f>
        <v>333.30453671594199</v>
      </c>
      <c r="BF58" s="62"/>
      <c r="BG58" s="62"/>
      <c r="BH58" s="62"/>
      <c r="BI58" s="62"/>
      <c r="BJ58" s="62"/>
      <c r="BK58" s="62"/>
      <c r="BL58" s="62"/>
      <c r="BM58" s="62">
        <f>SUM((AV58:AZ58),(BF58:BL58))</f>
        <v>526.47632420607999</v>
      </c>
      <c r="BN58" s="927">
        <f>(AS58-BM58)</f>
        <v>-102.21668627894735</v>
      </c>
      <c r="BO58" s="62"/>
      <c r="BP58" s="62"/>
      <c r="BQ58" s="62"/>
      <c r="BR58" s="62"/>
      <c r="BS58" s="62"/>
      <c r="BT58" s="62">
        <f>SUM(BO58:BS58)</f>
        <v>0</v>
      </c>
      <c r="BU58" s="927">
        <v>0.99940635136124456</v>
      </c>
      <c r="BV58" s="64"/>
      <c r="BW58" s="64">
        <v>109.074</v>
      </c>
      <c r="BX58" s="64">
        <f>BV58/BW58</f>
        <v>0</v>
      </c>
      <c r="BY58" s="1204">
        <f>BU58/J58</f>
        <v>1.5863592878749912E-2</v>
      </c>
      <c r="BZ58" s="62"/>
      <c r="CA58" s="756"/>
      <c r="CB58" s="756"/>
      <c r="CC58" s="756"/>
      <c r="CD58" s="756"/>
      <c r="CE58" s="756"/>
      <c r="CF58" s="756"/>
      <c r="CG58" s="756"/>
      <c r="CH58" s="510">
        <f>SUM(CA58:CG58)</f>
        <v>0</v>
      </c>
      <c r="CI58" s="439">
        <f>BU58-CH58</f>
        <v>0.99940635136124456</v>
      </c>
      <c r="CJ58" s="756"/>
      <c r="CK58" s="756">
        <v>0</v>
      </c>
      <c r="CL58" s="756">
        <v>0</v>
      </c>
      <c r="CM58" s="756">
        <v>0</v>
      </c>
      <c r="CN58" s="756">
        <v>0</v>
      </c>
      <c r="CO58" s="1170">
        <f t="shared" si="0"/>
        <v>0</v>
      </c>
      <c r="CP58" s="1085">
        <f t="shared" si="1"/>
        <v>0.99940635136124456</v>
      </c>
      <c r="CQ58" s="1195">
        <v>132.28200000000001</v>
      </c>
      <c r="CR58" s="1190">
        <v>109.074</v>
      </c>
      <c r="CS58" s="1196">
        <f>CQ58/CR58</f>
        <v>1.2127729798118709</v>
      </c>
      <c r="CT58" s="538">
        <v>0</v>
      </c>
      <c r="CU58" s="538">
        <f>CT58*CS58</f>
        <v>0</v>
      </c>
      <c r="CV58" s="538">
        <v>0</v>
      </c>
      <c r="CW58" s="538">
        <v>0</v>
      </c>
      <c r="CX58" s="538">
        <v>0</v>
      </c>
      <c r="CY58" s="538">
        <v>0</v>
      </c>
      <c r="CZ58" s="538">
        <v>0</v>
      </c>
      <c r="DA58" s="538">
        <v>0</v>
      </c>
      <c r="DB58" s="538">
        <v>0</v>
      </c>
      <c r="DC58" s="538">
        <v>0</v>
      </c>
      <c r="DD58" s="538">
        <v>0</v>
      </c>
      <c r="DE58" s="538">
        <v>0</v>
      </c>
      <c r="DF58" s="538">
        <v>0</v>
      </c>
      <c r="DG58" s="538">
        <v>0</v>
      </c>
      <c r="DH58" s="538">
        <v>0</v>
      </c>
      <c r="DI58" s="538">
        <v>0</v>
      </c>
      <c r="DJ58" s="538">
        <v>0</v>
      </c>
      <c r="DK58" s="538">
        <v>0</v>
      </c>
      <c r="DL58" s="538">
        <v>0</v>
      </c>
      <c r="DM58" s="538">
        <v>0</v>
      </c>
      <c r="DN58" s="538">
        <f t="shared" si="3"/>
        <v>0</v>
      </c>
      <c r="DO58" s="1085">
        <f t="shared" si="2"/>
        <v>0.99940635136124456</v>
      </c>
    </row>
    <row r="59" spans="1:323" s="35" customFormat="1" ht="15" x14ac:dyDescent="0.2">
      <c r="A59" s="120" t="s">
        <v>65</v>
      </c>
      <c r="B59" s="120" t="s">
        <v>249</v>
      </c>
      <c r="C59" s="100"/>
      <c r="D59" s="775"/>
      <c r="E59" s="772"/>
      <c r="F59" s="119"/>
      <c r="G59" s="8"/>
      <c r="H59" s="146"/>
      <c r="I59" s="125"/>
      <c r="J59" s="125"/>
      <c r="K59" s="125"/>
      <c r="L59" s="125"/>
      <c r="M59" s="125"/>
      <c r="N59" s="125"/>
      <c r="O59" s="125"/>
      <c r="P59" s="125"/>
      <c r="Q59" s="125"/>
      <c r="R59" s="119"/>
      <c r="S59" s="128"/>
      <c r="T59" s="7"/>
      <c r="U59" s="1169"/>
      <c r="V59" s="776"/>
      <c r="W59" s="776"/>
      <c r="X59" s="134"/>
      <c r="Y59" s="7"/>
      <c r="Z59" s="129"/>
      <c r="AA59" s="64"/>
      <c r="AB59" s="64"/>
      <c r="AC59" s="64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1169"/>
      <c r="AT59" s="62"/>
      <c r="AU59" s="62"/>
      <c r="AV59" s="62">
        <f>$AQ59</f>
        <v>0</v>
      </c>
      <c r="AW59" s="62">
        <f t="shared" ref="AW59:AZ61" si="48">$AQ59</f>
        <v>0</v>
      </c>
      <c r="AX59" s="62">
        <f t="shared" si="48"/>
        <v>0</v>
      </c>
      <c r="AY59" s="62">
        <f t="shared" si="48"/>
        <v>0</v>
      </c>
      <c r="AZ59" s="62">
        <f t="shared" si="48"/>
        <v>0</v>
      </c>
      <c r="BA59" s="64"/>
      <c r="BB59" s="64"/>
      <c r="BC59" s="64"/>
      <c r="BD59" s="1167"/>
      <c r="BE59" s="1167"/>
      <c r="BF59" s="62"/>
      <c r="BG59" s="62"/>
      <c r="BH59" s="62"/>
      <c r="BI59" s="62"/>
      <c r="BJ59" s="62"/>
      <c r="BK59" s="62"/>
      <c r="BL59" s="62"/>
      <c r="BM59" s="62"/>
      <c r="BN59" s="927"/>
      <c r="BO59" s="62"/>
      <c r="BP59" s="62"/>
      <c r="BQ59" s="62"/>
      <c r="BR59" s="62"/>
      <c r="BS59" s="62"/>
      <c r="BT59" s="62"/>
      <c r="BU59" s="927"/>
      <c r="BV59" s="772"/>
      <c r="BW59" s="777"/>
      <c r="BX59" s="772"/>
      <c r="BY59" s="772"/>
      <c r="BZ59" s="772"/>
      <c r="CA59" s="778"/>
      <c r="CB59" s="778"/>
      <c r="CC59" s="778"/>
      <c r="CD59" s="778"/>
      <c r="CE59" s="778"/>
      <c r="CF59" s="778"/>
      <c r="CG59" s="778"/>
      <c r="CH59" s="772"/>
      <c r="CI59" s="772"/>
      <c r="CJ59" s="778"/>
      <c r="CK59" s="778"/>
      <c r="CL59" s="778"/>
      <c r="CM59" s="778"/>
      <c r="CN59" s="778"/>
      <c r="CO59" s="1170"/>
      <c r="CP59" s="1085"/>
      <c r="CQ59" s="1190"/>
      <c r="CR59" s="1120"/>
      <c r="CS59" s="1196"/>
      <c r="CT59" s="538"/>
      <c r="CU59" s="538"/>
      <c r="CV59" s="538"/>
      <c r="CW59" s="538"/>
      <c r="CX59" s="538"/>
      <c r="CY59" s="538"/>
      <c r="CZ59" s="538"/>
      <c r="DA59" s="538"/>
      <c r="DB59" s="538"/>
      <c r="DC59" s="538"/>
      <c r="DD59" s="538"/>
      <c r="DE59" s="538"/>
      <c r="DF59" s="538"/>
      <c r="DG59" s="538"/>
      <c r="DH59" s="538"/>
      <c r="DI59" s="538"/>
      <c r="DJ59" s="538"/>
      <c r="DK59" s="538"/>
      <c r="DL59" s="538"/>
      <c r="DM59" s="538"/>
      <c r="DN59" s="538">
        <f t="shared" si="3"/>
        <v>0</v>
      </c>
      <c r="DO59" s="1085"/>
    </row>
    <row r="60" spans="1:323" s="35" customFormat="1" ht="15" x14ac:dyDescent="0.2">
      <c r="A60" s="120" t="s">
        <v>110</v>
      </c>
      <c r="B60" s="126"/>
      <c r="C60" s="100"/>
      <c r="D60" s="775"/>
      <c r="E60" s="772"/>
      <c r="F60" s="119"/>
      <c r="G60" s="8"/>
      <c r="H60" s="146"/>
      <c r="I60" s="1167"/>
      <c r="J60" s="125"/>
      <c r="K60" s="1167"/>
      <c r="L60" s="125"/>
      <c r="M60" s="1167"/>
      <c r="N60" s="125"/>
      <c r="O60" s="1167"/>
      <c r="P60" s="125"/>
      <c r="Q60" s="125"/>
      <c r="R60" s="125"/>
      <c r="S60" s="128"/>
      <c r="T60" s="251"/>
      <c r="U60" s="1169"/>
      <c r="V60" s="776"/>
      <c r="W60" s="776"/>
      <c r="X60" s="134"/>
      <c r="Y60" s="7"/>
      <c r="Z60" s="129"/>
      <c r="AA60" s="64"/>
      <c r="AB60" s="64"/>
      <c r="AC60" s="64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1169"/>
      <c r="AT60" s="62"/>
      <c r="AU60" s="62"/>
      <c r="AV60" s="62">
        <f>$AQ60</f>
        <v>0</v>
      </c>
      <c r="AW60" s="62">
        <f t="shared" si="48"/>
        <v>0</v>
      </c>
      <c r="AX60" s="62">
        <f t="shared" si="48"/>
        <v>0</v>
      </c>
      <c r="AY60" s="62">
        <f t="shared" si="48"/>
        <v>0</v>
      </c>
      <c r="AZ60" s="62">
        <f t="shared" si="48"/>
        <v>0</v>
      </c>
      <c r="BA60" s="64"/>
      <c r="BB60" s="64"/>
      <c r="BC60" s="64"/>
      <c r="BD60" s="1167"/>
      <c r="BE60" s="1167"/>
      <c r="BF60" s="62"/>
      <c r="BG60" s="62"/>
      <c r="BH60" s="62"/>
      <c r="BI60" s="62"/>
      <c r="BJ60" s="62"/>
      <c r="BK60" s="62"/>
      <c r="BL60" s="62"/>
      <c r="BM60" s="62"/>
      <c r="BN60" s="927"/>
      <c r="BO60" s="62"/>
      <c r="BP60" s="62"/>
      <c r="BQ60" s="62"/>
      <c r="BR60" s="62"/>
      <c r="BS60" s="62"/>
      <c r="BT60" s="62"/>
      <c r="BU60" s="927"/>
      <c r="BV60" s="772"/>
      <c r="BW60" s="777"/>
      <c r="BX60" s="772"/>
      <c r="BY60" s="772"/>
      <c r="BZ60" s="772"/>
      <c r="CA60" s="778"/>
      <c r="CB60" s="778"/>
      <c r="CC60" s="778"/>
      <c r="CD60" s="778"/>
      <c r="CE60" s="778"/>
      <c r="CF60" s="778"/>
      <c r="CG60" s="778"/>
      <c r="CH60" s="772"/>
      <c r="CI60" s="772"/>
      <c r="CJ60" s="778"/>
      <c r="CK60" s="778"/>
      <c r="CL60" s="778"/>
      <c r="CM60" s="778"/>
      <c r="CN60" s="778"/>
      <c r="CO60" s="1170"/>
      <c r="CP60" s="1085"/>
      <c r="CQ60" s="538"/>
      <c r="CR60" s="1120"/>
      <c r="CS60" s="1196"/>
      <c r="CT60" s="538"/>
      <c r="CU60" s="538"/>
      <c r="CV60" s="538"/>
      <c r="CW60" s="538"/>
      <c r="CX60" s="538"/>
      <c r="CY60" s="538"/>
      <c r="CZ60" s="538"/>
      <c r="DA60" s="538"/>
      <c r="DB60" s="538"/>
      <c r="DC60" s="538"/>
      <c r="DD60" s="538"/>
      <c r="DE60" s="538"/>
      <c r="DF60" s="538"/>
      <c r="DG60" s="538"/>
      <c r="DH60" s="538"/>
      <c r="DI60" s="538"/>
      <c r="DJ60" s="538"/>
      <c r="DK60" s="538"/>
      <c r="DL60" s="538"/>
      <c r="DM60" s="538"/>
      <c r="DN60" s="538">
        <f t="shared" si="3"/>
        <v>0</v>
      </c>
      <c r="DO60" s="1085"/>
    </row>
    <row r="61" spans="1:323" s="35" customFormat="1" ht="15" x14ac:dyDescent="0.2">
      <c r="A61" s="119" t="s">
        <v>289</v>
      </c>
      <c r="B61" s="100" t="s">
        <v>586</v>
      </c>
      <c r="C61" s="100" t="s">
        <v>355</v>
      </c>
      <c r="D61" s="125">
        <v>10</v>
      </c>
      <c r="E61" s="127">
        <v>0.1</v>
      </c>
      <c r="F61" s="119">
        <v>43281</v>
      </c>
      <c r="G61" s="8">
        <v>120</v>
      </c>
      <c r="H61" s="146">
        <f>100/G61</f>
        <v>0.83333333333333337</v>
      </c>
      <c r="I61" s="1167">
        <f>H61*J61</f>
        <v>44.166666666666671</v>
      </c>
      <c r="J61" s="125">
        <f>(YEAR(F61)-YEAR(S61))*12+MONTH(F61)-MONTH(S61)</f>
        <v>53</v>
      </c>
      <c r="K61" s="1167">
        <f>L61*H61</f>
        <v>55.833333333333336</v>
      </c>
      <c r="L61" s="125">
        <f>G61-J61</f>
        <v>67</v>
      </c>
      <c r="M61" s="1167">
        <f>N61*H61</f>
        <v>55.833333333333336</v>
      </c>
      <c r="N61" s="125">
        <f>G61-J61</f>
        <v>67</v>
      </c>
      <c r="O61" s="1167">
        <f>K61-M61</f>
        <v>0</v>
      </c>
      <c r="P61" s="125">
        <f>L61-N61</f>
        <v>0</v>
      </c>
      <c r="Q61" s="367">
        <f>DATE(YEAR(S61),MONTH(S61)+G61,DAY(S61))</f>
        <v>45292</v>
      </c>
      <c r="R61" s="125" t="s">
        <v>445</v>
      </c>
      <c r="S61" s="128">
        <v>41640</v>
      </c>
      <c r="T61" s="7">
        <v>200</v>
      </c>
      <c r="U61" s="1169">
        <v>179.97</v>
      </c>
      <c r="V61" s="776">
        <v>20.03</v>
      </c>
      <c r="W61" s="776">
        <f>U61</f>
        <v>179.97</v>
      </c>
      <c r="X61" s="134">
        <v>1.67</v>
      </c>
      <c r="Y61" s="7">
        <f>X61*5</f>
        <v>8.35</v>
      </c>
      <c r="Z61" s="129">
        <f>W61-Y61</f>
        <v>171.62</v>
      </c>
      <c r="AA61" s="64">
        <v>115.958</v>
      </c>
      <c r="AB61" s="82">
        <v>107.678</v>
      </c>
      <c r="AC61" s="64">
        <f>AA61/AB61</f>
        <v>1.0768959304593324</v>
      </c>
      <c r="AD61" s="62">
        <f>Z61*M61/100/K61*100/7</f>
        <v>24.517142857142858</v>
      </c>
      <c r="AE61" s="62">
        <f>AD61*AC61</f>
        <v>26.402411369347234</v>
      </c>
      <c r="AF61" s="62"/>
      <c r="AG61" s="62"/>
      <c r="AH61" s="62"/>
      <c r="AI61" s="62"/>
      <c r="AJ61" s="62"/>
      <c r="AK61" s="62">
        <f>AE61</f>
        <v>26.402411369347234</v>
      </c>
      <c r="AL61" s="62">
        <v>1.794338636751754</v>
      </c>
      <c r="AM61" s="62">
        <v>1.794338636751754</v>
      </c>
      <c r="AN61" s="62">
        <v>1.794338636751754</v>
      </c>
      <c r="AO61" s="62">
        <v>1.794338636751754</v>
      </c>
      <c r="AP61" s="62">
        <v>1.794338636751754</v>
      </c>
      <c r="AQ61" s="62">
        <v>1.794338636751754</v>
      </c>
      <c r="AR61" s="62">
        <f>SUM(AF61:AQ61)</f>
        <v>37.168443189857754</v>
      </c>
      <c r="AS61" s="1169">
        <f>Z61-AR61</f>
        <v>134.45155681014225</v>
      </c>
      <c r="AT61" s="62"/>
      <c r="AU61" s="62"/>
      <c r="AV61" s="62">
        <f>$AQ61</f>
        <v>1.794338636751754</v>
      </c>
      <c r="AW61" s="62">
        <f t="shared" si="48"/>
        <v>1.794338636751754</v>
      </c>
      <c r="AX61" s="62">
        <f t="shared" si="48"/>
        <v>1.794338636751754</v>
      </c>
      <c r="AY61" s="62">
        <f t="shared" si="48"/>
        <v>1.794338636751754</v>
      </c>
      <c r="AZ61" s="62">
        <f t="shared" si="48"/>
        <v>1.794338636751754</v>
      </c>
      <c r="BA61" s="82">
        <v>118.901</v>
      </c>
      <c r="BB61" s="82">
        <v>107.678</v>
      </c>
      <c r="BC61" s="64">
        <f>BA61/BB61</f>
        <v>1.1042274187856387</v>
      </c>
      <c r="BD61" s="1167">
        <f>T61/(D61*12)</f>
        <v>1.6666666666666667</v>
      </c>
      <c r="BE61" s="1167">
        <f>BD61*BC61</f>
        <v>1.840379031309398</v>
      </c>
      <c r="BF61" s="62">
        <f>$BE61</f>
        <v>1.840379031309398</v>
      </c>
      <c r="BG61" s="62">
        <f>$BE61</f>
        <v>1.840379031309398</v>
      </c>
      <c r="BH61" s="62">
        <f>$BE61</f>
        <v>1.840379031309398</v>
      </c>
      <c r="BI61" s="62">
        <f>$BE61</f>
        <v>1.840379031309398</v>
      </c>
      <c r="BJ61" s="62">
        <v>1.84</v>
      </c>
      <c r="BK61" s="62">
        <v>1.84</v>
      </c>
      <c r="BL61" s="62">
        <v>1.84</v>
      </c>
      <c r="BM61" s="62">
        <f>SUM((AV61:AZ61),(BF61:BL61))</f>
        <v>21.853209308996362</v>
      </c>
      <c r="BN61" s="927">
        <f>(AS61-BM61)</f>
        <v>112.59834750114589</v>
      </c>
      <c r="BO61" s="62">
        <f>$BE61</f>
        <v>1.840379031309398</v>
      </c>
      <c r="BP61" s="62">
        <f>$BE61</f>
        <v>1.840379031309398</v>
      </c>
      <c r="BQ61" s="62">
        <f>$BE61</f>
        <v>1.840379031309398</v>
      </c>
      <c r="BR61" s="62">
        <f>$BE61</f>
        <v>1.840379031309398</v>
      </c>
      <c r="BS61" s="62">
        <f>$BE61</f>
        <v>1.840379031309398</v>
      </c>
      <c r="BT61" s="62">
        <f>SUM(BO61:BS61)</f>
        <v>9.2018951565469891</v>
      </c>
      <c r="BU61" s="927">
        <v>128.00452507719439</v>
      </c>
      <c r="BV61" s="64">
        <v>126.408</v>
      </c>
      <c r="BW61" s="64">
        <v>109.074</v>
      </c>
      <c r="BX61" s="64">
        <f>BV61/BW61</f>
        <v>1.1589196325430442</v>
      </c>
      <c r="BY61" s="1204">
        <f>BU61/J61</f>
        <v>2.41517971843763</v>
      </c>
      <c r="BZ61" s="62">
        <f>BY61*BX61</f>
        <v>2.7989991918171513</v>
      </c>
      <c r="CA61" s="756">
        <v>3.618218467470951</v>
      </c>
      <c r="CB61" s="756">
        <v>3.618218467470951</v>
      </c>
      <c r="CC61" s="756">
        <v>3.618218467470951</v>
      </c>
      <c r="CD61" s="756">
        <v>3.618218467470951</v>
      </c>
      <c r="CE61" s="756">
        <v>3.618218467470951</v>
      </c>
      <c r="CF61" s="756">
        <v>3.618218467470951</v>
      </c>
      <c r="CG61" s="756">
        <v>3.618218467470951</v>
      </c>
      <c r="CH61" s="510">
        <f>SUM(CA61:CG61)</f>
        <v>25.327529272296655</v>
      </c>
      <c r="CI61" s="439">
        <f>BU61-CH61</f>
        <v>102.67699580489773</v>
      </c>
      <c r="CJ61" s="756">
        <v>3.618218467470951</v>
      </c>
      <c r="CK61" s="756">
        <v>3.618218467470951</v>
      </c>
      <c r="CL61" s="756">
        <v>3.618218467470951</v>
      </c>
      <c r="CM61" s="756">
        <v>3.618218467470951</v>
      </c>
      <c r="CN61" s="756">
        <v>3.618218467470951</v>
      </c>
      <c r="CO61" s="1170">
        <f t="shared" si="0"/>
        <v>18.091092337354755</v>
      </c>
      <c r="CP61" s="1085">
        <f t="shared" si="1"/>
        <v>84.585903467542977</v>
      </c>
      <c r="CQ61" s="1195">
        <v>132.28200000000001</v>
      </c>
      <c r="CR61" s="1190">
        <v>109.074</v>
      </c>
      <c r="CS61" s="1196">
        <f>CQ61/CR61</f>
        <v>1.2127729798118709</v>
      </c>
      <c r="CT61" s="538">
        <f>CP61/L61</f>
        <v>1.2624761711573578</v>
      </c>
      <c r="CU61" s="538">
        <f>CS61*CT61</f>
        <v>1.5310969880359904</v>
      </c>
      <c r="CV61" s="538">
        <v>1.5310969880359904</v>
      </c>
      <c r="CW61" s="538">
        <v>1.5310969880359904</v>
      </c>
      <c r="CX61" s="538">
        <v>1.5310969880359904</v>
      </c>
      <c r="CY61" s="538">
        <v>1.5310969880359904</v>
      </c>
      <c r="CZ61" s="538">
        <v>1.5310969880359904</v>
      </c>
      <c r="DA61" s="538">
        <v>1.5310969880359904</v>
      </c>
      <c r="DB61" s="538">
        <v>1.5310969880359904</v>
      </c>
      <c r="DC61" s="538">
        <v>1.5310969880359904</v>
      </c>
      <c r="DD61" s="538">
        <v>1.5310969880359904</v>
      </c>
      <c r="DE61" s="538">
        <v>1.5310969880359904</v>
      </c>
      <c r="DF61" s="538">
        <v>1.5310969880359904</v>
      </c>
      <c r="DG61" s="538">
        <v>1.5310969880359904</v>
      </c>
      <c r="DH61" s="538">
        <v>1.5310969880359904</v>
      </c>
      <c r="DI61" s="538">
        <v>1.5310969880359904</v>
      </c>
      <c r="DJ61" s="538">
        <v>1.5310969880359904</v>
      </c>
      <c r="DK61" s="538">
        <v>1.5310969880359904</v>
      </c>
      <c r="DL61" s="538">
        <v>1.5310969880359904</v>
      </c>
      <c r="DM61" s="538">
        <v>1.5310969880359904</v>
      </c>
      <c r="DN61" s="538">
        <f t="shared" si="3"/>
        <v>27.559745784647827</v>
      </c>
      <c r="DO61" s="1085">
        <f t="shared" si="2"/>
        <v>57.026157682895146</v>
      </c>
    </row>
    <row r="62" spans="1:323" s="16" customFormat="1" ht="15" x14ac:dyDescent="0.2">
      <c r="A62" s="120" t="s">
        <v>65</v>
      </c>
      <c r="B62" s="120" t="s">
        <v>88</v>
      </c>
      <c r="C62" s="124"/>
      <c r="D62" s="143"/>
      <c r="E62" s="28"/>
      <c r="F62" s="46"/>
      <c r="G62" s="58"/>
      <c r="H62" s="145"/>
      <c r="I62" s="165"/>
      <c r="J62" s="48"/>
      <c r="K62" s="165"/>
      <c r="L62" s="48"/>
      <c r="M62" s="165"/>
      <c r="N62" s="48"/>
      <c r="O62" s="165"/>
      <c r="P62" s="48"/>
      <c r="Q62" s="48"/>
      <c r="R62" s="125"/>
      <c r="S62" s="119"/>
      <c r="T62" s="7"/>
      <c r="U62" s="113"/>
      <c r="V62" s="776"/>
      <c r="W62" s="776"/>
      <c r="X62" s="47"/>
      <c r="Y62" s="106"/>
      <c r="Z62" s="257"/>
      <c r="AA62" s="57"/>
      <c r="AB62" s="82"/>
      <c r="AC62" s="57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72"/>
      <c r="AT62" s="55"/>
      <c r="AU62" s="55"/>
      <c r="AV62" s="55">
        <f t="shared" ref="AV62:AZ63" si="49">$AQ62</f>
        <v>0</v>
      </c>
      <c r="AW62" s="55">
        <f t="shared" si="49"/>
        <v>0</v>
      </c>
      <c r="AX62" s="55">
        <f t="shared" si="49"/>
        <v>0</v>
      </c>
      <c r="AY62" s="55">
        <f t="shared" si="49"/>
        <v>0</v>
      </c>
      <c r="AZ62" s="55">
        <f t="shared" si="49"/>
        <v>0</v>
      </c>
      <c r="BA62" s="57"/>
      <c r="BB62" s="82"/>
      <c r="BC62" s="57"/>
      <c r="BD62" s="165"/>
      <c r="BE62" s="165"/>
      <c r="BF62" s="55"/>
      <c r="BG62" s="55"/>
      <c r="BH62" s="55"/>
      <c r="BI62" s="55"/>
      <c r="BJ62" s="55"/>
      <c r="BK62" s="55"/>
      <c r="BL62" s="55"/>
      <c r="BM62" s="55"/>
      <c r="BN62" s="448"/>
      <c r="BO62" s="55"/>
      <c r="BP62" s="55"/>
      <c r="BQ62" s="55"/>
      <c r="BR62" s="55"/>
      <c r="BS62" s="55"/>
      <c r="BT62" s="55"/>
      <c r="BU62" s="448"/>
      <c r="BV62" s="28"/>
      <c r="BW62" s="136"/>
      <c r="BX62" s="28"/>
      <c r="BY62" s="28"/>
      <c r="BZ62" s="28"/>
      <c r="CA62" s="755"/>
      <c r="CB62" s="755"/>
      <c r="CC62" s="755"/>
      <c r="CD62" s="755"/>
      <c r="CE62" s="755"/>
      <c r="CF62" s="755"/>
      <c r="CG62" s="755"/>
      <c r="CH62" s="28"/>
      <c r="CI62" s="28"/>
      <c r="CJ62" s="755"/>
      <c r="CK62" s="755"/>
      <c r="CL62" s="755"/>
      <c r="CM62" s="755"/>
      <c r="CN62" s="755"/>
      <c r="CO62" s="505"/>
      <c r="CP62" s="1085"/>
      <c r="CQ62" s="516"/>
      <c r="CR62" s="1120"/>
      <c r="CS62" s="1087"/>
      <c r="CT62" s="516"/>
      <c r="CU62" s="516"/>
      <c r="CV62" s="516"/>
      <c r="CW62" s="516"/>
      <c r="CX62" s="516"/>
      <c r="CY62" s="516"/>
      <c r="CZ62" s="516"/>
      <c r="DA62" s="516"/>
      <c r="DB62" s="516"/>
      <c r="DC62" s="516"/>
      <c r="DD62" s="516"/>
      <c r="DE62" s="516"/>
      <c r="DF62" s="516"/>
      <c r="DG62" s="516"/>
      <c r="DH62" s="516"/>
      <c r="DI62" s="516"/>
      <c r="DJ62" s="516"/>
      <c r="DK62" s="516"/>
      <c r="DL62" s="516"/>
      <c r="DM62" s="516"/>
      <c r="DN62" s="516">
        <f t="shared" si="3"/>
        <v>0</v>
      </c>
      <c r="DO62" s="1085"/>
    </row>
    <row r="63" spans="1:323" s="16" customFormat="1" ht="15" x14ac:dyDescent="0.2">
      <c r="A63" s="120" t="s">
        <v>222</v>
      </c>
      <c r="B63" s="126"/>
      <c r="C63" s="45"/>
      <c r="D63" s="143"/>
      <c r="E63" s="28"/>
      <c r="F63" s="46"/>
      <c r="G63" s="58"/>
      <c r="H63" s="145"/>
      <c r="I63" s="165"/>
      <c r="J63" s="48"/>
      <c r="K63" s="165"/>
      <c r="L63" s="48"/>
      <c r="M63" s="165"/>
      <c r="N63" s="48"/>
      <c r="O63" s="165"/>
      <c r="P63" s="48"/>
      <c r="Q63" s="48"/>
      <c r="R63" s="125"/>
      <c r="S63" s="128"/>
      <c r="T63" s="7"/>
      <c r="U63" s="72"/>
      <c r="V63" s="776"/>
      <c r="W63" s="776"/>
      <c r="X63" s="47"/>
      <c r="Y63" s="106"/>
      <c r="Z63" s="257"/>
      <c r="AA63" s="57"/>
      <c r="AB63" s="80"/>
      <c r="AC63" s="57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72"/>
      <c r="AT63" s="55"/>
      <c r="AU63" s="55"/>
      <c r="AV63" s="55">
        <f t="shared" si="49"/>
        <v>0</v>
      </c>
      <c r="AW63" s="55">
        <f t="shared" si="49"/>
        <v>0</v>
      </c>
      <c r="AX63" s="55">
        <f t="shared" si="49"/>
        <v>0</v>
      </c>
      <c r="AY63" s="55">
        <f t="shared" si="49"/>
        <v>0</v>
      </c>
      <c r="AZ63" s="55">
        <f t="shared" si="49"/>
        <v>0</v>
      </c>
      <c r="BA63" s="57"/>
      <c r="BB63" s="80"/>
      <c r="BC63" s="57"/>
      <c r="BD63" s="165"/>
      <c r="BE63" s="165"/>
      <c r="BF63" s="55"/>
      <c r="BG63" s="55"/>
      <c r="BH63" s="55"/>
      <c r="BI63" s="55"/>
      <c r="BJ63" s="55"/>
      <c r="BK63" s="55"/>
      <c r="BL63" s="55"/>
      <c r="BM63" s="55"/>
      <c r="BN63" s="448"/>
      <c r="BO63" s="55"/>
      <c r="BP63" s="55"/>
      <c r="BQ63" s="55"/>
      <c r="BR63" s="55"/>
      <c r="BS63" s="55"/>
      <c r="BT63" s="55"/>
      <c r="BU63" s="448"/>
      <c r="BV63" s="28"/>
      <c r="BW63" s="136"/>
      <c r="BX63" s="28"/>
      <c r="BY63" s="28"/>
      <c r="BZ63" s="28"/>
      <c r="CA63" s="755"/>
      <c r="CB63" s="755"/>
      <c r="CC63" s="755"/>
      <c r="CD63" s="755"/>
      <c r="CE63" s="755"/>
      <c r="CF63" s="755"/>
      <c r="CG63" s="755"/>
      <c r="CH63" s="28"/>
      <c r="CI63" s="28"/>
      <c r="CJ63" s="755"/>
      <c r="CK63" s="755"/>
      <c r="CL63" s="755"/>
      <c r="CM63" s="755"/>
      <c r="CN63" s="755"/>
      <c r="CO63" s="505"/>
      <c r="CP63" s="1085"/>
      <c r="CQ63" s="520"/>
      <c r="CR63" s="1120"/>
      <c r="CS63" s="1087"/>
      <c r="CT63" s="516"/>
      <c r="CU63" s="516"/>
      <c r="CV63" s="516"/>
      <c r="CW63" s="516"/>
      <c r="CX63" s="516"/>
      <c r="CY63" s="516"/>
      <c r="CZ63" s="516"/>
      <c r="DA63" s="516"/>
      <c r="DB63" s="516"/>
      <c r="DC63" s="516"/>
      <c r="DD63" s="516"/>
      <c r="DE63" s="516"/>
      <c r="DF63" s="516"/>
      <c r="DG63" s="516"/>
      <c r="DH63" s="516"/>
      <c r="DI63" s="516"/>
      <c r="DJ63" s="516"/>
      <c r="DK63" s="516"/>
      <c r="DL63" s="516"/>
      <c r="DM63" s="516"/>
      <c r="DN63" s="516">
        <f t="shared" si="3"/>
        <v>0</v>
      </c>
      <c r="DO63" s="1085"/>
    </row>
    <row r="64" spans="1:323" s="16" customFormat="1" ht="15" x14ac:dyDescent="0.2">
      <c r="A64" s="119" t="s">
        <v>290</v>
      </c>
      <c r="B64" s="100" t="s">
        <v>93</v>
      </c>
      <c r="C64" s="45" t="s">
        <v>355</v>
      </c>
      <c r="D64" s="125">
        <v>10</v>
      </c>
      <c r="E64" s="127">
        <v>0.1</v>
      </c>
      <c r="F64" s="46">
        <v>43281</v>
      </c>
      <c r="G64" s="58">
        <v>120</v>
      </c>
      <c r="H64" s="145">
        <f>100/G64</f>
        <v>0.83333333333333337</v>
      </c>
      <c r="I64" s="165">
        <v>0</v>
      </c>
      <c r="J64" s="48">
        <f>(YEAR(F64)-YEAR(S64))*12+MONTH(F64)-MONTH(S64)</f>
        <v>17</v>
      </c>
      <c r="K64" s="165">
        <f>L64*H64</f>
        <v>0</v>
      </c>
      <c r="L64" s="48">
        <v>0</v>
      </c>
      <c r="M64" s="165">
        <f>N64*H64</f>
        <v>85.833333333333343</v>
      </c>
      <c r="N64" s="48">
        <f>G64-J64</f>
        <v>103</v>
      </c>
      <c r="O64" s="165">
        <f>K64-M64</f>
        <v>-85.833333333333343</v>
      </c>
      <c r="P64" s="48">
        <f>L64-N64</f>
        <v>-103</v>
      </c>
      <c r="Q64" s="462">
        <f>DATE(YEAR(S64),MONTH(S64)+G64,DAY(S64))</f>
        <v>46398</v>
      </c>
      <c r="R64" s="125" t="s">
        <v>1106</v>
      </c>
      <c r="S64" s="132">
        <v>42746</v>
      </c>
      <c r="T64" s="107">
        <v>749</v>
      </c>
      <c r="U64" s="72">
        <v>4091.5661414999995</v>
      </c>
      <c r="V64" s="776">
        <v>2045.4138585000003</v>
      </c>
      <c r="W64" s="776">
        <f>U64</f>
        <v>4091.5661414999995</v>
      </c>
      <c r="X64" s="47">
        <v>170.45</v>
      </c>
      <c r="Y64" s="106">
        <f>X64*5</f>
        <v>852.25</v>
      </c>
      <c r="Z64" s="258">
        <f>W64-Y64</f>
        <v>3239.3161414999995</v>
      </c>
      <c r="AA64" s="57">
        <v>115.958</v>
      </c>
      <c r="AB64" s="80">
        <v>141.857</v>
      </c>
      <c r="AC64" s="57">
        <f>AA64/AB64</f>
        <v>0.81742881916295984</v>
      </c>
      <c r="AD64" s="55">
        <f>Z64/7</f>
        <v>462.7594487857142</v>
      </c>
      <c r="AE64" s="55">
        <f>AD64*AC64</f>
        <v>378.27290977740853</v>
      </c>
      <c r="AF64" s="55"/>
      <c r="AG64" s="55"/>
      <c r="AH64" s="55"/>
      <c r="AI64" s="55"/>
      <c r="AJ64" s="55"/>
      <c r="AK64" s="55">
        <f>AE64</f>
        <v>378.27290977740853</v>
      </c>
      <c r="AL64" s="55">
        <v>378.27290977740853</v>
      </c>
      <c r="AM64" s="55">
        <v>378.27290977740853</v>
      </c>
      <c r="AN64" s="55">
        <v>378.27290977740853</v>
      </c>
      <c r="AO64" s="55">
        <v>378.27290977740853</v>
      </c>
      <c r="AP64" s="55">
        <v>378.27290977740853</v>
      </c>
      <c r="AQ64" s="55">
        <v>378.27290977740853</v>
      </c>
      <c r="AR64" s="55">
        <f>SUM(AF64:AQ64)</f>
        <v>2647.9103684418596</v>
      </c>
      <c r="AS64" s="72">
        <v>749</v>
      </c>
      <c r="AT64" s="55"/>
      <c r="AU64" s="55"/>
      <c r="AV64" s="55">
        <f>$AQ64</f>
        <v>378.27290977740853</v>
      </c>
      <c r="AW64" s="55">
        <v>212.13</v>
      </c>
      <c r="AX64" s="55"/>
      <c r="AY64" s="55"/>
      <c r="AZ64" s="55"/>
      <c r="BA64" s="80">
        <v>118.901</v>
      </c>
      <c r="BB64" s="80">
        <v>124.598</v>
      </c>
      <c r="BC64" s="57">
        <f>BA64/BB64</f>
        <v>0.95427695468627105</v>
      </c>
      <c r="BD64" s="165">
        <f>T64/(D64*12)</f>
        <v>6.2416666666666663</v>
      </c>
      <c r="BE64" s="165">
        <f>BD64*BC64</f>
        <v>5.9562786588334751</v>
      </c>
      <c r="BF64" s="55"/>
      <c r="BG64" s="55"/>
      <c r="BH64" s="55"/>
      <c r="BI64" s="55"/>
      <c r="BJ64" s="55"/>
      <c r="BK64" s="55"/>
      <c r="BL64" s="55"/>
      <c r="BM64" s="55">
        <f>SUM((AV64:AZ64),(BF64:BL64))</f>
        <v>590.40290977740847</v>
      </c>
      <c r="BN64" s="448">
        <v>0</v>
      </c>
      <c r="BO64" s="55"/>
      <c r="BP64" s="55"/>
      <c r="BQ64" s="55">
        <v>5.96</v>
      </c>
      <c r="BR64" s="55">
        <v>5.96</v>
      </c>
      <c r="BS64" s="55">
        <v>5.96</v>
      </c>
      <c r="BT64" s="55">
        <f>SUM(BO64:BS64)</f>
        <v>17.88</v>
      </c>
      <c r="BU64" s="448">
        <v>731.12</v>
      </c>
      <c r="BV64" s="57">
        <v>126.408</v>
      </c>
      <c r="BW64" s="57">
        <v>109.074</v>
      </c>
      <c r="BX64" s="57">
        <f>BV64/BW64</f>
        <v>1.1589196325430442</v>
      </c>
      <c r="BY64" s="753">
        <f>BU64/J64</f>
        <v>43.007058823529412</v>
      </c>
      <c r="BZ64" s="55">
        <f>BY64*BX64</f>
        <v>49.841724808521796</v>
      </c>
      <c r="CA64" s="754">
        <v>169.46186434897407</v>
      </c>
      <c r="CB64" s="754">
        <v>169.46186434897407</v>
      </c>
      <c r="CC64" s="754">
        <v>169.46186434897407</v>
      </c>
      <c r="CD64" s="754">
        <v>169.46186434897407</v>
      </c>
      <c r="CE64" s="754">
        <v>52.27</v>
      </c>
      <c r="CF64" s="754">
        <v>0</v>
      </c>
      <c r="CG64" s="754">
        <v>0</v>
      </c>
      <c r="CH64" s="429">
        <f>SUM(CA64:CG64)</f>
        <v>730.11745739589628</v>
      </c>
      <c r="CI64" s="439">
        <f>BU64-CH64</f>
        <v>1.0025426041037235</v>
      </c>
      <c r="CJ64" s="754">
        <v>0</v>
      </c>
      <c r="CK64" s="754">
        <v>0</v>
      </c>
      <c r="CL64" s="754">
        <v>0</v>
      </c>
      <c r="CM64" s="754">
        <v>0</v>
      </c>
      <c r="CN64" s="754">
        <v>0</v>
      </c>
      <c r="CO64" s="505">
        <f t="shared" si="0"/>
        <v>0</v>
      </c>
      <c r="CP64" s="1085">
        <f t="shared" si="1"/>
        <v>1.0025426041037235</v>
      </c>
      <c r="CQ64" s="1086">
        <v>132.28200000000001</v>
      </c>
      <c r="CR64" s="514">
        <v>109.074</v>
      </c>
      <c r="CS64" s="1087">
        <f>CQ64/CR64</f>
        <v>1.2127729798118709</v>
      </c>
      <c r="CT64" s="516">
        <v>0</v>
      </c>
      <c r="CU64" s="516">
        <f>CT64*CS64</f>
        <v>0</v>
      </c>
      <c r="CV64" s="516">
        <v>0</v>
      </c>
      <c r="CW64" s="516">
        <v>0</v>
      </c>
      <c r="CX64" s="516">
        <v>0</v>
      </c>
      <c r="CY64" s="516">
        <v>0</v>
      </c>
      <c r="CZ64" s="516">
        <v>0</v>
      </c>
      <c r="DA64" s="516">
        <v>0</v>
      </c>
      <c r="DB64" s="516">
        <v>0</v>
      </c>
      <c r="DC64" s="516">
        <v>0</v>
      </c>
      <c r="DD64" s="516">
        <v>0</v>
      </c>
      <c r="DE64" s="516">
        <v>0</v>
      </c>
      <c r="DF64" s="516">
        <v>0</v>
      </c>
      <c r="DG64" s="516">
        <v>0</v>
      </c>
      <c r="DH64" s="516">
        <v>0</v>
      </c>
      <c r="DI64" s="516">
        <v>0</v>
      </c>
      <c r="DJ64" s="516">
        <v>0</v>
      </c>
      <c r="DK64" s="516">
        <v>0</v>
      </c>
      <c r="DL64" s="516">
        <v>0</v>
      </c>
      <c r="DM64" s="516">
        <v>0</v>
      </c>
      <c r="DN64" s="516">
        <f t="shared" si="3"/>
        <v>0</v>
      </c>
      <c r="DO64" s="1085">
        <f t="shared" si="2"/>
        <v>1.0025426041037235</v>
      </c>
    </row>
    <row r="65" spans="1:323" s="16" customFormat="1" ht="15" x14ac:dyDescent="0.2">
      <c r="A65" s="124" t="s">
        <v>65</v>
      </c>
      <c r="B65" s="100"/>
      <c r="C65" s="45"/>
      <c r="D65" s="58"/>
      <c r="E65" s="53"/>
      <c r="F65" s="46"/>
      <c r="G65" s="48"/>
      <c r="H65" s="145"/>
      <c r="I65" s="165"/>
      <c r="J65" s="48"/>
      <c r="K65" s="165"/>
      <c r="L65" s="48"/>
      <c r="M65" s="165"/>
      <c r="N65" s="48"/>
      <c r="O65" s="165"/>
      <c r="P65" s="48"/>
      <c r="Q65" s="46"/>
      <c r="R65" s="48"/>
      <c r="S65" s="46"/>
      <c r="T65" s="47"/>
      <c r="U65" s="57"/>
      <c r="V65" s="55"/>
      <c r="W65" s="55"/>
      <c r="X65" s="57"/>
      <c r="Y65" s="374"/>
      <c r="Z65" s="57"/>
      <c r="AA65" s="374"/>
      <c r="AB65" s="55"/>
      <c r="AC65" s="55"/>
      <c r="AD65" s="55"/>
      <c r="AE65" s="55"/>
      <c r="AF65" s="55"/>
      <c r="AG65" s="55"/>
      <c r="AH65" s="55"/>
      <c r="AI65" s="55"/>
      <c r="AJ65" s="55"/>
      <c r="AK65" s="72"/>
      <c r="AL65" s="72"/>
      <c r="AM65" s="72"/>
      <c r="AN65" s="72"/>
      <c r="AO65" s="72"/>
      <c r="AP65" s="72"/>
      <c r="AQ65" s="429"/>
      <c r="AR65" s="429"/>
      <c r="AS65" s="429"/>
      <c r="AT65" s="55"/>
      <c r="AU65" s="55"/>
      <c r="AV65" s="55"/>
      <c r="AW65" s="55"/>
      <c r="AX65" s="55"/>
      <c r="AY65" s="55"/>
      <c r="AZ65" s="55"/>
      <c r="BA65" s="80"/>
      <c r="BB65" s="374"/>
      <c r="BC65" s="57"/>
      <c r="BD65" s="165"/>
      <c r="BE65" s="165"/>
      <c r="BF65" s="55"/>
      <c r="BG65" s="55"/>
      <c r="BH65" s="55"/>
      <c r="BI65" s="55"/>
      <c r="BJ65" s="55"/>
      <c r="BK65" s="55"/>
      <c r="BL65" s="55"/>
      <c r="BM65" s="55"/>
      <c r="BN65" s="448"/>
      <c r="BO65" s="55"/>
      <c r="BP65" s="55"/>
      <c r="BQ65" s="55"/>
      <c r="BR65" s="55"/>
      <c r="BS65" s="55"/>
      <c r="BT65" s="55"/>
      <c r="BU65" s="448"/>
      <c r="BV65" s="57"/>
      <c r="BW65" s="57"/>
      <c r="BX65" s="57"/>
      <c r="BY65" s="753"/>
      <c r="BZ65" s="55"/>
      <c r="CA65" s="754"/>
      <c r="CB65" s="754"/>
      <c r="CC65" s="754"/>
      <c r="CD65" s="754"/>
      <c r="CE65" s="754"/>
      <c r="CF65" s="754"/>
      <c r="CG65" s="754"/>
      <c r="CH65" s="429"/>
      <c r="CI65" s="439"/>
      <c r="CJ65" s="754"/>
      <c r="CK65" s="754"/>
      <c r="CL65" s="754"/>
      <c r="CM65" s="754"/>
      <c r="CN65" s="754"/>
      <c r="CO65" s="505"/>
      <c r="CP65" s="1085"/>
      <c r="CQ65" s="520"/>
      <c r="CR65" s="514"/>
      <c r="CS65" s="1087"/>
      <c r="CT65" s="516"/>
      <c r="CU65" s="516"/>
      <c r="CV65" s="516"/>
      <c r="CW65" s="516"/>
      <c r="CX65" s="516"/>
      <c r="CY65" s="516"/>
      <c r="CZ65" s="516"/>
      <c r="DA65" s="516"/>
      <c r="DB65" s="516"/>
      <c r="DC65" s="516"/>
      <c r="DD65" s="516"/>
      <c r="DE65" s="516"/>
      <c r="DF65" s="516"/>
      <c r="DG65" s="516"/>
      <c r="DH65" s="516"/>
      <c r="DI65" s="516"/>
      <c r="DJ65" s="516"/>
      <c r="DK65" s="516"/>
      <c r="DL65" s="516"/>
      <c r="DM65" s="516"/>
      <c r="DN65" s="516">
        <f t="shared" si="3"/>
        <v>0</v>
      </c>
      <c r="DO65" s="1085"/>
    </row>
    <row r="66" spans="1:323" s="16" customFormat="1" ht="15" x14ac:dyDescent="0.2">
      <c r="A66" s="328" t="s">
        <v>1185</v>
      </c>
      <c r="D66" s="329"/>
      <c r="E66" s="342"/>
      <c r="F66" s="46"/>
      <c r="G66" s="331"/>
      <c r="H66" s="332"/>
      <c r="I66" s="333"/>
      <c r="J66" s="44"/>
      <c r="K66" s="333"/>
      <c r="L66" s="331"/>
      <c r="M66" s="333"/>
      <c r="N66" s="331"/>
      <c r="O66" s="333"/>
      <c r="P66" s="331"/>
      <c r="Q66" s="462"/>
      <c r="R66" s="331"/>
      <c r="S66" s="330"/>
      <c r="T66" s="335"/>
      <c r="U66" s="337"/>
      <c r="V66" s="338"/>
      <c r="W66" s="338"/>
      <c r="X66" s="337"/>
      <c r="Y66" s="345"/>
      <c r="Z66" s="337"/>
      <c r="AA66" s="345"/>
      <c r="AB66" s="338"/>
      <c r="AC66" s="338"/>
      <c r="AD66" s="338"/>
      <c r="AE66" s="338"/>
      <c r="AF66" s="338"/>
      <c r="AG66" s="338"/>
      <c r="AH66" s="338"/>
      <c r="AI66" s="338"/>
      <c r="AJ66" s="338"/>
      <c r="AK66" s="339"/>
      <c r="AL66" s="339"/>
      <c r="AM66" s="339"/>
      <c r="AN66" s="339"/>
      <c r="AO66" s="339"/>
      <c r="AP66" s="339"/>
      <c r="AQ66" s="493"/>
      <c r="AR66" s="493"/>
      <c r="AS66" s="493"/>
      <c r="AT66" s="55"/>
      <c r="AU66" s="55"/>
      <c r="AV66" s="55"/>
      <c r="AW66" s="55"/>
      <c r="AX66" s="55"/>
      <c r="AY66" s="55"/>
      <c r="AZ66" s="55"/>
      <c r="BA66" s="80"/>
      <c r="BB66" s="345"/>
      <c r="BC66" s="57"/>
      <c r="BD66" s="165"/>
      <c r="BE66" s="165"/>
      <c r="BF66" s="55"/>
      <c r="BG66" s="55"/>
      <c r="BH66" s="55"/>
      <c r="BI66" s="55"/>
      <c r="BJ66" s="55"/>
      <c r="BK66" s="55"/>
      <c r="BL66" s="55"/>
      <c r="BM66" s="55"/>
      <c r="BN66" s="448"/>
      <c r="BO66" s="55"/>
      <c r="BP66" s="55"/>
      <c r="BQ66" s="55"/>
      <c r="BR66" s="55"/>
      <c r="BS66" s="55"/>
      <c r="BT66" s="55"/>
      <c r="BU66" s="448"/>
      <c r="BV66" s="57"/>
      <c r="BW66" s="57"/>
      <c r="BX66" s="57"/>
      <c r="BY66" s="753"/>
      <c r="BZ66" s="55"/>
      <c r="CA66" s="754"/>
      <c r="CB66" s="754"/>
      <c r="CC66" s="754"/>
      <c r="CD66" s="754"/>
      <c r="CE66" s="754"/>
      <c r="CF66" s="754"/>
      <c r="CG66" s="754"/>
      <c r="CH66" s="429"/>
      <c r="CI66" s="439"/>
      <c r="CJ66" s="754"/>
      <c r="CK66" s="754"/>
      <c r="CL66" s="754"/>
      <c r="CM66" s="754"/>
      <c r="CN66" s="754"/>
      <c r="CO66" s="505"/>
      <c r="CP66" s="1085"/>
      <c r="CQ66" s="1086"/>
      <c r="CR66" s="514"/>
      <c r="CS66" s="1087"/>
      <c r="CT66" s="516"/>
      <c r="CU66" s="516"/>
      <c r="CV66" s="516"/>
      <c r="CW66" s="516"/>
      <c r="CX66" s="516"/>
      <c r="CY66" s="516"/>
      <c r="CZ66" s="516"/>
      <c r="DA66" s="516"/>
      <c r="DB66" s="516"/>
      <c r="DC66" s="516"/>
      <c r="DD66" s="516"/>
      <c r="DE66" s="516"/>
      <c r="DF66" s="516"/>
      <c r="DG66" s="516"/>
      <c r="DH66" s="516"/>
      <c r="DI66" s="516"/>
      <c r="DJ66" s="516"/>
      <c r="DK66" s="516"/>
      <c r="DL66" s="516"/>
      <c r="DM66" s="516"/>
      <c r="DN66" s="516">
        <f t="shared" si="3"/>
        <v>0</v>
      </c>
      <c r="DO66" s="1085"/>
    </row>
    <row r="67" spans="1:323" s="16" customFormat="1" ht="15" x14ac:dyDescent="0.2">
      <c r="A67" s="328" t="s">
        <v>1186</v>
      </c>
      <c r="B67" s="788" t="s">
        <v>1184</v>
      </c>
      <c r="C67" s="45" t="s">
        <v>355</v>
      </c>
      <c r="D67" s="58">
        <v>10</v>
      </c>
      <c r="E67" s="53">
        <v>0.1</v>
      </c>
      <c r="F67" s="46">
        <v>43281</v>
      </c>
      <c r="G67" s="48">
        <v>120</v>
      </c>
      <c r="H67" s="145">
        <f>100/G67</f>
        <v>0.83333333333333337</v>
      </c>
      <c r="I67" s="165">
        <v>0</v>
      </c>
      <c r="J67" s="48">
        <f>(YEAR(F67)-YEAR(S67))*12+MONTH(F67)-MONTH(S67)</f>
        <v>10</v>
      </c>
      <c r="K67" s="165">
        <f>L67*H67</f>
        <v>91.666666666666671</v>
      </c>
      <c r="L67" s="48">
        <f>G67-J67</f>
        <v>110</v>
      </c>
      <c r="M67" s="165">
        <f>N67*H67</f>
        <v>91.666666666666671</v>
      </c>
      <c r="N67" s="48">
        <f>G67-J67</f>
        <v>110</v>
      </c>
      <c r="O67" s="165" t="s">
        <v>1187</v>
      </c>
      <c r="P67" s="48">
        <f>L67-N67</f>
        <v>0</v>
      </c>
      <c r="Q67" s="46">
        <v>46616</v>
      </c>
      <c r="R67" s="48">
        <v>1197</v>
      </c>
      <c r="S67" s="46">
        <v>42964</v>
      </c>
      <c r="T67" s="47">
        <v>5220</v>
      </c>
      <c r="U67" s="57"/>
      <c r="V67" s="55"/>
      <c r="W67" s="55"/>
      <c r="X67" s="57"/>
      <c r="Y67" s="374"/>
      <c r="Z67" s="57"/>
      <c r="AA67" s="374"/>
      <c r="AB67" s="55"/>
      <c r="AC67" s="55"/>
      <c r="AD67" s="55"/>
      <c r="AE67" s="55"/>
      <c r="AF67" s="55"/>
      <c r="AG67" s="55"/>
      <c r="AH67" s="55"/>
      <c r="AI67" s="55"/>
      <c r="AJ67" s="55"/>
      <c r="AK67" s="72"/>
      <c r="AL67" s="72"/>
      <c r="AM67" s="72"/>
      <c r="AN67" s="72"/>
      <c r="AO67" s="72"/>
      <c r="AP67" s="72"/>
      <c r="AQ67" s="429"/>
      <c r="AR67" s="429"/>
      <c r="AS67" s="429"/>
      <c r="AT67" s="55"/>
      <c r="AU67" s="55"/>
      <c r="AV67" s="55"/>
      <c r="AW67" s="55"/>
      <c r="AX67" s="55"/>
      <c r="AY67" s="55"/>
      <c r="AZ67" s="55"/>
      <c r="BA67" s="80"/>
      <c r="BB67" s="374"/>
      <c r="BC67" s="57"/>
      <c r="BD67" s="165"/>
      <c r="BE67" s="165"/>
      <c r="BF67" s="55"/>
      <c r="BG67" s="55"/>
      <c r="BH67" s="55"/>
      <c r="BI67" s="55"/>
      <c r="BJ67" s="55"/>
      <c r="BK67" s="55"/>
      <c r="BL67" s="55"/>
      <c r="BM67" s="55"/>
      <c r="BN67" s="448"/>
      <c r="BO67" s="55"/>
      <c r="BP67" s="55"/>
      <c r="BQ67" s="55"/>
      <c r="BR67" s="55"/>
      <c r="BS67" s="55"/>
      <c r="BT67" s="55"/>
      <c r="BU67" s="47">
        <v>5220</v>
      </c>
      <c r="BV67" s="57">
        <v>126.408</v>
      </c>
      <c r="BW67" s="57">
        <v>127.51300000000001</v>
      </c>
      <c r="BX67" s="57">
        <f>BV67/BW67</f>
        <v>0.99133421690337453</v>
      </c>
      <c r="BY67" s="62">
        <f>BU67/G67</f>
        <v>43.5</v>
      </c>
      <c r="BZ67" s="62">
        <f>BY67*BX67</f>
        <v>43.123038435296792</v>
      </c>
      <c r="CA67" s="62"/>
      <c r="CB67" s="62"/>
      <c r="CC67" s="62"/>
      <c r="CD67" s="62">
        <v>43.12</v>
      </c>
      <c r="CE67" s="62">
        <v>43.12</v>
      </c>
      <c r="CF67" s="62">
        <v>43.12</v>
      </c>
      <c r="CG67" s="62">
        <v>43.12</v>
      </c>
      <c r="CH67" s="429">
        <f>SUM(CA67:CG67)</f>
        <v>172.48</v>
      </c>
      <c r="CI67" s="510">
        <f>BU67-CH67</f>
        <v>5047.5200000000004</v>
      </c>
      <c r="CJ67" s="62">
        <v>43.12</v>
      </c>
      <c r="CK67" s="62">
        <v>43.12</v>
      </c>
      <c r="CL67" s="62">
        <v>43.12</v>
      </c>
      <c r="CM67" s="62">
        <v>43.12</v>
      </c>
      <c r="CN67" s="62">
        <v>43.12</v>
      </c>
      <c r="CO67" s="505">
        <f t="shared" si="0"/>
        <v>215.6</v>
      </c>
      <c r="CP67" s="1085">
        <f t="shared" si="1"/>
        <v>4831.92</v>
      </c>
      <c r="CQ67" s="1086">
        <v>132.28200000000001</v>
      </c>
      <c r="CR67" s="514">
        <v>127.51300000000001</v>
      </c>
      <c r="CS67" s="1087">
        <f>CQ67/CR67</f>
        <v>1.0374001082242594</v>
      </c>
      <c r="CT67" s="516">
        <f>CP67/L67</f>
        <v>43.926545454545455</v>
      </c>
      <c r="CU67" s="516">
        <f>CS67*CT67</f>
        <v>45.569403008463304</v>
      </c>
      <c r="CV67" s="516">
        <v>45.569403008463304</v>
      </c>
      <c r="CW67" s="516">
        <v>45.569403008463304</v>
      </c>
      <c r="CX67" s="516">
        <v>45.569403008463304</v>
      </c>
      <c r="CY67" s="516">
        <v>45.569403008463304</v>
      </c>
      <c r="CZ67" s="516">
        <v>45.569403008463304</v>
      </c>
      <c r="DA67" s="516">
        <v>45.569403008463304</v>
      </c>
      <c r="DB67" s="516">
        <v>45.569403008463304</v>
      </c>
      <c r="DC67" s="516">
        <v>45.569403008463304</v>
      </c>
      <c r="DD67" s="516">
        <v>45.569403008463304</v>
      </c>
      <c r="DE67" s="516">
        <v>45.569403008463304</v>
      </c>
      <c r="DF67" s="516">
        <v>45.569403008463304</v>
      </c>
      <c r="DG67" s="516">
        <v>45.569403008463304</v>
      </c>
      <c r="DH67" s="516">
        <v>45.569403008463304</v>
      </c>
      <c r="DI67" s="516">
        <v>45.569403008463304</v>
      </c>
      <c r="DJ67" s="516">
        <v>45.569403008463304</v>
      </c>
      <c r="DK67" s="516">
        <v>45.569403008463304</v>
      </c>
      <c r="DL67" s="516">
        <v>45.569403008463304</v>
      </c>
      <c r="DM67" s="516">
        <v>45.569403008463304</v>
      </c>
      <c r="DN67" s="516">
        <f t="shared" si="3"/>
        <v>820.2492541523394</v>
      </c>
      <c r="DO67" s="1085">
        <f t="shared" si="2"/>
        <v>4011.6707458476608</v>
      </c>
    </row>
    <row r="68" spans="1:323" s="16" customFormat="1" ht="15" x14ac:dyDescent="0.2">
      <c r="A68" s="120" t="s">
        <v>65</v>
      </c>
      <c r="B68" s="120" t="s">
        <v>88</v>
      </c>
      <c r="C68" s="45"/>
      <c r="D68" s="125"/>
      <c r="E68" s="127"/>
      <c r="F68" s="46"/>
      <c r="G68" s="58"/>
      <c r="H68" s="145"/>
      <c r="I68" s="165"/>
      <c r="J68" s="44"/>
      <c r="K68" s="165"/>
      <c r="L68" s="48"/>
      <c r="M68" s="165"/>
      <c r="N68" s="48"/>
      <c r="O68" s="165"/>
      <c r="P68" s="48"/>
      <c r="Q68" s="462"/>
      <c r="R68" s="125"/>
      <c r="S68" s="132"/>
      <c r="T68" s="107"/>
      <c r="U68" s="72"/>
      <c r="V68" s="776"/>
      <c r="W68" s="776"/>
      <c r="X68" s="47"/>
      <c r="Y68" s="106"/>
      <c r="Z68" s="258"/>
      <c r="AA68" s="57"/>
      <c r="AB68" s="80"/>
      <c r="AC68" s="57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72"/>
      <c r="AT68" s="55"/>
      <c r="AU68" s="55"/>
      <c r="AV68" s="55"/>
      <c r="AW68" s="55"/>
      <c r="AX68" s="55"/>
      <c r="AY68" s="55"/>
      <c r="AZ68" s="55"/>
      <c r="BA68" s="80"/>
      <c r="BB68" s="80"/>
      <c r="BC68" s="57"/>
      <c r="BD68" s="165"/>
      <c r="BE68" s="165"/>
      <c r="BF68" s="55"/>
      <c r="BG68" s="55"/>
      <c r="BH68" s="55"/>
      <c r="BI68" s="55"/>
      <c r="BJ68" s="55"/>
      <c r="BK68" s="55"/>
      <c r="BL68" s="55"/>
      <c r="BM68" s="55"/>
      <c r="BN68" s="448"/>
      <c r="BO68" s="55"/>
      <c r="BP68" s="55"/>
      <c r="BQ68" s="55"/>
      <c r="BR68" s="55"/>
      <c r="BS68" s="55"/>
      <c r="BT68" s="55"/>
      <c r="BU68" s="448"/>
      <c r="BV68" s="57"/>
      <c r="BW68" s="57"/>
      <c r="BX68" s="57"/>
      <c r="BY68" s="753"/>
      <c r="BZ68" s="55"/>
      <c r="CA68" s="754"/>
      <c r="CB68" s="754"/>
      <c r="CC68" s="754"/>
      <c r="CD68" s="754"/>
      <c r="CE68" s="754"/>
      <c r="CF68" s="754"/>
      <c r="CG68" s="754"/>
      <c r="CH68" s="429"/>
      <c r="CI68" s="439"/>
      <c r="CJ68" s="754"/>
      <c r="CK68" s="754"/>
      <c r="CL68" s="754"/>
      <c r="CM68" s="754"/>
      <c r="CN68" s="754"/>
      <c r="CO68" s="505"/>
      <c r="CP68" s="1085"/>
      <c r="CQ68" s="520"/>
      <c r="CR68" s="514"/>
      <c r="CS68" s="1087"/>
      <c r="CT68" s="516"/>
      <c r="CU68" s="516"/>
      <c r="CV68" s="516"/>
      <c r="CW68" s="516"/>
      <c r="CX68" s="516"/>
      <c r="CY68" s="516"/>
      <c r="CZ68" s="516"/>
      <c r="DA68" s="516"/>
      <c r="DB68" s="516"/>
      <c r="DC68" s="516"/>
      <c r="DD68" s="516"/>
      <c r="DE68" s="516"/>
      <c r="DF68" s="516"/>
      <c r="DG68" s="516"/>
      <c r="DH68" s="516"/>
      <c r="DI68" s="516"/>
      <c r="DJ68" s="516"/>
      <c r="DK68" s="516"/>
      <c r="DL68" s="516"/>
      <c r="DM68" s="516"/>
      <c r="DN68" s="516">
        <f t="shared" si="3"/>
        <v>0</v>
      </c>
      <c r="DO68" s="1085"/>
    </row>
    <row r="69" spans="1:323" s="16" customFormat="1" ht="15" x14ac:dyDescent="0.2">
      <c r="A69" s="120" t="s">
        <v>222</v>
      </c>
      <c r="B69" s="126"/>
      <c r="C69" s="45"/>
      <c r="D69" s="125"/>
      <c r="E69" s="127"/>
      <c r="F69" s="46"/>
      <c r="G69" s="58"/>
      <c r="H69" s="145"/>
      <c r="I69" s="165"/>
      <c r="J69" s="44"/>
      <c r="K69" s="165"/>
      <c r="L69" s="48"/>
      <c r="M69" s="165"/>
      <c r="N69" s="48"/>
      <c r="O69" s="165"/>
      <c r="P69" s="48"/>
      <c r="Q69" s="462"/>
      <c r="R69" s="125"/>
      <c r="S69" s="132"/>
      <c r="T69" s="107"/>
      <c r="U69" s="72"/>
      <c r="V69" s="776"/>
      <c r="W69" s="776"/>
      <c r="X69" s="47"/>
      <c r="Y69" s="106"/>
      <c r="Z69" s="258"/>
      <c r="AA69" s="57"/>
      <c r="AB69" s="80"/>
      <c r="AC69" s="57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72"/>
      <c r="AT69" s="55"/>
      <c r="AU69" s="55"/>
      <c r="AV69" s="55"/>
      <c r="AW69" s="55"/>
      <c r="AX69" s="55"/>
      <c r="AY69" s="55"/>
      <c r="AZ69" s="55"/>
      <c r="BA69" s="80"/>
      <c r="BB69" s="80"/>
      <c r="BC69" s="57"/>
      <c r="BD69" s="165"/>
      <c r="BE69" s="165"/>
      <c r="BF69" s="55"/>
      <c r="BG69" s="55"/>
      <c r="BH69" s="55"/>
      <c r="BI69" s="55"/>
      <c r="BJ69" s="55"/>
      <c r="BK69" s="55"/>
      <c r="BL69" s="55"/>
      <c r="BM69" s="55"/>
      <c r="BN69" s="448"/>
      <c r="BO69" s="55"/>
      <c r="BP69" s="55"/>
      <c r="BQ69" s="55"/>
      <c r="BR69" s="55"/>
      <c r="BS69" s="55"/>
      <c r="BT69" s="55"/>
      <c r="BU69" s="448"/>
      <c r="BV69" s="57"/>
      <c r="BW69" s="57"/>
      <c r="BX69" s="57"/>
      <c r="BY69" s="753"/>
      <c r="BZ69" s="55"/>
      <c r="CA69" s="754"/>
      <c r="CB69" s="754"/>
      <c r="CC69" s="754"/>
      <c r="CD69" s="754"/>
      <c r="CE69" s="754"/>
      <c r="CF69" s="754"/>
      <c r="CG69" s="754"/>
      <c r="CH69" s="429"/>
      <c r="CI69" s="439"/>
      <c r="CJ69" s="754"/>
      <c r="CK69" s="754"/>
      <c r="CL69" s="754"/>
      <c r="CM69" s="754"/>
      <c r="CN69" s="754"/>
      <c r="CO69" s="505"/>
      <c r="CP69" s="1085"/>
      <c r="CQ69" s="514"/>
      <c r="CR69" s="514"/>
      <c r="CS69" s="1087"/>
      <c r="CT69" s="516"/>
      <c r="CU69" s="516"/>
      <c r="CV69" s="516"/>
      <c r="CW69" s="516"/>
      <c r="CX69" s="516"/>
      <c r="CY69" s="516"/>
      <c r="CZ69" s="516"/>
      <c r="DA69" s="516"/>
      <c r="DB69" s="516"/>
      <c r="DC69" s="516"/>
      <c r="DD69" s="516"/>
      <c r="DE69" s="516"/>
      <c r="DF69" s="516"/>
      <c r="DG69" s="516"/>
      <c r="DH69" s="516"/>
      <c r="DI69" s="516"/>
      <c r="DJ69" s="516"/>
      <c r="DK69" s="516"/>
      <c r="DL69" s="516"/>
      <c r="DM69" s="516"/>
      <c r="DN69" s="516">
        <f t="shared" si="3"/>
        <v>0</v>
      </c>
      <c r="DO69" s="1085"/>
    </row>
    <row r="70" spans="1:323" s="213" customFormat="1" ht="15" x14ac:dyDescent="0.2">
      <c r="A70" s="214" t="s">
        <v>1206</v>
      </c>
      <c r="B70" s="215" t="s">
        <v>1207</v>
      </c>
      <c r="C70" s="216" t="s">
        <v>355</v>
      </c>
      <c r="D70" s="795">
        <v>10</v>
      </c>
      <c r="E70" s="796">
        <v>0.1</v>
      </c>
      <c r="F70" s="46">
        <v>43281</v>
      </c>
      <c r="G70" s="217">
        <v>120</v>
      </c>
      <c r="H70" s="221">
        <f>100/G70</f>
        <v>0.83333333333333337</v>
      </c>
      <c r="I70" s="222">
        <v>0</v>
      </c>
      <c r="J70" s="48">
        <f>(YEAR(F70)-YEAR(S70))*12+MONTH(F70)-MONTH(S70)</f>
        <v>9</v>
      </c>
      <c r="K70" s="222">
        <v>100</v>
      </c>
      <c r="L70" s="220">
        <v>120</v>
      </c>
      <c r="M70" s="222">
        <f>N70*H70</f>
        <v>92.5</v>
      </c>
      <c r="N70" s="48">
        <f>G70-J70</f>
        <v>111</v>
      </c>
      <c r="O70" s="222">
        <f>K70-M70</f>
        <v>7.5</v>
      </c>
      <c r="P70" s="220">
        <f>L70-N70</f>
        <v>9</v>
      </c>
      <c r="Q70" s="219">
        <v>46650</v>
      </c>
      <c r="R70" s="795" t="s">
        <v>1193</v>
      </c>
      <c r="S70" s="214">
        <v>42998</v>
      </c>
      <c r="T70" s="798">
        <v>6000</v>
      </c>
      <c r="U70" s="228"/>
      <c r="V70" s="1065"/>
      <c r="W70" s="1065"/>
      <c r="X70" s="223"/>
      <c r="Y70" s="224"/>
      <c r="Z70" s="799"/>
      <c r="AA70" s="225"/>
      <c r="AB70" s="226"/>
      <c r="AC70" s="225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8"/>
      <c r="AT70" s="227"/>
      <c r="AU70" s="227"/>
      <c r="AV70" s="227"/>
      <c r="AW70" s="227"/>
      <c r="AX70" s="227"/>
      <c r="AY70" s="227"/>
      <c r="AZ70" s="227"/>
      <c r="BA70" s="226"/>
      <c r="BB70" s="226"/>
      <c r="BC70" s="225"/>
      <c r="BD70" s="222"/>
      <c r="BE70" s="222"/>
      <c r="BF70" s="227"/>
      <c r="BG70" s="227"/>
      <c r="BH70" s="227"/>
      <c r="BI70" s="227"/>
      <c r="BJ70" s="227"/>
      <c r="BK70" s="227"/>
      <c r="BL70" s="227"/>
      <c r="BM70" s="227"/>
      <c r="BN70" s="800"/>
      <c r="BO70" s="227"/>
      <c r="BP70" s="227"/>
      <c r="BQ70" s="227"/>
      <c r="BR70" s="227"/>
      <c r="BS70" s="227"/>
      <c r="BT70" s="227"/>
      <c r="BU70" s="798">
        <v>6000</v>
      </c>
      <c r="BV70" s="225">
        <v>126.408</v>
      </c>
      <c r="BW70" s="225">
        <v>127.91200000000001</v>
      </c>
      <c r="BX70" s="225">
        <f>BV70/BW70</f>
        <v>0.98824191631746827</v>
      </c>
      <c r="BY70" s="753"/>
      <c r="BZ70" s="227">
        <f>BU70/G70</f>
        <v>50</v>
      </c>
      <c r="CA70" s="805"/>
      <c r="CB70" s="805"/>
      <c r="CC70" s="805"/>
      <c r="CD70" s="805">
        <v>50</v>
      </c>
      <c r="CE70" s="805">
        <v>50</v>
      </c>
      <c r="CF70" s="805">
        <v>50</v>
      </c>
      <c r="CG70" s="805">
        <v>50</v>
      </c>
      <c r="CH70" s="802">
        <f>SUM(CA70:CG70)</f>
        <v>200</v>
      </c>
      <c r="CI70" s="803">
        <f>BU70-CH70</f>
        <v>5800</v>
      </c>
      <c r="CJ70" s="805">
        <v>50</v>
      </c>
      <c r="CK70" s="805">
        <v>50</v>
      </c>
      <c r="CL70" s="805">
        <v>50</v>
      </c>
      <c r="CM70" s="805">
        <v>50</v>
      </c>
      <c r="CN70" s="805">
        <v>50</v>
      </c>
      <c r="CO70" s="505">
        <f t="shared" si="0"/>
        <v>250</v>
      </c>
      <c r="CP70" s="1085">
        <f t="shared" si="1"/>
        <v>5550</v>
      </c>
      <c r="CQ70" s="1086">
        <v>132.28200000000001</v>
      </c>
      <c r="CR70" s="1121">
        <v>127.91200000000001</v>
      </c>
      <c r="CS70" s="1087">
        <f>CQ70/CR70</f>
        <v>1.0341641128275689</v>
      </c>
      <c r="CT70" s="516">
        <f>CP70/L70</f>
        <v>46.25</v>
      </c>
      <c r="CU70" s="516">
        <f>CS70*CT70</f>
        <v>47.83009021827506</v>
      </c>
      <c r="CV70" s="516">
        <v>47.83009021827506</v>
      </c>
      <c r="CW70" s="516">
        <v>47.83009021827506</v>
      </c>
      <c r="CX70" s="516">
        <v>47.83009021827506</v>
      </c>
      <c r="CY70" s="516">
        <v>47.83009021827506</v>
      </c>
      <c r="CZ70" s="516">
        <v>47.83009021827506</v>
      </c>
      <c r="DA70" s="516">
        <v>47.83009021827506</v>
      </c>
      <c r="DB70" s="516">
        <v>47.83009021827506</v>
      </c>
      <c r="DC70" s="516">
        <v>47.83009021827506</v>
      </c>
      <c r="DD70" s="516">
        <v>47.83009021827506</v>
      </c>
      <c r="DE70" s="516">
        <v>47.83009021827506</v>
      </c>
      <c r="DF70" s="516">
        <v>47.83009021827506</v>
      </c>
      <c r="DG70" s="516">
        <v>47.83009021827506</v>
      </c>
      <c r="DH70" s="516">
        <v>47.83009021827506</v>
      </c>
      <c r="DI70" s="516">
        <v>47.83009021827506</v>
      </c>
      <c r="DJ70" s="516">
        <v>47.83009021827506</v>
      </c>
      <c r="DK70" s="516">
        <v>47.83009021827506</v>
      </c>
      <c r="DL70" s="516">
        <v>47.83009021827506</v>
      </c>
      <c r="DM70" s="516">
        <v>47.83009021827506</v>
      </c>
      <c r="DN70" s="516">
        <f t="shared" si="3"/>
        <v>860.94162392895089</v>
      </c>
      <c r="DO70" s="1085">
        <f t="shared" si="2"/>
        <v>4689.0583760710488</v>
      </c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  <c r="IX70" s="16"/>
      <c r="IY70" s="16"/>
      <c r="IZ70" s="16"/>
      <c r="JA70" s="16"/>
      <c r="JB70" s="16"/>
      <c r="JC70" s="16"/>
      <c r="JD70" s="16"/>
      <c r="JE70" s="16"/>
      <c r="JF70" s="16"/>
      <c r="JG70" s="16"/>
      <c r="JH70" s="16"/>
      <c r="JI70" s="16"/>
      <c r="JJ70" s="16"/>
      <c r="JK70" s="16"/>
      <c r="JL70" s="16"/>
      <c r="JM70" s="16"/>
      <c r="JN70" s="16"/>
      <c r="JO70" s="16"/>
      <c r="JP70" s="16"/>
      <c r="JQ70" s="16"/>
      <c r="JR70" s="16"/>
      <c r="JS70" s="16"/>
      <c r="JT70" s="16"/>
      <c r="JU70" s="16"/>
      <c r="JV70" s="16"/>
      <c r="JW70" s="16"/>
      <c r="JX70" s="16"/>
      <c r="JY70" s="16"/>
      <c r="JZ70" s="16"/>
      <c r="KA70" s="16"/>
      <c r="KB70" s="16"/>
      <c r="KC70" s="16"/>
      <c r="KD70" s="16"/>
      <c r="KE70" s="16"/>
      <c r="KF70" s="16"/>
      <c r="KG70" s="16"/>
      <c r="KH70" s="16"/>
      <c r="KI70" s="16"/>
      <c r="KJ70" s="16"/>
      <c r="KK70" s="16"/>
      <c r="KL70" s="16"/>
      <c r="KM70" s="16"/>
      <c r="KN70" s="16"/>
      <c r="KO70" s="16"/>
      <c r="KP70" s="16"/>
      <c r="KQ70" s="16"/>
      <c r="KR70" s="16"/>
      <c r="KS70" s="16"/>
      <c r="KT70" s="16"/>
      <c r="KU70" s="16"/>
      <c r="KV70" s="16"/>
      <c r="KW70" s="16"/>
      <c r="KX70" s="16"/>
      <c r="KY70" s="16"/>
      <c r="KZ70" s="16"/>
      <c r="LA70" s="16"/>
      <c r="LB70" s="16"/>
      <c r="LC70" s="16"/>
      <c r="LD70" s="16"/>
      <c r="LE70" s="16"/>
      <c r="LF70" s="16"/>
      <c r="LG70" s="16"/>
      <c r="LH70" s="16"/>
      <c r="LI70" s="16"/>
      <c r="LJ70" s="16"/>
      <c r="LK70" s="16"/>
    </row>
    <row r="71" spans="1:323" s="16" customFormat="1" ht="15" x14ac:dyDescent="0.2">
      <c r="A71" s="120" t="s">
        <v>92</v>
      </c>
      <c r="B71" s="126"/>
      <c r="C71" s="45"/>
      <c r="D71" s="143"/>
      <c r="E71" s="28"/>
      <c r="F71" s="46"/>
      <c r="G71" s="58"/>
      <c r="H71" s="145"/>
      <c r="I71" s="165"/>
      <c r="J71" s="48"/>
      <c r="K71" s="165"/>
      <c r="L71" s="48"/>
      <c r="M71" s="165"/>
      <c r="N71" s="48"/>
      <c r="O71" s="165"/>
      <c r="P71" s="48"/>
      <c r="Q71" s="48"/>
      <c r="R71" s="125"/>
      <c r="S71" s="128"/>
      <c r="T71" s="7"/>
      <c r="U71" s="72"/>
      <c r="V71" s="776"/>
      <c r="W71" s="776"/>
      <c r="X71" s="47"/>
      <c r="Y71" s="106"/>
      <c r="Z71" s="257"/>
      <c r="AA71" s="57"/>
      <c r="AB71" s="80"/>
      <c r="AC71" s="57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72"/>
      <c r="AT71" s="55"/>
      <c r="AU71" s="55"/>
      <c r="AV71" s="55">
        <f>$AQ71</f>
        <v>0</v>
      </c>
      <c r="AW71" s="55">
        <f>$AQ71</f>
        <v>0</v>
      </c>
      <c r="AX71" s="55">
        <f>$AQ71</f>
        <v>0</v>
      </c>
      <c r="AY71" s="55">
        <f>$AQ71</f>
        <v>0</v>
      </c>
      <c r="AZ71" s="55">
        <f>$AQ71</f>
        <v>0</v>
      </c>
      <c r="BA71" s="57"/>
      <c r="BB71" s="80"/>
      <c r="BC71" s="57"/>
      <c r="BD71" s="165"/>
      <c r="BE71" s="165"/>
      <c r="BF71" s="55"/>
      <c r="BG71" s="55"/>
      <c r="BH71" s="55"/>
      <c r="BI71" s="55"/>
      <c r="BJ71" s="55"/>
      <c r="BK71" s="55"/>
      <c r="BL71" s="55"/>
      <c r="BM71" s="55"/>
      <c r="BN71" s="448"/>
      <c r="BO71" s="55"/>
      <c r="BP71" s="55"/>
      <c r="BQ71" s="55"/>
      <c r="BR71" s="55"/>
      <c r="BS71" s="55"/>
      <c r="BT71" s="55"/>
      <c r="BU71" s="448"/>
      <c r="BV71" s="28"/>
      <c r="BW71" s="136"/>
      <c r="BX71" s="28"/>
      <c r="BY71" s="28"/>
      <c r="BZ71" s="28"/>
      <c r="CA71" s="755"/>
      <c r="CB71" s="755"/>
      <c r="CC71" s="755"/>
      <c r="CD71" s="755"/>
      <c r="CE71" s="755"/>
      <c r="CF71" s="755"/>
      <c r="CG71" s="755"/>
      <c r="CH71" s="28"/>
      <c r="CI71" s="28"/>
      <c r="CJ71" s="755"/>
      <c r="CK71" s="755"/>
      <c r="CL71" s="755"/>
      <c r="CM71" s="755"/>
      <c r="CN71" s="755"/>
      <c r="CO71" s="505"/>
      <c r="CP71" s="1085"/>
      <c r="CQ71" s="516"/>
      <c r="CR71" s="1120"/>
      <c r="CS71" s="1087"/>
      <c r="CT71" s="516"/>
      <c r="CU71" s="516"/>
      <c r="CV71" s="516"/>
      <c r="CW71" s="516"/>
      <c r="CX71" s="516"/>
      <c r="CY71" s="516"/>
      <c r="CZ71" s="516"/>
      <c r="DA71" s="516"/>
      <c r="DB71" s="516"/>
      <c r="DC71" s="516"/>
      <c r="DD71" s="516"/>
      <c r="DE71" s="516"/>
      <c r="DF71" s="516"/>
      <c r="DG71" s="516"/>
      <c r="DH71" s="516"/>
      <c r="DI71" s="516"/>
      <c r="DJ71" s="516"/>
      <c r="DK71" s="516"/>
      <c r="DL71" s="516"/>
      <c r="DM71" s="516"/>
      <c r="DN71" s="516">
        <f t="shared" si="3"/>
        <v>0</v>
      </c>
      <c r="DO71" s="1085"/>
    </row>
    <row r="72" spans="1:323" s="35" customFormat="1" ht="15" x14ac:dyDescent="0.2">
      <c r="A72" s="119" t="s">
        <v>1105</v>
      </c>
      <c r="B72" s="100" t="s">
        <v>587</v>
      </c>
      <c r="C72" s="100" t="s">
        <v>355</v>
      </c>
      <c r="D72" s="125">
        <v>3</v>
      </c>
      <c r="E72" s="127">
        <v>0.33329999999999999</v>
      </c>
      <c r="F72" s="119">
        <v>43281</v>
      </c>
      <c r="G72" s="8">
        <v>36</v>
      </c>
      <c r="H72" s="146">
        <f>100/G72</f>
        <v>2.7777777777777777</v>
      </c>
      <c r="I72" s="1167">
        <f>H72*J72</f>
        <v>275</v>
      </c>
      <c r="J72" s="125">
        <f>(YEAR(F72)-YEAR(S72))*12+MONTH(F72)-MONTH(S72)</f>
        <v>99</v>
      </c>
      <c r="K72" s="1167">
        <f>L72*H72</f>
        <v>0</v>
      </c>
      <c r="L72" s="125">
        <v>0</v>
      </c>
      <c r="M72" s="1167">
        <f>N72*H72</f>
        <v>-175</v>
      </c>
      <c r="N72" s="125">
        <f>G72-J72</f>
        <v>-63</v>
      </c>
      <c r="O72" s="1167">
        <f>K72-M72</f>
        <v>175</v>
      </c>
      <c r="P72" s="125">
        <f>L72-N72</f>
        <v>63</v>
      </c>
      <c r="Q72" s="367">
        <f>DATE(YEAR(S72),MONTH(S72)+G72,DAY(S72))</f>
        <v>41363</v>
      </c>
      <c r="R72" s="125" t="s">
        <v>445</v>
      </c>
      <c r="S72" s="132">
        <v>40267</v>
      </c>
      <c r="T72" s="107">
        <v>6136.98</v>
      </c>
      <c r="U72" s="1169">
        <v>4091.5661414999995</v>
      </c>
      <c r="V72" s="776">
        <v>2045.4138585000003</v>
      </c>
      <c r="W72" s="776">
        <f>U72</f>
        <v>4091.5661414999995</v>
      </c>
      <c r="X72" s="134">
        <v>170.45</v>
      </c>
      <c r="Y72" s="7">
        <f>X72*5</f>
        <v>852.25</v>
      </c>
      <c r="Z72" s="129">
        <f>W72-Y72</f>
        <v>3239.3161414999995</v>
      </c>
      <c r="AA72" s="64">
        <v>115.958</v>
      </c>
      <c r="AB72" s="82">
        <v>141.857</v>
      </c>
      <c r="AC72" s="64">
        <f>AA72/AB72</f>
        <v>0.81742881916295984</v>
      </c>
      <c r="AD72" s="62">
        <f>Z72/7</f>
        <v>462.7594487857142</v>
      </c>
      <c r="AE72" s="62">
        <f>AD72*AC72</f>
        <v>378.27290977740853</v>
      </c>
      <c r="AF72" s="62"/>
      <c r="AG72" s="62"/>
      <c r="AH72" s="62"/>
      <c r="AI72" s="62"/>
      <c r="AJ72" s="62"/>
      <c r="AK72" s="62">
        <f>AE72</f>
        <v>378.27290977740853</v>
      </c>
      <c r="AL72" s="62">
        <v>378.27290977740853</v>
      </c>
      <c r="AM72" s="62">
        <v>378.27290977740853</v>
      </c>
      <c r="AN72" s="62">
        <v>378.27290977740853</v>
      </c>
      <c r="AO72" s="62">
        <v>378.27290977740853</v>
      </c>
      <c r="AP72" s="62">
        <v>378.27290977740853</v>
      </c>
      <c r="AQ72" s="62">
        <v>378.27290977740853</v>
      </c>
      <c r="AR72" s="62">
        <f>SUM(AF72:AQ72)</f>
        <v>2647.9103684418596</v>
      </c>
      <c r="AS72" s="1169">
        <f>Z72-AR72</f>
        <v>591.40577305813986</v>
      </c>
      <c r="AT72" s="62"/>
      <c r="AU72" s="62"/>
      <c r="AV72" s="62">
        <f t="shared" ref="AV72:AZ93" si="50">$AQ72</f>
        <v>378.27290977740853</v>
      </c>
      <c r="AW72" s="62">
        <v>212.13</v>
      </c>
      <c r="AX72" s="62"/>
      <c r="AY72" s="62"/>
      <c r="AZ72" s="62"/>
      <c r="BA72" s="82">
        <v>118.901</v>
      </c>
      <c r="BB72" s="82">
        <v>141.857</v>
      </c>
      <c r="BC72" s="64">
        <f>BA72/BB72</f>
        <v>0.83817506362040639</v>
      </c>
      <c r="BD72" s="1167">
        <f>T72/(D72*12)</f>
        <v>170.47166666666666</v>
      </c>
      <c r="BE72" s="1167">
        <f>BD72*BC72</f>
        <v>142.88510005381005</v>
      </c>
      <c r="BF72" s="62"/>
      <c r="BG72" s="62"/>
      <c r="BH72" s="62"/>
      <c r="BI72" s="62"/>
      <c r="BJ72" s="62"/>
      <c r="BK72" s="62"/>
      <c r="BL72" s="62"/>
      <c r="BM72" s="62">
        <f>SUM((AV72:AZ72),(BF72:BL72))</f>
        <v>590.40290977740847</v>
      </c>
      <c r="BN72" s="927">
        <f>(AS72-BM72)</f>
        <v>1.0028632807313898</v>
      </c>
      <c r="BO72" s="62"/>
      <c r="BP72" s="62"/>
      <c r="BQ72" s="62"/>
      <c r="BR72" s="62"/>
      <c r="BS72" s="62"/>
      <c r="BT72" s="62">
        <f>SUM(BO72:BS72)</f>
        <v>0</v>
      </c>
      <c r="BU72" s="927">
        <v>1.0028632807313898</v>
      </c>
      <c r="BV72" s="64"/>
      <c r="BW72" s="64">
        <v>109.074</v>
      </c>
      <c r="BX72" s="64">
        <f>BV72/BW72</f>
        <v>0</v>
      </c>
      <c r="BY72" s="1204">
        <f>BU72/J72</f>
        <v>1.0129932128599896E-2</v>
      </c>
      <c r="BZ72" s="62"/>
      <c r="CA72" s="756"/>
      <c r="CB72" s="756"/>
      <c r="CC72" s="756"/>
      <c r="CD72" s="756"/>
      <c r="CE72" s="756" t="s">
        <v>1208</v>
      </c>
      <c r="CF72" s="756"/>
      <c r="CG72" s="756"/>
      <c r="CH72" s="510">
        <f>SUM(CA72:CG72)</f>
        <v>0</v>
      </c>
      <c r="CI72" s="439">
        <f>BN72-CH72</f>
        <v>1.0028632807313898</v>
      </c>
      <c r="CJ72" s="756"/>
      <c r="CK72" s="756"/>
      <c r="CL72" s="756"/>
      <c r="CM72" s="756"/>
      <c r="CN72" s="756"/>
      <c r="CO72" s="1170">
        <f t="shared" si="0"/>
        <v>0</v>
      </c>
      <c r="CP72" s="1085">
        <f t="shared" si="1"/>
        <v>1.0028632807313898</v>
      </c>
      <c r="CQ72" s="1195">
        <v>132.28200000000001</v>
      </c>
      <c r="CR72" s="1190">
        <v>109.074</v>
      </c>
      <c r="CS72" s="1196">
        <f>CQ72/CR72</f>
        <v>1.2127729798118709</v>
      </c>
      <c r="CT72" s="538">
        <v>0</v>
      </c>
      <c r="CU72" s="538">
        <f>CT72*CS72</f>
        <v>0</v>
      </c>
      <c r="CV72" s="538">
        <v>0</v>
      </c>
      <c r="CW72" s="538">
        <v>0</v>
      </c>
      <c r="CX72" s="538">
        <v>0</v>
      </c>
      <c r="CY72" s="538">
        <v>0</v>
      </c>
      <c r="CZ72" s="538">
        <v>0</v>
      </c>
      <c r="DA72" s="538">
        <v>0</v>
      </c>
      <c r="DB72" s="538">
        <v>0</v>
      </c>
      <c r="DC72" s="538">
        <v>0</v>
      </c>
      <c r="DD72" s="538">
        <v>0</v>
      </c>
      <c r="DE72" s="538">
        <v>0</v>
      </c>
      <c r="DF72" s="538">
        <v>0</v>
      </c>
      <c r="DG72" s="538">
        <v>0</v>
      </c>
      <c r="DH72" s="538">
        <v>0</v>
      </c>
      <c r="DI72" s="538">
        <v>0</v>
      </c>
      <c r="DJ72" s="538">
        <v>0</v>
      </c>
      <c r="DK72" s="538">
        <v>0</v>
      </c>
      <c r="DL72" s="538">
        <v>0</v>
      </c>
      <c r="DM72" s="538">
        <v>0</v>
      </c>
      <c r="DN72" s="538">
        <f t="shared" si="3"/>
        <v>0</v>
      </c>
      <c r="DO72" s="1085">
        <f t="shared" si="2"/>
        <v>1.0028632807313898</v>
      </c>
    </row>
    <row r="73" spans="1:323" s="16" customFormat="1" ht="15" x14ac:dyDescent="0.2">
      <c r="A73" s="120" t="s">
        <v>71</v>
      </c>
      <c r="B73" s="120" t="s">
        <v>292</v>
      </c>
      <c r="C73" s="45"/>
      <c r="D73" s="125"/>
      <c r="E73" s="130"/>
      <c r="F73" s="46"/>
      <c r="G73" s="58"/>
      <c r="H73" s="145"/>
      <c r="I73" s="165"/>
      <c r="J73" s="48"/>
      <c r="K73" s="165"/>
      <c r="L73" s="48"/>
      <c r="M73" s="165"/>
      <c r="N73" s="48"/>
      <c r="O73" s="165"/>
      <c r="P73" s="48"/>
      <c r="Q73" s="48"/>
      <c r="R73" s="46"/>
      <c r="S73" s="132"/>
      <c r="T73" s="107"/>
      <c r="U73" s="72"/>
      <c r="V73" s="776"/>
      <c r="W73" s="776"/>
      <c r="X73" s="47"/>
      <c r="Y73" s="106"/>
      <c r="Z73" s="258"/>
      <c r="AA73" s="57"/>
      <c r="AB73" s="80"/>
      <c r="AC73" s="57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72"/>
      <c r="AT73" s="55"/>
      <c r="AU73" s="55"/>
      <c r="AV73" s="55">
        <f t="shared" si="50"/>
        <v>0</v>
      </c>
      <c r="AW73" s="55">
        <f t="shared" si="50"/>
        <v>0</v>
      </c>
      <c r="AX73" s="55">
        <f t="shared" si="50"/>
        <v>0</v>
      </c>
      <c r="AY73" s="55">
        <f t="shared" si="50"/>
        <v>0</v>
      </c>
      <c r="AZ73" s="55">
        <f t="shared" si="50"/>
        <v>0</v>
      </c>
      <c r="BA73" s="57"/>
      <c r="BB73" s="80"/>
      <c r="BC73" s="57"/>
      <c r="BD73" s="165"/>
      <c r="BE73" s="165"/>
      <c r="BF73" s="55"/>
      <c r="BG73" s="55"/>
      <c r="BH73" s="55"/>
      <c r="BI73" s="55"/>
      <c r="BJ73" s="55"/>
      <c r="BK73" s="55"/>
      <c r="BL73" s="55"/>
      <c r="BM73" s="55"/>
      <c r="BN73" s="448"/>
      <c r="BO73" s="55"/>
      <c r="BP73" s="55"/>
      <c r="BQ73" s="55"/>
      <c r="BR73" s="55"/>
      <c r="BS73" s="55"/>
      <c r="BT73" s="55"/>
      <c r="BU73" s="448"/>
      <c r="BV73" s="28"/>
      <c r="BW73" s="136"/>
      <c r="BX73" s="28"/>
      <c r="BY73" s="28"/>
      <c r="BZ73" s="28"/>
      <c r="CA73" s="755"/>
      <c r="CB73" s="755"/>
      <c r="CC73" s="755"/>
      <c r="CD73" s="755"/>
      <c r="CE73" s="755"/>
      <c r="CF73" s="755"/>
      <c r="CG73" s="755"/>
      <c r="CH73" s="28"/>
      <c r="CI73" s="28"/>
      <c r="CJ73" s="755"/>
      <c r="CK73" s="755"/>
      <c r="CL73" s="755"/>
      <c r="CM73" s="755"/>
      <c r="CN73" s="755"/>
      <c r="CO73" s="505"/>
      <c r="CP73" s="1085"/>
      <c r="CQ73" s="514"/>
      <c r="CR73" s="1120"/>
      <c r="CS73" s="1087"/>
      <c r="CT73" s="516"/>
      <c r="CU73" s="516"/>
      <c r="CV73" s="516"/>
      <c r="CW73" s="516"/>
      <c r="CX73" s="516"/>
      <c r="CY73" s="516"/>
      <c r="CZ73" s="516"/>
      <c r="DA73" s="516"/>
      <c r="DB73" s="516"/>
      <c r="DC73" s="516"/>
      <c r="DD73" s="516"/>
      <c r="DE73" s="516"/>
      <c r="DF73" s="516"/>
      <c r="DG73" s="516"/>
      <c r="DH73" s="516"/>
      <c r="DI73" s="516"/>
      <c r="DJ73" s="516"/>
      <c r="DK73" s="516"/>
      <c r="DL73" s="516"/>
      <c r="DM73" s="516"/>
      <c r="DN73" s="516">
        <f t="shared" si="3"/>
        <v>0</v>
      </c>
      <c r="DO73" s="1085"/>
    </row>
    <row r="74" spans="1:323" s="16" customFormat="1" ht="15" x14ac:dyDescent="0.2">
      <c r="A74" s="120" t="s">
        <v>293</v>
      </c>
      <c r="B74" s="100"/>
      <c r="C74" s="45"/>
      <c r="D74" s="125"/>
      <c r="E74" s="130"/>
      <c r="F74" s="46"/>
      <c r="G74" s="58"/>
      <c r="H74" s="145"/>
      <c r="I74" s="165"/>
      <c r="J74" s="48"/>
      <c r="K74" s="165"/>
      <c r="L74" s="48"/>
      <c r="M74" s="165"/>
      <c r="N74" s="48"/>
      <c r="O74" s="165"/>
      <c r="P74" s="48"/>
      <c r="Q74" s="48"/>
      <c r="R74" s="119"/>
      <c r="S74" s="119"/>
      <c r="T74" s="7"/>
      <c r="U74" s="72"/>
      <c r="V74" s="776"/>
      <c r="W74" s="776"/>
      <c r="X74" s="47"/>
      <c r="Y74" s="106"/>
      <c r="Z74" s="257"/>
      <c r="AA74" s="57"/>
      <c r="AB74" s="80"/>
      <c r="AC74" s="57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72"/>
      <c r="AT74" s="55"/>
      <c r="AU74" s="55"/>
      <c r="AV74" s="55">
        <f t="shared" si="50"/>
        <v>0</v>
      </c>
      <c r="AW74" s="55">
        <f t="shared" si="50"/>
        <v>0</v>
      </c>
      <c r="AX74" s="55">
        <f t="shared" si="50"/>
        <v>0</v>
      </c>
      <c r="AY74" s="55">
        <f t="shared" si="50"/>
        <v>0</v>
      </c>
      <c r="AZ74" s="55">
        <f t="shared" si="50"/>
        <v>0</v>
      </c>
      <c r="BA74" s="57"/>
      <c r="BB74" s="80"/>
      <c r="BC74" s="57"/>
      <c r="BD74" s="165"/>
      <c r="BE74" s="165"/>
      <c r="BF74" s="55"/>
      <c r="BG74" s="55"/>
      <c r="BH74" s="55"/>
      <c r="BI74" s="55"/>
      <c r="BJ74" s="55"/>
      <c r="BK74" s="55"/>
      <c r="BL74" s="55"/>
      <c r="BM74" s="55"/>
      <c r="BN74" s="448"/>
      <c r="BO74" s="55"/>
      <c r="BP74" s="55"/>
      <c r="BQ74" s="55"/>
      <c r="BR74" s="55"/>
      <c r="BS74" s="55"/>
      <c r="BT74" s="55"/>
      <c r="BU74" s="448"/>
      <c r="BV74" s="28"/>
      <c r="BW74" s="136"/>
      <c r="BX74" s="28"/>
      <c r="BY74" s="28"/>
      <c r="BZ74" s="28"/>
      <c r="CA74" s="755"/>
      <c r="CB74" s="755"/>
      <c r="CC74" s="755"/>
      <c r="CD74" s="755"/>
      <c r="CE74" s="755"/>
      <c r="CF74" s="755"/>
      <c r="CG74" s="755"/>
      <c r="CH74" s="28"/>
      <c r="CI74" s="28"/>
      <c r="CJ74" s="755"/>
      <c r="CK74" s="755"/>
      <c r="CL74" s="755"/>
      <c r="CM74" s="755"/>
      <c r="CN74" s="755"/>
      <c r="CO74" s="505"/>
      <c r="CP74" s="1085"/>
      <c r="CQ74" s="520"/>
      <c r="CR74" s="1120"/>
      <c r="CS74" s="1087"/>
      <c r="CT74" s="516"/>
      <c r="CU74" s="516"/>
      <c r="CV74" s="516"/>
      <c r="CW74" s="516"/>
      <c r="CX74" s="516"/>
      <c r="CY74" s="516"/>
      <c r="CZ74" s="516"/>
      <c r="DA74" s="516"/>
      <c r="DB74" s="516"/>
      <c r="DC74" s="516"/>
      <c r="DD74" s="516"/>
      <c r="DE74" s="516"/>
      <c r="DF74" s="516"/>
      <c r="DG74" s="516"/>
      <c r="DH74" s="516"/>
      <c r="DI74" s="516"/>
      <c r="DJ74" s="516"/>
      <c r="DK74" s="516"/>
      <c r="DL74" s="516"/>
      <c r="DM74" s="516"/>
      <c r="DN74" s="516">
        <f t="shared" si="3"/>
        <v>0</v>
      </c>
      <c r="DO74" s="1085"/>
    </row>
    <row r="75" spans="1:323" s="16" customFormat="1" ht="15" x14ac:dyDescent="0.2">
      <c r="A75" s="119" t="s">
        <v>294</v>
      </c>
      <c r="B75" s="100" t="s">
        <v>588</v>
      </c>
      <c r="C75" s="45" t="s">
        <v>355</v>
      </c>
      <c r="D75" s="125">
        <v>10</v>
      </c>
      <c r="E75" s="130">
        <v>0.1</v>
      </c>
      <c r="F75" s="46">
        <v>43281</v>
      </c>
      <c r="G75" s="58">
        <v>120</v>
      </c>
      <c r="H75" s="145">
        <f>100/G75</f>
        <v>0.83333333333333337</v>
      </c>
      <c r="I75" s="165">
        <f>H75*J75</f>
        <v>74.166666666666671</v>
      </c>
      <c r="J75" s="48">
        <f>(YEAR(F75)-YEAR(S75))*12+MONTH(F75)-MONTH(S75)</f>
        <v>89</v>
      </c>
      <c r="K75" s="165">
        <f>L75*H75</f>
        <v>25.833333333333336</v>
      </c>
      <c r="L75" s="48">
        <f>G75-J75</f>
        <v>31</v>
      </c>
      <c r="M75" s="165">
        <f>N75*H75</f>
        <v>25.833333333333336</v>
      </c>
      <c r="N75" s="48">
        <f>G75-J75</f>
        <v>31</v>
      </c>
      <c r="O75" s="165">
        <f>K75-M75</f>
        <v>0</v>
      </c>
      <c r="P75" s="48">
        <f>L75-N75</f>
        <v>0</v>
      </c>
      <c r="Q75" s="462">
        <f>DATE(YEAR(S75),MONTH(S75)+G75,DAY(S75))</f>
        <v>44197</v>
      </c>
      <c r="R75" s="125" t="s">
        <v>445</v>
      </c>
      <c r="S75" s="119">
        <v>40544</v>
      </c>
      <c r="T75" s="7">
        <v>6000</v>
      </c>
      <c r="U75" s="72">
        <v>3600</v>
      </c>
      <c r="V75" s="776">
        <v>600</v>
      </c>
      <c r="W75" s="776">
        <f>U75</f>
        <v>3600</v>
      </c>
      <c r="X75" s="47">
        <v>50</v>
      </c>
      <c r="Y75" s="106">
        <f>X75*5</f>
        <v>250</v>
      </c>
      <c r="Z75" s="258">
        <f>W75-Y75</f>
        <v>3350</v>
      </c>
      <c r="AA75" s="57">
        <v>115.958</v>
      </c>
      <c r="AB75" s="80">
        <v>100.22799999999999</v>
      </c>
      <c r="AC75" s="57">
        <f>AA75/AB75</f>
        <v>1.1569421718481863</v>
      </c>
      <c r="AD75" s="55">
        <f>Z75*M75/100/K75*100/7</f>
        <v>478.57142857142856</v>
      </c>
      <c r="AE75" s="55">
        <f>AD75*AC75</f>
        <v>553.67946795591774</v>
      </c>
      <c r="AF75" s="55"/>
      <c r="AG75" s="55"/>
      <c r="AH75" s="55"/>
      <c r="AI75" s="55"/>
      <c r="AJ75" s="55"/>
      <c r="AK75" s="55">
        <f>AE75</f>
        <v>553.67946795591774</v>
      </c>
      <c r="AL75" s="55">
        <v>57.847108592409313</v>
      </c>
      <c r="AM75" s="55">
        <v>57.847108592409313</v>
      </c>
      <c r="AN75" s="55">
        <v>57.847108592409313</v>
      </c>
      <c r="AO75" s="55">
        <v>57.847108592409313</v>
      </c>
      <c r="AP75" s="55">
        <v>57.847108592409313</v>
      </c>
      <c r="AQ75" s="55">
        <v>57.847108592409313</v>
      </c>
      <c r="AR75" s="55">
        <f>SUM(AF75:AQ75)</f>
        <v>900.76211951037362</v>
      </c>
      <c r="AS75" s="72">
        <f>Z75-AR75</f>
        <v>2449.2378804896261</v>
      </c>
      <c r="AT75" s="55"/>
      <c r="AU75" s="55"/>
      <c r="AV75" s="55">
        <f t="shared" si="50"/>
        <v>57.847108592409313</v>
      </c>
      <c r="AW75" s="55">
        <f t="shared" si="50"/>
        <v>57.847108592409313</v>
      </c>
      <c r="AX75" s="55">
        <f t="shared" si="50"/>
        <v>57.847108592409313</v>
      </c>
      <c r="AY75" s="55">
        <f t="shared" si="50"/>
        <v>57.847108592409313</v>
      </c>
      <c r="AZ75" s="55">
        <f t="shared" si="50"/>
        <v>57.847108592409313</v>
      </c>
      <c r="BA75" s="80">
        <v>118.901</v>
      </c>
      <c r="BB75" s="80">
        <v>100.22799999999999</v>
      </c>
      <c r="BC75" s="57">
        <f>BA75/BB75</f>
        <v>1.186305224089077</v>
      </c>
      <c r="BD75" s="165">
        <f>T75/(D75*12)</f>
        <v>50</v>
      </c>
      <c r="BE75" s="165">
        <f>BD75*BC75</f>
        <v>59.315261204453847</v>
      </c>
      <c r="BF75" s="55">
        <f>$BE75</f>
        <v>59.315261204453847</v>
      </c>
      <c r="BG75" s="55">
        <f>$BE75</f>
        <v>59.315261204453847</v>
      </c>
      <c r="BH75" s="55">
        <f>$BE75</f>
        <v>59.315261204453847</v>
      </c>
      <c r="BI75" s="55">
        <f>$BE75</f>
        <v>59.315261204453847</v>
      </c>
      <c r="BJ75" s="55">
        <v>59.32</v>
      </c>
      <c r="BK75" s="55">
        <v>59.32</v>
      </c>
      <c r="BL75" s="55">
        <v>59.32</v>
      </c>
      <c r="BM75" s="55">
        <f>SUM((AV75:AZ75),(BF75:BL75))</f>
        <v>704.45658777986216</v>
      </c>
      <c r="BN75" s="448">
        <f>(AS75-BM75)</f>
        <v>1744.7812927097639</v>
      </c>
      <c r="BO75" s="55">
        <f>$BE75</f>
        <v>59.315261204453847</v>
      </c>
      <c r="BP75" s="55">
        <f>$BE75</f>
        <v>59.315261204453847</v>
      </c>
      <c r="BQ75" s="55">
        <f>$BE75</f>
        <v>59.315261204453847</v>
      </c>
      <c r="BR75" s="55">
        <f>$BE75</f>
        <v>59.315261204453847</v>
      </c>
      <c r="BS75" s="55">
        <f>$BE75</f>
        <v>59.315261204453847</v>
      </c>
      <c r="BT75" s="55">
        <f>SUM(BO75:BS75)</f>
        <v>296.57630602226925</v>
      </c>
      <c r="BU75" s="448">
        <v>1944.0373460510032</v>
      </c>
      <c r="BV75" s="57">
        <v>126.408</v>
      </c>
      <c r="BW75" s="57">
        <v>109.074</v>
      </c>
      <c r="BX75" s="57">
        <f>BV75/BW75</f>
        <v>1.1589196325430442</v>
      </c>
      <c r="BY75" s="753">
        <f>BU75/J75</f>
        <v>21.84311624776408</v>
      </c>
      <c r="BZ75" s="55">
        <f>BY75*BX75</f>
        <v>25.314416255453747</v>
      </c>
      <c r="CA75" s="754">
        <v>29.259520087472513</v>
      </c>
      <c r="CB75" s="754">
        <v>29.259520087472513</v>
      </c>
      <c r="CC75" s="754">
        <v>29.259520087472513</v>
      </c>
      <c r="CD75" s="754">
        <v>29.259520087472499</v>
      </c>
      <c r="CE75" s="754">
        <v>29.259520087472513</v>
      </c>
      <c r="CF75" s="754">
        <v>29.259520087472513</v>
      </c>
      <c r="CG75" s="754">
        <v>29.259520087472513</v>
      </c>
      <c r="CH75" s="429">
        <f>SUM(CA75:CG75)</f>
        <v>204.81664061230757</v>
      </c>
      <c r="CI75" s="439">
        <f>BU75-CH75</f>
        <v>1739.2207054386956</v>
      </c>
      <c r="CJ75" s="754">
        <v>29.259520087472513</v>
      </c>
      <c r="CK75" s="754">
        <v>29.259520087472513</v>
      </c>
      <c r="CL75" s="754">
        <v>29.259520087472513</v>
      </c>
      <c r="CM75" s="754">
        <v>29.259520087472513</v>
      </c>
      <c r="CN75" s="754">
        <v>29.259520087472513</v>
      </c>
      <c r="CO75" s="505">
        <f t="shared" si="0"/>
        <v>146.29760043736258</v>
      </c>
      <c r="CP75" s="1085">
        <f t="shared" si="1"/>
        <v>1592.9231050013332</v>
      </c>
      <c r="CQ75" s="1086">
        <v>132.28200000000001</v>
      </c>
      <c r="CR75" s="514">
        <v>109.074</v>
      </c>
      <c r="CS75" s="1087">
        <f>CQ75/CR75</f>
        <v>1.2127729798118709</v>
      </c>
      <c r="CT75" s="516">
        <f>CP75/L75</f>
        <v>51.384616290365585</v>
      </c>
      <c r="CU75" s="516">
        <f>CS75*CT75</f>
        <v>62.317874214956277</v>
      </c>
      <c r="CV75" s="516">
        <v>62.317874214956277</v>
      </c>
      <c r="CW75" s="516">
        <v>62.317874214956277</v>
      </c>
      <c r="CX75" s="516">
        <v>62.317874214956277</v>
      </c>
      <c r="CY75" s="516">
        <v>62.317874214956277</v>
      </c>
      <c r="CZ75" s="516">
        <v>62.317874214956277</v>
      </c>
      <c r="DA75" s="516">
        <v>62.317874214956277</v>
      </c>
      <c r="DB75" s="516">
        <v>62.317874214956277</v>
      </c>
      <c r="DC75" s="516">
        <v>62.317874214956277</v>
      </c>
      <c r="DD75" s="516">
        <v>62.317874214956277</v>
      </c>
      <c r="DE75" s="516">
        <v>62.317874214956277</v>
      </c>
      <c r="DF75" s="516">
        <v>62.317874214956277</v>
      </c>
      <c r="DG75" s="516">
        <v>62.317874214956277</v>
      </c>
      <c r="DH75" s="516">
        <v>62.317874214956277</v>
      </c>
      <c r="DI75" s="516">
        <v>62.317874214956277</v>
      </c>
      <c r="DJ75" s="516">
        <v>62.317874214956277</v>
      </c>
      <c r="DK75" s="516">
        <v>62.317874214956277</v>
      </c>
      <c r="DL75" s="516">
        <v>62.317874214956277</v>
      </c>
      <c r="DM75" s="516">
        <v>62.317874214956277</v>
      </c>
      <c r="DN75" s="516">
        <f t="shared" si="3"/>
        <v>1121.7217358692133</v>
      </c>
      <c r="DO75" s="1085">
        <f t="shared" si="2"/>
        <v>471.20136913211991</v>
      </c>
    </row>
    <row r="76" spans="1:323" s="16" customFormat="1" ht="15" x14ac:dyDescent="0.2">
      <c r="A76" s="120" t="s">
        <v>71</v>
      </c>
      <c r="B76" s="120" t="s">
        <v>296</v>
      </c>
      <c r="C76" s="45"/>
      <c r="D76" s="125"/>
      <c r="E76" s="130"/>
      <c r="F76" s="46"/>
      <c r="G76" s="58"/>
      <c r="H76" s="145"/>
      <c r="I76" s="165"/>
      <c r="J76" s="48"/>
      <c r="K76" s="165"/>
      <c r="L76" s="48"/>
      <c r="M76" s="165"/>
      <c r="N76" s="48"/>
      <c r="O76" s="165"/>
      <c r="P76" s="48"/>
      <c r="Q76" s="48"/>
      <c r="R76" s="119"/>
      <c r="S76" s="128"/>
      <c r="T76" s="7"/>
      <c r="U76" s="72"/>
      <c r="V76" s="776"/>
      <c r="W76" s="776"/>
      <c r="X76" s="47"/>
      <c r="Y76" s="106"/>
      <c r="Z76" s="257"/>
      <c r="AA76" s="57"/>
      <c r="AB76" s="80"/>
      <c r="AC76" s="57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72"/>
      <c r="AT76" s="55"/>
      <c r="AU76" s="55"/>
      <c r="AV76" s="55">
        <f t="shared" si="50"/>
        <v>0</v>
      </c>
      <c r="AW76" s="55">
        <f t="shared" si="50"/>
        <v>0</v>
      </c>
      <c r="AX76" s="55">
        <f t="shared" si="50"/>
        <v>0</v>
      </c>
      <c r="AY76" s="55">
        <f t="shared" si="50"/>
        <v>0</v>
      </c>
      <c r="AZ76" s="55">
        <f t="shared" si="50"/>
        <v>0</v>
      </c>
      <c r="BA76" s="57"/>
      <c r="BB76" s="80"/>
      <c r="BC76" s="57"/>
      <c r="BD76" s="165"/>
      <c r="BE76" s="165"/>
      <c r="BF76" s="55"/>
      <c r="BG76" s="55"/>
      <c r="BH76" s="55"/>
      <c r="BI76" s="55"/>
      <c r="BJ76" s="55"/>
      <c r="BK76" s="55"/>
      <c r="BL76" s="55"/>
      <c r="BM76" s="55"/>
      <c r="BN76" s="448"/>
      <c r="BO76" s="55"/>
      <c r="BP76" s="55"/>
      <c r="BQ76" s="55"/>
      <c r="BR76" s="55"/>
      <c r="BS76" s="55"/>
      <c r="BT76" s="55"/>
      <c r="BU76" s="448"/>
      <c r="BV76" s="28"/>
      <c r="BW76" s="136"/>
      <c r="BX76" s="28"/>
      <c r="BY76" s="28"/>
      <c r="BZ76" s="28"/>
      <c r="CA76" s="755"/>
      <c r="CB76" s="755"/>
      <c r="CC76" s="755"/>
      <c r="CD76" s="755"/>
      <c r="CE76" s="755"/>
      <c r="CF76" s="755"/>
      <c r="CG76" s="755"/>
      <c r="CH76" s="28"/>
      <c r="CI76" s="28"/>
      <c r="CJ76" s="755"/>
      <c r="CK76" s="755"/>
      <c r="CL76" s="755"/>
      <c r="CM76" s="755"/>
      <c r="CN76" s="755"/>
      <c r="CO76" s="505"/>
      <c r="CP76" s="1085"/>
      <c r="CQ76" s="516"/>
      <c r="CR76" s="1120"/>
      <c r="CS76" s="1087"/>
      <c r="CT76" s="516"/>
      <c r="CU76" s="516"/>
      <c r="CV76" s="516"/>
      <c r="CW76" s="516"/>
      <c r="CX76" s="516"/>
      <c r="CY76" s="516"/>
      <c r="CZ76" s="516"/>
      <c r="DA76" s="516"/>
      <c r="DB76" s="516"/>
      <c r="DC76" s="516"/>
      <c r="DD76" s="516"/>
      <c r="DE76" s="516"/>
      <c r="DF76" s="516"/>
      <c r="DG76" s="516"/>
      <c r="DH76" s="516"/>
      <c r="DI76" s="516"/>
      <c r="DJ76" s="516"/>
      <c r="DK76" s="516"/>
      <c r="DL76" s="516"/>
      <c r="DM76" s="516"/>
      <c r="DN76" s="516">
        <f t="shared" si="3"/>
        <v>0</v>
      </c>
      <c r="DO76" s="1085"/>
    </row>
    <row r="77" spans="1:323" s="16" customFormat="1" ht="15" x14ac:dyDescent="0.2">
      <c r="A77" s="120" t="s">
        <v>295</v>
      </c>
      <c r="B77" s="100"/>
      <c r="C77" s="45"/>
      <c r="D77" s="125"/>
      <c r="E77" s="130"/>
      <c r="F77" s="46"/>
      <c r="G77" s="58"/>
      <c r="H77" s="145"/>
      <c r="I77" s="165"/>
      <c r="J77" s="48"/>
      <c r="K77" s="165"/>
      <c r="L77" s="48"/>
      <c r="M77" s="165"/>
      <c r="N77" s="48"/>
      <c r="O77" s="165"/>
      <c r="P77" s="48"/>
      <c r="Q77" s="48"/>
      <c r="R77" s="46"/>
      <c r="S77" s="132"/>
      <c r="T77" s="107"/>
      <c r="U77" s="72"/>
      <c r="V77" s="776"/>
      <c r="W77" s="776"/>
      <c r="X77" s="47"/>
      <c r="Y77" s="106"/>
      <c r="Z77" s="258"/>
      <c r="AA77" s="57"/>
      <c r="AB77" s="80"/>
      <c r="AC77" s="57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72"/>
      <c r="AT77" s="55"/>
      <c r="AU77" s="55"/>
      <c r="AV77" s="55">
        <f t="shared" si="50"/>
        <v>0</v>
      </c>
      <c r="AW77" s="55">
        <f t="shared" si="50"/>
        <v>0</v>
      </c>
      <c r="AX77" s="55">
        <f t="shared" si="50"/>
        <v>0</v>
      </c>
      <c r="AY77" s="55">
        <f t="shared" si="50"/>
        <v>0</v>
      </c>
      <c r="AZ77" s="55">
        <f t="shared" si="50"/>
        <v>0</v>
      </c>
      <c r="BA77" s="57"/>
      <c r="BB77" s="80"/>
      <c r="BC77" s="57"/>
      <c r="BD77" s="165"/>
      <c r="BE77" s="165"/>
      <c r="BF77" s="55"/>
      <c r="BG77" s="55"/>
      <c r="BH77" s="55"/>
      <c r="BI77" s="55"/>
      <c r="BJ77" s="55"/>
      <c r="BK77" s="55"/>
      <c r="BL77" s="55"/>
      <c r="BM77" s="55"/>
      <c r="BN77" s="448"/>
      <c r="BO77" s="55"/>
      <c r="BP77" s="55"/>
      <c r="BQ77" s="55"/>
      <c r="BR77" s="55"/>
      <c r="BS77" s="55"/>
      <c r="BT77" s="55"/>
      <c r="BU77" s="448"/>
      <c r="BV77" s="28"/>
      <c r="BW77" s="136"/>
      <c r="BX77" s="28"/>
      <c r="BY77" s="28"/>
      <c r="BZ77" s="28"/>
      <c r="CA77" s="755"/>
      <c r="CB77" s="755"/>
      <c r="CC77" s="755"/>
      <c r="CD77" s="755"/>
      <c r="CE77" s="755"/>
      <c r="CF77" s="755"/>
      <c r="CG77" s="755"/>
      <c r="CH77" s="429"/>
      <c r="CI77" s="28"/>
      <c r="CJ77" s="755"/>
      <c r="CK77" s="755"/>
      <c r="CL77" s="755"/>
      <c r="CM77" s="755"/>
      <c r="CN77" s="755"/>
      <c r="CO77" s="505"/>
      <c r="CP77" s="1085"/>
      <c r="CQ77" s="520"/>
      <c r="CR77" s="1120"/>
      <c r="CS77" s="1087"/>
      <c r="CT77" s="516"/>
      <c r="CU77" s="516"/>
      <c r="CV77" s="516"/>
      <c r="CW77" s="516"/>
      <c r="CX77" s="516"/>
      <c r="CY77" s="516"/>
      <c r="CZ77" s="516"/>
      <c r="DA77" s="516"/>
      <c r="DB77" s="516"/>
      <c r="DC77" s="516"/>
      <c r="DD77" s="516"/>
      <c r="DE77" s="516"/>
      <c r="DF77" s="516"/>
      <c r="DG77" s="516"/>
      <c r="DH77" s="516"/>
      <c r="DI77" s="516"/>
      <c r="DJ77" s="516"/>
      <c r="DK77" s="516"/>
      <c r="DL77" s="516"/>
      <c r="DM77" s="516"/>
      <c r="DN77" s="516">
        <f t="shared" si="3"/>
        <v>0</v>
      </c>
      <c r="DO77" s="1085"/>
    </row>
    <row r="78" spans="1:323" s="16" customFormat="1" ht="15" x14ac:dyDescent="0.2">
      <c r="A78" s="119" t="s">
        <v>297</v>
      </c>
      <c r="B78" s="100" t="s">
        <v>296</v>
      </c>
      <c r="C78" s="45" t="s">
        <v>355</v>
      </c>
      <c r="D78" s="125">
        <v>10</v>
      </c>
      <c r="E78" s="130">
        <v>0.1</v>
      </c>
      <c r="F78" s="46">
        <v>43281</v>
      </c>
      <c r="G78" s="58">
        <v>120</v>
      </c>
      <c r="H78" s="145">
        <f>100/G78</f>
        <v>0.83333333333333337</v>
      </c>
      <c r="I78" s="165">
        <f>H78*J78</f>
        <v>113.33333333333334</v>
      </c>
      <c r="J78" s="48">
        <f>(YEAR(F78)-YEAR(S78))*12+MONTH(F78)-MONTH(S78)</f>
        <v>136</v>
      </c>
      <c r="K78" s="165">
        <f>L78*H78</f>
        <v>-13.333333333333334</v>
      </c>
      <c r="L78" s="48">
        <f>G78-J78</f>
        <v>-16</v>
      </c>
      <c r="M78" s="165">
        <f>N78*H78</f>
        <v>-13.333333333333334</v>
      </c>
      <c r="N78" s="48">
        <f>G78-J78</f>
        <v>-16</v>
      </c>
      <c r="O78" s="165">
        <f>K78-M78</f>
        <v>0</v>
      </c>
      <c r="P78" s="48">
        <f>L78-N78</f>
        <v>0</v>
      </c>
      <c r="Q78" s="462">
        <f>DATE(YEAR(S78),MONTH(S78)+G78,DAY(S78))</f>
        <v>42786</v>
      </c>
      <c r="R78" s="125" t="s">
        <v>445</v>
      </c>
      <c r="S78" s="119">
        <v>39133</v>
      </c>
      <c r="T78" s="7">
        <v>17232.75</v>
      </c>
      <c r="U78" s="72">
        <v>3590.1224999999972</v>
      </c>
      <c r="V78" s="776">
        <v>1723.3087500000006</v>
      </c>
      <c r="W78" s="776">
        <f>U78</f>
        <v>3590.1224999999972</v>
      </c>
      <c r="X78" s="47">
        <v>143.61000000000001</v>
      </c>
      <c r="Y78" s="106">
        <f>X78*5</f>
        <v>718.05000000000007</v>
      </c>
      <c r="Z78" s="258">
        <f>W78-Y78</f>
        <v>2872.072499999997</v>
      </c>
      <c r="AA78" s="57">
        <v>115.958</v>
      </c>
      <c r="AB78" s="80">
        <v>121.98</v>
      </c>
      <c r="AC78" s="57">
        <f>AA78/AB78</f>
        <v>0.95063125102475809</v>
      </c>
      <c r="AD78" s="55">
        <f>Z78*M78/100/K78*100/7</f>
        <v>410.29607142857094</v>
      </c>
      <c r="AE78" s="55">
        <f>AD78*AC78</f>
        <v>390.0402676726859</v>
      </c>
      <c r="AF78" s="55"/>
      <c r="AG78" s="55"/>
      <c r="AH78" s="55"/>
      <c r="AI78" s="55"/>
      <c r="AJ78" s="55"/>
      <c r="AK78" s="55">
        <f>AE78</f>
        <v>390.0402676726859</v>
      </c>
      <c r="AL78" s="55">
        <v>136.51409368544009</v>
      </c>
      <c r="AM78" s="55">
        <v>136.51409368544009</v>
      </c>
      <c r="AN78" s="55">
        <v>136.51409368544009</v>
      </c>
      <c r="AO78" s="55">
        <v>136.51409368544009</v>
      </c>
      <c r="AP78" s="55">
        <v>136.51409368544009</v>
      </c>
      <c r="AQ78" s="55">
        <v>136.51409368544009</v>
      </c>
      <c r="AR78" s="55">
        <f>SUM(AF78:AQ78)</f>
        <v>1209.1248297853265</v>
      </c>
      <c r="AS78" s="72">
        <f>Z78-AR78</f>
        <v>1662.9476702146706</v>
      </c>
      <c r="AT78" s="55"/>
      <c r="AU78" s="55"/>
      <c r="AV78" s="55">
        <f t="shared" si="50"/>
        <v>136.51409368544009</v>
      </c>
      <c r="AW78" s="55">
        <f t="shared" si="50"/>
        <v>136.51409368544009</v>
      </c>
      <c r="AX78" s="55">
        <f t="shared" si="50"/>
        <v>136.51409368544009</v>
      </c>
      <c r="AY78" s="55">
        <f t="shared" si="50"/>
        <v>136.51409368544009</v>
      </c>
      <c r="AZ78" s="55">
        <f t="shared" si="50"/>
        <v>136.51409368544009</v>
      </c>
      <c r="BA78" s="80">
        <v>118.901</v>
      </c>
      <c r="BB78" s="80">
        <v>121.98</v>
      </c>
      <c r="BC78" s="57">
        <f>BA78/BB78</f>
        <v>0.9747581570749303</v>
      </c>
      <c r="BD78" s="165">
        <f>T78/(D78*12)</f>
        <v>143.60624999999999</v>
      </c>
      <c r="BE78" s="165">
        <f>BD78*BC78</f>
        <v>139.98136359444169</v>
      </c>
      <c r="BF78" s="55">
        <f>$BE78</f>
        <v>139.98136359444169</v>
      </c>
      <c r="BG78" s="55">
        <f>$BE78</f>
        <v>139.98136359444169</v>
      </c>
      <c r="BH78" s="55">
        <f>$BE78</f>
        <v>139.98136359444169</v>
      </c>
      <c r="BI78" s="55">
        <f>$BE78</f>
        <v>139.98136359444169</v>
      </c>
      <c r="BJ78" s="55">
        <v>139.97999999999999</v>
      </c>
      <c r="BK78" s="55">
        <v>139.97999999999999</v>
      </c>
      <c r="BL78" s="55">
        <v>139.97999999999999</v>
      </c>
      <c r="BM78" s="55">
        <f>SUM((AV78:AZ78),(BF78:BL78))</f>
        <v>1662.4359228049675</v>
      </c>
      <c r="BN78" s="448">
        <f>(AS78-BM78)</f>
        <v>0.51174740970304811</v>
      </c>
      <c r="BO78" s="55">
        <f>$BE78</f>
        <v>139.98136359444169</v>
      </c>
      <c r="BP78" s="55">
        <v>113.06</v>
      </c>
      <c r="BQ78" s="55">
        <v>0</v>
      </c>
      <c r="BR78" s="55">
        <v>0</v>
      </c>
      <c r="BS78" s="55">
        <v>0</v>
      </c>
      <c r="BT78" s="55">
        <f>SUM(BO78:BS78)</f>
        <v>253.04136359444169</v>
      </c>
      <c r="BU78" s="448">
        <v>0.99655780250714088</v>
      </c>
      <c r="BV78" s="57"/>
      <c r="BW78" s="57">
        <v>109.074</v>
      </c>
      <c r="BX78" s="57">
        <f>BV78/BW78</f>
        <v>0</v>
      </c>
      <c r="BY78" s="753">
        <f>BU78/J78</f>
        <v>7.3276309007878002E-3</v>
      </c>
      <c r="BZ78" s="55"/>
      <c r="CA78" s="754"/>
      <c r="CB78" s="754"/>
      <c r="CC78" s="754"/>
      <c r="CD78" s="754"/>
      <c r="CE78" s="754"/>
      <c r="CF78" s="754"/>
      <c r="CG78" s="754"/>
      <c r="CH78" s="429">
        <f>SUM(CA78:CG78)</f>
        <v>0</v>
      </c>
      <c r="CI78" s="439">
        <f>BU78-CH78</f>
        <v>0.99655780250714088</v>
      </c>
      <c r="CJ78" s="754"/>
      <c r="CK78" s="754">
        <v>0</v>
      </c>
      <c r="CL78" s="754">
        <v>0</v>
      </c>
      <c r="CM78" s="754">
        <v>0</v>
      </c>
      <c r="CN78" s="754">
        <v>0</v>
      </c>
      <c r="CO78" s="505"/>
      <c r="CP78" s="1085">
        <f t="shared" ref="CP78" si="51">CI78-CO78</f>
        <v>0.99655780250714088</v>
      </c>
      <c r="CQ78" s="1086">
        <v>132.28200000000001</v>
      </c>
      <c r="CR78" s="514">
        <v>109.074</v>
      </c>
      <c r="CS78" s="1087">
        <f>CQ78/CR78</f>
        <v>1.2127729798118709</v>
      </c>
      <c r="CT78" s="516">
        <v>0</v>
      </c>
      <c r="CU78" s="516">
        <f>CT78*CS78</f>
        <v>0</v>
      </c>
      <c r="CV78" s="516">
        <v>0</v>
      </c>
      <c r="CW78" s="516">
        <v>0</v>
      </c>
      <c r="CX78" s="516">
        <v>0</v>
      </c>
      <c r="CY78" s="516">
        <v>0</v>
      </c>
      <c r="CZ78" s="516">
        <v>0</v>
      </c>
      <c r="DA78" s="516">
        <v>0</v>
      </c>
      <c r="DB78" s="516">
        <v>0</v>
      </c>
      <c r="DC78" s="516">
        <v>0</v>
      </c>
      <c r="DD78" s="516">
        <v>0</v>
      </c>
      <c r="DE78" s="516">
        <v>0</v>
      </c>
      <c r="DF78" s="516">
        <v>0</v>
      </c>
      <c r="DG78" s="516">
        <v>0</v>
      </c>
      <c r="DH78" s="516">
        <v>0</v>
      </c>
      <c r="DI78" s="516">
        <v>0</v>
      </c>
      <c r="DJ78" s="516">
        <v>0</v>
      </c>
      <c r="DK78" s="516">
        <v>0</v>
      </c>
      <c r="DL78" s="516">
        <v>0</v>
      </c>
      <c r="DM78" s="516">
        <v>0</v>
      </c>
      <c r="DN78" s="516">
        <f t="shared" si="3"/>
        <v>0</v>
      </c>
      <c r="DO78" s="1085">
        <f t="shared" ref="DO78:DO121" si="52">CP78-DN78</f>
        <v>0.99655780250714088</v>
      </c>
    </row>
    <row r="79" spans="1:323" s="16" customFormat="1" ht="15" x14ac:dyDescent="0.2">
      <c r="A79" s="120" t="s">
        <v>71</v>
      </c>
      <c r="B79" s="120" t="s">
        <v>299</v>
      </c>
      <c r="C79" s="45"/>
      <c r="D79" s="125"/>
      <c r="E79" s="130"/>
      <c r="F79" s="46"/>
      <c r="G79" s="58"/>
      <c r="H79" s="145"/>
      <c r="I79" s="165"/>
      <c r="J79" s="48"/>
      <c r="K79" s="165"/>
      <c r="L79" s="48"/>
      <c r="M79" s="165"/>
      <c r="N79" s="48"/>
      <c r="O79" s="165"/>
      <c r="P79" s="48"/>
      <c r="Q79" s="48"/>
      <c r="R79" s="46"/>
      <c r="S79" s="128"/>
      <c r="T79" s="129"/>
      <c r="U79" s="113"/>
      <c r="V79" s="776"/>
      <c r="W79" s="776"/>
      <c r="X79" s="47"/>
      <c r="Y79" s="106"/>
      <c r="Z79" s="258"/>
      <c r="AA79" s="57"/>
      <c r="AB79" s="80"/>
      <c r="AC79" s="57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72"/>
      <c r="AT79" s="55"/>
      <c r="AU79" s="55"/>
      <c r="AV79" s="55">
        <f t="shared" si="50"/>
        <v>0</v>
      </c>
      <c r="AW79" s="55">
        <f t="shared" si="50"/>
        <v>0</v>
      </c>
      <c r="AX79" s="55">
        <f t="shared" si="50"/>
        <v>0</v>
      </c>
      <c r="AY79" s="55">
        <f t="shared" si="50"/>
        <v>0</v>
      </c>
      <c r="AZ79" s="55">
        <f t="shared" si="50"/>
        <v>0</v>
      </c>
      <c r="BA79" s="57"/>
      <c r="BB79" s="80"/>
      <c r="BC79" s="57"/>
      <c r="BD79" s="165"/>
      <c r="BE79" s="165"/>
      <c r="BF79" s="55"/>
      <c r="BG79" s="55"/>
      <c r="BH79" s="55"/>
      <c r="BI79" s="55"/>
      <c r="BJ79" s="55"/>
      <c r="BK79" s="55"/>
      <c r="BL79" s="55"/>
      <c r="BM79" s="55"/>
      <c r="BN79" s="448"/>
      <c r="BO79" s="55"/>
      <c r="BP79" s="55"/>
      <c r="BQ79" s="55"/>
      <c r="BR79" s="55"/>
      <c r="BS79" s="55"/>
      <c r="BT79" s="55"/>
      <c r="BU79" s="448"/>
      <c r="BV79" s="28"/>
      <c r="BW79" s="136"/>
      <c r="BX79" s="28"/>
      <c r="BY79" s="28"/>
      <c r="BZ79" s="28"/>
      <c r="CA79" s="755"/>
      <c r="CB79" s="755"/>
      <c r="CC79" s="755"/>
      <c r="CD79" s="755"/>
      <c r="CE79" s="755"/>
      <c r="CF79" s="755"/>
      <c r="CG79" s="755"/>
      <c r="CH79" s="28"/>
      <c r="CI79" s="28"/>
      <c r="CJ79" s="755"/>
      <c r="CK79" s="755"/>
      <c r="CL79" s="755"/>
      <c r="CM79" s="755"/>
      <c r="CN79" s="755"/>
      <c r="CO79" s="505"/>
      <c r="CP79" s="1085"/>
      <c r="CQ79" s="520"/>
      <c r="CR79" s="1120"/>
      <c r="CS79" s="1087"/>
      <c r="CT79" s="516"/>
      <c r="CU79" s="516"/>
      <c r="CV79" s="516"/>
      <c r="CW79" s="516"/>
      <c r="CX79" s="516"/>
      <c r="CY79" s="516"/>
      <c r="CZ79" s="516"/>
      <c r="DA79" s="516"/>
      <c r="DB79" s="516"/>
      <c r="DC79" s="516"/>
      <c r="DD79" s="516"/>
      <c r="DE79" s="516"/>
      <c r="DF79" s="516"/>
      <c r="DG79" s="516"/>
      <c r="DH79" s="516"/>
      <c r="DI79" s="516"/>
      <c r="DJ79" s="516"/>
      <c r="DK79" s="516"/>
      <c r="DL79" s="516"/>
      <c r="DM79" s="516"/>
      <c r="DN79" s="516">
        <f t="shared" si="3"/>
        <v>0</v>
      </c>
      <c r="DO79" s="1085"/>
    </row>
    <row r="80" spans="1:323" s="16" customFormat="1" ht="15" x14ac:dyDescent="0.2">
      <c r="A80" s="120" t="s">
        <v>298</v>
      </c>
      <c r="B80" s="100"/>
      <c r="C80" s="45"/>
      <c r="D80" s="125"/>
      <c r="E80" s="130"/>
      <c r="F80" s="46"/>
      <c r="G80" s="58"/>
      <c r="H80" s="145"/>
      <c r="I80" s="165"/>
      <c r="J80" s="48"/>
      <c r="K80" s="165"/>
      <c r="L80" s="48"/>
      <c r="M80" s="165"/>
      <c r="N80" s="48"/>
      <c r="O80" s="165"/>
      <c r="P80" s="48"/>
      <c r="Q80" s="48"/>
      <c r="R80" s="46"/>
      <c r="S80" s="128"/>
      <c r="T80" s="7"/>
      <c r="U80" s="72"/>
      <c r="V80" s="776"/>
      <c r="W80" s="776"/>
      <c r="X80" s="47"/>
      <c r="Y80" s="106"/>
      <c r="Z80" s="258"/>
      <c r="AA80" s="57"/>
      <c r="AB80" s="57"/>
      <c r="AC80" s="57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72"/>
      <c r="AT80" s="55"/>
      <c r="AU80" s="55"/>
      <c r="AV80" s="55">
        <f t="shared" si="50"/>
        <v>0</v>
      </c>
      <c r="AW80" s="55">
        <f t="shared" si="50"/>
        <v>0</v>
      </c>
      <c r="AX80" s="55">
        <f t="shared" si="50"/>
        <v>0</v>
      </c>
      <c r="AY80" s="55">
        <f t="shared" si="50"/>
        <v>0</v>
      </c>
      <c r="AZ80" s="55">
        <f t="shared" si="50"/>
        <v>0</v>
      </c>
      <c r="BA80" s="57"/>
      <c r="BB80" s="57"/>
      <c r="BC80" s="57"/>
      <c r="BD80" s="165"/>
      <c r="BE80" s="165"/>
      <c r="BF80" s="55"/>
      <c r="BG80" s="55"/>
      <c r="BH80" s="55"/>
      <c r="BI80" s="55"/>
      <c r="BJ80" s="55"/>
      <c r="BK80" s="55"/>
      <c r="BL80" s="55"/>
      <c r="BM80" s="55"/>
      <c r="BN80" s="448"/>
      <c r="BO80" s="55"/>
      <c r="BP80" s="55"/>
      <c r="BQ80" s="55"/>
      <c r="BR80" s="55"/>
      <c r="BS80" s="55"/>
      <c r="BT80" s="55"/>
      <c r="BU80" s="448"/>
      <c r="BV80" s="28"/>
      <c r="BW80" s="136"/>
      <c r="BX80" s="28"/>
      <c r="BY80" s="28"/>
      <c r="BZ80" s="28"/>
      <c r="CA80" s="755"/>
      <c r="CB80" s="755"/>
      <c r="CC80" s="755"/>
      <c r="CD80" s="755"/>
      <c r="CE80" s="755"/>
      <c r="CF80" s="755"/>
      <c r="CG80" s="755"/>
      <c r="CH80" s="28"/>
      <c r="CI80" s="28"/>
      <c r="CJ80" s="755"/>
      <c r="CK80" s="755"/>
      <c r="CL80" s="755"/>
      <c r="CM80" s="755"/>
      <c r="CN80" s="755"/>
      <c r="CO80" s="505"/>
      <c r="CP80" s="1085"/>
      <c r="CQ80" s="1086"/>
      <c r="CR80" s="1120"/>
      <c r="CS80" s="1087"/>
      <c r="CT80" s="516"/>
      <c r="CU80" s="516"/>
      <c r="CV80" s="516"/>
      <c r="CW80" s="516"/>
      <c r="CX80" s="516"/>
      <c r="CY80" s="516"/>
      <c r="CZ80" s="516"/>
      <c r="DA80" s="516"/>
      <c r="DB80" s="516"/>
      <c r="DC80" s="516"/>
      <c r="DD80" s="516"/>
      <c r="DE80" s="516"/>
      <c r="DF80" s="516"/>
      <c r="DG80" s="516"/>
      <c r="DH80" s="516"/>
      <c r="DI80" s="516"/>
      <c r="DJ80" s="516"/>
      <c r="DK80" s="516"/>
      <c r="DL80" s="516"/>
      <c r="DM80" s="516"/>
      <c r="DN80" s="516">
        <f t="shared" si="3"/>
        <v>0</v>
      </c>
      <c r="DO80" s="1085"/>
    </row>
    <row r="81" spans="1:119" s="16" customFormat="1" ht="15" x14ac:dyDescent="0.2">
      <c r="A81" s="119" t="s">
        <v>300</v>
      </c>
      <c r="B81" s="100" t="s">
        <v>299</v>
      </c>
      <c r="C81" s="45" t="s">
        <v>355</v>
      </c>
      <c r="D81" s="125">
        <v>10</v>
      </c>
      <c r="E81" s="130">
        <v>0.1</v>
      </c>
      <c r="F81" s="46">
        <v>43281</v>
      </c>
      <c r="G81" s="58">
        <v>120</v>
      </c>
      <c r="H81" s="145">
        <f>100/G81</f>
        <v>0.83333333333333337</v>
      </c>
      <c r="I81" s="165">
        <f>H81*J81</f>
        <v>44.166666666666671</v>
      </c>
      <c r="J81" s="48">
        <f>(YEAR(F81)-YEAR(S81))*12+MONTH(F81)-MONTH(S81)</f>
        <v>53</v>
      </c>
      <c r="K81" s="165">
        <f>L81*H81</f>
        <v>55.833333333333336</v>
      </c>
      <c r="L81" s="48">
        <f>G81-J81</f>
        <v>67</v>
      </c>
      <c r="M81" s="165">
        <f>N81*H81</f>
        <v>55.833333333333336</v>
      </c>
      <c r="N81" s="48">
        <f>G81-J81</f>
        <v>67</v>
      </c>
      <c r="O81" s="165">
        <f>K81-M81</f>
        <v>0</v>
      </c>
      <c r="P81" s="48">
        <f>L81-N81</f>
        <v>0</v>
      </c>
      <c r="Q81" s="462">
        <f>DATE(YEAR(S81),MONTH(S81)+G81,DAY(S81))</f>
        <v>45292</v>
      </c>
      <c r="R81" s="125" t="s">
        <v>445</v>
      </c>
      <c r="S81" s="128">
        <v>41640</v>
      </c>
      <c r="T81" s="251">
        <v>3300</v>
      </c>
      <c r="U81" s="72">
        <v>2970</v>
      </c>
      <c r="V81" s="776">
        <v>330</v>
      </c>
      <c r="W81" s="776">
        <f>U81</f>
        <v>2970</v>
      </c>
      <c r="X81" s="47">
        <v>27.5</v>
      </c>
      <c r="Y81" s="106">
        <f>X81*5</f>
        <v>137.5</v>
      </c>
      <c r="Z81" s="258">
        <f>W81-Y81</f>
        <v>2832.5</v>
      </c>
      <c r="AA81" s="57">
        <v>115.958</v>
      </c>
      <c r="AB81" s="80">
        <v>112.505</v>
      </c>
      <c r="AC81" s="57">
        <f>AA81/AB81</f>
        <v>1.0306919692458114</v>
      </c>
      <c r="AD81" s="55">
        <f>Z81*M81/100/K81*100/7</f>
        <v>404.64285714285722</v>
      </c>
      <c r="AE81" s="55">
        <f>AD81*AC81</f>
        <v>417.06214326982308</v>
      </c>
      <c r="AF81" s="55"/>
      <c r="AG81" s="55"/>
      <c r="AH81" s="55"/>
      <c r="AI81" s="55"/>
      <c r="AJ81" s="55"/>
      <c r="AK81" s="55">
        <f>AE81</f>
        <v>417.06214326982308</v>
      </c>
      <c r="AL81" s="55">
        <v>28.344029154259815</v>
      </c>
      <c r="AM81" s="55">
        <v>28.344029154259815</v>
      </c>
      <c r="AN81" s="55">
        <v>28.344029154259815</v>
      </c>
      <c r="AO81" s="55">
        <v>28.344029154259815</v>
      </c>
      <c r="AP81" s="55">
        <v>28.344029154259815</v>
      </c>
      <c r="AQ81" s="55">
        <v>28.344029154259815</v>
      </c>
      <c r="AR81" s="55">
        <f>SUM(AF81:AQ81)</f>
        <v>587.12631819538205</v>
      </c>
      <c r="AS81" s="72">
        <f>Z81-AR81</f>
        <v>2245.3736818046182</v>
      </c>
      <c r="AT81" s="55"/>
      <c r="AU81" s="55"/>
      <c r="AV81" s="55">
        <f t="shared" si="50"/>
        <v>28.344029154259815</v>
      </c>
      <c r="AW81" s="55">
        <f t="shared" si="50"/>
        <v>28.344029154259815</v>
      </c>
      <c r="AX81" s="55">
        <f t="shared" si="50"/>
        <v>28.344029154259815</v>
      </c>
      <c r="AY81" s="55">
        <f t="shared" si="50"/>
        <v>28.344029154259815</v>
      </c>
      <c r="AZ81" s="55">
        <f t="shared" si="50"/>
        <v>28.344029154259815</v>
      </c>
      <c r="BA81" s="80">
        <v>118.901</v>
      </c>
      <c r="BB81" s="80">
        <v>112.505</v>
      </c>
      <c r="BC81" s="57">
        <f>BA81/BB81</f>
        <v>1.0568508066308164</v>
      </c>
      <c r="BD81" s="165">
        <f>T81/(D81*12)</f>
        <v>27.5</v>
      </c>
      <c r="BE81" s="165">
        <f>BD81*BC81</f>
        <v>29.063397182347451</v>
      </c>
      <c r="BF81" s="55">
        <f>$BE81</f>
        <v>29.063397182347451</v>
      </c>
      <c r="BG81" s="55">
        <f>$BE81</f>
        <v>29.063397182347451</v>
      </c>
      <c r="BH81" s="55">
        <f>$BE81</f>
        <v>29.063397182347451</v>
      </c>
      <c r="BI81" s="55">
        <f>$BE81</f>
        <v>29.063397182347451</v>
      </c>
      <c r="BJ81" s="55">
        <v>29.06</v>
      </c>
      <c r="BK81" s="55">
        <v>29.06</v>
      </c>
      <c r="BL81" s="55">
        <v>29.06</v>
      </c>
      <c r="BM81" s="55">
        <f>SUM((AV81:AZ81),(BF81:BL81))</f>
        <v>345.15373450068887</v>
      </c>
      <c r="BN81" s="448">
        <f>(AS81-BM81)</f>
        <v>1900.2199473039293</v>
      </c>
      <c r="BO81" s="55">
        <f>$BE81</f>
        <v>29.063397182347451</v>
      </c>
      <c r="BP81" s="55">
        <f>$BE81</f>
        <v>29.063397182347451</v>
      </c>
      <c r="BQ81" s="55">
        <f>$BE81</f>
        <v>29.063397182347451</v>
      </c>
      <c r="BR81" s="55">
        <f>$BE81</f>
        <v>29.063397182347451</v>
      </c>
      <c r="BS81" s="55">
        <f>$BE81</f>
        <v>29.063397182347451</v>
      </c>
      <c r="BT81" s="55">
        <f>SUM(BO81:BS81)</f>
        <v>145.31698591173725</v>
      </c>
      <c r="BU81" s="448">
        <v>2143.621075507755</v>
      </c>
      <c r="BV81" s="57">
        <v>126.408</v>
      </c>
      <c r="BW81" s="57">
        <v>109.074</v>
      </c>
      <c r="BX81" s="57">
        <f>BV81/BW81</f>
        <v>1.1589196325430442</v>
      </c>
      <c r="BY81" s="753">
        <f>BU81/J81</f>
        <v>40.445680669957639</v>
      </c>
      <c r="BZ81" s="55">
        <f>BY81*BX81</f>
        <v>46.873293379980616</v>
      </c>
      <c r="CA81" s="754">
        <v>60.592306076560305</v>
      </c>
      <c r="CB81" s="754">
        <v>60.592306076560305</v>
      </c>
      <c r="CC81" s="754">
        <v>60.592306076560305</v>
      </c>
      <c r="CD81" s="754">
        <v>60.592306076560305</v>
      </c>
      <c r="CE81" s="754">
        <v>60.592306076560305</v>
      </c>
      <c r="CF81" s="754">
        <v>60.592306076560305</v>
      </c>
      <c r="CG81" s="754">
        <v>60.592306076560305</v>
      </c>
      <c r="CH81" s="429">
        <f>SUM(CA81:CG81)</f>
        <v>424.14614253592214</v>
      </c>
      <c r="CI81" s="439">
        <f>BU81-CH81</f>
        <v>1719.4749329718329</v>
      </c>
      <c r="CJ81" s="754">
        <v>60.592306076560305</v>
      </c>
      <c r="CK81" s="754">
        <v>60.592306076560305</v>
      </c>
      <c r="CL81" s="754">
        <v>60.592306076560305</v>
      </c>
      <c r="CM81" s="754">
        <v>60.592306076560305</v>
      </c>
      <c r="CN81" s="754">
        <v>60.592306076560305</v>
      </c>
      <c r="CO81" s="505">
        <f t="shared" ref="CO81:CO121" si="53">SUM(CJ81:CN81)</f>
        <v>302.96153038280153</v>
      </c>
      <c r="CP81" s="1085">
        <f t="shared" ref="CP81" si="54">CI81-CO81</f>
        <v>1416.5134025890313</v>
      </c>
      <c r="CQ81" s="1086">
        <v>132.28200000000001</v>
      </c>
      <c r="CR81" s="514">
        <v>109.074</v>
      </c>
      <c r="CS81" s="1087">
        <f>CQ81/CR81</f>
        <v>1.2127729798118709</v>
      </c>
      <c r="CT81" s="516">
        <f>CP81/L81</f>
        <v>21.141991083418379</v>
      </c>
      <c r="CU81" s="516">
        <f>CS81*CT81</f>
        <v>25.640435525393311</v>
      </c>
      <c r="CV81" s="516">
        <v>25.640435525393311</v>
      </c>
      <c r="CW81" s="516">
        <v>25.640435525393311</v>
      </c>
      <c r="CX81" s="516">
        <v>25.640435525393311</v>
      </c>
      <c r="CY81" s="516">
        <v>25.640435525393311</v>
      </c>
      <c r="CZ81" s="516">
        <v>25.640435525393311</v>
      </c>
      <c r="DA81" s="516">
        <v>25.640435525393311</v>
      </c>
      <c r="DB81" s="516">
        <v>25.640435525393311</v>
      </c>
      <c r="DC81" s="516">
        <v>25.640435525393311</v>
      </c>
      <c r="DD81" s="516">
        <v>25.640435525393311</v>
      </c>
      <c r="DE81" s="516">
        <v>25.640435525393311</v>
      </c>
      <c r="DF81" s="516">
        <v>25.640435525393311</v>
      </c>
      <c r="DG81" s="516">
        <v>25.640435525393311</v>
      </c>
      <c r="DH81" s="516">
        <v>25.640435525393311</v>
      </c>
      <c r="DI81" s="516">
        <v>25.640435525393311</v>
      </c>
      <c r="DJ81" s="516">
        <v>25.640435525393311</v>
      </c>
      <c r="DK81" s="516">
        <v>25.640435525393311</v>
      </c>
      <c r="DL81" s="516">
        <v>25.640435525393311</v>
      </c>
      <c r="DM81" s="516">
        <v>25.640435525393311</v>
      </c>
      <c r="DN81" s="516">
        <f t="shared" si="3"/>
        <v>461.52783945707938</v>
      </c>
      <c r="DO81" s="1085">
        <f t="shared" si="52"/>
        <v>954.98556313195195</v>
      </c>
    </row>
    <row r="82" spans="1:119" s="16" customFormat="1" ht="15" x14ac:dyDescent="0.2">
      <c r="A82" s="120" t="s">
        <v>71</v>
      </c>
      <c r="B82" s="120" t="s">
        <v>302</v>
      </c>
      <c r="C82" s="45"/>
      <c r="D82" s="125"/>
      <c r="E82" s="130"/>
      <c r="F82" s="46"/>
      <c r="G82" s="58"/>
      <c r="H82" s="145"/>
      <c r="I82" s="48"/>
      <c r="J82" s="48"/>
      <c r="K82" s="48"/>
      <c r="L82" s="48"/>
      <c r="M82" s="48"/>
      <c r="N82" s="48"/>
      <c r="O82" s="48"/>
      <c r="P82" s="48"/>
      <c r="Q82" s="48"/>
      <c r="R82" s="46"/>
      <c r="S82" s="132"/>
      <c r="T82" s="107"/>
      <c r="U82" s="72"/>
      <c r="V82" s="776"/>
      <c r="W82" s="776"/>
      <c r="X82" s="47"/>
      <c r="Y82" s="106"/>
      <c r="Z82" s="258"/>
      <c r="AA82" s="57"/>
      <c r="AB82" s="80"/>
      <c r="AC82" s="57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72"/>
      <c r="AT82" s="55"/>
      <c r="AU82" s="55"/>
      <c r="AV82" s="55">
        <f t="shared" si="50"/>
        <v>0</v>
      </c>
      <c r="AW82" s="55">
        <f t="shared" si="50"/>
        <v>0</v>
      </c>
      <c r="AX82" s="55">
        <f t="shared" si="50"/>
        <v>0</v>
      </c>
      <c r="AY82" s="55">
        <f t="shared" si="50"/>
        <v>0</v>
      </c>
      <c r="AZ82" s="55">
        <f t="shared" si="50"/>
        <v>0</v>
      </c>
      <c r="BA82" s="57"/>
      <c r="BB82" s="80"/>
      <c r="BC82" s="57"/>
      <c r="BD82" s="165"/>
      <c r="BE82" s="165"/>
      <c r="BF82" s="55"/>
      <c r="BG82" s="55"/>
      <c r="BH82" s="55"/>
      <c r="BI82" s="55"/>
      <c r="BJ82" s="55"/>
      <c r="BK82" s="55"/>
      <c r="BL82" s="55"/>
      <c r="BM82" s="55"/>
      <c r="BN82" s="448"/>
      <c r="BO82" s="55"/>
      <c r="BP82" s="55"/>
      <c r="BQ82" s="55"/>
      <c r="BR82" s="55"/>
      <c r="BS82" s="55"/>
      <c r="BT82" s="55"/>
      <c r="BU82" s="448"/>
      <c r="BV82" s="28"/>
      <c r="BW82" s="136"/>
      <c r="BX82" s="28"/>
      <c r="BY82" s="28"/>
      <c r="BZ82" s="28"/>
      <c r="CA82" s="755"/>
      <c r="CB82" s="755"/>
      <c r="CC82" s="755"/>
      <c r="CD82" s="755"/>
      <c r="CE82" s="755"/>
      <c r="CF82" s="755"/>
      <c r="CG82" s="755"/>
      <c r="CH82" s="28"/>
      <c r="CI82" s="28"/>
      <c r="CJ82" s="755"/>
      <c r="CK82" s="755"/>
      <c r="CL82" s="755"/>
      <c r="CM82" s="755"/>
      <c r="CN82" s="755"/>
      <c r="CO82" s="505"/>
      <c r="CP82" s="1085"/>
      <c r="CQ82" s="520"/>
      <c r="CR82" s="1120"/>
      <c r="CS82" s="1087"/>
      <c r="CT82" s="516"/>
      <c r="CU82" s="516"/>
      <c r="CV82" s="516"/>
      <c r="CW82" s="516"/>
      <c r="CX82" s="516"/>
      <c r="CY82" s="516"/>
      <c r="CZ82" s="516"/>
      <c r="DA82" s="516"/>
      <c r="DB82" s="516"/>
      <c r="DC82" s="516"/>
      <c r="DD82" s="516"/>
      <c r="DE82" s="516"/>
      <c r="DF82" s="516"/>
      <c r="DG82" s="516"/>
      <c r="DH82" s="516"/>
      <c r="DI82" s="516"/>
      <c r="DJ82" s="516"/>
      <c r="DK82" s="516"/>
      <c r="DL82" s="516"/>
      <c r="DM82" s="516"/>
      <c r="DN82" s="516">
        <f t="shared" ref="DN82:DN121" si="55">SUM(CV82:DM82)</f>
        <v>0</v>
      </c>
      <c r="DO82" s="1085"/>
    </row>
    <row r="83" spans="1:119" s="16" customFormat="1" ht="15" x14ac:dyDescent="0.2">
      <c r="A83" s="120" t="s">
        <v>301</v>
      </c>
      <c r="B83" s="100"/>
      <c r="C83" s="45"/>
      <c r="D83" s="125"/>
      <c r="E83" s="130"/>
      <c r="F83" s="46"/>
      <c r="G83" s="58"/>
      <c r="H83" s="145"/>
      <c r="I83" s="165"/>
      <c r="J83" s="48"/>
      <c r="K83" s="165"/>
      <c r="L83" s="48"/>
      <c r="M83" s="165"/>
      <c r="N83" s="48"/>
      <c r="O83" s="165"/>
      <c r="P83" s="48"/>
      <c r="Q83" s="48"/>
      <c r="R83" s="125"/>
      <c r="S83" s="132"/>
      <c r="T83" s="107"/>
      <c r="U83" s="72"/>
      <c r="V83" s="776"/>
      <c r="W83" s="776"/>
      <c r="X83" s="47"/>
      <c r="Y83" s="106"/>
      <c r="Z83" s="257"/>
      <c r="AA83" s="57"/>
      <c r="AB83" s="80"/>
      <c r="AC83" s="57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72"/>
      <c r="AT83" s="55"/>
      <c r="AU83" s="55"/>
      <c r="AV83" s="55">
        <f t="shared" si="50"/>
        <v>0</v>
      </c>
      <c r="AW83" s="55">
        <f t="shared" si="50"/>
        <v>0</v>
      </c>
      <c r="AX83" s="55">
        <f t="shared" si="50"/>
        <v>0</v>
      </c>
      <c r="AY83" s="55">
        <f t="shared" si="50"/>
        <v>0</v>
      </c>
      <c r="AZ83" s="55">
        <f t="shared" si="50"/>
        <v>0</v>
      </c>
      <c r="BA83" s="57"/>
      <c r="BB83" s="80"/>
      <c r="BC83" s="57"/>
      <c r="BD83" s="165"/>
      <c r="BE83" s="165"/>
      <c r="BF83" s="55"/>
      <c r="BG83" s="55"/>
      <c r="BH83" s="55"/>
      <c r="BI83" s="55"/>
      <c r="BJ83" s="55"/>
      <c r="BK83" s="55"/>
      <c r="BL83" s="55"/>
      <c r="BM83" s="55"/>
      <c r="BN83" s="448"/>
      <c r="BO83" s="55"/>
      <c r="BP83" s="55"/>
      <c r="BQ83" s="55"/>
      <c r="BR83" s="55"/>
      <c r="BS83" s="55"/>
      <c r="BT83" s="55"/>
      <c r="BU83" s="448"/>
      <c r="BV83" s="28"/>
      <c r="BW83" s="136"/>
      <c r="BX83" s="28"/>
      <c r="BY83" s="28"/>
      <c r="BZ83" s="28"/>
      <c r="CA83" s="755"/>
      <c r="CB83" s="755"/>
      <c r="CC83" s="755"/>
      <c r="CD83" s="755"/>
      <c r="CE83" s="755"/>
      <c r="CF83" s="755"/>
      <c r="CG83" s="755"/>
      <c r="CH83" s="28"/>
      <c r="CI83" s="28"/>
      <c r="CJ83" s="755"/>
      <c r="CK83" s="755"/>
      <c r="CL83" s="755"/>
      <c r="CM83" s="755"/>
      <c r="CN83" s="755"/>
      <c r="CO83" s="505"/>
      <c r="CP83" s="1085"/>
      <c r="CQ83" s="514"/>
      <c r="CR83" s="1120"/>
      <c r="CS83" s="1087"/>
      <c r="CT83" s="516"/>
      <c r="CU83" s="516"/>
      <c r="CV83" s="516"/>
      <c r="CW83" s="516"/>
      <c r="CX83" s="516"/>
      <c r="CY83" s="516"/>
      <c r="CZ83" s="516"/>
      <c r="DA83" s="516"/>
      <c r="DB83" s="516"/>
      <c r="DC83" s="516"/>
      <c r="DD83" s="516"/>
      <c r="DE83" s="516"/>
      <c r="DF83" s="516"/>
      <c r="DG83" s="516"/>
      <c r="DH83" s="516"/>
      <c r="DI83" s="516"/>
      <c r="DJ83" s="516"/>
      <c r="DK83" s="516"/>
      <c r="DL83" s="516"/>
      <c r="DM83" s="516"/>
      <c r="DN83" s="516">
        <f t="shared" si="55"/>
        <v>0</v>
      </c>
      <c r="DO83" s="1085"/>
    </row>
    <row r="84" spans="1:119" s="16" customFormat="1" ht="15" x14ac:dyDescent="0.2">
      <c r="A84" s="119" t="s">
        <v>303</v>
      </c>
      <c r="B84" s="100" t="s">
        <v>302</v>
      </c>
      <c r="C84" s="45" t="s">
        <v>355</v>
      </c>
      <c r="D84" s="125">
        <v>10</v>
      </c>
      <c r="E84" s="130">
        <v>0.1</v>
      </c>
      <c r="F84" s="46">
        <v>43281</v>
      </c>
      <c r="G84" s="58">
        <v>120</v>
      </c>
      <c r="H84" s="145">
        <f>100/G84</f>
        <v>0.83333333333333337</v>
      </c>
      <c r="I84" s="165">
        <f>H84*J84</f>
        <v>44.166666666666671</v>
      </c>
      <c r="J84" s="48">
        <f>(YEAR(F84)-YEAR(S84))*12+MONTH(F84)-MONTH(S84)</f>
        <v>53</v>
      </c>
      <c r="K84" s="165">
        <f>L84*H84</f>
        <v>55.833333333333336</v>
      </c>
      <c r="L84" s="48">
        <f>G84-J84</f>
        <v>67</v>
      </c>
      <c r="M84" s="165">
        <f>N84*H84</f>
        <v>55.833333333333336</v>
      </c>
      <c r="N84" s="48">
        <f>G84-J84</f>
        <v>67</v>
      </c>
      <c r="O84" s="165">
        <f>K84-M84</f>
        <v>0</v>
      </c>
      <c r="P84" s="48">
        <f>L84-N84</f>
        <v>0</v>
      </c>
      <c r="Q84" s="462">
        <f>DATE(YEAR(S84),MONTH(S84)+G84,DAY(S84))</f>
        <v>45292</v>
      </c>
      <c r="R84" s="125" t="s">
        <v>445</v>
      </c>
      <c r="S84" s="119">
        <v>41640</v>
      </c>
      <c r="T84" s="7">
        <v>150</v>
      </c>
      <c r="U84" s="72">
        <v>135</v>
      </c>
      <c r="V84" s="776">
        <v>15</v>
      </c>
      <c r="W84" s="776">
        <f>U84</f>
        <v>135</v>
      </c>
      <c r="X84" s="47">
        <v>1.25</v>
      </c>
      <c r="Y84" s="106">
        <f>X84*5</f>
        <v>6.25</v>
      </c>
      <c r="Z84" s="258">
        <f>W84-Y84</f>
        <v>128.75</v>
      </c>
      <c r="AA84" s="57">
        <v>115.958</v>
      </c>
      <c r="AB84" s="80">
        <v>108.91800000000001</v>
      </c>
      <c r="AC84" s="57">
        <f>AA84/AB84</f>
        <v>1.0646357810462916</v>
      </c>
      <c r="AD84" s="55">
        <f>Z84*M84/100/K84*100/7</f>
        <v>18.392857142857142</v>
      </c>
      <c r="AE84" s="55">
        <f>AD84*AC84</f>
        <v>19.581693829958578</v>
      </c>
      <c r="AF84" s="55"/>
      <c r="AG84" s="55"/>
      <c r="AH84" s="55"/>
      <c r="AI84" s="55"/>
      <c r="AJ84" s="55"/>
      <c r="AK84" s="55">
        <f>AE84</f>
        <v>19.581693829958578</v>
      </c>
      <c r="AL84" s="55">
        <v>1.3307947263078646</v>
      </c>
      <c r="AM84" s="55">
        <v>1.3307947263078646</v>
      </c>
      <c r="AN84" s="55">
        <v>1.3307947263078646</v>
      </c>
      <c r="AO84" s="55">
        <v>1.3307947263078646</v>
      </c>
      <c r="AP84" s="55">
        <v>1.3307947263078646</v>
      </c>
      <c r="AQ84" s="55">
        <v>1.3307947263078646</v>
      </c>
      <c r="AR84" s="55">
        <f>SUM(AF84:AQ84)</f>
        <v>27.566462187805765</v>
      </c>
      <c r="AS84" s="72">
        <f>Z84-AR84</f>
        <v>101.18353781219423</v>
      </c>
      <c r="AT84" s="55"/>
      <c r="AU84" s="55"/>
      <c r="AV84" s="55">
        <f t="shared" si="50"/>
        <v>1.3307947263078646</v>
      </c>
      <c r="AW84" s="55">
        <f t="shared" si="50"/>
        <v>1.3307947263078646</v>
      </c>
      <c r="AX84" s="55">
        <f t="shared" si="50"/>
        <v>1.3307947263078646</v>
      </c>
      <c r="AY84" s="55">
        <f t="shared" si="50"/>
        <v>1.3307947263078646</v>
      </c>
      <c r="AZ84" s="55">
        <f t="shared" si="50"/>
        <v>1.3307947263078646</v>
      </c>
      <c r="BA84" s="80">
        <v>118.901</v>
      </c>
      <c r="BB84" s="80">
        <v>108.91800000000001</v>
      </c>
      <c r="BC84" s="57">
        <f>BA84/BB84</f>
        <v>1.0916561082649332</v>
      </c>
      <c r="BD84" s="165">
        <f>T84/(D84*12)</f>
        <v>1.25</v>
      </c>
      <c r="BE84" s="165">
        <f>BD84*BC84</f>
        <v>1.3645701353311666</v>
      </c>
      <c r="BF84" s="55">
        <f>$BE84</f>
        <v>1.3645701353311666</v>
      </c>
      <c r="BG84" s="55">
        <f>$BE84</f>
        <v>1.3645701353311666</v>
      </c>
      <c r="BH84" s="55">
        <f>$BE84</f>
        <v>1.3645701353311666</v>
      </c>
      <c r="BI84" s="55">
        <f>$BE84</f>
        <v>1.3645701353311666</v>
      </c>
      <c r="BJ84" s="55">
        <v>1.36</v>
      </c>
      <c r="BK84" s="55">
        <v>1.36</v>
      </c>
      <c r="BL84" s="55">
        <v>1.36</v>
      </c>
      <c r="BM84" s="55">
        <f>SUM((AV84:AZ84),(BF84:BL84))</f>
        <v>16.19225417286399</v>
      </c>
      <c r="BN84" s="448">
        <f>(AS84-BM84)</f>
        <v>84.991283639330248</v>
      </c>
      <c r="BO84" s="55">
        <f>$BE84</f>
        <v>1.3645701353311666</v>
      </c>
      <c r="BP84" s="55">
        <f>$BE84</f>
        <v>1.3645701353311666</v>
      </c>
      <c r="BQ84" s="55">
        <f>$BE84</f>
        <v>1.3645701353311666</v>
      </c>
      <c r="BR84" s="55">
        <f>$BE84</f>
        <v>1.3645701353311666</v>
      </c>
      <c r="BS84" s="55">
        <f>$BE84</f>
        <v>1.3645701353311666</v>
      </c>
      <c r="BT84" s="55">
        <f>SUM(BO84:BS84)</f>
        <v>6.8228506766558326</v>
      </c>
      <c r="BU84" s="448">
        <v>96.419332066325126</v>
      </c>
      <c r="BV84" s="57">
        <v>126.408</v>
      </c>
      <c r="BW84" s="57">
        <v>109.074</v>
      </c>
      <c r="BX84" s="57">
        <f>BV84/BW84</f>
        <v>1.1589196325430442</v>
      </c>
      <c r="BY84" s="753">
        <f>BU84/J84</f>
        <v>1.8192326804967005</v>
      </c>
      <c r="BZ84" s="55">
        <f>BY84*BX84</f>
        <v>2.1083444695915334</v>
      </c>
      <c r="CA84" s="754">
        <v>2.7254208997158846</v>
      </c>
      <c r="CB84" s="754">
        <v>2.7254208997158846</v>
      </c>
      <c r="CC84" s="754">
        <v>2.7254208997158846</v>
      </c>
      <c r="CD84" s="754">
        <v>2.7254208997158846</v>
      </c>
      <c r="CE84" s="754">
        <v>2.7254208997158846</v>
      </c>
      <c r="CF84" s="754">
        <v>2.7254208997158846</v>
      </c>
      <c r="CG84" s="754">
        <v>2.7254208997158846</v>
      </c>
      <c r="CH84" s="429">
        <f>SUM(CA84:CG84)</f>
        <v>19.077946298011195</v>
      </c>
      <c r="CI84" s="439">
        <f>BU84-CH84</f>
        <v>77.341385768313927</v>
      </c>
      <c r="CJ84" s="754">
        <v>2.7254208997158846</v>
      </c>
      <c r="CK84" s="754">
        <v>2.7254208997158846</v>
      </c>
      <c r="CL84" s="754">
        <v>2.7254208997158846</v>
      </c>
      <c r="CM84" s="754">
        <v>2.7254208997158846</v>
      </c>
      <c r="CN84" s="754">
        <v>2.7254208997158846</v>
      </c>
      <c r="CO84" s="505">
        <f t="shared" si="53"/>
        <v>13.627104498579424</v>
      </c>
      <c r="CP84" s="1085">
        <f t="shared" ref="CP84" si="56">CI84-CO84</f>
        <v>63.714281269734499</v>
      </c>
      <c r="CQ84" s="1086">
        <v>132.28200000000001</v>
      </c>
      <c r="CR84" s="514">
        <v>109.074</v>
      </c>
      <c r="CS84" s="1087">
        <f>CQ84/CR84</f>
        <v>1.2127729798118709</v>
      </c>
      <c r="CT84" s="516">
        <f>CP84/L84</f>
        <v>0.95095942193633576</v>
      </c>
      <c r="CU84" s="516">
        <f>CS84*CT84</f>
        <v>1.1532978918219041</v>
      </c>
      <c r="CV84" s="516">
        <v>1.1532978918219041</v>
      </c>
      <c r="CW84" s="516">
        <v>1.1532978918219041</v>
      </c>
      <c r="CX84" s="516">
        <v>1.1532978918219041</v>
      </c>
      <c r="CY84" s="516">
        <v>1.1532978918219041</v>
      </c>
      <c r="CZ84" s="516">
        <v>1.1532978918219041</v>
      </c>
      <c r="DA84" s="516">
        <v>1.1532978918219041</v>
      </c>
      <c r="DB84" s="516">
        <v>1.1532978918219041</v>
      </c>
      <c r="DC84" s="516">
        <v>1.1532978918219041</v>
      </c>
      <c r="DD84" s="516">
        <v>1.1532978918219041</v>
      </c>
      <c r="DE84" s="516">
        <v>1.1532978918219041</v>
      </c>
      <c r="DF84" s="516">
        <v>1.1532978918219041</v>
      </c>
      <c r="DG84" s="516">
        <v>1.1532978918219041</v>
      </c>
      <c r="DH84" s="516">
        <v>1.1532978918219041</v>
      </c>
      <c r="DI84" s="516">
        <v>1.1532978918219041</v>
      </c>
      <c r="DJ84" s="516">
        <v>1.1532978918219041</v>
      </c>
      <c r="DK84" s="516">
        <v>1.1532978918219041</v>
      </c>
      <c r="DL84" s="516">
        <v>1.1532978918219041</v>
      </c>
      <c r="DM84" s="516">
        <v>1.1532978918219041</v>
      </c>
      <c r="DN84" s="516">
        <f t="shared" si="55"/>
        <v>20.75936205279427</v>
      </c>
      <c r="DO84" s="1085">
        <f t="shared" si="52"/>
        <v>42.954919216940226</v>
      </c>
    </row>
    <row r="85" spans="1:119" s="16" customFormat="1" ht="15" x14ac:dyDescent="0.2">
      <c r="A85" s="120" t="s">
        <v>71</v>
      </c>
      <c r="B85" s="120" t="s">
        <v>292</v>
      </c>
      <c r="C85" s="124"/>
      <c r="D85" s="125"/>
      <c r="E85" s="130"/>
      <c r="F85" s="46"/>
      <c r="G85" s="58"/>
      <c r="H85" s="145"/>
      <c r="I85" s="165"/>
      <c r="J85" s="48"/>
      <c r="K85" s="165"/>
      <c r="L85" s="48"/>
      <c r="M85" s="165"/>
      <c r="N85" s="48"/>
      <c r="O85" s="165"/>
      <c r="P85" s="48"/>
      <c r="Q85" s="48"/>
      <c r="R85" s="125"/>
      <c r="S85" s="119"/>
      <c r="T85" s="7"/>
      <c r="U85" s="113"/>
      <c r="V85" s="776"/>
      <c r="W85" s="776"/>
      <c r="X85" s="47"/>
      <c r="Y85" s="106"/>
      <c r="Z85" s="257"/>
      <c r="AA85" s="57"/>
      <c r="AB85" s="82"/>
      <c r="AC85" s="57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72"/>
      <c r="AT85" s="55"/>
      <c r="AU85" s="55"/>
      <c r="AV85" s="55">
        <f t="shared" si="50"/>
        <v>0</v>
      </c>
      <c r="AW85" s="55">
        <f t="shared" si="50"/>
        <v>0</v>
      </c>
      <c r="AX85" s="55">
        <f t="shared" si="50"/>
        <v>0</v>
      </c>
      <c r="AY85" s="55">
        <f t="shared" si="50"/>
        <v>0</v>
      </c>
      <c r="AZ85" s="55">
        <f t="shared" si="50"/>
        <v>0</v>
      </c>
      <c r="BA85" s="57"/>
      <c r="BB85" s="82"/>
      <c r="BC85" s="57"/>
      <c r="BD85" s="165"/>
      <c r="BE85" s="165"/>
      <c r="BF85" s="55"/>
      <c r="BG85" s="55"/>
      <c r="BH85" s="55"/>
      <c r="BI85" s="55"/>
      <c r="BJ85" s="55"/>
      <c r="BK85" s="55"/>
      <c r="BL85" s="55"/>
      <c r="BM85" s="55"/>
      <c r="BN85" s="448"/>
      <c r="BO85" s="55"/>
      <c r="BP85" s="55"/>
      <c r="BQ85" s="55"/>
      <c r="BR85" s="55"/>
      <c r="BS85" s="55"/>
      <c r="BT85" s="55"/>
      <c r="BU85" s="448"/>
      <c r="BV85" s="28"/>
      <c r="BW85" s="136"/>
      <c r="BX85" s="28"/>
      <c r="BY85" s="28"/>
      <c r="BZ85" s="28"/>
      <c r="CA85" s="755"/>
      <c r="CB85" s="755"/>
      <c r="CC85" s="755"/>
      <c r="CD85" s="755"/>
      <c r="CE85" s="755"/>
      <c r="CF85" s="755"/>
      <c r="CG85" s="755"/>
      <c r="CH85" s="28"/>
      <c r="CI85" s="28"/>
      <c r="CJ85" s="755"/>
      <c r="CK85" s="755"/>
      <c r="CL85" s="755"/>
      <c r="CM85" s="755"/>
      <c r="CN85" s="755"/>
      <c r="CO85" s="505"/>
      <c r="CP85" s="1085"/>
      <c r="CQ85" s="516"/>
      <c r="CR85" s="1120"/>
      <c r="CS85" s="1087"/>
      <c r="CT85" s="516"/>
      <c r="CU85" s="516"/>
      <c r="CV85" s="516"/>
      <c r="CW85" s="516"/>
      <c r="CX85" s="516"/>
      <c r="CY85" s="516"/>
      <c r="CZ85" s="516"/>
      <c r="DA85" s="516"/>
      <c r="DB85" s="516"/>
      <c r="DC85" s="516"/>
      <c r="DD85" s="516"/>
      <c r="DE85" s="516"/>
      <c r="DF85" s="516"/>
      <c r="DG85" s="516"/>
      <c r="DH85" s="516"/>
      <c r="DI85" s="516"/>
      <c r="DJ85" s="516"/>
      <c r="DK85" s="516"/>
      <c r="DL85" s="516"/>
      <c r="DM85" s="516"/>
      <c r="DN85" s="516">
        <f t="shared" si="55"/>
        <v>0</v>
      </c>
      <c r="DO85" s="1085"/>
    </row>
    <row r="86" spans="1:119" s="16" customFormat="1" ht="15" x14ac:dyDescent="0.2">
      <c r="A86" s="120" t="s">
        <v>291</v>
      </c>
      <c r="B86" s="100"/>
      <c r="C86" s="45"/>
      <c r="D86" s="125"/>
      <c r="E86" s="130"/>
      <c r="F86" s="46"/>
      <c r="G86" s="58"/>
      <c r="H86" s="145"/>
      <c r="I86" s="165"/>
      <c r="J86" s="48"/>
      <c r="K86" s="165"/>
      <c r="L86" s="48"/>
      <c r="M86" s="165"/>
      <c r="N86" s="48"/>
      <c r="O86" s="165"/>
      <c r="P86" s="48"/>
      <c r="Q86" s="48"/>
      <c r="R86" s="125"/>
      <c r="S86" s="128"/>
      <c r="T86" s="7"/>
      <c r="U86" s="72"/>
      <c r="V86" s="776"/>
      <c r="W86" s="776"/>
      <c r="X86" s="47"/>
      <c r="Y86" s="106"/>
      <c r="Z86" s="257"/>
      <c r="AA86" s="57"/>
      <c r="AB86" s="80"/>
      <c r="AC86" s="57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72"/>
      <c r="AT86" s="55"/>
      <c r="AU86" s="55"/>
      <c r="AV86" s="55">
        <f t="shared" si="50"/>
        <v>0</v>
      </c>
      <c r="AW86" s="55">
        <f t="shared" si="50"/>
        <v>0</v>
      </c>
      <c r="AX86" s="55">
        <f t="shared" si="50"/>
        <v>0</v>
      </c>
      <c r="AY86" s="55">
        <f t="shared" si="50"/>
        <v>0</v>
      </c>
      <c r="AZ86" s="55">
        <f t="shared" si="50"/>
        <v>0</v>
      </c>
      <c r="BA86" s="57"/>
      <c r="BB86" s="80"/>
      <c r="BC86" s="57"/>
      <c r="BD86" s="165"/>
      <c r="BE86" s="165"/>
      <c r="BF86" s="55"/>
      <c r="BG86" s="55"/>
      <c r="BH86" s="55"/>
      <c r="BI86" s="55"/>
      <c r="BJ86" s="55"/>
      <c r="BK86" s="55"/>
      <c r="BL86" s="55"/>
      <c r="BM86" s="55"/>
      <c r="BN86" s="448"/>
      <c r="BO86" s="55"/>
      <c r="BP86" s="55"/>
      <c r="BQ86" s="55"/>
      <c r="BR86" s="55"/>
      <c r="BS86" s="55"/>
      <c r="BT86" s="55"/>
      <c r="BU86" s="448"/>
      <c r="BV86" s="28"/>
      <c r="BW86" s="136"/>
      <c r="BX86" s="28"/>
      <c r="BY86" s="28"/>
      <c r="BZ86" s="28"/>
      <c r="CA86" s="755"/>
      <c r="CB86" s="755"/>
      <c r="CC86" s="755"/>
      <c r="CD86" s="755"/>
      <c r="CE86" s="755"/>
      <c r="CF86" s="755"/>
      <c r="CG86" s="755"/>
      <c r="CH86" s="28"/>
      <c r="CI86" s="28"/>
      <c r="CJ86" s="755"/>
      <c r="CK86" s="755"/>
      <c r="CL86" s="755"/>
      <c r="CM86" s="755"/>
      <c r="CN86" s="755"/>
      <c r="CO86" s="505"/>
      <c r="CP86" s="1085"/>
      <c r="CQ86" s="520"/>
      <c r="CR86" s="1120"/>
      <c r="CS86" s="1087"/>
      <c r="CT86" s="516"/>
      <c r="CU86" s="516"/>
      <c r="CV86" s="516"/>
      <c r="CW86" s="516"/>
      <c r="CX86" s="516"/>
      <c r="CY86" s="516"/>
      <c r="CZ86" s="516"/>
      <c r="DA86" s="516"/>
      <c r="DB86" s="516"/>
      <c r="DC86" s="516"/>
      <c r="DD86" s="516"/>
      <c r="DE86" s="516"/>
      <c r="DF86" s="516"/>
      <c r="DG86" s="516"/>
      <c r="DH86" s="516"/>
      <c r="DI86" s="516"/>
      <c r="DJ86" s="516"/>
      <c r="DK86" s="516"/>
      <c r="DL86" s="516"/>
      <c r="DM86" s="516"/>
      <c r="DN86" s="516">
        <f t="shared" si="55"/>
        <v>0</v>
      </c>
      <c r="DO86" s="1085"/>
    </row>
    <row r="87" spans="1:119" s="16" customFormat="1" ht="15" x14ac:dyDescent="0.2">
      <c r="A87" s="119" t="s">
        <v>304</v>
      </c>
      <c r="B87" s="100" t="s">
        <v>589</v>
      </c>
      <c r="C87" s="45" t="s">
        <v>355</v>
      </c>
      <c r="D87" s="125">
        <v>10</v>
      </c>
      <c r="E87" s="130">
        <v>0.1</v>
      </c>
      <c r="F87" s="46">
        <v>43281</v>
      </c>
      <c r="G87" s="58">
        <v>120</v>
      </c>
      <c r="H87" s="145">
        <f>100/G87</f>
        <v>0.83333333333333337</v>
      </c>
      <c r="I87" s="165">
        <f>H87*J87</f>
        <v>44.166666666666671</v>
      </c>
      <c r="J87" s="48">
        <f t="shared" ref="J87:J90" si="57">(YEAR(F87)-YEAR(S87))*12+MONTH(F87)-MONTH(S87)</f>
        <v>53</v>
      </c>
      <c r="K87" s="165">
        <f>L87*H87</f>
        <v>55.833333333333336</v>
      </c>
      <c r="L87" s="48">
        <f>G87-J87</f>
        <v>67</v>
      </c>
      <c r="M87" s="165">
        <f>N87*H87</f>
        <v>55.833333333333336</v>
      </c>
      <c r="N87" s="48">
        <f t="shared" ref="N87:N90" si="58">G87-J87</f>
        <v>67</v>
      </c>
      <c r="O87" s="165">
        <f t="shared" ref="O87:P90" si="59">K87-M87</f>
        <v>0</v>
      </c>
      <c r="P87" s="48">
        <f t="shared" si="59"/>
        <v>0</v>
      </c>
      <c r="Q87" s="462">
        <f>DATE(YEAR(S87),MONTH(S87)+G87,DAY(S87))</f>
        <v>45292</v>
      </c>
      <c r="R87" s="125" t="s">
        <v>445</v>
      </c>
      <c r="S87" s="132">
        <v>41640</v>
      </c>
      <c r="T87" s="107">
        <v>950</v>
      </c>
      <c r="U87" s="72">
        <v>854.97</v>
      </c>
      <c r="V87" s="776">
        <v>95.030000000000015</v>
      </c>
      <c r="W87" s="776">
        <f>U87</f>
        <v>854.97</v>
      </c>
      <c r="X87" s="47">
        <v>7.92</v>
      </c>
      <c r="Y87" s="106">
        <f>X87*5</f>
        <v>39.6</v>
      </c>
      <c r="Z87" s="258">
        <f>W87-Y87</f>
        <v>815.37</v>
      </c>
      <c r="AA87" s="57">
        <v>115.958</v>
      </c>
      <c r="AB87" s="80">
        <v>112.505</v>
      </c>
      <c r="AC87" s="57">
        <f>AA87/AB87</f>
        <v>1.0306919692458114</v>
      </c>
      <c r="AD87" s="55">
        <f>Z87*M87/100/K87*100/7</f>
        <v>116.48142857142859</v>
      </c>
      <c r="AE87" s="55">
        <f>AD87*AC87</f>
        <v>120.05647299485106</v>
      </c>
      <c r="AF87" s="55"/>
      <c r="AG87" s="55"/>
      <c r="AH87" s="55"/>
      <c r="AI87" s="55"/>
      <c r="AJ87" s="55"/>
      <c r="AK87" s="55">
        <f>AE87</f>
        <v>120.05647299485106</v>
      </c>
      <c r="AL87" s="55">
        <v>8.1591777763491002</v>
      </c>
      <c r="AM87" s="55">
        <v>8.1591777763491002</v>
      </c>
      <c r="AN87" s="55">
        <v>8.1591777763491002</v>
      </c>
      <c r="AO87" s="55">
        <v>8.1591777763491002</v>
      </c>
      <c r="AP87" s="55">
        <v>8.1591777763491002</v>
      </c>
      <c r="AQ87" s="55">
        <v>8.1591777763491002</v>
      </c>
      <c r="AR87" s="55">
        <f>SUM(AF87:AQ87)</f>
        <v>169.01153965294571</v>
      </c>
      <c r="AS87" s="72">
        <f>Z87-AR87</f>
        <v>646.35846034705423</v>
      </c>
      <c r="AT87" s="55"/>
      <c r="AU87" s="55"/>
      <c r="AV87" s="55">
        <f t="shared" si="50"/>
        <v>8.1591777763491002</v>
      </c>
      <c r="AW87" s="55">
        <f t="shared" si="50"/>
        <v>8.1591777763491002</v>
      </c>
      <c r="AX87" s="55">
        <f t="shared" si="50"/>
        <v>8.1591777763491002</v>
      </c>
      <c r="AY87" s="55">
        <f t="shared" si="50"/>
        <v>8.1591777763491002</v>
      </c>
      <c r="AZ87" s="55">
        <f t="shared" si="50"/>
        <v>8.1591777763491002</v>
      </c>
      <c r="BA87" s="80">
        <v>118.901</v>
      </c>
      <c r="BB87" s="80">
        <v>112.505</v>
      </c>
      <c r="BC87" s="57">
        <f>BA87/BB87</f>
        <v>1.0568508066308164</v>
      </c>
      <c r="BD87" s="165">
        <f>T87/(D87*12)</f>
        <v>7.916666666666667</v>
      </c>
      <c r="BE87" s="165">
        <f>BD87*BC87</f>
        <v>8.3667355524939637</v>
      </c>
      <c r="BF87" s="55">
        <f t="shared" ref="BF87:BI90" si="60">$BE87</f>
        <v>8.3667355524939637</v>
      </c>
      <c r="BG87" s="55">
        <f t="shared" si="60"/>
        <v>8.3667355524939637</v>
      </c>
      <c r="BH87" s="55">
        <f t="shared" si="60"/>
        <v>8.3667355524939637</v>
      </c>
      <c r="BI87" s="55">
        <f t="shared" si="60"/>
        <v>8.3667355524939637</v>
      </c>
      <c r="BJ87" s="55">
        <v>8.3699999999999992</v>
      </c>
      <c r="BK87" s="55">
        <v>8.3699999999999992</v>
      </c>
      <c r="BL87" s="55">
        <v>8.3699999999999992</v>
      </c>
      <c r="BM87" s="55">
        <f>SUM((AV87:AZ87),(BF87:BL87))</f>
        <v>99.372831091721366</v>
      </c>
      <c r="BN87" s="448">
        <f>(AS87-BM87)</f>
        <v>546.98562925533292</v>
      </c>
      <c r="BO87" s="55">
        <f t="shared" ref="BO87:BS90" si="61">$BE87</f>
        <v>8.3667355524939637</v>
      </c>
      <c r="BP87" s="55">
        <f t="shared" si="61"/>
        <v>8.3667355524939637</v>
      </c>
      <c r="BQ87" s="55">
        <f t="shared" si="61"/>
        <v>8.3667355524939637</v>
      </c>
      <c r="BR87" s="55">
        <f t="shared" si="61"/>
        <v>8.3667355524939637</v>
      </c>
      <c r="BS87" s="55">
        <f t="shared" si="61"/>
        <v>8.3667355524939637</v>
      </c>
      <c r="BT87" s="55">
        <f>SUM(BO87:BS87)</f>
        <v>41.833677762469819</v>
      </c>
      <c r="BU87" s="448">
        <v>617.04924671136507</v>
      </c>
      <c r="BV87" s="57">
        <v>126.408</v>
      </c>
      <c r="BW87" s="57">
        <v>109.074</v>
      </c>
      <c r="BX87" s="57">
        <f>BV87/BW87</f>
        <v>1.1589196325430442</v>
      </c>
      <c r="BY87" s="753">
        <f>BU87/J87</f>
        <v>11.642438617195568</v>
      </c>
      <c r="BZ87" s="55">
        <f>BY87*BX87</f>
        <v>13.492650684145236</v>
      </c>
      <c r="CA87" s="754">
        <v>17.441719177065792</v>
      </c>
      <c r="CB87" s="754">
        <v>17.441719177065792</v>
      </c>
      <c r="CC87" s="754">
        <v>17.441719177065792</v>
      </c>
      <c r="CD87" s="754">
        <v>17.441719177065792</v>
      </c>
      <c r="CE87" s="754">
        <v>17.441719177065792</v>
      </c>
      <c r="CF87" s="754">
        <v>17.441719177065792</v>
      </c>
      <c r="CG87" s="754">
        <v>17.441719177065792</v>
      </c>
      <c r="CH87" s="429">
        <f>SUM(CA87:CG87)</f>
        <v>122.09203423946055</v>
      </c>
      <c r="CI87" s="439">
        <f>BU87-CH87</f>
        <v>494.95721247190454</v>
      </c>
      <c r="CJ87" s="754">
        <v>17.441719177065792</v>
      </c>
      <c r="CK87" s="754">
        <v>17.441719177065792</v>
      </c>
      <c r="CL87" s="754">
        <v>17.441719177065792</v>
      </c>
      <c r="CM87" s="754">
        <v>17.441719177065792</v>
      </c>
      <c r="CN87" s="754">
        <v>17.441719177065792</v>
      </c>
      <c r="CO87" s="505">
        <f t="shared" si="53"/>
        <v>87.208595885328961</v>
      </c>
      <c r="CP87" s="1085">
        <f t="shared" ref="CP87:CP90" si="62">CI87-CO87</f>
        <v>407.74861658657557</v>
      </c>
      <c r="CQ87" s="1086">
        <v>132.28200000000001</v>
      </c>
      <c r="CR87" s="514">
        <v>109.074</v>
      </c>
      <c r="CS87" s="1087">
        <f>CQ87/CR87</f>
        <v>1.2127729798118709</v>
      </c>
      <c r="CT87" s="516">
        <f>CP87/L87</f>
        <v>6.0858002475608295</v>
      </c>
      <c r="CU87" s="516">
        <f>CS87*CT87</f>
        <v>7.3806941007741687</v>
      </c>
      <c r="CV87" s="516">
        <v>7.3806941007741687</v>
      </c>
      <c r="CW87" s="516">
        <v>7.3806941007741687</v>
      </c>
      <c r="CX87" s="516">
        <v>7.3806941007741687</v>
      </c>
      <c r="CY87" s="516">
        <v>7.3806941007741687</v>
      </c>
      <c r="CZ87" s="516">
        <v>7.3806941007741687</v>
      </c>
      <c r="DA87" s="516">
        <v>7.3806941007741687</v>
      </c>
      <c r="DB87" s="516">
        <v>7.3806941007741687</v>
      </c>
      <c r="DC87" s="516">
        <v>7.3806941007741687</v>
      </c>
      <c r="DD87" s="516">
        <v>7.3806941007741687</v>
      </c>
      <c r="DE87" s="516">
        <v>7.3806941007741687</v>
      </c>
      <c r="DF87" s="516">
        <v>7.3806941007741687</v>
      </c>
      <c r="DG87" s="516">
        <v>7.3806941007741687</v>
      </c>
      <c r="DH87" s="516">
        <v>7.3806941007741687</v>
      </c>
      <c r="DI87" s="516">
        <v>7.3806941007741687</v>
      </c>
      <c r="DJ87" s="516">
        <v>7.3806941007741687</v>
      </c>
      <c r="DK87" s="516">
        <v>7.3806941007741687</v>
      </c>
      <c r="DL87" s="516">
        <v>7.3806941007741687</v>
      </c>
      <c r="DM87" s="516">
        <v>7.3806941007741687</v>
      </c>
      <c r="DN87" s="516">
        <f t="shared" si="55"/>
        <v>132.85249381393501</v>
      </c>
      <c r="DO87" s="1085">
        <f t="shared" si="52"/>
        <v>274.89612277264052</v>
      </c>
    </row>
    <row r="88" spans="1:119" s="16" customFormat="1" ht="15" x14ac:dyDescent="0.2">
      <c r="A88" s="119" t="s">
        <v>304</v>
      </c>
      <c r="B88" s="100" t="s">
        <v>590</v>
      </c>
      <c r="C88" s="45" t="s">
        <v>355</v>
      </c>
      <c r="D88" s="125">
        <v>10</v>
      </c>
      <c r="E88" s="130">
        <v>0.1</v>
      </c>
      <c r="F88" s="46">
        <v>43281</v>
      </c>
      <c r="G88" s="58">
        <v>120</v>
      </c>
      <c r="H88" s="145">
        <f>100/G88</f>
        <v>0.83333333333333337</v>
      </c>
      <c r="I88" s="165">
        <f>H88*J88</f>
        <v>45.833333333333336</v>
      </c>
      <c r="J88" s="48">
        <f t="shared" si="57"/>
        <v>55</v>
      </c>
      <c r="K88" s="165">
        <f>L88*H88</f>
        <v>54.166666666666671</v>
      </c>
      <c r="L88" s="48">
        <f>G88-J88</f>
        <v>65</v>
      </c>
      <c r="M88" s="165">
        <f>N88*H88</f>
        <v>54.166666666666671</v>
      </c>
      <c r="N88" s="48">
        <f t="shared" si="58"/>
        <v>65</v>
      </c>
      <c r="O88" s="165">
        <f t="shared" si="59"/>
        <v>0</v>
      </c>
      <c r="P88" s="48">
        <f t="shared" si="59"/>
        <v>0</v>
      </c>
      <c r="Q88" s="462">
        <f>DATE(YEAR(S88),MONTH(S88)+G88,DAY(S88))</f>
        <v>45231</v>
      </c>
      <c r="R88" s="125" t="s">
        <v>445</v>
      </c>
      <c r="S88" s="119">
        <v>41579</v>
      </c>
      <c r="T88" s="7">
        <v>150</v>
      </c>
      <c r="U88" s="72">
        <v>132.5</v>
      </c>
      <c r="V88" s="776">
        <v>15</v>
      </c>
      <c r="W88" s="776">
        <f>U88</f>
        <v>132.5</v>
      </c>
      <c r="X88" s="47">
        <v>1.25</v>
      </c>
      <c r="Y88" s="106">
        <f>X88*5</f>
        <v>6.25</v>
      </c>
      <c r="Z88" s="258">
        <f>W88-Y88</f>
        <v>126.25</v>
      </c>
      <c r="AA88" s="57">
        <v>115.958</v>
      </c>
      <c r="AB88" s="80">
        <v>110.872</v>
      </c>
      <c r="AC88" s="57">
        <f>AA88/AB88</f>
        <v>1.0458727180893281</v>
      </c>
      <c r="AD88" s="55">
        <f>Z88*M88/100/K88*100/7</f>
        <v>18.035714285714285</v>
      </c>
      <c r="AE88" s="55">
        <f>AD88*AC88</f>
        <v>18.863061522682525</v>
      </c>
      <c r="AF88" s="55"/>
      <c r="AG88" s="55"/>
      <c r="AH88" s="55"/>
      <c r="AI88" s="55"/>
      <c r="AJ88" s="55"/>
      <c r="AK88" s="55">
        <f>AE88</f>
        <v>18.863061522682525</v>
      </c>
      <c r="AL88" s="55">
        <v>1.3073408976116601</v>
      </c>
      <c r="AM88" s="55">
        <v>1.3073408976116601</v>
      </c>
      <c r="AN88" s="55">
        <v>1.3073408976116601</v>
      </c>
      <c r="AO88" s="55">
        <v>1.3073408976116601</v>
      </c>
      <c r="AP88" s="55">
        <v>1.3073408976116601</v>
      </c>
      <c r="AQ88" s="55">
        <v>1.3073408976116601</v>
      </c>
      <c r="AR88" s="55">
        <f>SUM(AF88:AQ88)</f>
        <v>26.707106908352483</v>
      </c>
      <c r="AS88" s="72">
        <f>Z88-AR88</f>
        <v>99.542893091647514</v>
      </c>
      <c r="AT88" s="55"/>
      <c r="AU88" s="55"/>
      <c r="AV88" s="55">
        <f t="shared" si="50"/>
        <v>1.3073408976116601</v>
      </c>
      <c r="AW88" s="55">
        <f t="shared" si="50"/>
        <v>1.3073408976116601</v>
      </c>
      <c r="AX88" s="55">
        <f t="shared" si="50"/>
        <v>1.3073408976116601</v>
      </c>
      <c r="AY88" s="55">
        <f t="shared" si="50"/>
        <v>1.3073408976116601</v>
      </c>
      <c r="AZ88" s="55">
        <f t="shared" si="50"/>
        <v>1.3073408976116601</v>
      </c>
      <c r="BA88" s="80">
        <v>118.901</v>
      </c>
      <c r="BB88" s="80">
        <v>110.872</v>
      </c>
      <c r="BC88" s="57">
        <f>BA88/BB88</f>
        <v>1.0724168410419221</v>
      </c>
      <c r="BD88" s="165">
        <f>T88/(D88*12)</f>
        <v>1.25</v>
      </c>
      <c r="BE88" s="165">
        <f>BD88*BC88</f>
        <v>1.3405210513024026</v>
      </c>
      <c r="BF88" s="55">
        <f t="shared" si="60"/>
        <v>1.3405210513024026</v>
      </c>
      <c r="BG88" s="55">
        <f t="shared" si="60"/>
        <v>1.3405210513024026</v>
      </c>
      <c r="BH88" s="55">
        <f t="shared" si="60"/>
        <v>1.3405210513024026</v>
      </c>
      <c r="BI88" s="55">
        <f t="shared" si="60"/>
        <v>1.3405210513024026</v>
      </c>
      <c r="BJ88" s="55">
        <v>1.34</v>
      </c>
      <c r="BK88" s="55">
        <v>1.34</v>
      </c>
      <c r="BL88" s="55">
        <v>1.34</v>
      </c>
      <c r="BM88" s="55">
        <f>SUM((AV88:AZ88),(BF88:BL88))</f>
        <v>15.918788693267912</v>
      </c>
      <c r="BN88" s="448">
        <f>(AS88-BM88)</f>
        <v>83.6241043983796</v>
      </c>
      <c r="BO88" s="55">
        <f t="shared" si="61"/>
        <v>1.3405210513024026</v>
      </c>
      <c r="BP88" s="55">
        <f t="shared" si="61"/>
        <v>1.3405210513024026</v>
      </c>
      <c r="BQ88" s="55">
        <f t="shared" si="61"/>
        <v>1.3405210513024026</v>
      </c>
      <c r="BR88" s="55">
        <f t="shared" si="61"/>
        <v>1.3405210513024026</v>
      </c>
      <c r="BS88" s="55">
        <f t="shared" si="61"/>
        <v>1.3405210513024026</v>
      </c>
      <c r="BT88" s="55">
        <f>SUM(BO88:BS88)</f>
        <v>6.7026052565120136</v>
      </c>
      <c r="BU88" s="448">
        <v>94.477219766938447</v>
      </c>
      <c r="BV88" s="57">
        <v>126.408</v>
      </c>
      <c r="BW88" s="57">
        <v>109.074</v>
      </c>
      <c r="BX88" s="57">
        <f>BV88/BW88</f>
        <v>1.1589196325430442</v>
      </c>
      <c r="BY88" s="753">
        <f>BU88/J88</f>
        <v>1.7177676321261537</v>
      </c>
      <c r="BZ88" s="55">
        <f>BY88*BX88</f>
        <v>1.9907546330179771</v>
      </c>
      <c r="CA88" s="754">
        <v>2.5463140654881102</v>
      </c>
      <c r="CB88" s="754">
        <v>2.5463140654881102</v>
      </c>
      <c r="CC88" s="754">
        <v>2.5463140654881102</v>
      </c>
      <c r="CD88" s="754">
        <v>2.5463140654881102</v>
      </c>
      <c r="CE88" s="754">
        <v>2.5463140654881102</v>
      </c>
      <c r="CF88" s="754">
        <v>2.5463140654881102</v>
      </c>
      <c r="CG88" s="754">
        <v>2.5463140654881102</v>
      </c>
      <c r="CH88" s="429">
        <f>SUM(CA88:CG88)</f>
        <v>17.82419845841677</v>
      </c>
      <c r="CI88" s="439">
        <f>BU88-CH88</f>
        <v>76.653021308521673</v>
      </c>
      <c r="CJ88" s="754">
        <v>2.5463140654881102</v>
      </c>
      <c r="CK88" s="754">
        <v>2.5463140654881102</v>
      </c>
      <c r="CL88" s="754">
        <v>2.5463140654881102</v>
      </c>
      <c r="CM88" s="754">
        <v>2.5463140654881102</v>
      </c>
      <c r="CN88" s="754">
        <v>2.5463140654881102</v>
      </c>
      <c r="CO88" s="505">
        <f t="shared" si="53"/>
        <v>12.731570327440551</v>
      </c>
      <c r="CP88" s="1085">
        <f t="shared" si="62"/>
        <v>63.921450981081122</v>
      </c>
      <c r="CQ88" s="1086">
        <v>132.28200000000001</v>
      </c>
      <c r="CR88" s="514">
        <v>109.074</v>
      </c>
      <c r="CS88" s="1087">
        <f>CQ88/CR88</f>
        <v>1.2127729798118709</v>
      </c>
      <c r="CT88" s="516">
        <f t="shared" ref="CT88:CT90" si="63">CP88/L88</f>
        <v>0.98340693817047875</v>
      </c>
      <c r="CU88" s="516">
        <f>CS88*CT88</f>
        <v>1.1926493627726797</v>
      </c>
      <c r="CV88" s="516">
        <v>1.1926493627726797</v>
      </c>
      <c r="CW88" s="516">
        <v>1.1926493627726797</v>
      </c>
      <c r="CX88" s="516">
        <v>1.1926493627726797</v>
      </c>
      <c r="CY88" s="516">
        <v>1.1926493627726797</v>
      </c>
      <c r="CZ88" s="516">
        <v>1.1926493627726797</v>
      </c>
      <c r="DA88" s="516">
        <v>1.1926493627726797</v>
      </c>
      <c r="DB88" s="516">
        <v>1.1926493627726797</v>
      </c>
      <c r="DC88" s="516">
        <v>1.1926493627726797</v>
      </c>
      <c r="DD88" s="516">
        <v>1.1926493627726797</v>
      </c>
      <c r="DE88" s="516">
        <v>1.1926493627726797</v>
      </c>
      <c r="DF88" s="516">
        <v>1.1926493627726797</v>
      </c>
      <c r="DG88" s="516">
        <v>1.1926493627726797</v>
      </c>
      <c r="DH88" s="516">
        <v>1.1926493627726797</v>
      </c>
      <c r="DI88" s="516">
        <v>1.1926493627726797</v>
      </c>
      <c r="DJ88" s="516">
        <v>1.1926493627726797</v>
      </c>
      <c r="DK88" s="516">
        <v>1.1926493627726797</v>
      </c>
      <c r="DL88" s="516">
        <v>1.1926493627726797</v>
      </c>
      <c r="DM88" s="516">
        <v>1.1926493627726797</v>
      </c>
      <c r="DN88" s="516">
        <f t="shared" si="55"/>
        <v>21.467688529908244</v>
      </c>
      <c r="DO88" s="1085">
        <f t="shared" si="52"/>
        <v>42.453762451172878</v>
      </c>
    </row>
    <row r="89" spans="1:119" s="16" customFormat="1" ht="15" x14ac:dyDescent="0.2">
      <c r="A89" s="119" t="s">
        <v>304</v>
      </c>
      <c r="B89" s="100" t="s">
        <v>591</v>
      </c>
      <c r="C89" s="45" t="s">
        <v>355</v>
      </c>
      <c r="D89" s="125">
        <v>10</v>
      </c>
      <c r="E89" s="130">
        <v>0.1</v>
      </c>
      <c r="F89" s="46">
        <v>43281</v>
      </c>
      <c r="G89" s="58">
        <v>120</v>
      </c>
      <c r="H89" s="145">
        <f>100/G89</f>
        <v>0.83333333333333337</v>
      </c>
      <c r="I89" s="165">
        <f>H89*J89</f>
        <v>50</v>
      </c>
      <c r="J89" s="48">
        <f t="shared" si="57"/>
        <v>60</v>
      </c>
      <c r="K89" s="165">
        <f>L89*H89</f>
        <v>50</v>
      </c>
      <c r="L89" s="48">
        <f>G89-J89</f>
        <v>60</v>
      </c>
      <c r="M89" s="165">
        <f>N89*H89</f>
        <v>50</v>
      </c>
      <c r="N89" s="48">
        <f t="shared" si="58"/>
        <v>60</v>
      </c>
      <c r="O89" s="165">
        <f t="shared" si="59"/>
        <v>0</v>
      </c>
      <c r="P89" s="48">
        <f t="shared" si="59"/>
        <v>0</v>
      </c>
      <c r="Q89" s="462">
        <f>DATE(YEAR(S89),MONTH(S89)+G89,DAY(S89))</f>
        <v>45087</v>
      </c>
      <c r="R89" s="119" t="s">
        <v>445</v>
      </c>
      <c r="S89" s="119">
        <v>41435</v>
      </c>
      <c r="T89" s="144">
        <v>457.6</v>
      </c>
      <c r="U89" s="72">
        <v>411.87</v>
      </c>
      <c r="V89" s="776">
        <v>45.730000000000004</v>
      </c>
      <c r="W89" s="776">
        <f>U89</f>
        <v>411.87</v>
      </c>
      <c r="X89" s="47">
        <v>3.81</v>
      </c>
      <c r="Y89" s="106">
        <f>X89*5</f>
        <v>19.05</v>
      </c>
      <c r="Z89" s="258">
        <f>W89-Y89</f>
        <v>392.82</v>
      </c>
      <c r="AA89" s="57">
        <v>115.958</v>
      </c>
      <c r="AB89" s="80">
        <v>108.645</v>
      </c>
      <c r="AC89" s="57">
        <f>AA89/AB89</f>
        <v>1.0673109669105802</v>
      </c>
      <c r="AD89" s="55">
        <f>Z89*M89/100/K89*100/7</f>
        <v>56.117142857142859</v>
      </c>
      <c r="AE89" s="259">
        <f>AD89*AC89</f>
        <v>59.894442003116311</v>
      </c>
      <c r="AF89" s="259"/>
      <c r="AG89" s="259"/>
      <c r="AH89" s="259"/>
      <c r="AI89" s="259"/>
      <c r="AJ89" s="259"/>
      <c r="AK89" s="259">
        <f>AE89</f>
        <v>59.894442003116311</v>
      </c>
      <c r="AL89" s="259">
        <v>4.9912035002596919</v>
      </c>
      <c r="AM89" s="259">
        <v>4.9912035002596919</v>
      </c>
      <c r="AN89" s="259">
        <v>4.9912035002596919</v>
      </c>
      <c r="AO89" s="259">
        <v>4.9912035002596919</v>
      </c>
      <c r="AP89" s="259">
        <v>4.9912035002596919</v>
      </c>
      <c r="AQ89" s="259">
        <v>4.9912035002596919</v>
      </c>
      <c r="AR89" s="259">
        <f>SUM(AF89:AQ89)</f>
        <v>89.84166300467443</v>
      </c>
      <c r="AS89" s="72">
        <f>Z89-AR89</f>
        <v>302.97833699532555</v>
      </c>
      <c r="AT89" s="55"/>
      <c r="AU89" s="55"/>
      <c r="AV89" s="55">
        <f t="shared" si="50"/>
        <v>4.9912035002596919</v>
      </c>
      <c r="AW89" s="55">
        <f t="shared" si="50"/>
        <v>4.9912035002596919</v>
      </c>
      <c r="AX89" s="55">
        <f t="shared" si="50"/>
        <v>4.9912035002596919</v>
      </c>
      <c r="AY89" s="55">
        <f t="shared" si="50"/>
        <v>4.9912035002596919</v>
      </c>
      <c r="AZ89" s="55">
        <f t="shared" si="50"/>
        <v>4.9912035002596919</v>
      </c>
      <c r="BA89" s="80">
        <v>118.901</v>
      </c>
      <c r="BB89" s="80">
        <v>108.645</v>
      </c>
      <c r="BC89" s="57">
        <f>BA89/BB89</f>
        <v>1.0943991900225505</v>
      </c>
      <c r="BD89" s="165">
        <f>T89/(D89*12)</f>
        <v>3.8133333333333335</v>
      </c>
      <c r="BE89" s="165">
        <f>BD89*BC89</f>
        <v>4.1733089112859929</v>
      </c>
      <c r="BF89" s="55">
        <f t="shared" si="60"/>
        <v>4.1733089112859929</v>
      </c>
      <c r="BG89" s="55">
        <f t="shared" si="60"/>
        <v>4.1733089112859929</v>
      </c>
      <c r="BH89" s="55">
        <f t="shared" si="60"/>
        <v>4.1733089112859929</v>
      </c>
      <c r="BI89" s="55">
        <f t="shared" si="60"/>
        <v>4.1733089112859929</v>
      </c>
      <c r="BJ89" s="55">
        <v>4.17</v>
      </c>
      <c r="BK89" s="55">
        <v>4.17</v>
      </c>
      <c r="BL89" s="55">
        <v>4.17</v>
      </c>
      <c r="BM89" s="55">
        <f>SUM((AV89:AZ89),(BF89:BL89))</f>
        <v>54.159253146442438</v>
      </c>
      <c r="BN89" s="448">
        <f>(AS89-BM89)</f>
        <v>248.81908384888311</v>
      </c>
      <c r="BO89" s="55">
        <f t="shared" si="61"/>
        <v>4.1733089112859929</v>
      </c>
      <c r="BP89" s="55">
        <f t="shared" si="61"/>
        <v>4.1733089112859929</v>
      </c>
      <c r="BQ89" s="55">
        <f t="shared" si="61"/>
        <v>4.1733089112859929</v>
      </c>
      <c r="BR89" s="55">
        <f t="shared" si="61"/>
        <v>4.1733089112859929</v>
      </c>
      <c r="BS89" s="55">
        <f t="shared" si="61"/>
        <v>4.1733089112859929</v>
      </c>
      <c r="BT89" s="55">
        <f>SUM(BO89:BS89)</f>
        <v>20.866544556429965</v>
      </c>
      <c r="BU89" s="448">
        <v>282.85577779530973</v>
      </c>
      <c r="BV89" s="57">
        <v>126.408</v>
      </c>
      <c r="BW89" s="57">
        <v>109.074</v>
      </c>
      <c r="BX89" s="57">
        <f>BV89/BW89</f>
        <v>1.1589196325430442</v>
      </c>
      <c r="BY89" s="753">
        <f>BU89/J89</f>
        <v>4.7142629632551625</v>
      </c>
      <c r="BZ89" s="55">
        <f>BY89*BX89</f>
        <v>5.4634519010869553</v>
      </c>
      <c r="CA89" s="754">
        <v>9.1057531684782589</v>
      </c>
      <c r="CB89" s="754">
        <v>9.1057531684782589</v>
      </c>
      <c r="CC89" s="754">
        <v>9.1057531684782589</v>
      </c>
      <c r="CD89" s="754">
        <v>9.1057531684782589</v>
      </c>
      <c r="CE89" s="754">
        <v>9.1057531684782589</v>
      </c>
      <c r="CF89" s="754">
        <v>9.1057531684782589</v>
      </c>
      <c r="CG89" s="754">
        <v>9.1057531684782589</v>
      </c>
      <c r="CH89" s="429">
        <f>SUM(CA89:CG89)</f>
        <v>63.740272179347812</v>
      </c>
      <c r="CI89" s="439">
        <f>BU89-CH89</f>
        <v>219.11550561596192</v>
      </c>
      <c r="CJ89" s="754">
        <v>9.1057531684782589</v>
      </c>
      <c r="CK89" s="754">
        <v>9.1057531684782589</v>
      </c>
      <c r="CL89" s="754">
        <v>9.1057531684782589</v>
      </c>
      <c r="CM89" s="754">
        <v>9.1057531684782589</v>
      </c>
      <c r="CN89" s="754">
        <v>9.1057531684782589</v>
      </c>
      <c r="CO89" s="505">
        <f t="shared" si="53"/>
        <v>45.528765842391294</v>
      </c>
      <c r="CP89" s="1085">
        <f t="shared" si="62"/>
        <v>173.58673977357063</v>
      </c>
      <c r="CQ89" s="1086">
        <v>132.28200000000001</v>
      </c>
      <c r="CR89" s="514">
        <v>109.074</v>
      </c>
      <c r="CS89" s="1087">
        <f t="shared" ref="CS89:CS90" si="64">CQ89/CR89</f>
        <v>1.2127729798118709</v>
      </c>
      <c r="CT89" s="516">
        <f t="shared" si="63"/>
        <v>2.8931123295595103</v>
      </c>
      <c r="CU89" s="516">
        <f t="shared" ref="CU89:CU90" si="65">CS89*CT89</f>
        <v>3.508688460850351</v>
      </c>
      <c r="CV89" s="516">
        <v>3.508688460850351</v>
      </c>
      <c r="CW89" s="516">
        <v>3.508688460850351</v>
      </c>
      <c r="CX89" s="516">
        <v>3.508688460850351</v>
      </c>
      <c r="CY89" s="516">
        <v>3.508688460850351</v>
      </c>
      <c r="CZ89" s="516">
        <v>3.508688460850351</v>
      </c>
      <c r="DA89" s="516">
        <v>3.508688460850351</v>
      </c>
      <c r="DB89" s="516">
        <v>3.508688460850351</v>
      </c>
      <c r="DC89" s="516">
        <v>3.508688460850351</v>
      </c>
      <c r="DD89" s="516">
        <v>3.508688460850351</v>
      </c>
      <c r="DE89" s="516">
        <v>3.508688460850351</v>
      </c>
      <c r="DF89" s="516">
        <v>3.508688460850351</v>
      </c>
      <c r="DG89" s="516">
        <v>3.508688460850351</v>
      </c>
      <c r="DH89" s="516">
        <v>3.508688460850351</v>
      </c>
      <c r="DI89" s="516">
        <v>3.508688460850351</v>
      </c>
      <c r="DJ89" s="516">
        <v>3.508688460850351</v>
      </c>
      <c r="DK89" s="516">
        <v>3.508688460850351</v>
      </c>
      <c r="DL89" s="516">
        <v>3.508688460850351</v>
      </c>
      <c r="DM89" s="516">
        <v>3.508688460850351</v>
      </c>
      <c r="DN89" s="516">
        <f t="shared" si="55"/>
        <v>63.156392295306318</v>
      </c>
      <c r="DO89" s="1085">
        <f t="shared" si="52"/>
        <v>110.43034747826431</v>
      </c>
    </row>
    <row r="90" spans="1:119" s="16" customFormat="1" ht="15" x14ac:dyDescent="0.2">
      <c r="A90" s="119" t="s">
        <v>304</v>
      </c>
      <c r="B90" s="100" t="s">
        <v>592</v>
      </c>
      <c r="C90" s="45" t="s">
        <v>355</v>
      </c>
      <c r="D90" s="125">
        <v>10</v>
      </c>
      <c r="E90" s="130">
        <v>0.1</v>
      </c>
      <c r="F90" s="46">
        <v>43281</v>
      </c>
      <c r="G90" s="58">
        <v>120</v>
      </c>
      <c r="H90" s="145">
        <f>100/G90</f>
        <v>0.83333333333333337</v>
      </c>
      <c r="I90" s="165">
        <f>H90*J90</f>
        <v>44.166666666666671</v>
      </c>
      <c r="J90" s="48">
        <f t="shared" si="57"/>
        <v>53</v>
      </c>
      <c r="K90" s="165">
        <f>L90*H90</f>
        <v>55.833333333333336</v>
      </c>
      <c r="L90" s="48">
        <f>G90-J90</f>
        <v>67</v>
      </c>
      <c r="M90" s="165">
        <f>N90*H90</f>
        <v>55.833333333333336</v>
      </c>
      <c r="N90" s="48">
        <f t="shared" si="58"/>
        <v>67</v>
      </c>
      <c r="O90" s="165">
        <f t="shared" si="59"/>
        <v>0</v>
      </c>
      <c r="P90" s="48">
        <f t="shared" si="59"/>
        <v>0</v>
      </c>
      <c r="Q90" s="462">
        <f>DATE(YEAR(S90),MONTH(S90)+G90,DAY(S90))</f>
        <v>45292</v>
      </c>
      <c r="R90" s="125" t="s">
        <v>445</v>
      </c>
      <c r="S90" s="119">
        <v>41640</v>
      </c>
      <c r="T90" s="7">
        <v>500</v>
      </c>
      <c r="U90" s="72">
        <v>449.96666666666664</v>
      </c>
      <c r="V90" s="776">
        <v>50.033333333333346</v>
      </c>
      <c r="W90" s="776">
        <f>U90</f>
        <v>449.96666666666664</v>
      </c>
      <c r="X90" s="47">
        <v>4.17</v>
      </c>
      <c r="Y90" s="106">
        <f>X90*5</f>
        <v>20.85</v>
      </c>
      <c r="Z90" s="258">
        <f>W90-Y90</f>
        <v>429.11666666666662</v>
      </c>
      <c r="AA90" s="57">
        <v>115.958</v>
      </c>
      <c r="AB90" s="80">
        <v>112.505</v>
      </c>
      <c r="AC90" s="57">
        <f>AA90/AB90</f>
        <v>1.0306919692458114</v>
      </c>
      <c r="AD90" s="55">
        <f>Z90*M90/100/K90*100/7</f>
        <v>61.302380952380943</v>
      </c>
      <c r="AE90" s="55">
        <f>AD90*AC90</f>
        <v>63.183871743266437</v>
      </c>
      <c r="AF90" s="55"/>
      <c r="AG90" s="55"/>
      <c r="AH90" s="55"/>
      <c r="AI90" s="55"/>
      <c r="AJ90" s="55"/>
      <c r="AK90" s="55">
        <f>AE90</f>
        <v>63.183871743266437</v>
      </c>
      <c r="AL90" s="55">
        <v>4.2940495359501467</v>
      </c>
      <c r="AM90" s="55">
        <v>4.2940495359501467</v>
      </c>
      <c r="AN90" s="55">
        <v>4.2940495359501467</v>
      </c>
      <c r="AO90" s="55">
        <v>4.2940495359501467</v>
      </c>
      <c r="AP90" s="55">
        <v>4.2940495359501467</v>
      </c>
      <c r="AQ90" s="55">
        <v>4.2940495359501467</v>
      </c>
      <c r="AR90" s="55">
        <f>SUM(AF90:AQ90)</f>
        <v>88.948168958967344</v>
      </c>
      <c r="AS90" s="72">
        <f>Z90-AR90</f>
        <v>340.16849770769926</v>
      </c>
      <c r="AT90" s="55"/>
      <c r="AU90" s="55"/>
      <c r="AV90" s="55">
        <f t="shared" si="50"/>
        <v>4.2940495359501467</v>
      </c>
      <c r="AW90" s="55">
        <f t="shared" si="50"/>
        <v>4.2940495359501467</v>
      </c>
      <c r="AX90" s="55">
        <f t="shared" si="50"/>
        <v>4.2940495359501467</v>
      </c>
      <c r="AY90" s="55">
        <f t="shared" si="50"/>
        <v>4.2940495359501467</v>
      </c>
      <c r="AZ90" s="55">
        <f t="shared" si="50"/>
        <v>4.2940495359501467</v>
      </c>
      <c r="BA90" s="80">
        <v>118.901</v>
      </c>
      <c r="BB90" s="80">
        <v>112.505</v>
      </c>
      <c r="BC90" s="57">
        <f>BA90/BB90</f>
        <v>1.0568508066308164</v>
      </c>
      <c r="BD90" s="165">
        <f>T90/(D90*12)</f>
        <v>4.166666666666667</v>
      </c>
      <c r="BE90" s="165">
        <f>BD90*BC90</f>
        <v>4.4035450276284021</v>
      </c>
      <c r="BF90" s="55">
        <f t="shared" si="60"/>
        <v>4.4035450276284021</v>
      </c>
      <c r="BG90" s="55">
        <f t="shared" si="60"/>
        <v>4.4035450276284021</v>
      </c>
      <c r="BH90" s="55">
        <f t="shared" si="60"/>
        <v>4.4035450276284021</v>
      </c>
      <c r="BI90" s="55">
        <f t="shared" si="60"/>
        <v>4.4035450276284021</v>
      </c>
      <c r="BJ90" s="55">
        <v>4.4000000000000004</v>
      </c>
      <c r="BK90" s="55">
        <v>4.4000000000000004</v>
      </c>
      <c r="BL90" s="55">
        <v>4.4000000000000004</v>
      </c>
      <c r="BM90" s="55">
        <f>SUM((AV90:AZ90),(BF90:BL90))</f>
        <v>52.284427790264346</v>
      </c>
      <c r="BN90" s="448">
        <f>(AS90-BM90)</f>
        <v>287.88406991743489</v>
      </c>
      <c r="BO90" s="55">
        <f t="shared" si="61"/>
        <v>4.4035450276284021</v>
      </c>
      <c r="BP90" s="55">
        <f t="shared" si="61"/>
        <v>4.4035450276284021</v>
      </c>
      <c r="BQ90" s="55">
        <f t="shared" si="61"/>
        <v>4.4035450276284021</v>
      </c>
      <c r="BR90" s="55">
        <f t="shared" si="61"/>
        <v>4.4035450276284021</v>
      </c>
      <c r="BS90" s="55">
        <f t="shared" si="61"/>
        <v>4.4035450276284021</v>
      </c>
      <c r="BT90" s="55">
        <f>SUM(BO90:BS90)</f>
        <v>22.017725138142012</v>
      </c>
      <c r="BU90" s="448">
        <v>324.75616698660923</v>
      </c>
      <c r="BV90" s="57">
        <v>126.408</v>
      </c>
      <c r="BW90" s="57">
        <v>109.074</v>
      </c>
      <c r="BX90" s="57">
        <f>BV90/BW90</f>
        <v>1.1589196325430442</v>
      </c>
      <c r="BY90" s="753">
        <f>BU90/J90</f>
        <v>6.1274748488039474</v>
      </c>
      <c r="BZ90" s="55">
        <f>BY90*BX90</f>
        <v>7.1012509001926158</v>
      </c>
      <c r="CA90" s="754">
        <v>9.1796657978099674</v>
      </c>
      <c r="CB90" s="754">
        <v>9.1796657978099674</v>
      </c>
      <c r="CC90" s="754">
        <v>9.1796657978099674</v>
      </c>
      <c r="CD90" s="754">
        <v>9.1796657978099674</v>
      </c>
      <c r="CE90" s="754">
        <v>9.1796657978099674</v>
      </c>
      <c r="CF90" s="754">
        <v>9.1796657978099674</v>
      </c>
      <c r="CG90" s="754">
        <v>9.1796657978099674</v>
      </c>
      <c r="CH90" s="429">
        <f>SUM(CA90:CG90)</f>
        <v>64.257660584669765</v>
      </c>
      <c r="CI90" s="439">
        <f>BU90-CH90</f>
        <v>260.49850640193949</v>
      </c>
      <c r="CJ90" s="754">
        <v>9.1796657978099674</v>
      </c>
      <c r="CK90" s="754">
        <v>9.1796657978099674</v>
      </c>
      <c r="CL90" s="754">
        <v>9.1796657978099674</v>
      </c>
      <c r="CM90" s="754">
        <v>9.1796657978099674</v>
      </c>
      <c r="CN90" s="754">
        <v>9.1796657978099674</v>
      </c>
      <c r="CO90" s="505">
        <f t="shared" si="53"/>
        <v>45.898328989049837</v>
      </c>
      <c r="CP90" s="1085">
        <f t="shared" si="62"/>
        <v>214.60017741288965</v>
      </c>
      <c r="CQ90" s="1086">
        <v>132.28200000000001</v>
      </c>
      <c r="CR90" s="514">
        <v>109.074</v>
      </c>
      <c r="CS90" s="1087">
        <f t="shared" si="64"/>
        <v>1.2127729798118709</v>
      </c>
      <c r="CT90" s="516">
        <f t="shared" si="63"/>
        <v>3.2029877225804424</v>
      </c>
      <c r="CU90" s="516">
        <f t="shared" si="65"/>
        <v>3.8844969646147214</v>
      </c>
      <c r="CV90" s="516">
        <v>3.8844969646147214</v>
      </c>
      <c r="CW90" s="516">
        <v>3.8844969646147214</v>
      </c>
      <c r="CX90" s="516">
        <v>3.8844969646147214</v>
      </c>
      <c r="CY90" s="516">
        <v>3.8844969646147214</v>
      </c>
      <c r="CZ90" s="516">
        <v>3.8844969646147214</v>
      </c>
      <c r="DA90" s="516">
        <v>3.8844969646147214</v>
      </c>
      <c r="DB90" s="516">
        <v>3.8844969646147214</v>
      </c>
      <c r="DC90" s="516">
        <v>3.8844969646147214</v>
      </c>
      <c r="DD90" s="516">
        <v>3.8844969646147214</v>
      </c>
      <c r="DE90" s="516">
        <v>3.8844969646147214</v>
      </c>
      <c r="DF90" s="516">
        <v>3.8844969646147214</v>
      </c>
      <c r="DG90" s="516">
        <v>3.8844969646147214</v>
      </c>
      <c r="DH90" s="516">
        <v>3.8844969646147214</v>
      </c>
      <c r="DI90" s="516">
        <v>3.8844969646147214</v>
      </c>
      <c r="DJ90" s="516">
        <v>3.8844969646147214</v>
      </c>
      <c r="DK90" s="516">
        <v>3.8844969646147214</v>
      </c>
      <c r="DL90" s="516">
        <v>3.8844969646147214</v>
      </c>
      <c r="DM90" s="516">
        <v>3.8844969646147214</v>
      </c>
      <c r="DN90" s="516">
        <f t="shared" si="55"/>
        <v>69.920945363064973</v>
      </c>
      <c r="DO90" s="1085">
        <f t="shared" si="52"/>
        <v>144.67923204982469</v>
      </c>
    </row>
    <row r="91" spans="1:119" s="16" customFormat="1" ht="15" x14ac:dyDescent="0.2">
      <c r="A91" s="120" t="s">
        <v>71</v>
      </c>
      <c r="B91" s="120" t="s">
        <v>356</v>
      </c>
      <c r="C91" s="45"/>
      <c r="D91" s="125"/>
      <c r="E91" s="130"/>
      <c r="F91" s="46"/>
      <c r="G91" s="58"/>
      <c r="H91" s="145"/>
      <c r="I91" s="165"/>
      <c r="J91" s="48"/>
      <c r="K91" s="165"/>
      <c r="L91" s="48"/>
      <c r="M91" s="165"/>
      <c r="N91" s="48"/>
      <c r="O91" s="165"/>
      <c r="P91" s="48"/>
      <c r="Q91" s="48"/>
      <c r="R91" s="125"/>
      <c r="S91" s="128"/>
      <c r="T91" s="251"/>
      <c r="U91" s="72"/>
      <c r="V91" s="776"/>
      <c r="W91" s="776"/>
      <c r="X91" s="47"/>
      <c r="Y91" s="106"/>
      <c r="Z91" s="257"/>
      <c r="AA91" s="57"/>
      <c r="AB91" s="57"/>
      <c r="AC91" s="57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72"/>
      <c r="AT91" s="55"/>
      <c r="AU91" s="55"/>
      <c r="AV91" s="55">
        <f t="shared" si="50"/>
        <v>0</v>
      </c>
      <c r="AW91" s="55">
        <f t="shared" si="50"/>
        <v>0</v>
      </c>
      <c r="AX91" s="55">
        <f t="shared" si="50"/>
        <v>0</v>
      </c>
      <c r="AY91" s="55">
        <f t="shared" si="50"/>
        <v>0</v>
      </c>
      <c r="AZ91" s="55">
        <f t="shared" si="50"/>
        <v>0</v>
      </c>
      <c r="BA91" s="57"/>
      <c r="BB91" s="57"/>
      <c r="BC91" s="57"/>
      <c r="BD91" s="165"/>
      <c r="BE91" s="165"/>
      <c r="BF91" s="55"/>
      <c r="BG91" s="55"/>
      <c r="BH91" s="55"/>
      <c r="BI91" s="55"/>
      <c r="BJ91" s="55"/>
      <c r="BK91" s="55"/>
      <c r="BL91" s="55"/>
      <c r="BM91" s="55"/>
      <c r="BN91" s="448"/>
      <c r="BO91" s="55"/>
      <c r="BP91" s="55"/>
      <c r="BQ91" s="55"/>
      <c r="BR91" s="55"/>
      <c r="BS91" s="55"/>
      <c r="BT91" s="55"/>
      <c r="BU91" s="448"/>
      <c r="BV91" s="28"/>
      <c r="BW91" s="136"/>
      <c r="BX91" s="28"/>
      <c r="BY91" s="28"/>
      <c r="BZ91" s="28"/>
      <c r="CA91" s="755"/>
      <c r="CB91" s="755"/>
      <c r="CC91" s="755"/>
      <c r="CD91" s="755"/>
      <c r="CE91" s="755"/>
      <c r="CF91" s="755"/>
      <c r="CG91" s="755"/>
      <c r="CH91" s="28"/>
      <c r="CI91" s="28"/>
      <c r="CJ91" s="755"/>
      <c r="CK91" s="755"/>
      <c r="CL91" s="755"/>
      <c r="CM91" s="755"/>
      <c r="CN91" s="755"/>
      <c r="CO91" s="505"/>
      <c r="CP91" s="1085"/>
      <c r="CQ91" s="520"/>
      <c r="CR91" s="1120"/>
      <c r="CS91" s="1087"/>
      <c r="CT91" s="516"/>
      <c r="CU91" s="516"/>
      <c r="CV91" s="516"/>
      <c r="CW91" s="516"/>
      <c r="CX91" s="516"/>
      <c r="CY91" s="516"/>
      <c r="CZ91" s="516"/>
      <c r="DA91" s="516"/>
      <c r="DB91" s="516"/>
      <c r="DC91" s="516"/>
      <c r="DD91" s="516"/>
      <c r="DE91" s="516"/>
      <c r="DF91" s="516"/>
      <c r="DG91" s="516"/>
      <c r="DH91" s="516"/>
      <c r="DI91" s="516"/>
      <c r="DJ91" s="516"/>
      <c r="DK91" s="516"/>
      <c r="DL91" s="516"/>
      <c r="DM91" s="516"/>
      <c r="DN91" s="516">
        <f t="shared" si="55"/>
        <v>0</v>
      </c>
      <c r="DO91" s="1085"/>
    </row>
    <row r="92" spans="1:119" s="16" customFormat="1" ht="15" x14ac:dyDescent="0.2">
      <c r="A92" s="120" t="s">
        <v>593</v>
      </c>
      <c r="B92" s="100"/>
      <c r="C92" s="45"/>
      <c r="D92" s="125"/>
      <c r="E92" s="130"/>
      <c r="F92" s="46"/>
      <c r="G92" s="58"/>
      <c r="H92" s="145"/>
      <c r="I92" s="165"/>
      <c r="J92" s="48"/>
      <c r="K92" s="165"/>
      <c r="L92" s="48"/>
      <c r="M92" s="165"/>
      <c r="N92" s="48"/>
      <c r="O92" s="165"/>
      <c r="P92" s="48"/>
      <c r="Q92" s="48"/>
      <c r="R92" s="125"/>
      <c r="S92" s="128"/>
      <c r="T92" s="7"/>
      <c r="U92" s="72"/>
      <c r="V92" s="776"/>
      <c r="W92" s="776"/>
      <c r="X92" s="47"/>
      <c r="Y92" s="106"/>
      <c r="Z92" s="257"/>
      <c r="AA92" s="57"/>
      <c r="AB92" s="57"/>
      <c r="AC92" s="57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72"/>
      <c r="AT92" s="55"/>
      <c r="AU92" s="55"/>
      <c r="AV92" s="55">
        <f t="shared" si="50"/>
        <v>0</v>
      </c>
      <c r="AW92" s="55">
        <f t="shared" si="50"/>
        <v>0</v>
      </c>
      <c r="AX92" s="55">
        <f t="shared" si="50"/>
        <v>0</v>
      </c>
      <c r="AY92" s="55">
        <f t="shared" si="50"/>
        <v>0</v>
      </c>
      <c r="AZ92" s="55">
        <f t="shared" si="50"/>
        <v>0</v>
      </c>
      <c r="BA92" s="57"/>
      <c r="BB92" s="57"/>
      <c r="BC92" s="57"/>
      <c r="BD92" s="165"/>
      <c r="BE92" s="165"/>
      <c r="BF92" s="55"/>
      <c r="BG92" s="55"/>
      <c r="BH92" s="55"/>
      <c r="BI92" s="55"/>
      <c r="BJ92" s="55"/>
      <c r="BK92" s="55"/>
      <c r="BL92" s="55"/>
      <c r="BM92" s="55"/>
      <c r="BN92" s="448"/>
      <c r="BO92" s="55"/>
      <c r="BP92" s="55"/>
      <c r="BQ92" s="55"/>
      <c r="BR92" s="55"/>
      <c r="BS92" s="55"/>
      <c r="BT92" s="55"/>
      <c r="BU92" s="448"/>
      <c r="BV92" s="28"/>
      <c r="BW92" s="136"/>
      <c r="BX92" s="28"/>
      <c r="BY92" s="28"/>
      <c r="BZ92" s="28"/>
      <c r="CA92" s="755"/>
      <c r="CB92" s="755"/>
      <c r="CC92" s="755"/>
      <c r="CD92" s="755"/>
      <c r="CE92" s="755"/>
      <c r="CF92" s="755"/>
      <c r="CG92" s="755"/>
      <c r="CH92" s="28"/>
      <c r="CI92" s="28"/>
      <c r="CJ92" s="755"/>
      <c r="CK92" s="755"/>
      <c r="CL92" s="755"/>
      <c r="CM92" s="755"/>
      <c r="CN92" s="755"/>
      <c r="CO92" s="505"/>
      <c r="CP92" s="1085"/>
      <c r="CQ92" s="514"/>
      <c r="CR92" s="1120"/>
      <c r="CS92" s="1087"/>
      <c r="CT92" s="516"/>
      <c r="CU92" s="516"/>
      <c r="CV92" s="516"/>
      <c r="CW92" s="516"/>
      <c r="CX92" s="516"/>
      <c r="CY92" s="516"/>
      <c r="CZ92" s="516"/>
      <c r="DA92" s="516"/>
      <c r="DB92" s="516"/>
      <c r="DC92" s="516"/>
      <c r="DD92" s="516"/>
      <c r="DE92" s="516"/>
      <c r="DF92" s="516"/>
      <c r="DG92" s="516"/>
      <c r="DH92" s="516"/>
      <c r="DI92" s="516"/>
      <c r="DJ92" s="516"/>
      <c r="DK92" s="516"/>
      <c r="DL92" s="516"/>
      <c r="DM92" s="516"/>
      <c r="DN92" s="516">
        <f t="shared" si="55"/>
        <v>0</v>
      </c>
      <c r="DO92" s="1085"/>
    </row>
    <row r="93" spans="1:119" s="16" customFormat="1" ht="15" x14ac:dyDescent="0.2">
      <c r="A93" s="119" t="s">
        <v>594</v>
      </c>
      <c r="B93" s="100" t="s">
        <v>356</v>
      </c>
      <c r="C93" s="45" t="s">
        <v>355</v>
      </c>
      <c r="D93" s="125">
        <v>10</v>
      </c>
      <c r="E93" s="130">
        <v>0.1</v>
      </c>
      <c r="F93" s="46">
        <v>43281</v>
      </c>
      <c r="G93" s="58">
        <v>120</v>
      </c>
      <c r="H93" s="145">
        <f>100/G93</f>
        <v>0.83333333333333337</v>
      </c>
      <c r="I93" s="165">
        <f>H93*J93</f>
        <v>44.166666666666671</v>
      </c>
      <c r="J93" s="48">
        <f>(YEAR(F93)-YEAR(S93))*12+MONTH(F93)-MONTH(S93)</f>
        <v>53</v>
      </c>
      <c r="K93" s="165">
        <f>L93*H93</f>
        <v>55.833333333333336</v>
      </c>
      <c r="L93" s="48">
        <f>G93-J93</f>
        <v>67</v>
      </c>
      <c r="M93" s="165">
        <f>N93*H93</f>
        <v>55.833333333333336</v>
      </c>
      <c r="N93" s="48">
        <f>G93-J93</f>
        <v>67</v>
      </c>
      <c r="O93" s="165">
        <f>K93-M93</f>
        <v>0</v>
      </c>
      <c r="P93" s="48">
        <f>L93-N93</f>
        <v>0</v>
      </c>
      <c r="Q93" s="462">
        <f>DATE(YEAR(S93),MONTH(S93)+G93,DAY(S93))</f>
        <v>45292</v>
      </c>
      <c r="R93" s="125" t="s">
        <v>445</v>
      </c>
      <c r="S93" s="119">
        <v>41640</v>
      </c>
      <c r="T93" s="7">
        <v>145</v>
      </c>
      <c r="U93" s="72">
        <v>130.48333333333332</v>
      </c>
      <c r="V93" s="776">
        <v>14.516666666666669</v>
      </c>
      <c r="W93" s="776">
        <f>U93</f>
        <v>130.48333333333332</v>
      </c>
      <c r="X93" s="47">
        <v>1.21</v>
      </c>
      <c r="Y93" s="106">
        <f>X93*5</f>
        <v>6.05</v>
      </c>
      <c r="Z93" s="258">
        <f>W93-Y93</f>
        <v>124.43333333333332</v>
      </c>
      <c r="AA93" s="57">
        <v>115.958</v>
      </c>
      <c r="AB93" s="80">
        <v>108.91800000000001</v>
      </c>
      <c r="AC93" s="57">
        <f>AA93/AB93</f>
        <v>1.0646357810462916</v>
      </c>
      <c r="AD93" s="55">
        <f>Z93*M93/100/K93*100/7</f>
        <v>17.776190476190475</v>
      </c>
      <c r="AE93" s="55">
        <f>AD93*AC93</f>
        <v>18.925168431646696</v>
      </c>
      <c r="AF93" s="55"/>
      <c r="AG93" s="55"/>
      <c r="AH93" s="55"/>
      <c r="AI93" s="55"/>
      <c r="AJ93" s="55"/>
      <c r="AK93" s="55">
        <f>AE93</f>
        <v>18.925168431646696</v>
      </c>
      <c r="AL93" s="55">
        <v>1.2861764953546295</v>
      </c>
      <c r="AM93" s="55">
        <v>1.2861764953546295</v>
      </c>
      <c r="AN93" s="55">
        <v>1.2861764953546295</v>
      </c>
      <c r="AO93" s="55">
        <v>1.2861764953546295</v>
      </c>
      <c r="AP93" s="55">
        <v>1.2861764953546295</v>
      </c>
      <c r="AQ93" s="55">
        <v>1.2861764953546295</v>
      </c>
      <c r="AR93" s="55">
        <f>SUM(AF93:AQ93)</f>
        <v>26.642227403774484</v>
      </c>
      <c r="AS93" s="72">
        <f>Z93-AR93</f>
        <v>97.791105929558839</v>
      </c>
      <c r="AT93" s="55"/>
      <c r="AU93" s="55"/>
      <c r="AV93" s="55">
        <f t="shared" si="50"/>
        <v>1.2861764953546295</v>
      </c>
      <c r="AW93" s="55">
        <f t="shared" si="50"/>
        <v>1.2861764953546295</v>
      </c>
      <c r="AX93" s="55">
        <f t="shared" si="50"/>
        <v>1.2861764953546295</v>
      </c>
      <c r="AY93" s="55">
        <f t="shared" si="50"/>
        <v>1.2861764953546295</v>
      </c>
      <c r="AZ93" s="55">
        <f t="shared" si="50"/>
        <v>1.2861764953546295</v>
      </c>
      <c r="BA93" s="80">
        <v>118.901</v>
      </c>
      <c r="BB93" s="494">
        <v>108.91800000000001</v>
      </c>
      <c r="BC93" s="57">
        <f>BA93/BB93</f>
        <v>1.0916561082649332</v>
      </c>
      <c r="BD93" s="165">
        <f>T93/(D93*12)</f>
        <v>1.2083333333333333</v>
      </c>
      <c r="BE93" s="165">
        <f>BD93*BC93</f>
        <v>1.3190844641534609</v>
      </c>
      <c r="BF93" s="55">
        <f>$BE93</f>
        <v>1.3190844641534609</v>
      </c>
      <c r="BG93" s="55">
        <f>$BE93</f>
        <v>1.3190844641534609</v>
      </c>
      <c r="BH93" s="55">
        <f>$BE93</f>
        <v>1.3190844641534609</v>
      </c>
      <c r="BI93" s="55">
        <f>$BE93</f>
        <v>1.3190844641534609</v>
      </c>
      <c r="BJ93" s="55">
        <v>1.32</v>
      </c>
      <c r="BK93" s="55">
        <v>1.32</v>
      </c>
      <c r="BL93" s="55">
        <v>1.32</v>
      </c>
      <c r="BM93" s="55">
        <f>SUM((AV93:AZ93),(BF93:BL93))</f>
        <v>15.667220333386991</v>
      </c>
      <c r="BN93" s="448">
        <f>(AS93-BM93)</f>
        <v>82.123885596171846</v>
      </c>
      <c r="BO93" s="55">
        <f>$BE93</f>
        <v>1.3190844641534609</v>
      </c>
      <c r="BP93" s="55">
        <f>$BE93</f>
        <v>1.3190844641534609</v>
      </c>
      <c r="BQ93" s="55">
        <f>$BE93</f>
        <v>1.3190844641534609</v>
      </c>
      <c r="BR93" s="55">
        <f>$BE93</f>
        <v>1.3190844641534609</v>
      </c>
      <c r="BS93" s="55">
        <f>$BE93</f>
        <v>1.3190844641534609</v>
      </c>
      <c r="BT93" s="55">
        <f>SUM(BO93:BS93)</f>
        <v>6.5954223207673044</v>
      </c>
      <c r="BU93" s="448">
        <v>93.16745521169662</v>
      </c>
      <c r="BV93" s="57">
        <v>126.408</v>
      </c>
      <c r="BW93" s="57">
        <v>109.074</v>
      </c>
      <c r="BX93" s="57">
        <f>BV93/BW93</f>
        <v>1.1589196325430442</v>
      </c>
      <c r="BY93" s="753">
        <f>BU93/J93</f>
        <v>1.7578765134282381</v>
      </c>
      <c r="BZ93" s="55">
        <f>BY93*BX93</f>
        <v>2.0372376029983013</v>
      </c>
      <c r="CA93" s="754">
        <v>2.6335022672904871</v>
      </c>
      <c r="CB93" s="754">
        <v>2.6335022672904871</v>
      </c>
      <c r="CC93" s="754">
        <v>2.6335022672904871</v>
      </c>
      <c r="CD93" s="754">
        <v>2.6335022672904871</v>
      </c>
      <c r="CE93" s="754">
        <v>2.6335022672904871</v>
      </c>
      <c r="CF93" s="754">
        <v>2.6335022672904871</v>
      </c>
      <c r="CG93" s="754">
        <v>2.6335022672904871</v>
      </c>
      <c r="CH93" s="429">
        <f>SUM(CA93:CG93)</f>
        <v>18.434515871033408</v>
      </c>
      <c r="CI93" s="439">
        <f>BU93-CH93</f>
        <v>74.732939340663208</v>
      </c>
      <c r="CJ93" s="754">
        <v>2.6335022672904871</v>
      </c>
      <c r="CK93" s="754">
        <v>2.6335022672904871</v>
      </c>
      <c r="CL93" s="754">
        <v>2.6335022672904871</v>
      </c>
      <c r="CM93" s="754">
        <v>2.6335022672904871</v>
      </c>
      <c r="CN93" s="754">
        <v>2.6335022672904871</v>
      </c>
      <c r="CO93" s="505">
        <f t="shared" si="53"/>
        <v>13.167511336452435</v>
      </c>
      <c r="CP93" s="1085">
        <f t="shared" ref="CP93" si="66">CI93-CO93</f>
        <v>61.565428004210773</v>
      </c>
      <c r="CQ93" s="1086">
        <v>132.28200000000001</v>
      </c>
      <c r="CR93" s="514">
        <v>109.074</v>
      </c>
      <c r="CS93" s="1087">
        <f>CQ93/CR93</f>
        <v>1.2127729798118709</v>
      </c>
      <c r="CT93" s="516">
        <f>CP93/L93</f>
        <v>0.91888698513747424</v>
      </c>
      <c r="CU93" s="516">
        <f>CS93*CT93</f>
        <v>1.114401307075521</v>
      </c>
      <c r="CV93" s="516">
        <v>1.114401307075521</v>
      </c>
      <c r="CW93" s="516">
        <v>1.114401307075521</v>
      </c>
      <c r="CX93" s="516">
        <v>1.114401307075521</v>
      </c>
      <c r="CY93" s="516">
        <v>1.114401307075521</v>
      </c>
      <c r="CZ93" s="516">
        <v>1.114401307075521</v>
      </c>
      <c r="DA93" s="516">
        <v>1.114401307075521</v>
      </c>
      <c r="DB93" s="516">
        <v>1.114401307075521</v>
      </c>
      <c r="DC93" s="516">
        <v>1.114401307075521</v>
      </c>
      <c r="DD93" s="516">
        <v>1.114401307075521</v>
      </c>
      <c r="DE93" s="516">
        <v>1.114401307075521</v>
      </c>
      <c r="DF93" s="516">
        <v>1.114401307075521</v>
      </c>
      <c r="DG93" s="516">
        <v>1.114401307075521</v>
      </c>
      <c r="DH93" s="516">
        <v>1.114401307075521</v>
      </c>
      <c r="DI93" s="516">
        <v>1.114401307075521</v>
      </c>
      <c r="DJ93" s="516">
        <v>1.114401307075521</v>
      </c>
      <c r="DK93" s="516">
        <v>1.114401307075521</v>
      </c>
      <c r="DL93" s="516">
        <v>1.114401307075521</v>
      </c>
      <c r="DM93" s="516">
        <v>1.114401307075521</v>
      </c>
      <c r="DN93" s="516">
        <f t="shared" si="55"/>
        <v>20.059223527359382</v>
      </c>
      <c r="DO93" s="1085">
        <f t="shared" si="52"/>
        <v>41.506204476851394</v>
      </c>
    </row>
    <row r="94" spans="1:119" s="16" customFormat="1" ht="15" x14ac:dyDescent="0.2">
      <c r="A94" s="120" t="s">
        <v>71</v>
      </c>
      <c r="B94" s="120" t="s">
        <v>356</v>
      </c>
      <c r="C94" s="45"/>
      <c r="D94" s="125"/>
      <c r="E94" s="130"/>
      <c r="F94" s="46"/>
      <c r="G94" s="58"/>
      <c r="H94" s="145"/>
      <c r="I94" s="165"/>
      <c r="J94" s="48"/>
      <c r="K94" s="165"/>
      <c r="L94" s="48"/>
      <c r="M94" s="165"/>
      <c r="N94" s="48"/>
      <c r="O94" s="165"/>
      <c r="P94" s="48"/>
      <c r="Q94" s="48"/>
      <c r="R94" s="125"/>
      <c r="S94" s="119"/>
      <c r="T94" s="7"/>
      <c r="U94" s="72"/>
      <c r="V94" s="776"/>
      <c r="W94" s="776"/>
      <c r="X94" s="47"/>
      <c r="Y94" s="106"/>
      <c r="Z94" s="258"/>
      <c r="AA94" s="57"/>
      <c r="AB94" s="80"/>
      <c r="AC94" s="57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72"/>
      <c r="AT94" s="55"/>
      <c r="AU94" s="55"/>
      <c r="AV94" s="55"/>
      <c r="AW94" s="55"/>
      <c r="AX94" s="55"/>
      <c r="AY94" s="55"/>
      <c r="AZ94" s="55"/>
      <c r="BA94" s="57"/>
      <c r="BB94" s="494"/>
      <c r="BC94" s="57"/>
      <c r="BD94" s="165"/>
      <c r="BE94" s="165"/>
      <c r="BF94" s="55"/>
      <c r="BG94" s="55"/>
      <c r="BH94" s="55"/>
      <c r="BI94" s="55"/>
      <c r="BJ94" s="55"/>
      <c r="BK94" s="55"/>
      <c r="BL94" s="55"/>
      <c r="BM94" s="55"/>
      <c r="BN94" s="448"/>
      <c r="BO94" s="55"/>
      <c r="BP94" s="55"/>
      <c r="BQ94" s="55"/>
      <c r="BR94" s="55"/>
      <c r="BS94" s="55"/>
      <c r="BT94" s="55"/>
      <c r="BU94" s="448"/>
      <c r="BV94" s="28"/>
      <c r="BW94" s="136"/>
      <c r="BX94" s="28"/>
      <c r="BY94" s="28"/>
      <c r="BZ94" s="28"/>
      <c r="CA94" s="755"/>
      <c r="CB94" s="755"/>
      <c r="CC94" s="755"/>
      <c r="CD94" s="755"/>
      <c r="CE94" s="755"/>
      <c r="CF94" s="755"/>
      <c r="CG94" s="755"/>
      <c r="CH94" s="28"/>
      <c r="CI94" s="28"/>
      <c r="CJ94" s="755"/>
      <c r="CK94" s="755"/>
      <c r="CL94" s="755"/>
      <c r="CM94" s="755"/>
      <c r="CN94" s="755"/>
      <c r="CO94" s="505"/>
      <c r="CP94" s="1085"/>
      <c r="CQ94" s="1086"/>
      <c r="CR94" s="1120"/>
      <c r="CS94" s="1087"/>
      <c r="CT94" s="516"/>
      <c r="CU94" s="516"/>
      <c r="CV94" s="516"/>
      <c r="CW94" s="516"/>
      <c r="CX94" s="516"/>
      <c r="CY94" s="516"/>
      <c r="CZ94" s="516"/>
      <c r="DA94" s="516"/>
      <c r="DB94" s="516"/>
      <c r="DC94" s="516"/>
      <c r="DD94" s="516"/>
      <c r="DE94" s="516"/>
      <c r="DF94" s="516"/>
      <c r="DG94" s="516"/>
      <c r="DH94" s="516"/>
      <c r="DI94" s="516"/>
      <c r="DJ94" s="516"/>
      <c r="DK94" s="516"/>
      <c r="DL94" s="516"/>
      <c r="DM94" s="516"/>
      <c r="DN94" s="516">
        <f t="shared" si="55"/>
        <v>0</v>
      </c>
      <c r="DO94" s="1085"/>
    </row>
    <row r="95" spans="1:119" s="16" customFormat="1" ht="15" x14ac:dyDescent="0.2">
      <c r="A95" s="120" t="s">
        <v>999</v>
      </c>
      <c r="B95" s="100"/>
      <c r="C95" s="45"/>
      <c r="D95" s="125"/>
      <c r="E95" s="130"/>
      <c r="F95" s="46"/>
      <c r="G95" s="58"/>
      <c r="H95" s="145"/>
      <c r="I95" s="165"/>
      <c r="J95" s="48"/>
      <c r="K95" s="165"/>
      <c r="L95" s="48"/>
      <c r="M95" s="165"/>
      <c r="N95" s="48"/>
      <c r="O95" s="165"/>
      <c r="P95" s="48"/>
      <c r="Q95" s="48"/>
      <c r="R95" s="125"/>
      <c r="S95" s="119"/>
      <c r="T95" s="7"/>
      <c r="U95" s="72"/>
      <c r="V95" s="776"/>
      <c r="W95" s="776"/>
      <c r="X95" s="47"/>
      <c r="Y95" s="106"/>
      <c r="Z95" s="258"/>
      <c r="AA95" s="57"/>
      <c r="AB95" s="80"/>
      <c r="AC95" s="57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72"/>
      <c r="AT95" s="55"/>
      <c r="AU95" s="55"/>
      <c r="AV95" s="55"/>
      <c r="AW95" s="55"/>
      <c r="AX95" s="55"/>
      <c r="AY95" s="55"/>
      <c r="AZ95" s="55"/>
      <c r="BA95" s="57"/>
      <c r="BB95" s="494"/>
      <c r="BC95" s="57"/>
      <c r="BD95" s="165"/>
      <c r="BE95" s="165"/>
      <c r="BF95" s="55"/>
      <c r="BG95" s="55"/>
      <c r="BH95" s="55"/>
      <c r="BI95" s="55"/>
      <c r="BJ95" s="55"/>
      <c r="BK95" s="55"/>
      <c r="BL95" s="55"/>
      <c r="BM95" s="55"/>
      <c r="BN95" s="448"/>
      <c r="BO95" s="55"/>
      <c r="BP95" s="55"/>
      <c r="BQ95" s="55"/>
      <c r="BR95" s="55"/>
      <c r="BS95" s="55"/>
      <c r="BT95" s="55"/>
      <c r="BU95" s="448"/>
      <c r="BV95" s="28"/>
      <c r="BW95" s="136"/>
      <c r="BX95" s="28"/>
      <c r="BY95" s="28"/>
      <c r="BZ95" s="28"/>
      <c r="CA95" s="755"/>
      <c r="CB95" s="755"/>
      <c r="CC95" s="755"/>
      <c r="CD95" s="755"/>
      <c r="CE95" s="755"/>
      <c r="CF95" s="755"/>
      <c r="CG95" s="755"/>
      <c r="CH95" s="28"/>
      <c r="CI95" s="28"/>
      <c r="CJ95" s="755"/>
      <c r="CK95" s="755"/>
      <c r="CL95" s="755"/>
      <c r="CM95" s="755"/>
      <c r="CN95" s="755"/>
      <c r="CO95" s="505"/>
      <c r="CP95" s="1085"/>
      <c r="CQ95" s="516"/>
      <c r="CR95" s="1120"/>
      <c r="CS95" s="1087"/>
      <c r="CT95" s="516"/>
      <c r="CU95" s="516"/>
      <c r="CV95" s="516"/>
      <c r="CW95" s="516"/>
      <c r="CX95" s="516"/>
      <c r="CY95" s="516"/>
      <c r="CZ95" s="516"/>
      <c r="DA95" s="516"/>
      <c r="DB95" s="516"/>
      <c r="DC95" s="516"/>
      <c r="DD95" s="516"/>
      <c r="DE95" s="516"/>
      <c r="DF95" s="516"/>
      <c r="DG95" s="516"/>
      <c r="DH95" s="516"/>
      <c r="DI95" s="516"/>
      <c r="DJ95" s="516"/>
      <c r="DK95" s="516"/>
      <c r="DL95" s="516"/>
      <c r="DM95" s="516"/>
      <c r="DN95" s="516">
        <f t="shared" si="55"/>
        <v>0</v>
      </c>
      <c r="DO95" s="1085"/>
    </row>
    <row r="96" spans="1:119" s="16" customFormat="1" ht="15" x14ac:dyDescent="0.2">
      <c r="A96" s="328" t="s">
        <v>1002</v>
      </c>
      <c r="B96" s="328" t="s">
        <v>1001</v>
      </c>
      <c r="C96" s="341" t="s">
        <v>355</v>
      </c>
      <c r="D96" s="329">
        <v>10</v>
      </c>
      <c r="E96" s="342">
        <v>0.1</v>
      </c>
      <c r="F96" s="46">
        <v>43281</v>
      </c>
      <c r="G96" s="331">
        <v>120</v>
      </c>
      <c r="H96" s="332">
        <f>100/G96</f>
        <v>0.83333333333333337</v>
      </c>
      <c r="I96" s="333">
        <v>0</v>
      </c>
      <c r="J96" s="48">
        <f>(YEAR(F96)-YEAR(S96))*12+MONTH(F96)-MONTH(S96)</f>
        <v>25</v>
      </c>
      <c r="K96" s="333">
        <f>L96*H96</f>
        <v>79.166666666666671</v>
      </c>
      <c r="L96" s="331">
        <f>G96-J96</f>
        <v>95</v>
      </c>
      <c r="M96" s="333">
        <f>N96*H96</f>
        <v>79.166666666666671</v>
      </c>
      <c r="N96" s="48">
        <f>G96-J96</f>
        <v>95</v>
      </c>
      <c r="O96" s="333">
        <f>P96*H96</f>
        <v>0</v>
      </c>
      <c r="P96" s="331">
        <f>L96-N96</f>
        <v>0</v>
      </c>
      <c r="Q96" s="462">
        <f>DATE(YEAR(S96),MONTH(S96)+G96,DAY(S96))</f>
        <v>46162</v>
      </c>
      <c r="R96" s="331">
        <v>342</v>
      </c>
      <c r="S96" s="330">
        <v>42510</v>
      </c>
      <c r="T96" s="335">
        <v>5490</v>
      </c>
      <c r="U96" s="337">
        <v>0</v>
      </c>
      <c r="V96" s="338">
        <v>0</v>
      </c>
      <c r="W96" s="338">
        <v>0</v>
      </c>
      <c r="X96" s="337">
        <v>115.958</v>
      </c>
      <c r="Y96" s="345">
        <v>0</v>
      </c>
      <c r="Z96" s="337">
        <v>0</v>
      </c>
      <c r="AA96" s="345">
        <v>0</v>
      </c>
      <c r="AB96" s="338">
        <v>0</v>
      </c>
      <c r="AC96" s="338">
        <v>0</v>
      </c>
      <c r="AD96" s="338">
        <v>0</v>
      </c>
      <c r="AE96" s="338">
        <f>AD96*AC96</f>
        <v>0</v>
      </c>
      <c r="AF96" s="338"/>
      <c r="AG96" s="338"/>
      <c r="AH96" s="338"/>
      <c r="AI96" s="338"/>
      <c r="AJ96" s="338"/>
      <c r="AK96" s="339"/>
      <c r="AL96" s="339"/>
      <c r="AM96" s="339"/>
      <c r="AN96" s="339">
        <v>0</v>
      </c>
      <c r="AO96" s="339">
        <v>0</v>
      </c>
      <c r="AP96" s="339">
        <f>T96</f>
        <v>5490</v>
      </c>
      <c r="AQ96" s="493"/>
      <c r="AR96" s="493"/>
      <c r="AS96" s="493">
        <f>T96</f>
        <v>5490</v>
      </c>
      <c r="AT96" s="55"/>
      <c r="AU96" s="55"/>
      <c r="AV96" s="55">
        <v>0</v>
      </c>
      <c r="AW96" s="55">
        <v>0</v>
      </c>
      <c r="AX96" s="55">
        <v>0</v>
      </c>
      <c r="AY96" s="55">
        <v>0</v>
      </c>
      <c r="AZ96" s="55"/>
      <c r="BA96" s="80">
        <v>118.901</v>
      </c>
      <c r="BB96" s="345">
        <v>118.77</v>
      </c>
      <c r="BC96" s="57">
        <f>BA96/BB96</f>
        <v>1.0011029721310094</v>
      </c>
      <c r="BD96" s="165">
        <f>T96/(D96*12)</f>
        <v>45.75</v>
      </c>
      <c r="BE96" s="165">
        <f>BD96*BC96</f>
        <v>45.800460974993683</v>
      </c>
      <c r="BF96" s="55">
        <f>$BE96</f>
        <v>45.800460974993683</v>
      </c>
      <c r="BG96" s="55">
        <f>$BE96</f>
        <v>45.800460974993683</v>
      </c>
      <c r="BH96" s="55">
        <f>$BE96</f>
        <v>45.800460974993683</v>
      </c>
      <c r="BI96" s="55">
        <f>$BE96</f>
        <v>45.800460974993683</v>
      </c>
      <c r="BJ96" s="55">
        <v>45.8</v>
      </c>
      <c r="BK96" s="55">
        <v>45.8</v>
      </c>
      <c r="BL96" s="55">
        <v>45.8</v>
      </c>
      <c r="BM96" s="55">
        <f>SUM((AV96:AZ96),(BF96:BL96))</f>
        <v>320.60184389997477</v>
      </c>
      <c r="BN96" s="448">
        <f>(AS96-BM96)</f>
        <v>5169.3981561000255</v>
      </c>
      <c r="BO96" s="55">
        <f>$BE96</f>
        <v>45.800460974993683</v>
      </c>
      <c r="BP96" s="55">
        <f>$BE96</f>
        <v>45.800460974993683</v>
      </c>
      <c r="BQ96" s="55">
        <f>$BE96</f>
        <v>45.800460974993683</v>
      </c>
      <c r="BR96" s="55">
        <f>$BE96</f>
        <v>45.800460974993683</v>
      </c>
      <c r="BS96" s="55">
        <f>$BE96</f>
        <v>45.800460974993683</v>
      </c>
      <c r="BT96" s="55">
        <f>SUM(BO96:BS96)</f>
        <v>229.00230487496842</v>
      </c>
      <c r="BU96" s="448">
        <v>4940.3958512250574</v>
      </c>
      <c r="BV96" s="57">
        <v>126.408</v>
      </c>
      <c r="BW96" s="57">
        <v>109.074</v>
      </c>
      <c r="BX96" s="57">
        <f>BV96/BW96</f>
        <v>1.1589196325430442</v>
      </c>
      <c r="BY96" s="753">
        <f>BU96/J96</f>
        <v>197.6158340490023</v>
      </c>
      <c r="BZ96" s="55">
        <f>BY96*BX96</f>
        <v>229.02086978075695</v>
      </c>
      <c r="CA96" s="754">
        <v>440.42474957837874</v>
      </c>
      <c r="CB96" s="754">
        <v>440.42474957837874</v>
      </c>
      <c r="CC96" s="754">
        <v>440.42474957837874</v>
      </c>
      <c r="CD96" s="754">
        <v>440.42474957837874</v>
      </c>
      <c r="CE96" s="754">
        <v>440.42474957837874</v>
      </c>
      <c r="CF96" s="754">
        <v>440.42474957837874</v>
      </c>
      <c r="CG96" s="754">
        <v>440.42474957837874</v>
      </c>
      <c r="CH96" s="429">
        <f>SUM(CA96:CG96)</f>
        <v>3082.9732470486515</v>
      </c>
      <c r="CI96" s="439">
        <f>BU96-CH96</f>
        <v>1857.4226041764059</v>
      </c>
      <c r="CJ96" s="754">
        <v>440.42474957837874</v>
      </c>
      <c r="CK96" s="754">
        <v>440.42474957837874</v>
      </c>
      <c r="CL96" s="754">
        <v>440.42474957837874</v>
      </c>
      <c r="CM96" s="754">
        <v>440.42474957837874</v>
      </c>
      <c r="CN96" s="754">
        <v>94.72</v>
      </c>
      <c r="CO96" s="505">
        <f t="shared" si="53"/>
        <v>1856.418998313515</v>
      </c>
      <c r="CP96" s="1085">
        <f t="shared" ref="CP96" si="67">CI96-CO96</f>
        <v>1.0036058628909359</v>
      </c>
      <c r="CQ96" s="1086">
        <v>132.28200000000001</v>
      </c>
      <c r="CR96" s="514">
        <v>109.074</v>
      </c>
      <c r="CS96" s="1087">
        <f>CQ96/CR96</f>
        <v>1.2127729798118709</v>
      </c>
      <c r="CT96" s="516">
        <f>CP96/L96</f>
        <v>1.0564272240957221E-2</v>
      </c>
      <c r="CU96" s="516">
        <f>CT96*CS96</f>
        <v>1.281206392520952E-2</v>
      </c>
      <c r="CV96" s="516">
        <v>1.281206392520952E-2</v>
      </c>
      <c r="CW96" s="516">
        <v>-0.01</v>
      </c>
      <c r="CX96" s="516">
        <v>0</v>
      </c>
      <c r="CY96" s="516">
        <v>0</v>
      </c>
      <c r="CZ96" s="516">
        <v>0</v>
      </c>
      <c r="DA96" s="516">
        <v>0</v>
      </c>
      <c r="DB96" s="516">
        <v>0</v>
      </c>
      <c r="DC96" s="516">
        <v>0</v>
      </c>
      <c r="DD96" s="516">
        <v>0</v>
      </c>
      <c r="DE96" s="516">
        <v>0</v>
      </c>
      <c r="DF96" s="516">
        <v>0</v>
      </c>
      <c r="DG96" s="516">
        <v>0</v>
      </c>
      <c r="DH96" s="516">
        <v>0</v>
      </c>
      <c r="DI96" s="516">
        <v>0</v>
      </c>
      <c r="DJ96" s="516">
        <v>0</v>
      </c>
      <c r="DK96" s="516">
        <v>0</v>
      </c>
      <c r="DL96" s="516">
        <v>0</v>
      </c>
      <c r="DM96" s="516">
        <v>0</v>
      </c>
      <c r="DN96" s="516">
        <f t="shared" si="55"/>
        <v>2.8120639252095202E-3</v>
      </c>
      <c r="DO96" s="1085">
        <f t="shared" si="52"/>
        <v>1.0007937989657263</v>
      </c>
    </row>
    <row r="97" spans="1:323" s="16" customFormat="1" ht="15" x14ac:dyDescent="0.2">
      <c r="A97" s="120" t="s">
        <v>71</v>
      </c>
      <c r="B97" s="100"/>
      <c r="C97" s="45"/>
      <c r="D97" s="125"/>
      <c r="E97" s="130"/>
      <c r="F97" s="46"/>
      <c r="G97" s="58"/>
      <c r="H97" s="145"/>
      <c r="I97" s="165"/>
      <c r="J97" s="48"/>
      <c r="K97" s="165"/>
      <c r="L97" s="48"/>
      <c r="M97" s="165"/>
      <c r="N97" s="48"/>
      <c r="O97" s="165"/>
      <c r="P97" s="48"/>
      <c r="Q97" s="48"/>
      <c r="R97" s="125"/>
      <c r="S97" s="119"/>
      <c r="T97" s="7"/>
      <c r="U97" s="72"/>
      <c r="V97" s="776"/>
      <c r="W97" s="776"/>
      <c r="X97" s="47"/>
      <c r="Y97" s="106"/>
      <c r="Z97" s="258"/>
      <c r="AA97" s="57"/>
      <c r="AB97" s="80"/>
      <c r="AC97" s="57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72"/>
      <c r="AT97" s="55"/>
      <c r="AU97" s="55"/>
      <c r="AV97" s="55"/>
      <c r="AW97" s="55"/>
      <c r="AX97" s="55"/>
      <c r="AY97" s="55"/>
      <c r="AZ97" s="55"/>
      <c r="BA97" s="57"/>
      <c r="BB97" s="494"/>
      <c r="BC97" s="57"/>
      <c r="BD97" s="165"/>
      <c r="BE97" s="165"/>
      <c r="BF97" s="55"/>
      <c r="BG97" s="55"/>
      <c r="BH97" s="55"/>
      <c r="BI97" s="55"/>
      <c r="BJ97" s="55"/>
      <c r="BK97" s="55"/>
      <c r="BL97" s="55"/>
      <c r="BM97" s="55"/>
      <c r="BN97" s="448"/>
      <c r="BO97" s="55"/>
      <c r="BP97" s="55"/>
      <c r="BQ97" s="55"/>
      <c r="BR97" s="55"/>
      <c r="BS97" s="55"/>
      <c r="BT97" s="55"/>
      <c r="BU97" s="448"/>
      <c r="BV97" s="28"/>
      <c r="BW97" s="136"/>
      <c r="BX97" s="28"/>
      <c r="BY97" s="28"/>
      <c r="BZ97" s="28"/>
      <c r="CA97" s="755"/>
      <c r="CB97" s="755"/>
      <c r="CC97" s="755"/>
      <c r="CD97" s="755"/>
      <c r="CE97" s="755"/>
      <c r="CF97" s="755"/>
      <c r="CG97" s="755"/>
      <c r="CH97" s="28"/>
      <c r="CI97" s="28"/>
      <c r="CJ97" s="755"/>
      <c r="CK97" s="755"/>
      <c r="CL97" s="755"/>
      <c r="CM97" s="755"/>
      <c r="CN97" s="755"/>
      <c r="CO97" s="505"/>
      <c r="CP97" s="1085"/>
      <c r="CQ97" s="514"/>
      <c r="CR97" s="1120"/>
      <c r="CS97" s="1087"/>
      <c r="CT97" s="516"/>
      <c r="CU97" s="516"/>
      <c r="CV97" s="516"/>
      <c r="CW97" s="516"/>
      <c r="CX97" s="516"/>
      <c r="CY97" s="516"/>
      <c r="CZ97" s="516"/>
      <c r="DA97" s="516"/>
      <c r="DB97" s="516"/>
      <c r="DC97" s="516"/>
      <c r="DD97" s="516"/>
      <c r="DE97" s="516"/>
      <c r="DF97" s="516"/>
      <c r="DG97" s="516"/>
      <c r="DH97" s="516"/>
      <c r="DI97" s="516"/>
      <c r="DJ97" s="516"/>
      <c r="DK97" s="516"/>
      <c r="DL97" s="516"/>
      <c r="DM97" s="516"/>
      <c r="DN97" s="516">
        <f t="shared" si="55"/>
        <v>0</v>
      </c>
      <c r="DO97" s="1085"/>
    </row>
    <row r="98" spans="1:323" s="16" customFormat="1" ht="15" x14ac:dyDescent="0.2">
      <c r="A98" s="849" t="s">
        <v>1209</v>
      </c>
      <c r="B98" s="850"/>
      <c r="C98" s="851"/>
      <c r="D98" s="852"/>
      <c r="E98" s="853"/>
      <c r="F98" s="854"/>
      <c r="G98" s="855"/>
      <c r="H98" s="856"/>
      <c r="I98" s="857"/>
      <c r="J98" s="858"/>
      <c r="K98" s="857"/>
      <c r="L98" s="858"/>
      <c r="M98" s="857"/>
      <c r="N98" s="858"/>
      <c r="O98" s="857"/>
      <c r="P98" s="858"/>
      <c r="Q98" s="858"/>
      <c r="R98" s="852"/>
      <c r="S98" s="859"/>
      <c r="T98" s="860"/>
      <c r="U98" s="861"/>
      <c r="V98" s="1118"/>
      <c r="W98" s="1118"/>
      <c r="X98" s="862"/>
      <c r="Y98" s="863"/>
      <c r="Z98" s="864"/>
      <c r="AA98" s="865"/>
      <c r="AB98" s="866"/>
      <c r="AC98" s="865"/>
      <c r="AD98" s="867"/>
      <c r="AE98" s="867"/>
      <c r="AF98" s="867"/>
      <c r="AG98" s="867"/>
      <c r="AH98" s="867"/>
      <c r="AI98" s="867"/>
      <c r="AJ98" s="867"/>
      <c r="AK98" s="867"/>
      <c r="AL98" s="867"/>
      <c r="AM98" s="867"/>
      <c r="AN98" s="867"/>
      <c r="AO98" s="867"/>
      <c r="AP98" s="867"/>
      <c r="AQ98" s="867"/>
      <c r="AR98" s="867"/>
      <c r="AS98" s="861"/>
      <c r="AT98" s="867"/>
      <c r="AU98" s="867"/>
      <c r="AV98" s="867"/>
      <c r="AW98" s="867"/>
      <c r="AX98" s="867"/>
      <c r="AY98" s="867"/>
      <c r="AZ98" s="867"/>
      <c r="BA98" s="865"/>
      <c r="BB98" s="868"/>
      <c r="BC98" s="865"/>
      <c r="BD98" s="857"/>
      <c r="BE98" s="857"/>
      <c r="BF98" s="867"/>
      <c r="BG98" s="867"/>
      <c r="BH98" s="867"/>
      <c r="BI98" s="867"/>
      <c r="BJ98" s="867"/>
      <c r="BK98" s="867"/>
      <c r="BL98" s="867"/>
      <c r="BM98" s="867"/>
      <c r="BN98" s="869"/>
      <c r="BO98" s="867"/>
      <c r="BP98" s="867"/>
      <c r="BQ98" s="867"/>
      <c r="BR98" s="867"/>
      <c r="BS98" s="867"/>
      <c r="BT98" s="867"/>
      <c r="BU98" s="869"/>
      <c r="BV98" s="870"/>
      <c r="BW98" s="871"/>
      <c r="BX98" s="870"/>
      <c r="BY98" s="870"/>
      <c r="BZ98" s="870"/>
      <c r="CA98" s="872"/>
      <c r="CB98" s="872"/>
      <c r="CC98" s="872"/>
      <c r="CD98" s="872"/>
      <c r="CE98" s="872"/>
      <c r="CF98" s="872"/>
      <c r="CG98" s="872"/>
      <c r="CH98" s="870"/>
      <c r="CI98" s="28"/>
      <c r="CJ98" s="872"/>
      <c r="CK98" s="872"/>
      <c r="CL98" s="872"/>
      <c r="CM98" s="872"/>
      <c r="CN98" s="872"/>
      <c r="CO98" s="505"/>
      <c r="CP98" s="1085"/>
      <c r="CQ98" s="1086"/>
      <c r="CR98" s="1122"/>
      <c r="CS98" s="1087"/>
      <c r="CT98" s="516"/>
      <c r="CU98" s="516"/>
      <c r="CV98" s="516"/>
      <c r="CW98" s="516"/>
      <c r="CX98" s="516"/>
      <c r="CY98" s="516"/>
      <c r="CZ98" s="516"/>
      <c r="DA98" s="516"/>
      <c r="DB98" s="516"/>
      <c r="DC98" s="516"/>
      <c r="DD98" s="516"/>
      <c r="DE98" s="516"/>
      <c r="DF98" s="516"/>
      <c r="DG98" s="516"/>
      <c r="DH98" s="516"/>
      <c r="DI98" s="516"/>
      <c r="DJ98" s="516"/>
      <c r="DK98" s="516"/>
      <c r="DL98" s="516"/>
      <c r="DM98" s="516"/>
      <c r="DN98" s="516">
        <f t="shared" si="55"/>
        <v>0</v>
      </c>
      <c r="DO98" s="1085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36"/>
      <c r="EN98" s="36"/>
      <c r="EO98" s="36"/>
    </row>
    <row r="99" spans="1:323" s="801" customFormat="1" ht="15" x14ac:dyDescent="0.2">
      <c r="A99" s="215" t="s">
        <v>1213</v>
      </c>
      <c r="B99" s="874" t="s">
        <v>1210</v>
      </c>
      <c r="C99" s="216" t="s">
        <v>355</v>
      </c>
      <c r="D99" s="795">
        <v>10</v>
      </c>
      <c r="E99" s="796">
        <v>0.1</v>
      </c>
      <c r="F99" s="46">
        <v>43281</v>
      </c>
      <c r="G99" s="217">
        <v>120</v>
      </c>
      <c r="H99" s="221">
        <f>100/G99</f>
        <v>0.83333333333333337</v>
      </c>
      <c r="I99" s="222">
        <v>0</v>
      </c>
      <c r="J99" s="48">
        <f>(YEAR(F99)-YEAR(S99))*12+MONTH(F99)-MONTH(S99)</f>
        <v>9</v>
      </c>
      <c r="K99" s="222">
        <v>100</v>
      </c>
      <c r="L99" s="220">
        <v>120</v>
      </c>
      <c r="M99" s="222">
        <f>N99*H99</f>
        <v>92.5</v>
      </c>
      <c r="N99" s="48">
        <f>G99-J99</f>
        <v>111</v>
      </c>
      <c r="O99" s="222">
        <f>K99-M99</f>
        <v>7.5</v>
      </c>
      <c r="P99" s="220">
        <f>L99-N99</f>
        <v>9</v>
      </c>
      <c r="Q99" s="219">
        <v>46650</v>
      </c>
      <c r="R99" s="795" t="s">
        <v>1193</v>
      </c>
      <c r="S99" s="214">
        <v>42998</v>
      </c>
      <c r="T99" s="875">
        <v>22620</v>
      </c>
      <c r="U99" s="876"/>
      <c r="V99" s="876"/>
      <c r="W99" s="876"/>
      <c r="X99" s="876"/>
      <c r="Y99" s="877"/>
      <c r="AB99" s="878"/>
      <c r="AS99" s="879"/>
      <c r="BB99" s="878"/>
      <c r="BU99" s="875">
        <v>22620</v>
      </c>
      <c r="BV99" s="225">
        <v>126.408</v>
      </c>
      <c r="BW99" s="225">
        <v>127.91200000000001</v>
      </c>
      <c r="BX99" s="225">
        <f>BV99/BW99</f>
        <v>0.98824191631746827</v>
      </c>
      <c r="BY99" s="753"/>
      <c r="BZ99" s="227">
        <f>BU99/G99</f>
        <v>188.5</v>
      </c>
      <c r="CA99" s="805"/>
      <c r="CB99" s="805"/>
      <c r="CC99" s="805"/>
      <c r="CD99" s="805">
        <v>188.5</v>
      </c>
      <c r="CE99" s="805">
        <v>188.5</v>
      </c>
      <c r="CF99" s="805">
        <v>188.5</v>
      </c>
      <c r="CG99" s="805">
        <v>188.5</v>
      </c>
      <c r="CH99" s="880">
        <f>SUM(CA99:CG99)</f>
        <v>754</v>
      </c>
      <c r="CI99" s="803">
        <f>BU99-CH99</f>
        <v>21866</v>
      </c>
      <c r="CJ99" s="805">
        <v>188.5</v>
      </c>
      <c r="CK99" s="805">
        <v>188.5</v>
      </c>
      <c r="CL99" s="805">
        <v>188.5</v>
      </c>
      <c r="CM99" s="805">
        <v>188.5</v>
      </c>
      <c r="CN99" s="805">
        <v>188.5</v>
      </c>
      <c r="CO99" s="505">
        <f t="shared" si="53"/>
        <v>942.5</v>
      </c>
      <c r="CP99" s="1085">
        <f t="shared" ref="CP99" si="68">CI99-CO99</f>
        <v>20923.5</v>
      </c>
      <c r="CQ99" s="1086">
        <v>132.28200000000001</v>
      </c>
      <c r="CR99" s="1121">
        <v>127.91200000000001</v>
      </c>
      <c r="CS99" s="1087">
        <f>CQ99/CR99</f>
        <v>1.0341641128275689</v>
      </c>
      <c r="CT99" s="516">
        <f>CP99/L99</f>
        <v>174.36250000000001</v>
      </c>
      <c r="CU99" s="516">
        <f>CS99*CT99</f>
        <v>180.31944012289699</v>
      </c>
      <c r="CV99" s="516">
        <v>180.31944012289699</v>
      </c>
      <c r="CW99" s="516">
        <v>180.31944012289699</v>
      </c>
      <c r="CX99" s="516">
        <v>180.31944012289699</v>
      </c>
      <c r="CY99" s="516">
        <v>180.31944012289699</v>
      </c>
      <c r="CZ99" s="516">
        <v>180.31944012289699</v>
      </c>
      <c r="DA99" s="516">
        <v>180.31944012289699</v>
      </c>
      <c r="DB99" s="516">
        <v>180.31944012289699</v>
      </c>
      <c r="DC99" s="516">
        <v>180.31944012289699</v>
      </c>
      <c r="DD99" s="516">
        <v>180.31944012289699</v>
      </c>
      <c r="DE99" s="516">
        <v>180.31944012289699</v>
      </c>
      <c r="DF99" s="516">
        <v>180.31944012289699</v>
      </c>
      <c r="DG99" s="516">
        <v>180.31944012289699</v>
      </c>
      <c r="DH99" s="516">
        <v>180.31944012289699</v>
      </c>
      <c r="DI99" s="516">
        <v>180.31944012289699</v>
      </c>
      <c r="DJ99" s="516">
        <v>180.31944012289699</v>
      </c>
      <c r="DK99" s="516">
        <v>180.31944012289699</v>
      </c>
      <c r="DL99" s="516">
        <v>180.31944012289699</v>
      </c>
      <c r="DM99" s="516">
        <v>180.31944012289699</v>
      </c>
      <c r="DN99" s="516">
        <f t="shared" si="55"/>
        <v>3245.7499222121464</v>
      </c>
      <c r="DO99" s="1085">
        <f t="shared" si="52"/>
        <v>17677.750077787852</v>
      </c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2"/>
      <c r="EQ99" s="32"/>
      <c r="ER99" s="32"/>
      <c r="ES99" s="32"/>
      <c r="ET99" s="32"/>
      <c r="EU99" s="32"/>
      <c r="EV99" s="32"/>
      <c r="EW99" s="32"/>
      <c r="EX99" s="32"/>
      <c r="EY99" s="32"/>
      <c r="EZ99" s="32"/>
      <c r="FA99" s="32"/>
      <c r="FB99" s="32"/>
      <c r="FC99" s="32"/>
      <c r="FD99" s="32"/>
      <c r="FE99" s="32"/>
      <c r="FF99" s="32"/>
      <c r="FG99" s="32"/>
      <c r="FH99" s="32"/>
      <c r="FI99" s="32"/>
      <c r="FJ99" s="32"/>
      <c r="FK99" s="32"/>
      <c r="FL99" s="32"/>
      <c r="FM99" s="32"/>
      <c r="FN99" s="32"/>
      <c r="FO99" s="32"/>
      <c r="FP99" s="32"/>
      <c r="FQ99" s="32"/>
      <c r="FR99" s="32"/>
      <c r="FS99" s="32"/>
      <c r="FT99" s="32"/>
      <c r="FU99" s="32"/>
      <c r="FV99" s="32"/>
      <c r="FW99" s="32"/>
      <c r="FX99" s="32"/>
      <c r="FY99" s="32"/>
      <c r="FZ99" s="32"/>
      <c r="GA99" s="32"/>
      <c r="GB99" s="32"/>
      <c r="GC99" s="32"/>
      <c r="GD99" s="32"/>
      <c r="GE99" s="32"/>
      <c r="GF99" s="32"/>
      <c r="GG99" s="32"/>
      <c r="GH99" s="32"/>
      <c r="GI99" s="32"/>
      <c r="GJ99" s="32"/>
      <c r="GK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  <c r="JD99" s="32"/>
      <c r="JE99" s="32"/>
      <c r="JF99" s="32"/>
      <c r="JG99" s="32"/>
      <c r="JH99" s="32"/>
      <c r="JI99" s="32"/>
      <c r="JJ99" s="32"/>
      <c r="JK99" s="32"/>
      <c r="JL99" s="32"/>
      <c r="JM99" s="32"/>
      <c r="JN99" s="32"/>
      <c r="JO99" s="32"/>
      <c r="JP99" s="32"/>
      <c r="JQ99" s="32"/>
      <c r="JR99" s="32"/>
      <c r="JS99" s="32"/>
      <c r="JT99" s="32"/>
      <c r="JU99" s="32"/>
      <c r="JV99" s="32"/>
      <c r="JW99" s="32"/>
      <c r="JX99" s="32"/>
      <c r="JY99" s="32"/>
      <c r="JZ99" s="32"/>
      <c r="KA99" s="32"/>
      <c r="KB99" s="32"/>
      <c r="KC99" s="32"/>
      <c r="KD99" s="32"/>
      <c r="KE99" s="32"/>
      <c r="KF99" s="32"/>
      <c r="KG99" s="32"/>
      <c r="KH99" s="32"/>
      <c r="KI99" s="32"/>
      <c r="KJ99" s="32"/>
      <c r="KK99" s="32"/>
      <c r="KL99" s="32"/>
      <c r="KM99" s="32"/>
      <c r="KN99" s="32"/>
      <c r="KO99" s="32"/>
      <c r="KP99" s="32"/>
      <c r="KQ99" s="32"/>
      <c r="KR99" s="32"/>
      <c r="KS99" s="32"/>
      <c r="KT99" s="32"/>
      <c r="KU99" s="32"/>
      <c r="KV99" s="32"/>
      <c r="KW99" s="32"/>
      <c r="KX99" s="32"/>
      <c r="KY99" s="32"/>
      <c r="KZ99" s="32"/>
      <c r="LA99" s="32"/>
      <c r="LB99" s="32"/>
      <c r="LC99" s="32"/>
      <c r="LD99" s="32"/>
      <c r="LE99" s="32"/>
      <c r="LF99" s="32"/>
      <c r="LG99" s="32"/>
      <c r="LH99" s="32"/>
      <c r="LI99" s="32"/>
      <c r="LJ99" s="32"/>
      <c r="LK99" s="32"/>
    </row>
    <row r="100" spans="1:323" s="453" customFormat="1" ht="15" x14ac:dyDescent="0.2">
      <c r="A100" s="120" t="s">
        <v>71</v>
      </c>
      <c r="B100" s="888"/>
      <c r="C100" s="889"/>
      <c r="D100" s="890"/>
      <c r="E100" s="891"/>
      <c r="F100" s="873"/>
      <c r="G100" s="892"/>
      <c r="H100" s="893"/>
      <c r="I100" s="894"/>
      <c r="J100" s="895"/>
      <c r="K100" s="894"/>
      <c r="L100" s="895"/>
      <c r="M100" s="894"/>
      <c r="N100" s="895"/>
      <c r="O100" s="894"/>
      <c r="P100" s="895"/>
      <c r="Q100" s="873"/>
      <c r="R100" s="890"/>
      <c r="S100" s="896"/>
      <c r="T100" s="897"/>
      <c r="U100" s="898"/>
      <c r="V100" s="898"/>
      <c r="W100" s="898"/>
      <c r="X100" s="898"/>
      <c r="Y100" s="899"/>
      <c r="Z100" s="900"/>
      <c r="AA100" s="900"/>
      <c r="AB100" s="901"/>
      <c r="AC100" s="900"/>
      <c r="AD100" s="900"/>
      <c r="AE100" s="900"/>
      <c r="AF100" s="900"/>
      <c r="AG100" s="900"/>
      <c r="AH100" s="900"/>
      <c r="AI100" s="900"/>
      <c r="AJ100" s="900"/>
      <c r="AK100" s="900"/>
      <c r="AL100" s="900"/>
      <c r="AM100" s="900"/>
      <c r="AN100" s="900"/>
      <c r="AO100" s="900"/>
      <c r="AP100" s="900"/>
      <c r="AQ100" s="900"/>
      <c r="AR100" s="900"/>
      <c r="AS100" s="902"/>
      <c r="AT100" s="900"/>
      <c r="AU100" s="900"/>
      <c r="AV100" s="900"/>
      <c r="AW100" s="900"/>
      <c r="AX100" s="900"/>
      <c r="AY100" s="900"/>
      <c r="AZ100" s="900"/>
      <c r="BA100" s="900"/>
      <c r="BB100" s="901"/>
      <c r="BC100" s="900"/>
      <c r="BD100" s="900"/>
      <c r="BE100" s="900"/>
      <c r="BF100" s="900"/>
      <c r="BG100" s="900"/>
      <c r="BH100" s="900"/>
      <c r="BI100" s="900"/>
      <c r="BJ100" s="900"/>
      <c r="BK100" s="900"/>
      <c r="BL100" s="900"/>
      <c r="BM100" s="900"/>
      <c r="BN100" s="900"/>
      <c r="BO100" s="900"/>
      <c r="BP100" s="900"/>
      <c r="BQ100" s="900"/>
      <c r="BR100" s="900"/>
      <c r="BS100" s="900"/>
      <c r="BT100" s="900"/>
      <c r="BU100" s="897"/>
      <c r="BV100" s="903"/>
      <c r="BW100" s="903"/>
      <c r="BX100" s="903"/>
      <c r="BY100" s="904"/>
      <c r="BZ100" s="905"/>
      <c r="CA100" s="906"/>
      <c r="CB100" s="906"/>
      <c r="CC100" s="906"/>
      <c r="CD100" s="906"/>
      <c r="CE100" s="906"/>
      <c r="CF100" s="906"/>
      <c r="CG100" s="906"/>
      <c r="CH100" s="907"/>
      <c r="CI100" s="908"/>
      <c r="CJ100" s="906"/>
      <c r="CK100" s="906"/>
      <c r="CL100" s="906"/>
      <c r="CM100" s="906"/>
      <c r="CN100" s="906"/>
      <c r="CO100" s="505"/>
      <c r="CP100" s="1085"/>
      <c r="CQ100" s="520"/>
      <c r="CR100" s="1123"/>
      <c r="CS100" s="1087"/>
      <c r="CT100" s="516"/>
      <c r="CU100" s="516"/>
      <c r="CV100" s="516"/>
      <c r="CW100" s="516"/>
      <c r="CX100" s="516"/>
      <c r="CY100" s="516"/>
      <c r="CZ100" s="516"/>
      <c r="DA100" s="516"/>
      <c r="DB100" s="516"/>
      <c r="DC100" s="516"/>
      <c r="DD100" s="516"/>
      <c r="DE100" s="516"/>
      <c r="DF100" s="516"/>
      <c r="DG100" s="516"/>
      <c r="DH100" s="516"/>
      <c r="DI100" s="516"/>
      <c r="DJ100" s="516"/>
      <c r="DK100" s="516"/>
      <c r="DL100" s="516"/>
      <c r="DM100" s="516"/>
      <c r="DN100" s="516">
        <f t="shared" si="55"/>
        <v>0</v>
      </c>
      <c r="DO100" s="1085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  <c r="FG100" s="36"/>
      <c r="FH100" s="36"/>
      <c r="FI100" s="36"/>
      <c r="FJ100" s="36"/>
      <c r="FK100" s="36"/>
      <c r="FL100" s="36"/>
      <c r="FM100" s="36"/>
      <c r="FN100" s="36"/>
      <c r="FO100" s="36"/>
      <c r="FP100" s="36"/>
      <c r="FQ100" s="36"/>
      <c r="FR100" s="36"/>
      <c r="FS100" s="36"/>
      <c r="FT100" s="36"/>
      <c r="FU100" s="36"/>
      <c r="FV100" s="36"/>
      <c r="FW100" s="36"/>
      <c r="FX100" s="36"/>
      <c r="FY100" s="36"/>
      <c r="FZ100" s="36"/>
      <c r="GA100" s="36"/>
      <c r="GB100" s="36"/>
      <c r="GC100" s="36"/>
      <c r="GD100" s="36"/>
      <c r="GE100" s="36"/>
      <c r="GF100" s="36"/>
      <c r="GG100" s="36"/>
      <c r="GH100" s="36"/>
      <c r="GI100" s="36"/>
      <c r="GJ100" s="36"/>
      <c r="GK100" s="36"/>
      <c r="GL100" s="36"/>
      <c r="GM100" s="36"/>
      <c r="GN100" s="36"/>
      <c r="GO100" s="36"/>
      <c r="GP100" s="36"/>
      <c r="GQ100" s="36"/>
      <c r="GR100" s="36"/>
      <c r="GS100" s="36"/>
      <c r="GT100" s="36"/>
      <c r="GU100" s="36"/>
      <c r="GV100" s="36"/>
      <c r="GW100" s="36"/>
      <c r="GX100" s="36"/>
      <c r="GY100" s="36"/>
      <c r="GZ100" s="36"/>
      <c r="HA100" s="36"/>
      <c r="HB100" s="36"/>
      <c r="HC100" s="36"/>
      <c r="HD100" s="36"/>
      <c r="HE100" s="36"/>
      <c r="HF100" s="36"/>
      <c r="HG100" s="36"/>
      <c r="HH100" s="36"/>
      <c r="HI100" s="36"/>
      <c r="HJ100" s="36"/>
      <c r="HK100" s="36"/>
      <c r="HL100" s="36"/>
      <c r="HM100" s="36"/>
      <c r="HN100" s="36"/>
      <c r="HO100" s="36"/>
      <c r="HP100" s="36"/>
      <c r="HQ100" s="36"/>
      <c r="HR100" s="36"/>
      <c r="HS100" s="36"/>
      <c r="HT100" s="36"/>
      <c r="HU100" s="36"/>
      <c r="HV100" s="36"/>
      <c r="HW100" s="36"/>
      <c r="HX100" s="36"/>
      <c r="HY100" s="36"/>
      <c r="HZ100" s="36"/>
      <c r="IA100" s="36"/>
      <c r="IB100" s="36"/>
      <c r="IC100" s="36"/>
      <c r="ID100" s="36"/>
      <c r="IE100" s="36"/>
      <c r="IF100" s="36"/>
      <c r="IG100" s="36"/>
      <c r="IH100" s="36"/>
      <c r="II100" s="36"/>
      <c r="IJ100" s="36"/>
      <c r="IK100" s="36"/>
      <c r="IL100" s="36"/>
      <c r="IM100" s="36"/>
      <c r="IN100" s="36"/>
      <c r="IO100" s="36"/>
      <c r="IP100" s="36"/>
      <c r="IQ100" s="36"/>
      <c r="IR100" s="36"/>
      <c r="IS100" s="36"/>
      <c r="IT100" s="36"/>
      <c r="IU100" s="36"/>
      <c r="IV100" s="36"/>
      <c r="IW100" s="36"/>
      <c r="IX100" s="36"/>
      <c r="IY100" s="36"/>
      <c r="IZ100" s="36"/>
      <c r="JA100" s="36"/>
      <c r="JB100" s="36"/>
      <c r="JC100" s="36"/>
      <c r="JD100" s="36"/>
      <c r="JE100" s="36"/>
      <c r="JF100" s="36"/>
      <c r="JG100" s="36"/>
      <c r="JH100" s="36"/>
      <c r="JI100" s="36"/>
      <c r="JJ100" s="36"/>
      <c r="JK100" s="36"/>
      <c r="JL100" s="36"/>
      <c r="JM100" s="36"/>
      <c r="JN100" s="36"/>
      <c r="JO100" s="36"/>
      <c r="JP100" s="36"/>
      <c r="JQ100" s="36"/>
      <c r="JR100" s="36"/>
      <c r="JS100" s="36"/>
      <c r="JT100" s="36"/>
      <c r="JU100" s="36"/>
      <c r="JV100" s="36"/>
      <c r="JW100" s="36"/>
      <c r="JX100" s="36"/>
      <c r="JY100" s="36"/>
      <c r="JZ100" s="36"/>
      <c r="KA100" s="36"/>
      <c r="KB100" s="36"/>
      <c r="KC100" s="36"/>
      <c r="KD100" s="36"/>
      <c r="KE100" s="36"/>
      <c r="KF100" s="36"/>
      <c r="KG100" s="36"/>
      <c r="KH100" s="36"/>
      <c r="KI100" s="36"/>
      <c r="KJ100" s="36"/>
      <c r="KK100" s="36"/>
      <c r="KL100" s="36"/>
      <c r="KM100" s="36"/>
      <c r="KN100" s="36"/>
      <c r="KO100" s="36"/>
      <c r="KP100" s="36"/>
      <c r="KQ100" s="36"/>
      <c r="KR100" s="36"/>
      <c r="KS100" s="36"/>
      <c r="KT100" s="36"/>
      <c r="KU100" s="36"/>
      <c r="KV100" s="36"/>
      <c r="KW100" s="36"/>
      <c r="KX100" s="36"/>
      <c r="KY100" s="36"/>
      <c r="KZ100" s="36"/>
      <c r="LA100" s="36"/>
      <c r="LB100" s="36"/>
      <c r="LC100" s="36"/>
      <c r="LD100" s="36"/>
      <c r="LE100" s="36"/>
      <c r="LF100" s="36"/>
      <c r="LG100" s="36"/>
      <c r="LH100" s="36"/>
      <c r="LI100" s="36"/>
      <c r="LJ100" s="36"/>
      <c r="LK100" s="36"/>
    </row>
    <row r="101" spans="1:323" s="453" customFormat="1" ht="15" x14ac:dyDescent="0.2">
      <c r="A101" s="849" t="s">
        <v>1211</v>
      </c>
      <c r="B101" s="888"/>
      <c r="C101" s="889"/>
      <c r="D101" s="890"/>
      <c r="E101" s="891"/>
      <c r="F101" s="873"/>
      <c r="G101" s="892"/>
      <c r="H101" s="893"/>
      <c r="I101" s="894"/>
      <c r="J101" s="895"/>
      <c r="K101" s="894"/>
      <c r="L101" s="895"/>
      <c r="M101" s="894"/>
      <c r="N101" s="895"/>
      <c r="O101" s="894"/>
      <c r="P101" s="895"/>
      <c r="Q101" s="873"/>
      <c r="R101" s="890"/>
      <c r="S101" s="896"/>
      <c r="T101" s="897"/>
      <c r="U101" s="898"/>
      <c r="V101" s="898"/>
      <c r="W101" s="898"/>
      <c r="X101" s="898"/>
      <c r="Y101" s="899"/>
      <c r="Z101" s="900"/>
      <c r="AA101" s="900"/>
      <c r="AB101" s="901"/>
      <c r="AC101" s="900"/>
      <c r="AD101" s="900"/>
      <c r="AE101" s="900"/>
      <c r="AF101" s="900"/>
      <c r="AG101" s="900"/>
      <c r="AH101" s="900"/>
      <c r="AI101" s="900"/>
      <c r="AJ101" s="900"/>
      <c r="AK101" s="900"/>
      <c r="AL101" s="900"/>
      <c r="AM101" s="900"/>
      <c r="AN101" s="900"/>
      <c r="AO101" s="900"/>
      <c r="AP101" s="900"/>
      <c r="AQ101" s="900"/>
      <c r="AR101" s="900"/>
      <c r="AS101" s="902"/>
      <c r="AT101" s="900"/>
      <c r="AU101" s="900"/>
      <c r="AV101" s="900"/>
      <c r="AW101" s="900"/>
      <c r="AX101" s="900"/>
      <c r="AY101" s="900"/>
      <c r="AZ101" s="900"/>
      <c r="BA101" s="900"/>
      <c r="BB101" s="901"/>
      <c r="BC101" s="900"/>
      <c r="BD101" s="900"/>
      <c r="BE101" s="900"/>
      <c r="BF101" s="900"/>
      <c r="BG101" s="900"/>
      <c r="BH101" s="900"/>
      <c r="BI101" s="900"/>
      <c r="BJ101" s="900"/>
      <c r="BK101" s="900"/>
      <c r="BL101" s="900"/>
      <c r="BM101" s="900"/>
      <c r="BN101" s="900"/>
      <c r="BO101" s="900"/>
      <c r="BP101" s="900"/>
      <c r="BQ101" s="900"/>
      <c r="BR101" s="900"/>
      <c r="BS101" s="900"/>
      <c r="BT101" s="900"/>
      <c r="BU101" s="897"/>
      <c r="BV101" s="903"/>
      <c r="BW101" s="903"/>
      <c r="BX101" s="903"/>
      <c r="BY101" s="904"/>
      <c r="BZ101" s="905"/>
      <c r="CA101" s="906"/>
      <c r="CB101" s="906"/>
      <c r="CC101" s="906"/>
      <c r="CD101" s="906"/>
      <c r="CE101" s="906"/>
      <c r="CF101" s="906"/>
      <c r="CG101" s="906"/>
      <c r="CH101" s="907"/>
      <c r="CI101" s="908"/>
      <c r="CJ101" s="906"/>
      <c r="CK101" s="906"/>
      <c r="CL101" s="906"/>
      <c r="CM101" s="906"/>
      <c r="CN101" s="906"/>
      <c r="CO101" s="505"/>
      <c r="CP101" s="1085"/>
      <c r="CQ101" s="514"/>
      <c r="CR101" s="1123"/>
      <c r="CS101" s="1087"/>
      <c r="CT101" s="516"/>
      <c r="CU101" s="516"/>
      <c r="CV101" s="516"/>
      <c r="CW101" s="516"/>
      <c r="CX101" s="516"/>
      <c r="CY101" s="516"/>
      <c r="CZ101" s="516"/>
      <c r="DA101" s="516"/>
      <c r="DB101" s="516"/>
      <c r="DC101" s="516"/>
      <c r="DD101" s="516"/>
      <c r="DE101" s="516"/>
      <c r="DF101" s="516"/>
      <c r="DG101" s="516"/>
      <c r="DH101" s="516"/>
      <c r="DI101" s="516"/>
      <c r="DJ101" s="516"/>
      <c r="DK101" s="516"/>
      <c r="DL101" s="516"/>
      <c r="DM101" s="516"/>
      <c r="DN101" s="516">
        <f t="shared" si="55"/>
        <v>0</v>
      </c>
      <c r="DO101" s="1085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  <c r="FG101" s="36"/>
      <c r="FH101" s="36"/>
      <c r="FI101" s="36"/>
      <c r="FJ101" s="36"/>
      <c r="FK101" s="36"/>
      <c r="FL101" s="36"/>
      <c r="FM101" s="36"/>
      <c r="FN101" s="36"/>
      <c r="FO101" s="36"/>
      <c r="FP101" s="36"/>
      <c r="FQ101" s="36"/>
      <c r="FR101" s="36"/>
      <c r="FS101" s="36"/>
      <c r="FT101" s="36"/>
      <c r="FU101" s="36"/>
      <c r="FV101" s="36"/>
      <c r="FW101" s="36"/>
      <c r="FX101" s="36"/>
      <c r="FY101" s="36"/>
      <c r="FZ101" s="36"/>
      <c r="GA101" s="36"/>
      <c r="GB101" s="36"/>
      <c r="GC101" s="36"/>
      <c r="GD101" s="36"/>
      <c r="GE101" s="36"/>
      <c r="GF101" s="36"/>
      <c r="GG101" s="36"/>
      <c r="GH101" s="36"/>
      <c r="GI101" s="36"/>
      <c r="GJ101" s="36"/>
      <c r="GK101" s="36"/>
      <c r="GL101" s="36"/>
      <c r="GM101" s="36"/>
      <c r="GN101" s="36"/>
      <c r="GO101" s="36"/>
      <c r="GP101" s="36"/>
      <c r="GQ101" s="36"/>
      <c r="GR101" s="36"/>
      <c r="GS101" s="36"/>
      <c r="GT101" s="36"/>
      <c r="GU101" s="36"/>
      <c r="GV101" s="36"/>
      <c r="GW101" s="36"/>
      <c r="GX101" s="36"/>
      <c r="GY101" s="36"/>
      <c r="GZ101" s="36"/>
      <c r="HA101" s="36"/>
      <c r="HB101" s="36"/>
      <c r="HC101" s="36"/>
      <c r="HD101" s="36"/>
      <c r="HE101" s="36"/>
      <c r="HF101" s="36"/>
      <c r="HG101" s="36"/>
      <c r="HH101" s="36"/>
      <c r="HI101" s="36"/>
      <c r="HJ101" s="36"/>
      <c r="HK101" s="36"/>
      <c r="HL101" s="36"/>
      <c r="HM101" s="36"/>
      <c r="HN101" s="36"/>
      <c r="HO101" s="36"/>
      <c r="HP101" s="36"/>
      <c r="HQ101" s="36"/>
      <c r="HR101" s="36"/>
      <c r="HS101" s="36"/>
      <c r="HT101" s="36"/>
      <c r="HU101" s="36"/>
      <c r="HV101" s="36"/>
      <c r="HW101" s="36"/>
      <c r="HX101" s="36"/>
      <c r="HY101" s="36"/>
      <c r="HZ101" s="36"/>
      <c r="IA101" s="36"/>
      <c r="IB101" s="36"/>
      <c r="IC101" s="36"/>
      <c r="ID101" s="36"/>
      <c r="IE101" s="36"/>
      <c r="IF101" s="36"/>
      <c r="IG101" s="36"/>
      <c r="IH101" s="36"/>
      <c r="II101" s="36"/>
      <c r="IJ101" s="36"/>
      <c r="IK101" s="36"/>
      <c r="IL101" s="36"/>
      <c r="IM101" s="36"/>
      <c r="IN101" s="36"/>
      <c r="IO101" s="36"/>
      <c r="IP101" s="36"/>
      <c r="IQ101" s="36"/>
      <c r="IR101" s="36"/>
      <c r="IS101" s="36"/>
      <c r="IT101" s="36"/>
      <c r="IU101" s="36"/>
      <c r="IV101" s="36"/>
      <c r="IW101" s="36"/>
      <c r="IX101" s="36"/>
      <c r="IY101" s="36"/>
      <c r="IZ101" s="36"/>
      <c r="JA101" s="36"/>
      <c r="JB101" s="36"/>
      <c r="JC101" s="36"/>
      <c r="JD101" s="36"/>
      <c r="JE101" s="36"/>
      <c r="JF101" s="36"/>
      <c r="JG101" s="36"/>
      <c r="JH101" s="36"/>
      <c r="JI101" s="36"/>
      <c r="JJ101" s="36"/>
      <c r="JK101" s="36"/>
      <c r="JL101" s="36"/>
      <c r="JM101" s="36"/>
      <c r="JN101" s="36"/>
      <c r="JO101" s="36"/>
      <c r="JP101" s="36"/>
      <c r="JQ101" s="36"/>
      <c r="JR101" s="36"/>
      <c r="JS101" s="36"/>
      <c r="JT101" s="36"/>
      <c r="JU101" s="36"/>
      <c r="JV101" s="36"/>
      <c r="JW101" s="36"/>
      <c r="JX101" s="36"/>
      <c r="JY101" s="36"/>
      <c r="JZ101" s="36"/>
      <c r="KA101" s="36"/>
      <c r="KB101" s="36"/>
      <c r="KC101" s="36"/>
      <c r="KD101" s="36"/>
      <c r="KE101" s="36"/>
      <c r="KF101" s="36"/>
      <c r="KG101" s="36"/>
      <c r="KH101" s="36"/>
      <c r="KI101" s="36"/>
      <c r="KJ101" s="36"/>
      <c r="KK101" s="36"/>
      <c r="KL101" s="36"/>
      <c r="KM101" s="36"/>
      <c r="KN101" s="36"/>
      <c r="KO101" s="36"/>
      <c r="KP101" s="36"/>
      <c r="KQ101" s="36"/>
      <c r="KR101" s="36"/>
      <c r="KS101" s="36"/>
      <c r="KT101" s="36"/>
      <c r="KU101" s="36"/>
      <c r="KV101" s="36"/>
      <c r="KW101" s="36"/>
      <c r="KX101" s="36"/>
      <c r="KY101" s="36"/>
      <c r="KZ101" s="36"/>
      <c r="LA101" s="36"/>
      <c r="LB101" s="36"/>
      <c r="LC101" s="36"/>
      <c r="LD101" s="36"/>
      <c r="LE101" s="36"/>
      <c r="LF101" s="36"/>
      <c r="LG101" s="36"/>
      <c r="LH101" s="36"/>
      <c r="LI101" s="36"/>
      <c r="LJ101" s="36"/>
      <c r="LK101" s="36"/>
    </row>
    <row r="102" spans="1:323" s="213" customFormat="1" ht="15" x14ac:dyDescent="0.2">
      <c r="A102" s="881" t="s">
        <v>1212</v>
      </c>
      <c r="B102" s="881" t="s">
        <v>1214</v>
      </c>
      <c r="C102" s="216" t="s">
        <v>355</v>
      </c>
      <c r="D102" s="217">
        <v>1</v>
      </c>
      <c r="E102" s="840">
        <v>1</v>
      </c>
      <c r="F102" s="46">
        <v>43281</v>
      </c>
      <c r="G102" s="795">
        <v>12</v>
      </c>
      <c r="H102" s="221">
        <f>100/G102</f>
        <v>8.3333333333333339</v>
      </c>
      <c r="I102" s="222">
        <f>H102*J102</f>
        <v>75</v>
      </c>
      <c r="J102" s="48">
        <f>(YEAR(F102)-YEAR(S102))*12+MONTH(F102)-MONTH(S102)</f>
        <v>9</v>
      </c>
      <c r="K102" s="222">
        <v>100</v>
      </c>
      <c r="L102" s="883">
        <v>12</v>
      </c>
      <c r="M102" s="222">
        <f>N102*H102</f>
        <v>25</v>
      </c>
      <c r="N102" s="48">
        <f>G102-J102</f>
        <v>3</v>
      </c>
      <c r="O102" s="222">
        <f>K102-M102</f>
        <v>75</v>
      </c>
      <c r="P102" s="220">
        <f>L102-N102</f>
        <v>9</v>
      </c>
      <c r="Q102" s="219">
        <v>43363</v>
      </c>
      <c r="R102" s="795" t="s">
        <v>1193</v>
      </c>
      <c r="S102" s="214">
        <v>42998</v>
      </c>
      <c r="T102" s="909">
        <v>13000</v>
      </c>
      <c r="U102" s="884"/>
      <c r="V102" s="885"/>
      <c r="W102" s="885"/>
      <c r="X102" s="884"/>
      <c r="Y102" s="910"/>
      <c r="Z102" s="884"/>
      <c r="AA102" s="910"/>
      <c r="AB102" s="885"/>
      <c r="AC102" s="885"/>
      <c r="AD102" s="885"/>
      <c r="AE102" s="885"/>
      <c r="AF102" s="885"/>
      <c r="AG102" s="885"/>
      <c r="AH102" s="885"/>
      <c r="AI102" s="885"/>
      <c r="AJ102" s="885"/>
      <c r="AK102" s="911"/>
      <c r="AL102" s="911"/>
      <c r="AM102" s="911"/>
      <c r="AN102" s="911"/>
      <c r="AO102" s="911"/>
      <c r="AP102" s="911"/>
      <c r="AQ102" s="912"/>
      <c r="AR102" s="912"/>
      <c r="AS102" s="912"/>
      <c r="AT102" s="885"/>
      <c r="AU102" s="885"/>
      <c r="AV102" s="885"/>
      <c r="AW102" s="885"/>
      <c r="AX102" s="885"/>
      <c r="AY102" s="885"/>
      <c r="AZ102" s="885"/>
      <c r="BA102" s="913"/>
      <c r="BB102" s="910"/>
      <c r="BC102" s="884"/>
      <c r="BD102" s="882"/>
      <c r="BE102" s="882"/>
      <c r="BF102" s="885"/>
      <c r="BG102" s="885"/>
      <c r="BH102" s="885"/>
      <c r="BI102" s="885"/>
      <c r="BJ102" s="885"/>
      <c r="BK102" s="885"/>
      <c r="BL102" s="885"/>
      <c r="BM102" s="885"/>
      <c r="BN102" s="914"/>
      <c r="BO102" s="885"/>
      <c r="BP102" s="885"/>
      <c r="BQ102" s="885"/>
      <c r="BR102" s="885"/>
      <c r="BS102" s="885"/>
      <c r="BT102" s="885"/>
      <c r="BU102" s="909">
        <v>13000</v>
      </c>
      <c r="BV102" s="225">
        <v>126.408</v>
      </c>
      <c r="BW102" s="225">
        <v>127.91200000000001</v>
      </c>
      <c r="BX102" s="225">
        <f>BV102/BW102</f>
        <v>0.98824191631746827</v>
      </c>
      <c r="BY102" s="887"/>
      <c r="BZ102" s="227">
        <f>BU102/G102</f>
        <v>1083.3333333333333</v>
      </c>
      <c r="CA102" s="886"/>
      <c r="CB102" s="886"/>
      <c r="CC102" s="886"/>
      <c r="CD102" s="915">
        <v>1083.33</v>
      </c>
      <c r="CE102" s="915">
        <v>1083.33</v>
      </c>
      <c r="CF102" s="915">
        <v>1083.33</v>
      </c>
      <c r="CG102" s="915">
        <v>1083.33</v>
      </c>
      <c r="CH102" s="880">
        <f>SUM(CA102:CG102)</f>
        <v>4333.32</v>
      </c>
      <c r="CI102" s="803">
        <f>BU102-CH102</f>
        <v>8666.68</v>
      </c>
      <c r="CJ102" s="915">
        <v>1083.33</v>
      </c>
      <c r="CK102" s="915">
        <v>1083.33</v>
      </c>
      <c r="CL102" s="915">
        <v>1083.33</v>
      </c>
      <c r="CM102" s="915">
        <v>1083.33</v>
      </c>
      <c r="CN102" s="915">
        <v>1083.33</v>
      </c>
      <c r="CO102" s="505">
        <f t="shared" si="53"/>
        <v>5416.65</v>
      </c>
      <c r="CP102" s="1085">
        <f t="shared" ref="CP102" si="69">CI102-CO102</f>
        <v>3250.0300000000007</v>
      </c>
      <c r="CQ102" s="1086">
        <v>132.28200000000001</v>
      </c>
      <c r="CR102" s="1121">
        <v>127.91200000000001</v>
      </c>
      <c r="CS102" s="1087">
        <f>CQ102/CR102</f>
        <v>1.0341641128275689</v>
      </c>
      <c r="CT102" s="516">
        <f>CP102/L102</f>
        <v>270.83583333333337</v>
      </c>
      <c r="CU102" s="516">
        <f>CS102*CT102</f>
        <v>280.08869930108204</v>
      </c>
      <c r="CV102" s="516">
        <v>280.08869930108204</v>
      </c>
      <c r="CW102" s="516">
        <v>280.08869930108204</v>
      </c>
      <c r="CX102" s="516">
        <v>280.08869930108204</v>
      </c>
      <c r="CY102" s="516">
        <v>280.08869930108204</v>
      </c>
      <c r="CZ102" s="516">
        <v>280.08869930108204</v>
      </c>
      <c r="DA102" s="516">
        <v>280.08869930108204</v>
      </c>
      <c r="DB102" s="516">
        <v>280.08869930108204</v>
      </c>
      <c r="DC102" s="516">
        <v>280.08869930108204</v>
      </c>
      <c r="DD102" s="516">
        <v>280.08869930108204</v>
      </c>
      <c r="DE102" s="516">
        <v>280.08869930108204</v>
      </c>
      <c r="DF102" s="516">
        <v>280.08869930108204</v>
      </c>
      <c r="DG102" s="516">
        <v>168.05</v>
      </c>
      <c r="DH102" s="516">
        <v>0</v>
      </c>
      <c r="DI102" s="516">
        <v>0</v>
      </c>
      <c r="DJ102" s="516">
        <v>0</v>
      </c>
      <c r="DK102" s="516">
        <v>0</v>
      </c>
      <c r="DL102" s="516">
        <v>0</v>
      </c>
      <c r="DM102" s="516">
        <v>0</v>
      </c>
      <c r="DN102" s="516">
        <f t="shared" si="55"/>
        <v>3249.0256923119032</v>
      </c>
      <c r="DO102" s="1085">
        <f t="shared" si="52"/>
        <v>1.0043076880974695</v>
      </c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  <c r="IW102" s="16"/>
      <c r="IX102" s="16"/>
      <c r="IY102" s="16"/>
      <c r="IZ102" s="16"/>
      <c r="JA102" s="16"/>
      <c r="JB102" s="16"/>
      <c r="JC102" s="16"/>
      <c r="JD102" s="16"/>
      <c r="JE102" s="16"/>
      <c r="JF102" s="16"/>
      <c r="JG102" s="16"/>
      <c r="JH102" s="16"/>
      <c r="JI102" s="16"/>
      <c r="JJ102" s="16"/>
      <c r="JK102" s="16"/>
      <c r="JL102" s="16"/>
      <c r="JM102" s="16"/>
      <c r="JN102" s="16"/>
      <c r="JO102" s="16"/>
      <c r="JP102" s="16"/>
      <c r="JQ102" s="16"/>
      <c r="JR102" s="16"/>
      <c r="JS102" s="16"/>
      <c r="JT102" s="16"/>
      <c r="JU102" s="16"/>
      <c r="JV102" s="16"/>
      <c r="JW102" s="16"/>
      <c r="JX102" s="16"/>
      <c r="JY102" s="16"/>
      <c r="JZ102" s="16"/>
      <c r="KA102" s="16"/>
      <c r="KB102" s="16"/>
      <c r="KC102" s="16"/>
      <c r="KD102" s="16"/>
      <c r="KE102" s="16"/>
      <c r="KF102" s="16"/>
      <c r="KG102" s="16"/>
      <c r="KH102" s="16"/>
      <c r="KI102" s="16"/>
      <c r="KJ102" s="16"/>
      <c r="KK102" s="16"/>
      <c r="KL102" s="16"/>
      <c r="KM102" s="16"/>
      <c r="KN102" s="16"/>
      <c r="KO102" s="16"/>
      <c r="KP102" s="16"/>
      <c r="KQ102" s="16"/>
      <c r="KR102" s="16"/>
      <c r="KS102" s="16"/>
      <c r="KT102" s="16"/>
      <c r="KU102" s="16"/>
      <c r="KV102" s="16"/>
      <c r="KW102" s="16"/>
      <c r="KX102" s="16"/>
      <c r="KY102" s="16"/>
      <c r="KZ102" s="16"/>
      <c r="LA102" s="16"/>
      <c r="LB102" s="16"/>
      <c r="LC102" s="16"/>
      <c r="LD102" s="16"/>
      <c r="LE102" s="16"/>
      <c r="LF102" s="16"/>
      <c r="LG102" s="16"/>
      <c r="LH102" s="16"/>
      <c r="LI102" s="16"/>
      <c r="LJ102" s="16"/>
      <c r="LK102" s="16"/>
    </row>
    <row r="103" spans="1:323" s="16" customFormat="1" ht="15" x14ac:dyDescent="0.2">
      <c r="A103" s="120" t="s">
        <v>1032</v>
      </c>
      <c r="B103" s="120"/>
      <c r="C103" s="45"/>
      <c r="D103" s="125"/>
      <c r="E103" s="130"/>
      <c r="F103" s="46"/>
      <c r="G103" s="58"/>
      <c r="H103" s="145"/>
      <c r="I103" s="165"/>
      <c r="J103" s="48"/>
      <c r="K103" s="165"/>
      <c r="L103" s="48"/>
      <c r="M103" s="165"/>
      <c r="N103" s="48"/>
      <c r="O103" s="165"/>
      <c r="P103" s="48"/>
      <c r="Q103" s="48"/>
      <c r="R103" s="125"/>
      <c r="S103" s="119"/>
      <c r="T103" s="7"/>
      <c r="U103" s="72"/>
      <c r="V103" s="776"/>
      <c r="W103" s="776"/>
      <c r="X103" s="47"/>
      <c r="Y103" s="106"/>
      <c r="Z103" s="258"/>
      <c r="AA103" s="57"/>
      <c r="AB103" s="80"/>
      <c r="AC103" s="57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72"/>
      <c r="AT103" s="55"/>
      <c r="AU103" s="55"/>
      <c r="AV103" s="55"/>
      <c r="AW103" s="55"/>
      <c r="AX103" s="55"/>
      <c r="AY103" s="55"/>
      <c r="AZ103" s="55"/>
      <c r="BA103" s="57"/>
      <c r="BB103" s="494"/>
      <c r="BC103" s="57"/>
      <c r="BD103" s="165"/>
      <c r="BE103" s="165"/>
      <c r="BF103" s="55"/>
      <c r="BG103" s="55"/>
      <c r="BH103" s="55"/>
      <c r="BI103" s="55"/>
      <c r="BJ103" s="55"/>
      <c r="BK103" s="55"/>
      <c r="BL103" s="55"/>
      <c r="BM103" s="55"/>
      <c r="BN103" s="448"/>
      <c r="BO103" s="55"/>
      <c r="BP103" s="55"/>
      <c r="BQ103" s="55"/>
      <c r="BR103" s="55"/>
      <c r="BS103" s="55"/>
      <c r="BT103" s="55"/>
      <c r="BU103" s="448"/>
      <c r="BV103" s="28"/>
      <c r="BW103" s="136"/>
      <c r="BX103" s="28"/>
      <c r="BY103" s="28"/>
      <c r="BZ103" s="28"/>
      <c r="CA103" s="755"/>
      <c r="CB103" s="755"/>
      <c r="CC103" s="755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505"/>
      <c r="CP103" s="1085"/>
      <c r="CQ103" s="1086"/>
      <c r="CR103" s="1120"/>
      <c r="CS103" s="1087"/>
      <c r="CT103" s="516"/>
      <c r="CU103" s="516"/>
      <c r="CV103" s="516"/>
      <c r="CW103" s="516"/>
      <c r="CX103" s="516"/>
      <c r="CY103" s="516"/>
      <c r="CZ103" s="516"/>
      <c r="DA103" s="516"/>
      <c r="DB103" s="516"/>
      <c r="DC103" s="516"/>
      <c r="DD103" s="516"/>
      <c r="DE103" s="516"/>
      <c r="DF103" s="516"/>
      <c r="DG103" s="516"/>
      <c r="DH103" s="516"/>
      <c r="DI103" s="516"/>
      <c r="DJ103" s="516"/>
      <c r="DK103" s="516"/>
      <c r="DL103" s="516"/>
      <c r="DM103" s="516"/>
      <c r="DN103" s="516">
        <f t="shared" si="55"/>
        <v>0</v>
      </c>
      <c r="DO103" s="1085"/>
    </row>
    <row r="104" spans="1:323" s="16" customFormat="1" ht="15" x14ac:dyDescent="0.2">
      <c r="A104" s="120" t="s">
        <v>1032</v>
      </c>
      <c r="B104" s="100"/>
      <c r="C104" s="45"/>
      <c r="D104" s="125"/>
      <c r="E104" s="130"/>
      <c r="F104" s="46"/>
      <c r="G104" s="58"/>
      <c r="H104" s="145"/>
      <c r="I104" s="165"/>
      <c r="J104" s="48"/>
      <c r="K104" s="165"/>
      <c r="L104" s="48"/>
      <c r="M104" s="165"/>
      <c r="N104" s="48"/>
      <c r="O104" s="165"/>
      <c r="P104" s="48"/>
      <c r="Q104" s="48"/>
      <c r="R104" s="125"/>
      <c r="S104" s="119"/>
      <c r="T104" s="7"/>
      <c r="U104" s="72"/>
      <c r="V104" s="776"/>
      <c r="W104" s="776"/>
      <c r="X104" s="47"/>
      <c r="Y104" s="106"/>
      <c r="Z104" s="258"/>
      <c r="AA104" s="57"/>
      <c r="AB104" s="80"/>
      <c r="AC104" s="57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72"/>
      <c r="AT104" s="55"/>
      <c r="AU104" s="55"/>
      <c r="AV104" s="55"/>
      <c r="AW104" s="55"/>
      <c r="AX104" s="55"/>
      <c r="AY104" s="55"/>
      <c r="AZ104" s="55"/>
      <c r="BA104" s="57"/>
      <c r="BB104" s="494"/>
      <c r="BC104" s="57"/>
      <c r="BD104" s="165"/>
      <c r="BE104" s="165"/>
      <c r="BF104" s="55"/>
      <c r="BG104" s="55"/>
      <c r="BH104" s="55"/>
      <c r="BI104" s="55"/>
      <c r="BJ104" s="55"/>
      <c r="BK104" s="55"/>
      <c r="BL104" s="55"/>
      <c r="BM104" s="55"/>
      <c r="BN104" s="448"/>
      <c r="BO104" s="55"/>
      <c r="BP104" s="55"/>
      <c r="BQ104" s="55"/>
      <c r="BR104" s="55"/>
      <c r="BS104" s="55"/>
      <c r="BT104" s="55"/>
      <c r="BU104" s="448"/>
      <c r="BV104" s="28"/>
      <c r="BW104" s="136"/>
      <c r="BX104" s="28"/>
      <c r="BY104" s="28"/>
      <c r="BZ104" s="28"/>
      <c r="CA104" s="755"/>
      <c r="CB104" s="755"/>
      <c r="CC104" s="755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505"/>
      <c r="CP104" s="1085"/>
      <c r="CQ104" s="516"/>
      <c r="CR104" s="1120"/>
      <c r="CS104" s="1087"/>
      <c r="CT104" s="516"/>
      <c r="CU104" s="516"/>
      <c r="CV104" s="516"/>
      <c r="CW104" s="516"/>
      <c r="CX104" s="516"/>
      <c r="CY104" s="516"/>
      <c r="CZ104" s="516"/>
      <c r="DA104" s="516"/>
      <c r="DB104" s="516"/>
      <c r="DC104" s="516"/>
      <c r="DD104" s="516"/>
      <c r="DE104" s="516"/>
      <c r="DF104" s="516"/>
      <c r="DG104" s="516"/>
      <c r="DH104" s="516"/>
      <c r="DI104" s="516"/>
      <c r="DJ104" s="516"/>
      <c r="DK104" s="516"/>
      <c r="DL104" s="516"/>
      <c r="DM104" s="516"/>
      <c r="DN104" s="516">
        <f t="shared" si="55"/>
        <v>0</v>
      </c>
      <c r="DO104" s="1085"/>
    </row>
    <row r="105" spans="1:323" s="16" customFormat="1" ht="15" x14ac:dyDescent="0.2">
      <c r="A105" s="328" t="s">
        <v>1033</v>
      </c>
      <c r="B105" s="328" t="s">
        <v>1034</v>
      </c>
      <c r="C105" s="341" t="s">
        <v>355</v>
      </c>
      <c r="D105" s="329">
        <v>10</v>
      </c>
      <c r="E105" s="342">
        <v>0.1</v>
      </c>
      <c r="F105" s="46">
        <v>43281</v>
      </c>
      <c r="G105" s="331">
        <v>120</v>
      </c>
      <c r="H105" s="332">
        <f>100/G105</f>
        <v>0.83333333333333337</v>
      </c>
      <c r="I105" s="333">
        <v>0</v>
      </c>
      <c r="J105" s="48">
        <f>(YEAR(F105)-YEAR(S105))*12+MONTH(F105)-MONTH(S105)</f>
        <v>22</v>
      </c>
      <c r="K105" s="333">
        <f>L105*H105</f>
        <v>81.666666666666671</v>
      </c>
      <c r="L105" s="331">
        <f>G105-J105</f>
        <v>98</v>
      </c>
      <c r="M105" s="333">
        <f>N105*H105</f>
        <v>81.666666666666671</v>
      </c>
      <c r="N105" s="48">
        <f>G105-J105</f>
        <v>98</v>
      </c>
      <c r="O105" s="333">
        <f>P105*H105</f>
        <v>0</v>
      </c>
      <c r="P105" s="331">
        <f>L105-N105</f>
        <v>0</v>
      </c>
      <c r="Q105" s="462">
        <f>DATE(YEAR(S105),MONTH(S105)+G105,DAY(S105))</f>
        <v>46252</v>
      </c>
      <c r="R105" s="331" t="s">
        <v>1035</v>
      </c>
      <c r="S105" s="330">
        <v>42600</v>
      </c>
      <c r="T105" s="335">
        <v>1925</v>
      </c>
      <c r="U105" s="337">
        <v>0</v>
      </c>
      <c r="V105" s="338">
        <v>0</v>
      </c>
      <c r="W105" s="338">
        <v>0</v>
      </c>
      <c r="X105" s="337">
        <v>115.958</v>
      </c>
      <c r="Y105" s="345">
        <v>0</v>
      </c>
      <c r="Z105" s="337">
        <v>0</v>
      </c>
      <c r="AA105" s="345">
        <v>0</v>
      </c>
      <c r="AB105" s="338">
        <v>0</v>
      </c>
      <c r="AC105" s="338">
        <v>0</v>
      </c>
      <c r="AD105" s="338">
        <v>0</v>
      </c>
      <c r="AE105" s="338">
        <f>AD105*AC105</f>
        <v>0</v>
      </c>
      <c r="AF105" s="338"/>
      <c r="AG105" s="338"/>
      <c r="AH105" s="338"/>
      <c r="AI105" s="338"/>
      <c r="AJ105" s="338"/>
      <c r="AK105" s="339"/>
      <c r="AL105" s="339"/>
      <c r="AM105" s="339"/>
      <c r="AN105" s="339">
        <v>0</v>
      </c>
      <c r="AO105" s="339">
        <v>0</v>
      </c>
      <c r="AP105" s="339">
        <f>T105</f>
        <v>1925</v>
      </c>
      <c r="AQ105" s="493"/>
      <c r="AR105" s="493"/>
      <c r="AS105" s="493">
        <f>T105</f>
        <v>1925</v>
      </c>
      <c r="AT105" s="55"/>
      <c r="AU105" s="55"/>
      <c r="AV105" s="55">
        <v>0</v>
      </c>
      <c r="AW105" s="55">
        <v>0</v>
      </c>
      <c r="AX105" s="55">
        <v>0</v>
      </c>
      <c r="AY105" s="55">
        <v>0</v>
      </c>
      <c r="AZ105" s="55"/>
      <c r="BA105" s="80">
        <v>118.901</v>
      </c>
      <c r="BB105" s="345">
        <v>119.547</v>
      </c>
      <c r="BC105" s="57">
        <f>BA105/BB105</f>
        <v>0.994596267576769</v>
      </c>
      <c r="BD105" s="165">
        <f>T105/(D105*12)</f>
        <v>16.041666666666668</v>
      </c>
      <c r="BE105" s="165">
        <f>BD105*BC105</f>
        <v>15.954981792377337</v>
      </c>
      <c r="BF105" s="55"/>
      <c r="BG105" s="55"/>
      <c r="BH105" s="55">
        <v>0</v>
      </c>
      <c r="BI105" s="55">
        <v>0</v>
      </c>
      <c r="BJ105" s="55">
        <v>16.059999999999999</v>
      </c>
      <c r="BK105" s="55">
        <v>16.059999999999999</v>
      </c>
      <c r="BL105" s="55">
        <v>16.059999999999999</v>
      </c>
      <c r="BM105" s="55">
        <f>SUM(BF105:BL105)</f>
        <v>48.179999999999993</v>
      </c>
      <c r="BN105" s="448">
        <f>(AS105-BM105)</f>
        <v>1876.82</v>
      </c>
      <c r="BO105" s="55">
        <v>15.95</v>
      </c>
      <c r="BP105" s="55">
        <v>15.95</v>
      </c>
      <c r="BQ105" s="55">
        <v>15.95</v>
      </c>
      <c r="BR105" s="55">
        <v>15.95</v>
      </c>
      <c r="BS105" s="55">
        <v>15.95</v>
      </c>
      <c r="BT105" s="55">
        <f>SUM(BO105:BS105)</f>
        <v>79.75</v>
      </c>
      <c r="BU105" s="448">
        <v>1797.07</v>
      </c>
      <c r="BV105" s="57">
        <v>126.408</v>
      </c>
      <c r="BW105" s="57">
        <v>109.074</v>
      </c>
      <c r="BX105" s="57">
        <f>BV105/BW105</f>
        <v>1.1589196325430442</v>
      </c>
      <c r="BY105" s="753">
        <f>BU105/J105</f>
        <v>81.685000000000002</v>
      </c>
      <c r="BZ105" s="55">
        <f>BY105*BX105</f>
        <v>94.666350184278571</v>
      </c>
      <c r="CA105" s="754">
        <v>208.26597040541284</v>
      </c>
      <c r="CB105" s="754">
        <v>208.26597040541284</v>
      </c>
      <c r="CC105" s="754">
        <v>208.26597040541284</v>
      </c>
      <c r="CD105" s="754">
        <v>208.26597040541284</v>
      </c>
      <c r="CE105" s="754">
        <v>208.26597040541284</v>
      </c>
      <c r="CF105" s="754">
        <v>208.26597040541284</v>
      </c>
      <c r="CG105" s="754">
        <v>208.26597040541284</v>
      </c>
      <c r="CH105" s="429">
        <f>SUM(CA105:CG105)</f>
        <v>1457.8617928378899</v>
      </c>
      <c r="CI105" s="439">
        <f>BU105-CH105</f>
        <v>339.20820716211006</v>
      </c>
      <c r="CJ105" s="754">
        <v>208.26597040541284</v>
      </c>
      <c r="CK105" s="754">
        <v>129.94</v>
      </c>
      <c r="CL105" s="754">
        <v>0</v>
      </c>
      <c r="CM105" s="754">
        <v>0</v>
      </c>
      <c r="CN105" s="754">
        <v>0</v>
      </c>
      <c r="CO105" s="505">
        <f t="shared" si="53"/>
        <v>338.20597040541281</v>
      </c>
      <c r="CP105" s="1085">
        <f t="shared" ref="CP105" si="70">CI105-CO105</f>
        <v>1.0022367566972434</v>
      </c>
      <c r="CQ105" s="1086">
        <v>132.28200000000001</v>
      </c>
      <c r="CR105" s="514">
        <v>109.074</v>
      </c>
      <c r="CS105" s="1087">
        <f>CQ105/CR105</f>
        <v>1.2127729798118709</v>
      </c>
      <c r="CT105" s="516">
        <f>CP105/L105</f>
        <v>1.0226905680584117E-2</v>
      </c>
      <c r="CU105" s="516">
        <f>CT105*CS105</f>
        <v>1.2402914876496949E-2</v>
      </c>
      <c r="CV105" s="516">
        <v>1.2402914876496949E-2</v>
      </c>
      <c r="CW105" s="516">
        <v>-0.01</v>
      </c>
      <c r="CX105" s="516">
        <v>0</v>
      </c>
      <c r="CY105" s="516">
        <v>0</v>
      </c>
      <c r="CZ105" s="516">
        <v>0</v>
      </c>
      <c r="DA105" s="516">
        <v>0</v>
      </c>
      <c r="DB105" s="516">
        <v>0</v>
      </c>
      <c r="DC105" s="516">
        <v>0</v>
      </c>
      <c r="DD105" s="516">
        <v>0</v>
      </c>
      <c r="DE105" s="516">
        <v>0</v>
      </c>
      <c r="DF105" s="516">
        <v>0</v>
      </c>
      <c r="DG105" s="516">
        <v>0</v>
      </c>
      <c r="DH105" s="516">
        <v>0</v>
      </c>
      <c r="DI105" s="516">
        <v>0</v>
      </c>
      <c r="DJ105" s="516">
        <v>0</v>
      </c>
      <c r="DK105" s="516">
        <v>0</v>
      </c>
      <c r="DL105" s="516">
        <v>0</v>
      </c>
      <c r="DM105" s="516">
        <v>0</v>
      </c>
      <c r="DN105" s="516">
        <f t="shared" si="55"/>
        <v>2.4029148764969487E-3</v>
      </c>
      <c r="DO105" s="1085">
        <f t="shared" si="52"/>
        <v>0.99983384182074653</v>
      </c>
    </row>
    <row r="106" spans="1:323" s="16" customFormat="1" ht="15" x14ac:dyDescent="0.2">
      <c r="A106" s="120" t="s">
        <v>1081</v>
      </c>
      <c r="B106" s="120"/>
      <c r="C106" s="45"/>
      <c r="D106" s="125"/>
      <c r="E106" s="130"/>
      <c r="F106" s="46"/>
      <c r="G106" s="58"/>
      <c r="H106" s="145"/>
      <c r="I106" s="165"/>
      <c r="J106" s="48"/>
      <c r="K106" s="165"/>
      <c r="L106" s="48"/>
      <c r="M106" s="165"/>
      <c r="N106" s="48"/>
      <c r="O106" s="165"/>
      <c r="P106" s="48"/>
      <c r="Q106" s="48"/>
      <c r="R106" s="125"/>
      <c r="S106" s="119"/>
      <c r="T106" s="7"/>
      <c r="U106" s="72"/>
      <c r="V106" s="776"/>
      <c r="W106" s="776"/>
      <c r="X106" s="47"/>
      <c r="Y106" s="106"/>
      <c r="Z106" s="258"/>
      <c r="AA106" s="57"/>
      <c r="AB106" s="80"/>
      <c r="AC106" s="57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72"/>
      <c r="AT106" s="55"/>
      <c r="AU106" s="55"/>
      <c r="AV106" s="55"/>
      <c r="AW106" s="55"/>
      <c r="AX106" s="55"/>
      <c r="AY106" s="55"/>
      <c r="AZ106" s="55"/>
      <c r="BA106" s="57"/>
      <c r="BB106" s="494"/>
      <c r="BC106" s="57"/>
      <c r="BD106" s="165"/>
      <c r="BE106" s="165"/>
      <c r="BF106" s="55"/>
      <c r="BG106" s="55"/>
      <c r="BH106" s="55"/>
      <c r="BI106" s="55"/>
      <c r="BJ106" s="55"/>
      <c r="BK106" s="55"/>
      <c r="BL106" s="55"/>
      <c r="BM106" s="55"/>
      <c r="BN106" s="448"/>
      <c r="BO106" s="55"/>
      <c r="BP106" s="55"/>
      <c r="BQ106" s="55"/>
      <c r="BR106" s="55"/>
      <c r="BS106" s="55"/>
      <c r="BT106" s="55"/>
      <c r="BU106" s="448"/>
      <c r="BV106" s="28"/>
      <c r="BW106" s="136"/>
      <c r="BX106" s="28"/>
      <c r="BY106" s="28"/>
      <c r="BZ106" s="28"/>
      <c r="CA106" s="755"/>
      <c r="CB106" s="755"/>
      <c r="CC106" s="755"/>
      <c r="CD106" s="755"/>
      <c r="CE106" s="755"/>
      <c r="CF106" s="755"/>
      <c r="CG106" s="755"/>
      <c r="CH106" s="28"/>
      <c r="CI106" s="28"/>
      <c r="CJ106" s="755"/>
      <c r="CK106" s="755"/>
      <c r="CL106" s="755"/>
      <c r="CM106" s="755"/>
      <c r="CN106" s="755"/>
      <c r="CO106" s="505"/>
      <c r="CP106" s="1085"/>
      <c r="CQ106" s="514"/>
      <c r="CR106" s="1120"/>
      <c r="CS106" s="1087"/>
      <c r="CT106" s="516"/>
      <c r="CU106" s="516"/>
      <c r="CV106" s="516"/>
      <c r="CW106" s="516"/>
      <c r="CX106" s="516"/>
      <c r="CY106" s="516"/>
      <c r="CZ106" s="516"/>
      <c r="DA106" s="516"/>
      <c r="DB106" s="516"/>
      <c r="DC106" s="516"/>
      <c r="DD106" s="516"/>
      <c r="DE106" s="516"/>
      <c r="DF106" s="516"/>
      <c r="DG106" s="516"/>
      <c r="DH106" s="516"/>
      <c r="DI106" s="516"/>
      <c r="DJ106" s="516"/>
      <c r="DK106" s="516"/>
      <c r="DL106" s="516"/>
      <c r="DM106" s="516"/>
      <c r="DN106" s="516">
        <f t="shared" si="55"/>
        <v>0</v>
      </c>
      <c r="DO106" s="1085"/>
    </row>
    <row r="107" spans="1:323" s="16" customFormat="1" ht="15" x14ac:dyDescent="0.2">
      <c r="A107" s="120" t="s">
        <v>1081</v>
      </c>
      <c r="B107" s="100"/>
      <c r="C107" s="45"/>
      <c r="D107" s="125"/>
      <c r="E107" s="130"/>
      <c r="F107" s="46"/>
      <c r="G107" s="58"/>
      <c r="H107" s="145"/>
      <c r="I107" s="165"/>
      <c r="J107" s="48"/>
      <c r="K107" s="165"/>
      <c r="L107" s="48"/>
      <c r="M107" s="165"/>
      <c r="N107" s="48"/>
      <c r="O107" s="165"/>
      <c r="P107" s="48"/>
      <c r="Q107" s="48"/>
      <c r="R107" s="125"/>
      <c r="S107" s="119"/>
      <c r="T107" s="7"/>
      <c r="U107" s="72"/>
      <c r="V107" s="776"/>
      <c r="W107" s="776"/>
      <c r="X107" s="47"/>
      <c r="Y107" s="106"/>
      <c r="Z107" s="258"/>
      <c r="AA107" s="57"/>
      <c r="AB107" s="80"/>
      <c r="AC107" s="57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72"/>
      <c r="AT107" s="55"/>
      <c r="AU107" s="55"/>
      <c r="AV107" s="55"/>
      <c r="AW107" s="55"/>
      <c r="AX107" s="55"/>
      <c r="AY107" s="55"/>
      <c r="AZ107" s="55"/>
      <c r="BA107" s="57"/>
      <c r="BB107" s="494"/>
      <c r="BC107" s="57"/>
      <c r="BD107" s="165"/>
      <c r="BE107" s="165"/>
      <c r="BF107" s="55"/>
      <c r="BG107" s="55"/>
      <c r="BH107" s="55"/>
      <c r="BI107" s="55"/>
      <c r="BJ107" s="55"/>
      <c r="BK107" s="55"/>
      <c r="BL107" s="55"/>
      <c r="BM107" s="55"/>
      <c r="BN107" s="448"/>
      <c r="BO107" s="55"/>
      <c r="BP107" s="55"/>
      <c r="BQ107" s="55"/>
      <c r="BR107" s="55"/>
      <c r="BS107" s="55"/>
      <c r="BT107" s="55"/>
      <c r="BU107" s="448"/>
      <c r="BV107" s="57"/>
      <c r="BW107" s="57"/>
      <c r="BX107" s="57"/>
      <c r="BY107" s="55"/>
      <c r="BZ107" s="55"/>
      <c r="CA107" s="754"/>
      <c r="CB107" s="754"/>
      <c r="CC107" s="754"/>
      <c r="CD107" s="754"/>
      <c r="CE107" s="754"/>
      <c r="CF107" s="754"/>
      <c r="CG107" s="754"/>
      <c r="CH107" s="429"/>
      <c r="CI107" s="439"/>
      <c r="CJ107" s="754"/>
      <c r="CK107" s="754"/>
      <c r="CL107" s="754"/>
      <c r="CM107" s="754"/>
      <c r="CN107" s="754"/>
      <c r="CO107" s="505"/>
      <c r="CP107" s="1085"/>
      <c r="CQ107" s="520"/>
      <c r="CR107" s="514"/>
      <c r="CS107" s="1087"/>
      <c r="CT107" s="516"/>
      <c r="CU107" s="516"/>
      <c r="CV107" s="516"/>
      <c r="CW107" s="516"/>
      <c r="CX107" s="516"/>
      <c r="CY107" s="516"/>
      <c r="CZ107" s="516"/>
      <c r="DA107" s="516"/>
      <c r="DB107" s="516"/>
      <c r="DC107" s="516"/>
      <c r="DD107" s="516"/>
      <c r="DE107" s="516"/>
      <c r="DF107" s="516"/>
      <c r="DG107" s="516"/>
      <c r="DH107" s="516"/>
      <c r="DI107" s="516"/>
      <c r="DJ107" s="516"/>
      <c r="DK107" s="516"/>
      <c r="DL107" s="516"/>
      <c r="DM107" s="516"/>
      <c r="DN107" s="516">
        <f t="shared" si="55"/>
        <v>0</v>
      </c>
      <c r="DO107" s="1085"/>
    </row>
    <row r="108" spans="1:323" s="16" customFormat="1" ht="15" x14ac:dyDescent="0.2">
      <c r="A108" s="328" t="s">
        <v>1082</v>
      </c>
      <c r="B108" s="328" t="s">
        <v>1083</v>
      </c>
      <c r="C108" s="341" t="s">
        <v>355</v>
      </c>
      <c r="D108" s="329">
        <v>10</v>
      </c>
      <c r="E108" s="342">
        <v>0.1</v>
      </c>
      <c r="F108" s="46">
        <v>43281</v>
      </c>
      <c r="G108" s="331">
        <v>120</v>
      </c>
      <c r="H108" s="332">
        <f>100/G108</f>
        <v>0.83333333333333337</v>
      </c>
      <c r="I108" s="333">
        <v>0</v>
      </c>
      <c r="J108" s="48">
        <f>(YEAR(F108)-YEAR(S108))*12+MONTH(F108)-MONTH(S108)</f>
        <v>17</v>
      </c>
      <c r="K108" s="333">
        <f>L108*H108</f>
        <v>85.833333333333343</v>
      </c>
      <c r="L108" s="331">
        <f>G108-J108</f>
        <v>103</v>
      </c>
      <c r="M108" s="333">
        <f>N108*H108</f>
        <v>85.833333333333343</v>
      </c>
      <c r="N108" s="48">
        <f>G108-J108</f>
        <v>103</v>
      </c>
      <c r="O108" s="165">
        <f>K108-M108</f>
        <v>0</v>
      </c>
      <c r="P108" s="331">
        <f>L108-N108</f>
        <v>0</v>
      </c>
      <c r="Q108" s="462">
        <f>DATE(YEAR(S108),MONTH(S108)+G108,DAY(S108))</f>
        <v>46393</v>
      </c>
      <c r="R108" s="331" t="s">
        <v>1084</v>
      </c>
      <c r="S108" s="330">
        <v>42741</v>
      </c>
      <c r="T108" s="335">
        <v>3433.6</v>
      </c>
      <c r="U108" s="337">
        <v>0</v>
      </c>
      <c r="V108" s="338">
        <v>0</v>
      </c>
      <c r="W108" s="338">
        <v>0</v>
      </c>
      <c r="X108" s="337">
        <v>115.958</v>
      </c>
      <c r="Y108" s="345">
        <v>0</v>
      </c>
      <c r="Z108" s="337">
        <v>0</v>
      </c>
      <c r="AA108" s="345">
        <v>0</v>
      </c>
      <c r="AB108" s="338">
        <v>0</v>
      </c>
      <c r="AC108" s="338">
        <v>0</v>
      </c>
      <c r="AD108" s="338">
        <v>0</v>
      </c>
      <c r="AE108" s="338">
        <f>AD108*AC108</f>
        <v>0</v>
      </c>
      <c r="AF108" s="338"/>
      <c r="AG108" s="338"/>
      <c r="AH108" s="338"/>
      <c r="AI108" s="338"/>
      <c r="AJ108" s="338"/>
      <c r="AK108" s="339"/>
      <c r="AL108" s="339"/>
      <c r="AM108" s="339"/>
      <c r="AN108" s="339">
        <v>0</v>
      </c>
      <c r="AO108" s="339">
        <v>0</v>
      </c>
      <c r="AP108" s="339">
        <f>T108</f>
        <v>3433.6</v>
      </c>
      <c r="AQ108" s="493"/>
      <c r="AR108" s="493"/>
      <c r="AS108" s="493">
        <f>T108</f>
        <v>3433.6</v>
      </c>
      <c r="AT108" s="55"/>
      <c r="AU108" s="55"/>
      <c r="AV108" s="55">
        <v>0</v>
      </c>
      <c r="AW108" s="55">
        <v>0</v>
      </c>
      <c r="AX108" s="55">
        <v>0</v>
      </c>
      <c r="AY108" s="55">
        <v>0</v>
      </c>
      <c r="AZ108" s="55"/>
      <c r="BA108" s="80">
        <v>118.901</v>
      </c>
      <c r="BB108" s="345">
        <v>124.598</v>
      </c>
      <c r="BC108" s="57">
        <f>BA108/BB108</f>
        <v>0.95427695468627105</v>
      </c>
      <c r="BD108" s="165">
        <f>T108/(D108*12)</f>
        <v>28.613333333333333</v>
      </c>
      <c r="BE108" s="165">
        <f>BD108*BC108</f>
        <v>27.305044596756503</v>
      </c>
      <c r="BF108" s="55"/>
      <c r="BG108" s="55"/>
      <c r="BH108" s="55">
        <v>0</v>
      </c>
      <c r="BI108" s="55">
        <v>0</v>
      </c>
      <c r="BJ108" s="55">
        <v>0</v>
      </c>
      <c r="BK108" s="55">
        <v>0</v>
      </c>
      <c r="BL108" s="55">
        <v>0</v>
      </c>
      <c r="BM108" s="55">
        <f>SUM(BF108:BL108)</f>
        <v>0</v>
      </c>
      <c r="BN108" s="448">
        <f>(AS108-BM108)</f>
        <v>3433.6</v>
      </c>
      <c r="BO108" s="55">
        <v>27.31</v>
      </c>
      <c r="BP108" s="55">
        <v>27.31</v>
      </c>
      <c r="BQ108" s="55">
        <v>27.31</v>
      </c>
      <c r="BR108" s="55">
        <v>27.31</v>
      </c>
      <c r="BS108" s="55">
        <v>27.31</v>
      </c>
      <c r="BT108" s="55">
        <f>SUM(BO108:BS108)</f>
        <v>136.54999999999998</v>
      </c>
      <c r="BU108" s="448">
        <v>3433.6</v>
      </c>
      <c r="BV108" s="57">
        <v>126.408</v>
      </c>
      <c r="BW108" s="57">
        <v>109.074</v>
      </c>
      <c r="BX108" s="57">
        <f>BV108/BW108</f>
        <v>1.1589196325430442</v>
      </c>
      <c r="BY108" s="740">
        <f>BU108/J108</f>
        <v>201.97647058823529</v>
      </c>
      <c r="BZ108" s="55">
        <f>BY108*BX108</f>
        <v>234.07449707645861</v>
      </c>
      <c r="CA108" s="755">
        <v>795.85329005995936</v>
      </c>
      <c r="CB108" s="755">
        <v>795.85329005995936</v>
      </c>
      <c r="CC108" s="755">
        <v>795.85329005995936</v>
      </c>
      <c r="CD108" s="755">
        <v>795.85329005995936</v>
      </c>
      <c r="CE108" s="755">
        <v>249.19</v>
      </c>
      <c r="CF108" s="755">
        <v>0</v>
      </c>
      <c r="CG108" s="755">
        <v>0</v>
      </c>
      <c r="CH108" s="429">
        <f>SUM(CA108:CG108)</f>
        <v>3432.6031602398375</v>
      </c>
      <c r="CI108" s="439">
        <f>BU108-CH108</f>
        <v>0.99683976016240194</v>
      </c>
      <c r="CJ108" s="755">
        <v>0</v>
      </c>
      <c r="CK108" s="755">
        <v>0</v>
      </c>
      <c r="CL108" s="755">
        <v>0</v>
      </c>
      <c r="CM108" s="755">
        <v>0</v>
      </c>
      <c r="CN108" s="755">
        <v>0</v>
      </c>
      <c r="CO108" s="505">
        <f t="shared" si="53"/>
        <v>0</v>
      </c>
      <c r="CP108" s="1085">
        <f t="shared" ref="CP108" si="71">CI108-CO108</f>
        <v>0.99683976016240194</v>
      </c>
      <c r="CQ108" s="1086">
        <v>132.28200000000001</v>
      </c>
      <c r="CR108" s="514">
        <v>109.074</v>
      </c>
      <c r="CS108" s="1087">
        <f>CQ108/CR108</f>
        <v>1.2127729798118709</v>
      </c>
      <c r="CT108" s="516">
        <f>CP108/L108</f>
        <v>9.6780559239068153E-3</v>
      </c>
      <c r="CU108" s="516">
        <f>CT108*CS108</f>
        <v>1.1737284721622398E-2</v>
      </c>
      <c r="CV108" s="516">
        <v>1.1737284721622398E-2</v>
      </c>
      <c r="CW108" s="516">
        <v>-0.01</v>
      </c>
      <c r="CX108" s="516">
        <v>0</v>
      </c>
      <c r="CY108" s="516">
        <v>0</v>
      </c>
      <c r="CZ108" s="516">
        <v>0</v>
      </c>
      <c r="DA108" s="516">
        <v>0</v>
      </c>
      <c r="DB108" s="516">
        <v>0</v>
      </c>
      <c r="DC108" s="516">
        <v>0</v>
      </c>
      <c r="DD108" s="516">
        <v>0</v>
      </c>
      <c r="DE108" s="516">
        <v>0</v>
      </c>
      <c r="DF108" s="516">
        <v>0</v>
      </c>
      <c r="DG108" s="516">
        <v>0</v>
      </c>
      <c r="DH108" s="516">
        <v>0</v>
      </c>
      <c r="DI108" s="516">
        <v>0</v>
      </c>
      <c r="DJ108" s="516">
        <v>0</v>
      </c>
      <c r="DK108" s="516">
        <v>0</v>
      </c>
      <c r="DL108" s="516">
        <v>0</v>
      </c>
      <c r="DM108" s="516">
        <v>0</v>
      </c>
      <c r="DN108" s="516">
        <f t="shared" si="55"/>
        <v>1.7372847216223977E-3</v>
      </c>
      <c r="DO108" s="1085">
        <f t="shared" si="52"/>
        <v>0.99510247544077957</v>
      </c>
    </row>
    <row r="109" spans="1:323" s="16" customFormat="1" ht="15" x14ac:dyDescent="0.2">
      <c r="A109" s="120" t="s">
        <v>1081</v>
      </c>
      <c r="B109" s="120"/>
      <c r="C109" s="45"/>
      <c r="D109" s="125"/>
      <c r="E109" s="130"/>
      <c r="F109" s="46"/>
      <c r="G109" s="58"/>
      <c r="H109" s="145"/>
      <c r="I109" s="165"/>
      <c r="J109" s="48"/>
      <c r="K109" s="165"/>
      <c r="L109" s="48"/>
      <c r="M109" s="165"/>
      <c r="N109" s="48"/>
      <c r="O109" s="165"/>
      <c r="P109" s="48"/>
      <c r="Q109" s="48"/>
      <c r="R109" s="125"/>
      <c r="S109" s="119"/>
      <c r="T109" s="7"/>
      <c r="U109" s="72"/>
      <c r="V109" s="776"/>
      <c r="W109" s="776"/>
      <c r="X109" s="47"/>
      <c r="Y109" s="106"/>
      <c r="Z109" s="258"/>
      <c r="AA109" s="57"/>
      <c r="AB109" s="80"/>
      <c r="AC109" s="57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72"/>
      <c r="AT109" s="55"/>
      <c r="AU109" s="55"/>
      <c r="AV109" s="55"/>
      <c r="AW109" s="55"/>
      <c r="AX109" s="55"/>
      <c r="AY109" s="55"/>
      <c r="AZ109" s="55"/>
      <c r="BA109" s="57"/>
      <c r="BB109" s="494"/>
      <c r="BC109" s="57"/>
      <c r="BD109" s="165"/>
      <c r="BE109" s="165"/>
      <c r="BF109" s="55"/>
      <c r="BG109" s="55"/>
      <c r="BH109" s="55"/>
      <c r="BI109" s="55"/>
      <c r="BJ109" s="55"/>
      <c r="BK109" s="55"/>
      <c r="BL109" s="55"/>
      <c r="BM109" s="55"/>
      <c r="BN109" s="448"/>
      <c r="BO109" s="55"/>
      <c r="BP109" s="55"/>
      <c r="BQ109" s="55"/>
      <c r="BR109" s="55"/>
      <c r="BS109" s="55"/>
      <c r="BT109" s="55"/>
      <c r="BU109" s="448"/>
      <c r="BV109" s="28"/>
      <c r="BW109" s="136"/>
      <c r="BX109" s="28"/>
      <c r="BY109" s="28"/>
      <c r="BZ109" s="28"/>
      <c r="CA109" s="755"/>
      <c r="CB109" s="755"/>
      <c r="CC109" s="755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505"/>
      <c r="CP109" s="1085"/>
      <c r="CQ109" s="516"/>
      <c r="CR109" s="1120"/>
      <c r="CS109" s="1087"/>
      <c r="CT109" s="516"/>
      <c r="CU109" s="516"/>
      <c r="CV109" s="516"/>
      <c r="CW109" s="516"/>
      <c r="CX109" s="516"/>
      <c r="CY109" s="516"/>
      <c r="CZ109" s="516"/>
      <c r="DA109" s="516"/>
      <c r="DB109" s="516"/>
      <c r="DC109" s="516"/>
      <c r="DD109" s="516"/>
      <c r="DE109" s="516"/>
      <c r="DF109" s="516"/>
      <c r="DG109" s="516"/>
      <c r="DH109" s="516"/>
      <c r="DI109" s="516"/>
      <c r="DJ109" s="516"/>
      <c r="DK109" s="516"/>
      <c r="DL109" s="516"/>
      <c r="DM109" s="516"/>
      <c r="DN109" s="516">
        <f t="shared" si="55"/>
        <v>0</v>
      </c>
      <c r="DO109" s="1085"/>
    </row>
    <row r="110" spans="1:323" s="16" customFormat="1" ht="15" x14ac:dyDescent="0.2">
      <c r="A110" s="120" t="s">
        <v>65</v>
      </c>
      <c r="B110" s="772"/>
      <c r="C110" s="45"/>
      <c r="D110" s="125"/>
      <c r="E110" s="130"/>
      <c r="F110" s="46"/>
      <c r="G110" s="58"/>
      <c r="H110" s="145"/>
      <c r="I110" s="165"/>
      <c r="J110" s="48"/>
      <c r="K110" s="165"/>
      <c r="L110" s="48"/>
      <c r="M110" s="165"/>
      <c r="N110" s="48"/>
      <c r="O110" s="165"/>
      <c r="P110" s="48"/>
      <c r="Q110" s="48"/>
      <c r="R110" s="125"/>
      <c r="S110" s="119"/>
      <c r="T110" s="7"/>
      <c r="U110" s="72"/>
      <c r="V110" s="776"/>
      <c r="W110" s="776"/>
      <c r="X110" s="47"/>
      <c r="Y110" s="106"/>
      <c r="Z110" s="258"/>
      <c r="AA110" s="57"/>
      <c r="AB110" s="80"/>
      <c r="AC110" s="57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72"/>
      <c r="AT110" s="55"/>
      <c r="AU110" s="55"/>
      <c r="AV110" s="55"/>
      <c r="AW110" s="55"/>
      <c r="AX110" s="55"/>
      <c r="AY110" s="55"/>
      <c r="AZ110" s="55"/>
      <c r="BA110" s="57"/>
      <c r="BB110" s="494"/>
      <c r="BC110" s="57"/>
      <c r="BD110" s="165"/>
      <c r="BE110" s="165"/>
      <c r="BF110" s="55"/>
      <c r="BG110" s="55"/>
      <c r="BH110" s="55"/>
      <c r="BI110" s="55"/>
      <c r="BJ110" s="55"/>
      <c r="BK110" s="55"/>
      <c r="BL110" s="55"/>
      <c r="BM110" s="55"/>
      <c r="BN110" s="448"/>
      <c r="BO110" s="55"/>
      <c r="BP110" s="55"/>
      <c r="BQ110" s="55"/>
      <c r="BR110" s="55"/>
      <c r="BS110" s="55"/>
      <c r="BT110" s="55"/>
      <c r="BU110" s="448"/>
      <c r="BV110" s="772"/>
      <c r="BW110" s="777"/>
      <c r="BX110" s="772"/>
      <c r="BY110" s="772"/>
      <c r="BZ110" s="772"/>
      <c r="CA110" s="778"/>
      <c r="CB110" s="778"/>
      <c r="CC110" s="778"/>
      <c r="CD110" s="772"/>
      <c r="CE110" s="772"/>
      <c r="CF110" s="772"/>
      <c r="CG110" s="772"/>
      <c r="CH110" s="772"/>
      <c r="CI110" s="772"/>
      <c r="CJ110" s="772"/>
      <c r="CK110" s="772"/>
      <c r="CL110" s="772"/>
      <c r="CM110" s="772"/>
      <c r="CN110" s="772"/>
      <c r="CO110" s="505"/>
      <c r="CP110" s="1085"/>
      <c r="CQ110" s="520"/>
      <c r="CR110" s="1120"/>
      <c r="CS110" s="1087"/>
      <c r="CT110" s="516"/>
      <c r="CU110" s="516"/>
      <c r="CV110" s="516"/>
      <c r="CW110" s="516"/>
      <c r="CX110" s="516"/>
      <c r="CY110" s="516"/>
      <c r="CZ110" s="516"/>
      <c r="DA110" s="516"/>
      <c r="DB110" s="516"/>
      <c r="DC110" s="516"/>
      <c r="DD110" s="516"/>
      <c r="DE110" s="516"/>
      <c r="DF110" s="516"/>
      <c r="DG110" s="516"/>
      <c r="DH110" s="516"/>
      <c r="DI110" s="516"/>
      <c r="DJ110" s="516"/>
      <c r="DK110" s="516"/>
      <c r="DL110" s="516"/>
      <c r="DM110" s="516"/>
      <c r="DN110" s="516">
        <f t="shared" si="55"/>
        <v>0</v>
      </c>
      <c r="DO110" s="1085"/>
    </row>
    <row r="111" spans="1:323" ht="15" x14ac:dyDescent="0.2">
      <c r="A111" s="120" t="s">
        <v>1181</v>
      </c>
      <c r="B111" s="772"/>
      <c r="C111" s="772"/>
      <c r="D111" s="779"/>
      <c r="E111" s="779"/>
      <c r="F111" s="772"/>
      <c r="G111" s="772"/>
      <c r="H111" s="772"/>
      <c r="I111" s="772"/>
      <c r="J111" s="772"/>
      <c r="K111" s="772"/>
      <c r="L111" s="772"/>
      <c r="M111" s="772"/>
      <c r="N111" s="772"/>
      <c r="O111" s="772"/>
      <c r="P111" s="772"/>
      <c r="Q111" s="772"/>
      <c r="R111" s="775"/>
      <c r="S111" s="780"/>
      <c r="T111" s="772"/>
      <c r="U111" s="772"/>
      <c r="V111" s="773"/>
      <c r="W111" s="772"/>
      <c r="X111" s="772"/>
      <c r="Y111" s="781"/>
      <c r="Z111" s="772"/>
      <c r="AA111" s="772"/>
      <c r="AB111" s="777"/>
      <c r="AC111" s="772"/>
      <c r="AD111" s="709"/>
      <c r="AE111" s="709"/>
      <c r="AF111" s="709"/>
      <c r="AG111" s="709"/>
      <c r="AH111" s="709"/>
      <c r="AI111" s="709"/>
      <c r="AJ111" s="709"/>
      <c r="AK111" s="709"/>
      <c r="AL111" s="709"/>
      <c r="AM111" s="709"/>
      <c r="AN111" s="709"/>
      <c r="AO111" s="709"/>
      <c r="AP111" s="709"/>
      <c r="AQ111" s="709"/>
      <c r="AR111" s="709"/>
      <c r="AS111" s="709"/>
      <c r="AT111" s="772"/>
      <c r="AU111" s="772"/>
      <c r="AV111" s="774"/>
      <c r="AW111" s="774"/>
      <c r="AX111" s="774"/>
      <c r="AY111" s="774"/>
      <c r="AZ111" s="774"/>
      <c r="BA111" s="772"/>
      <c r="BB111" s="777"/>
      <c r="BC111" s="772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774"/>
      <c r="BP111" s="774"/>
      <c r="BQ111" s="774"/>
      <c r="BR111" s="774"/>
      <c r="BS111" s="774"/>
      <c r="BT111" s="774"/>
      <c r="BU111" s="774"/>
      <c r="BV111" s="774"/>
      <c r="BW111" s="774"/>
      <c r="BX111" s="774"/>
      <c r="BY111" s="774"/>
      <c r="BZ111" s="774"/>
      <c r="CA111" s="774"/>
      <c r="CB111" s="774"/>
      <c r="CC111" s="774"/>
      <c r="CD111" s="774"/>
      <c r="CE111" s="774"/>
      <c r="CF111" s="774"/>
      <c r="CG111" s="774"/>
      <c r="CH111" s="774"/>
      <c r="CI111" s="774"/>
      <c r="CJ111" s="774"/>
      <c r="CK111" s="774"/>
      <c r="CL111" s="774"/>
      <c r="CM111" s="774"/>
      <c r="CN111" s="774"/>
      <c r="CO111" s="505"/>
      <c r="CP111" s="1085"/>
      <c r="CQ111" s="514"/>
      <c r="CR111" s="1025"/>
      <c r="CS111" s="1087"/>
      <c r="CT111" s="516"/>
      <c r="CU111" s="516"/>
      <c r="CV111" s="516"/>
      <c r="CW111" s="516"/>
      <c r="CX111" s="516"/>
      <c r="CY111" s="516"/>
      <c r="CZ111" s="516"/>
      <c r="DA111" s="516"/>
      <c r="DB111" s="516"/>
      <c r="DC111" s="516"/>
      <c r="DD111" s="516"/>
      <c r="DE111" s="516"/>
      <c r="DF111" s="516"/>
      <c r="DG111" s="516"/>
      <c r="DH111" s="516"/>
      <c r="DI111" s="516"/>
      <c r="DJ111" s="516"/>
      <c r="DK111" s="516"/>
      <c r="DL111" s="516"/>
      <c r="DM111" s="516"/>
      <c r="DN111" s="516">
        <f t="shared" si="55"/>
        <v>0</v>
      </c>
      <c r="DO111" s="1085"/>
    </row>
    <row r="112" spans="1:323" s="35" customFormat="1" ht="15" x14ac:dyDescent="0.2">
      <c r="A112" s="771" t="s">
        <v>1181</v>
      </c>
      <c r="B112" s="782" t="s">
        <v>1182</v>
      </c>
      <c r="C112" s="100" t="s">
        <v>355</v>
      </c>
      <c r="D112" s="8">
        <v>10</v>
      </c>
      <c r="E112" s="130">
        <v>0.1</v>
      </c>
      <c r="F112" s="119">
        <v>43281</v>
      </c>
      <c r="G112" s="125">
        <v>120</v>
      </c>
      <c r="H112" s="146">
        <f>100/G112</f>
        <v>0.83333333333333337</v>
      </c>
      <c r="I112" s="1167">
        <v>0</v>
      </c>
      <c r="J112" s="125">
        <f>(YEAR(F112)-YEAR(S112))*12+MONTH(F112)-MONTH(S112)</f>
        <v>11</v>
      </c>
      <c r="K112" s="1167">
        <f>L112*H112</f>
        <v>90.833333333333343</v>
      </c>
      <c r="L112" s="125">
        <f>G112-J112</f>
        <v>109</v>
      </c>
      <c r="M112" s="1167">
        <f>N112*H112</f>
        <v>90.833333333333343</v>
      </c>
      <c r="N112" s="125">
        <f>G112-J112</f>
        <v>109</v>
      </c>
      <c r="O112" s="1167">
        <f>K112-M112</f>
        <v>0</v>
      </c>
      <c r="P112" s="125">
        <f>L112-N112</f>
        <v>0</v>
      </c>
      <c r="Q112" s="119">
        <f>DATE(YEAR(S112),MONTH(S112)+G112,DAY(S112))</f>
        <v>46589</v>
      </c>
      <c r="R112" s="1191" t="s">
        <v>1183</v>
      </c>
      <c r="S112" s="119">
        <v>42937</v>
      </c>
      <c r="T112" s="782">
        <v>539</v>
      </c>
      <c r="U112" s="782"/>
      <c r="V112" s="63"/>
      <c r="W112" s="782"/>
      <c r="X112" s="782"/>
      <c r="Y112" s="63"/>
      <c r="Z112" s="782"/>
      <c r="AA112" s="782"/>
      <c r="AB112" s="1203"/>
      <c r="AC112" s="78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782"/>
      <c r="AU112" s="782"/>
      <c r="AV112" s="62"/>
      <c r="AW112" s="62"/>
      <c r="AX112" s="62"/>
      <c r="AY112" s="62"/>
      <c r="AZ112" s="62"/>
      <c r="BA112" s="782"/>
      <c r="BB112" s="1203"/>
      <c r="BC112" s="78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793">
        <v>539</v>
      </c>
      <c r="BV112" s="64">
        <v>126.408</v>
      </c>
      <c r="BW112" s="62">
        <v>126.886</v>
      </c>
      <c r="BX112" s="64">
        <f>BV112/BW112</f>
        <v>0.99623283892628034</v>
      </c>
      <c r="BY112" s="62">
        <f>BU112/G112</f>
        <v>4.4916666666666663</v>
      </c>
      <c r="BZ112" s="62">
        <f>BY112*BX112</f>
        <v>4.4747458348438753</v>
      </c>
      <c r="CA112" s="62"/>
      <c r="CB112" s="62"/>
      <c r="CC112" s="62"/>
      <c r="CD112" s="62">
        <v>8.94</v>
      </c>
      <c r="CE112" s="62">
        <v>8.94</v>
      </c>
      <c r="CF112" s="62">
        <v>8.94</v>
      </c>
      <c r="CG112" s="62">
        <v>8.94</v>
      </c>
      <c r="CH112" s="510">
        <f>SUM(CA112:CG112)</f>
        <v>35.76</v>
      </c>
      <c r="CI112" s="510">
        <f>BU112-CH112</f>
        <v>503.24</v>
      </c>
      <c r="CJ112" s="62">
        <v>8.94</v>
      </c>
      <c r="CK112" s="62">
        <v>4.47</v>
      </c>
      <c r="CL112" s="62">
        <v>4.47</v>
      </c>
      <c r="CM112" s="62">
        <v>4.47</v>
      </c>
      <c r="CN112" s="62">
        <v>4.47</v>
      </c>
      <c r="CO112" s="1170">
        <f t="shared" si="53"/>
        <v>26.819999999999997</v>
      </c>
      <c r="CP112" s="1085">
        <f t="shared" ref="CP112" si="72">CI112-CO112</f>
        <v>476.42</v>
      </c>
      <c r="CQ112" s="1195">
        <v>132.28200000000001</v>
      </c>
      <c r="CR112" s="538">
        <v>126.886</v>
      </c>
      <c r="CS112" s="1196">
        <f>CQ112/CR112</f>
        <v>1.042526362246426</v>
      </c>
      <c r="CT112" s="538">
        <f>CP112/L112</f>
        <v>4.3708256880733947</v>
      </c>
      <c r="CU112" s="538">
        <f>CS112*CT112</f>
        <v>4.556701004600388</v>
      </c>
      <c r="CV112" s="538">
        <v>4.556701004600388</v>
      </c>
      <c r="CW112" s="538">
        <v>4.556701004600388</v>
      </c>
      <c r="CX112" s="538">
        <v>4.556701004600388</v>
      </c>
      <c r="CY112" s="538">
        <v>4.556701004600388</v>
      </c>
      <c r="CZ112" s="538">
        <v>4.556701004600388</v>
      </c>
      <c r="DA112" s="538">
        <v>4.556701004600388</v>
      </c>
      <c r="DB112" s="538">
        <v>4.556701004600388</v>
      </c>
      <c r="DC112" s="538">
        <v>4.556701004600388</v>
      </c>
      <c r="DD112" s="538">
        <v>4.556701004600388</v>
      </c>
      <c r="DE112" s="538">
        <v>4.556701004600388</v>
      </c>
      <c r="DF112" s="538">
        <v>4.556701004600388</v>
      </c>
      <c r="DG112" s="538">
        <v>4.556701004600388</v>
      </c>
      <c r="DH112" s="538">
        <v>4.556701004600388</v>
      </c>
      <c r="DI112" s="538">
        <v>4.556701004600388</v>
      </c>
      <c r="DJ112" s="538">
        <v>4.556701004600388</v>
      </c>
      <c r="DK112" s="538">
        <v>4.556701004600388</v>
      </c>
      <c r="DL112" s="538">
        <v>4.556701004600388</v>
      </c>
      <c r="DM112" s="538">
        <v>4.556701004600388</v>
      </c>
      <c r="DN112" s="538">
        <f t="shared" si="55"/>
        <v>82.020618082806948</v>
      </c>
      <c r="DO112" s="1085">
        <f t="shared" si="52"/>
        <v>394.39938191719307</v>
      </c>
    </row>
    <row r="113" spans="1:323" s="16" customFormat="1" ht="15" x14ac:dyDescent="0.2">
      <c r="A113" s="120" t="s">
        <v>1165</v>
      </c>
      <c r="B113" s="100"/>
      <c r="C113" s="45"/>
      <c r="D113" s="125"/>
      <c r="E113" s="130"/>
      <c r="F113" s="46"/>
      <c r="G113" s="58"/>
      <c r="H113" s="145"/>
      <c r="I113" s="165"/>
      <c r="J113" s="48"/>
      <c r="K113" s="165"/>
      <c r="L113" s="48"/>
      <c r="M113" s="165"/>
      <c r="N113" s="48"/>
      <c r="O113" s="165"/>
      <c r="P113" s="48"/>
      <c r="Q113" s="48"/>
      <c r="R113" s="125"/>
      <c r="S113" s="119"/>
      <c r="T113" s="7"/>
      <c r="U113" s="72"/>
      <c r="V113" s="776"/>
      <c r="W113" s="776"/>
      <c r="X113" s="47"/>
      <c r="Y113" s="106"/>
      <c r="Z113" s="258"/>
      <c r="AA113" s="57"/>
      <c r="AB113" s="80"/>
      <c r="AC113" s="57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72"/>
      <c r="AT113" s="55"/>
      <c r="AU113" s="55"/>
      <c r="AV113" s="55"/>
      <c r="AW113" s="55"/>
      <c r="AX113" s="55"/>
      <c r="AY113" s="55"/>
      <c r="AZ113" s="55"/>
      <c r="BA113" s="57"/>
      <c r="BB113" s="494"/>
      <c r="BC113" s="57"/>
      <c r="BD113" s="165"/>
      <c r="BE113" s="165"/>
      <c r="BF113" s="55"/>
      <c r="BG113" s="55"/>
      <c r="BH113" s="55"/>
      <c r="BI113" s="55"/>
      <c r="BJ113" s="55"/>
      <c r="BK113" s="55"/>
      <c r="BL113" s="55"/>
      <c r="BM113" s="55"/>
      <c r="BN113" s="448"/>
      <c r="BO113" s="55"/>
      <c r="BP113" s="55"/>
      <c r="BQ113" s="55"/>
      <c r="BR113" s="55"/>
      <c r="BS113" s="55"/>
      <c r="BT113" s="55"/>
      <c r="BU113" s="448"/>
      <c r="BV113" s="57"/>
      <c r="BW113" s="57"/>
      <c r="BX113" s="57"/>
      <c r="BY113" s="55"/>
      <c r="BZ113" s="55"/>
      <c r="CA113" s="754"/>
      <c r="CB113" s="754"/>
      <c r="CC113" s="754"/>
      <c r="CD113" s="429"/>
      <c r="CE113" s="429"/>
      <c r="CF113" s="429"/>
      <c r="CG113" s="429"/>
      <c r="CH113" s="429"/>
      <c r="CI113" s="439"/>
      <c r="CJ113" s="429"/>
      <c r="CK113" s="429"/>
      <c r="CL113" s="429"/>
      <c r="CM113" s="429"/>
      <c r="CN113" s="429"/>
      <c r="CO113" s="505"/>
      <c r="CP113" s="1085"/>
      <c r="CQ113" s="516"/>
      <c r="CR113" s="514"/>
      <c r="CS113" s="1087"/>
      <c r="CT113" s="516"/>
      <c r="CU113" s="516"/>
      <c r="CV113" s="516"/>
      <c r="CW113" s="516"/>
      <c r="CX113" s="516"/>
      <c r="CY113" s="516"/>
      <c r="CZ113" s="516"/>
      <c r="DA113" s="516"/>
      <c r="DB113" s="516"/>
      <c r="DC113" s="516"/>
      <c r="DD113" s="516"/>
      <c r="DE113" s="516"/>
      <c r="DF113" s="516"/>
      <c r="DG113" s="516"/>
      <c r="DH113" s="516"/>
      <c r="DI113" s="516"/>
      <c r="DJ113" s="516"/>
      <c r="DK113" s="516"/>
      <c r="DL113" s="516"/>
      <c r="DM113" s="516"/>
      <c r="DN113" s="516">
        <f t="shared" si="55"/>
        <v>0</v>
      </c>
      <c r="DO113" s="1085"/>
    </row>
    <row r="114" spans="1:323" s="16" customFormat="1" ht="15" x14ac:dyDescent="0.2">
      <c r="A114" s="328" t="s">
        <v>1165</v>
      </c>
      <c r="B114" s="328" t="s">
        <v>1166</v>
      </c>
      <c r="C114" s="341" t="s">
        <v>355</v>
      </c>
      <c r="D114" s="329">
        <v>10</v>
      </c>
      <c r="E114" s="342">
        <v>0.1</v>
      </c>
      <c r="F114" s="46">
        <v>43281</v>
      </c>
      <c r="G114" s="331">
        <v>120</v>
      </c>
      <c r="H114" s="332">
        <f>100/G114</f>
        <v>0.83333333333333337</v>
      </c>
      <c r="I114" s="333">
        <v>0</v>
      </c>
      <c r="J114" s="48">
        <f>(YEAR(F114)-YEAR(S114))*12+MONTH(F114)-MONTH(S114)</f>
        <v>157</v>
      </c>
      <c r="K114" s="333">
        <f>L114*H114</f>
        <v>-30.833333333333336</v>
      </c>
      <c r="L114" s="331">
        <f>G114-J114</f>
        <v>-37</v>
      </c>
      <c r="M114" s="333">
        <f>N114*H114</f>
        <v>-30.833333333333336</v>
      </c>
      <c r="N114" s="48">
        <f>G114-J114</f>
        <v>-37</v>
      </c>
      <c r="O114" s="165">
        <f>K114-M114</f>
        <v>0</v>
      </c>
      <c r="P114" s="331">
        <f>L114-N114</f>
        <v>0</v>
      </c>
      <c r="Q114" s="462">
        <f>DATE(YEAR(S114),MONTH(S114)+G114,DAY(S114))</f>
        <v>42142</v>
      </c>
      <c r="R114" s="331" t="s">
        <v>1169</v>
      </c>
      <c r="S114" s="330">
        <v>38490</v>
      </c>
      <c r="T114" s="335">
        <v>818488.93</v>
      </c>
      <c r="U114" s="337">
        <v>0</v>
      </c>
      <c r="V114" s="338">
        <v>0</v>
      </c>
      <c r="W114" s="338">
        <v>0</v>
      </c>
      <c r="X114" s="337">
        <v>115.958</v>
      </c>
      <c r="Y114" s="345">
        <v>0</v>
      </c>
      <c r="Z114" s="337">
        <v>0</v>
      </c>
      <c r="AA114" s="345">
        <v>0</v>
      </c>
      <c r="AB114" s="338">
        <v>0</v>
      </c>
      <c r="AC114" s="338">
        <v>0</v>
      </c>
      <c r="AD114" s="338">
        <v>0</v>
      </c>
      <c r="AE114" s="338">
        <f>AD114*AC114</f>
        <v>0</v>
      </c>
      <c r="AF114" s="338"/>
      <c r="AG114" s="338"/>
      <c r="AH114" s="338"/>
      <c r="AI114" s="338"/>
      <c r="AJ114" s="338"/>
      <c r="AK114" s="339"/>
      <c r="AL114" s="339"/>
      <c r="AM114" s="339"/>
      <c r="AN114" s="339">
        <v>0</v>
      </c>
      <c r="AO114" s="339">
        <v>0</v>
      </c>
      <c r="AP114" s="339">
        <f>T114</f>
        <v>818488.93</v>
      </c>
      <c r="AQ114" s="493"/>
      <c r="AR114" s="493"/>
      <c r="AS114" s="493">
        <f>T114</f>
        <v>818488.93</v>
      </c>
      <c r="AT114" s="55"/>
      <c r="AU114" s="55"/>
      <c r="AV114" s="55">
        <v>0</v>
      </c>
      <c r="AW114" s="55">
        <v>0</v>
      </c>
      <c r="AX114" s="55">
        <v>0</v>
      </c>
      <c r="AY114" s="55">
        <v>0</v>
      </c>
      <c r="AZ114" s="55"/>
      <c r="BA114" s="80">
        <v>118.901</v>
      </c>
      <c r="BB114" s="345">
        <v>124.598</v>
      </c>
      <c r="BC114" s="57">
        <f>BA114/BB114</f>
        <v>0.95427695468627105</v>
      </c>
      <c r="BD114" s="165">
        <f>T114/(D114*12)</f>
        <v>6820.7410833333333</v>
      </c>
      <c r="BE114" s="165">
        <f>BD114*BC114</f>
        <v>6508.8760297068702</v>
      </c>
      <c r="BF114" s="55"/>
      <c r="BG114" s="55"/>
      <c r="BH114" s="55">
        <v>0</v>
      </c>
      <c r="BI114" s="55">
        <v>0</v>
      </c>
      <c r="BJ114" s="55">
        <v>0</v>
      </c>
      <c r="BK114" s="55">
        <v>0</v>
      </c>
      <c r="BL114" s="55">
        <v>0</v>
      </c>
      <c r="BM114" s="55">
        <f>SUM(BF114:BL114)</f>
        <v>0</v>
      </c>
      <c r="BN114" s="448">
        <f>(AS114-BM114)</f>
        <v>818488.93</v>
      </c>
      <c r="BO114" s="55">
        <v>27.31</v>
      </c>
      <c r="BP114" s="55">
        <v>27.31</v>
      </c>
      <c r="BQ114" s="55">
        <v>27.31</v>
      </c>
      <c r="BR114" s="55">
        <v>27.31</v>
      </c>
      <c r="BS114" s="55">
        <v>27.31</v>
      </c>
      <c r="BT114" s="55">
        <f>SUM(BO114:BS114)</f>
        <v>136.54999999999998</v>
      </c>
      <c r="BU114" s="448">
        <v>1</v>
      </c>
      <c r="BV114" s="57">
        <v>126.408</v>
      </c>
      <c r="BW114" s="57">
        <v>126.09099999999999</v>
      </c>
      <c r="BX114" s="57">
        <f>BV114/BW114</f>
        <v>1.0025140573078175</v>
      </c>
      <c r="BY114" s="753">
        <v>0</v>
      </c>
      <c r="BZ114" s="55">
        <v>0</v>
      </c>
      <c r="CA114" s="755"/>
      <c r="CB114" s="755"/>
      <c r="CC114" s="710"/>
      <c r="CD114" s="710"/>
      <c r="CE114" s="710"/>
      <c r="CF114" s="710"/>
      <c r="CG114" s="710"/>
      <c r="CH114" s="429">
        <f>SUM(CA114:CG114)</f>
        <v>0</v>
      </c>
      <c r="CI114" s="439">
        <f>BU114-CH114</f>
        <v>1</v>
      </c>
      <c r="CJ114" s="710">
        <v>0</v>
      </c>
      <c r="CK114" s="710">
        <v>0</v>
      </c>
      <c r="CL114" s="710">
        <v>0</v>
      </c>
      <c r="CM114" s="710">
        <v>0</v>
      </c>
      <c r="CN114" s="710">
        <v>0</v>
      </c>
      <c r="CO114" s="505">
        <f t="shared" si="53"/>
        <v>0</v>
      </c>
      <c r="CP114" s="1085">
        <f t="shared" ref="CP114:CP115" si="73">CI114-CO114</f>
        <v>1</v>
      </c>
      <c r="CQ114" s="1086">
        <v>132.28200000000001</v>
      </c>
      <c r="CR114" s="514">
        <v>126.09099999999999</v>
      </c>
      <c r="CS114" s="1087">
        <f t="shared" ref="CS114:CS115" si="74">CQ114/CR114</f>
        <v>1.0490994599138719</v>
      </c>
      <c r="CT114" s="516">
        <v>0</v>
      </c>
      <c r="CU114" s="516">
        <f>CT114*CS114</f>
        <v>0</v>
      </c>
      <c r="CV114" s="516">
        <v>0</v>
      </c>
      <c r="CW114" s="516">
        <v>0</v>
      </c>
      <c r="CX114" s="516">
        <v>0</v>
      </c>
      <c r="CY114" s="516">
        <v>0</v>
      </c>
      <c r="CZ114" s="516">
        <v>0</v>
      </c>
      <c r="DA114" s="516">
        <v>0</v>
      </c>
      <c r="DB114" s="516">
        <v>0</v>
      </c>
      <c r="DC114" s="516">
        <v>0</v>
      </c>
      <c r="DD114" s="516">
        <v>0</v>
      </c>
      <c r="DE114" s="516">
        <v>0</v>
      </c>
      <c r="DF114" s="516">
        <v>0</v>
      </c>
      <c r="DG114" s="516">
        <v>0</v>
      </c>
      <c r="DH114" s="516">
        <v>0</v>
      </c>
      <c r="DI114" s="516">
        <v>0</v>
      </c>
      <c r="DJ114" s="516">
        <v>0</v>
      </c>
      <c r="DK114" s="516">
        <v>0</v>
      </c>
      <c r="DL114" s="516">
        <v>0</v>
      </c>
      <c r="DM114" s="516">
        <v>0</v>
      </c>
      <c r="DN114" s="516">
        <f t="shared" si="55"/>
        <v>0</v>
      </c>
      <c r="DO114" s="1085">
        <f t="shared" si="52"/>
        <v>1</v>
      </c>
    </row>
    <row r="115" spans="1:323" s="16" customFormat="1" ht="15" x14ac:dyDescent="0.2">
      <c r="A115" s="328" t="s">
        <v>1167</v>
      </c>
      <c r="B115" s="328" t="s">
        <v>1168</v>
      </c>
      <c r="C115" s="341" t="s">
        <v>355</v>
      </c>
      <c r="D115" s="329">
        <v>10</v>
      </c>
      <c r="E115" s="342">
        <v>0.1</v>
      </c>
      <c r="F115" s="46">
        <v>43281</v>
      </c>
      <c r="G115" s="331">
        <v>120</v>
      </c>
      <c r="H115" s="332">
        <f>100/G115</f>
        <v>0.83333333333333337</v>
      </c>
      <c r="I115" s="333">
        <v>0</v>
      </c>
      <c r="J115" s="48">
        <f>(YEAR(F115)-YEAR(S115))*12+MONTH(F115)-MONTH(S115)</f>
        <v>157</v>
      </c>
      <c r="K115" s="333">
        <f>L115*H115</f>
        <v>-30.833333333333336</v>
      </c>
      <c r="L115" s="331">
        <f>G115-J115</f>
        <v>-37</v>
      </c>
      <c r="M115" s="333">
        <f>N115*H115</f>
        <v>-30.833333333333336</v>
      </c>
      <c r="N115" s="48">
        <f>G115-J115</f>
        <v>-37</v>
      </c>
      <c r="O115" s="165">
        <f>K115-M115</f>
        <v>0</v>
      </c>
      <c r="P115" s="331">
        <f>L115-N115</f>
        <v>0</v>
      </c>
      <c r="Q115" s="462">
        <f>DATE(YEAR(S115),MONTH(S115)+G115,DAY(S115))</f>
        <v>42142</v>
      </c>
      <c r="R115" s="331" t="s">
        <v>1170</v>
      </c>
      <c r="S115" s="330">
        <v>38490</v>
      </c>
      <c r="T115" s="335">
        <v>280504.64</v>
      </c>
      <c r="U115" s="337">
        <v>0</v>
      </c>
      <c r="V115" s="338">
        <v>0</v>
      </c>
      <c r="W115" s="338">
        <v>0</v>
      </c>
      <c r="X115" s="337">
        <v>115.958</v>
      </c>
      <c r="Y115" s="345">
        <v>0</v>
      </c>
      <c r="Z115" s="337">
        <v>0</v>
      </c>
      <c r="AA115" s="345">
        <v>0</v>
      </c>
      <c r="AB115" s="338">
        <v>0</v>
      </c>
      <c r="AC115" s="338">
        <v>0</v>
      </c>
      <c r="AD115" s="338">
        <v>0</v>
      </c>
      <c r="AE115" s="338">
        <f>AD115*AC115</f>
        <v>0</v>
      </c>
      <c r="AF115" s="338"/>
      <c r="AG115" s="338"/>
      <c r="AH115" s="338"/>
      <c r="AI115" s="338"/>
      <c r="AJ115" s="338"/>
      <c r="AK115" s="339"/>
      <c r="AL115" s="339"/>
      <c r="AM115" s="339"/>
      <c r="AN115" s="339">
        <v>0</v>
      </c>
      <c r="AO115" s="339">
        <v>0</v>
      </c>
      <c r="AP115" s="339">
        <f>T115</f>
        <v>280504.64</v>
      </c>
      <c r="AQ115" s="493"/>
      <c r="AR115" s="493"/>
      <c r="AS115" s="493">
        <f>T115</f>
        <v>280504.64</v>
      </c>
      <c r="AT115" s="55"/>
      <c r="AU115" s="55"/>
      <c r="AV115" s="55">
        <v>0</v>
      </c>
      <c r="AW115" s="55">
        <v>0</v>
      </c>
      <c r="AX115" s="55">
        <v>0</v>
      </c>
      <c r="AY115" s="55">
        <v>0</v>
      </c>
      <c r="AZ115" s="55"/>
      <c r="BA115" s="80">
        <v>118.901</v>
      </c>
      <c r="BB115" s="345">
        <v>124.598</v>
      </c>
      <c r="BC115" s="57">
        <f>BA115/BB115</f>
        <v>0.95427695468627105</v>
      </c>
      <c r="BD115" s="165">
        <f>T115/(D115*12)</f>
        <v>2337.5386666666668</v>
      </c>
      <c r="BE115" s="165">
        <f>BD115*BC115</f>
        <v>2230.6592802880732</v>
      </c>
      <c r="BF115" s="55"/>
      <c r="BG115" s="55"/>
      <c r="BH115" s="55">
        <v>0</v>
      </c>
      <c r="BI115" s="55">
        <v>0</v>
      </c>
      <c r="BJ115" s="55">
        <v>0</v>
      </c>
      <c r="BK115" s="55">
        <v>0</v>
      </c>
      <c r="BL115" s="55">
        <v>0</v>
      </c>
      <c r="BM115" s="55">
        <f>SUM(BF115:BL115)</f>
        <v>0</v>
      </c>
      <c r="BN115" s="448">
        <f>(AS115-BM115)</f>
        <v>280504.64</v>
      </c>
      <c r="BO115" s="55">
        <v>27.31</v>
      </c>
      <c r="BP115" s="55">
        <v>27.31</v>
      </c>
      <c r="BQ115" s="55">
        <v>27.31</v>
      </c>
      <c r="BR115" s="55">
        <v>27.31</v>
      </c>
      <c r="BS115" s="55">
        <v>27.31</v>
      </c>
      <c r="BT115" s="55">
        <f>SUM(BO115:BS115)</f>
        <v>136.54999999999998</v>
      </c>
      <c r="BU115" s="448">
        <v>1</v>
      </c>
      <c r="BV115" s="57">
        <v>126.408</v>
      </c>
      <c r="BW115" s="57">
        <v>126.09099999999999</v>
      </c>
      <c r="BX115" s="57">
        <f>BV115/BW115</f>
        <v>1.0025140573078175</v>
      </c>
      <c r="BY115" s="753">
        <v>0</v>
      </c>
      <c r="BZ115" s="55">
        <v>0</v>
      </c>
      <c r="CA115" s="755"/>
      <c r="CB115" s="755"/>
      <c r="CC115" s="710"/>
      <c r="CD115" s="710"/>
      <c r="CE115" s="710"/>
      <c r="CF115" s="710"/>
      <c r="CG115" s="710"/>
      <c r="CH115" s="429">
        <f>SUM(CA115:CG115)</f>
        <v>0</v>
      </c>
      <c r="CI115" s="439">
        <f>BU115-CH115</f>
        <v>1</v>
      </c>
      <c r="CJ115" s="710">
        <v>0</v>
      </c>
      <c r="CK115" s="710">
        <v>0</v>
      </c>
      <c r="CL115" s="710">
        <v>0</v>
      </c>
      <c r="CM115" s="710">
        <v>0</v>
      </c>
      <c r="CN115" s="710">
        <v>0</v>
      </c>
      <c r="CO115" s="505">
        <f t="shared" si="53"/>
        <v>0</v>
      </c>
      <c r="CP115" s="1085">
        <f t="shared" si="73"/>
        <v>1</v>
      </c>
      <c r="CQ115" s="1086">
        <v>132.28200000000001</v>
      </c>
      <c r="CR115" s="514">
        <v>126.09099999999999</v>
      </c>
      <c r="CS115" s="1087">
        <f t="shared" si="74"/>
        <v>1.0490994599138719</v>
      </c>
      <c r="CT115" s="516">
        <v>0</v>
      </c>
      <c r="CU115" s="516">
        <f>CT115*CS115</f>
        <v>0</v>
      </c>
      <c r="CV115" s="516">
        <v>0</v>
      </c>
      <c r="CW115" s="516">
        <v>0</v>
      </c>
      <c r="CX115" s="516">
        <v>0</v>
      </c>
      <c r="CY115" s="516">
        <v>0</v>
      </c>
      <c r="CZ115" s="516">
        <v>0</v>
      </c>
      <c r="DA115" s="516">
        <v>0</v>
      </c>
      <c r="DB115" s="516">
        <v>0</v>
      </c>
      <c r="DC115" s="516">
        <v>0</v>
      </c>
      <c r="DD115" s="516">
        <v>0</v>
      </c>
      <c r="DE115" s="516">
        <v>0</v>
      </c>
      <c r="DF115" s="516">
        <v>0</v>
      </c>
      <c r="DG115" s="516">
        <v>0</v>
      </c>
      <c r="DH115" s="516">
        <v>0</v>
      </c>
      <c r="DI115" s="516">
        <v>0</v>
      </c>
      <c r="DJ115" s="516">
        <v>0</v>
      </c>
      <c r="DK115" s="516">
        <v>0</v>
      </c>
      <c r="DL115" s="516">
        <v>0</v>
      </c>
      <c r="DM115" s="516">
        <v>0</v>
      </c>
      <c r="DN115" s="516">
        <f t="shared" si="55"/>
        <v>0</v>
      </c>
      <c r="DO115" s="1085">
        <f t="shared" si="52"/>
        <v>1</v>
      </c>
    </row>
    <row r="116" spans="1:323" s="16" customFormat="1" ht="15" x14ac:dyDescent="0.2">
      <c r="A116" s="120" t="s">
        <v>1215</v>
      </c>
      <c r="B116" s="328"/>
      <c r="C116" s="341"/>
      <c r="D116" s="329"/>
      <c r="E116" s="342"/>
      <c r="F116" s="46"/>
      <c r="G116" s="331"/>
      <c r="H116" s="332"/>
      <c r="I116" s="333"/>
      <c r="J116" s="44"/>
      <c r="K116" s="333"/>
      <c r="L116" s="331"/>
      <c r="M116" s="333"/>
      <c r="N116" s="331"/>
      <c r="O116" s="165"/>
      <c r="P116" s="331"/>
      <c r="Q116" s="462"/>
      <c r="R116" s="331"/>
      <c r="S116" s="330"/>
      <c r="T116" s="335"/>
      <c r="U116" s="337"/>
      <c r="V116" s="338"/>
      <c r="W116" s="338"/>
      <c r="X116" s="337"/>
      <c r="Y116" s="345"/>
      <c r="Z116" s="337"/>
      <c r="AA116" s="345"/>
      <c r="AB116" s="338"/>
      <c r="AC116" s="338"/>
      <c r="AD116" s="338"/>
      <c r="AE116" s="338"/>
      <c r="AF116" s="338"/>
      <c r="AG116" s="338"/>
      <c r="AH116" s="338"/>
      <c r="AI116" s="338"/>
      <c r="AJ116" s="338"/>
      <c r="AK116" s="339"/>
      <c r="AL116" s="339"/>
      <c r="AM116" s="339"/>
      <c r="AN116" s="339"/>
      <c r="AO116" s="339"/>
      <c r="AP116" s="339"/>
      <c r="AQ116" s="493"/>
      <c r="AR116" s="493"/>
      <c r="AS116" s="493"/>
      <c r="AT116" s="55"/>
      <c r="AU116" s="55"/>
      <c r="AV116" s="55"/>
      <c r="AW116" s="55"/>
      <c r="AX116" s="55"/>
      <c r="AY116" s="55"/>
      <c r="AZ116" s="55"/>
      <c r="BA116" s="80"/>
      <c r="BB116" s="345"/>
      <c r="BC116" s="57"/>
      <c r="BD116" s="165"/>
      <c r="BE116" s="165"/>
      <c r="BF116" s="55"/>
      <c r="BG116" s="55"/>
      <c r="BH116" s="55"/>
      <c r="BI116" s="55"/>
      <c r="BJ116" s="55"/>
      <c r="BK116" s="55"/>
      <c r="BL116" s="55"/>
      <c r="BM116" s="55"/>
      <c r="BN116" s="448"/>
      <c r="BO116" s="55"/>
      <c r="BP116" s="55"/>
      <c r="BQ116" s="55"/>
      <c r="BR116" s="55"/>
      <c r="BS116" s="55"/>
      <c r="BT116" s="55"/>
      <c r="BU116" s="448"/>
      <c r="BV116" s="57"/>
      <c r="BW116" s="57"/>
      <c r="BX116" s="57"/>
      <c r="BY116" s="753"/>
      <c r="BZ116" s="55"/>
      <c r="CA116" s="755"/>
      <c r="CB116" s="755"/>
      <c r="CC116" s="710"/>
      <c r="CD116" s="710"/>
      <c r="CE116" s="710"/>
      <c r="CF116" s="710"/>
      <c r="CG116" s="710"/>
      <c r="CH116" s="429"/>
      <c r="CI116" s="439"/>
      <c r="CJ116" s="710"/>
      <c r="CK116" s="710"/>
      <c r="CL116" s="710"/>
      <c r="CM116" s="710"/>
      <c r="CN116" s="710"/>
      <c r="CO116" s="505"/>
      <c r="CP116" s="1085"/>
      <c r="CQ116" s="520"/>
      <c r="CR116" s="514"/>
      <c r="CS116" s="1087"/>
      <c r="CT116" s="516"/>
      <c r="CU116" s="516"/>
      <c r="CV116" s="516"/>
      <c r="CW116" s="516"/>
      <c r="CX116" s="516"/>
      <c r="CY116" s="516"/>
      <c r="CZ116" s="516"/>
      <c r="DA116" s="516"/>
      <c r="DB116" s="516"/>
      <c r="DC116" s="516"/>
      <c r="DD116" s="516"/>
      <c r="DE116" s="516"/>
      <c r="DF116" s="516"/>
      <c r="DG116" s="516"/>
      <c r="DH116" s="516"/>
      <c r="DI116" s="516"/>
      <c r="DJ116" s="516"/>
      <c r="DK116" s="516"/>
      <c r="DL116" s="516"/>
      <c r="DM116" s="516"/>
      <c r="DN116" s="516">
        <f t="shared" si="55"/>
        <v>0</v>
      </c>
      <c r="DO116" s="1085"/>
    </row>
    <row r="117" spans="1:323" s="16" customFormat="1" ht="15" x14ac:dyDescent="0.2">
      <c r="A117" s="120" t="s">
        <v>1215</v>
      </c>
      <c r="B117" s="328"/>
      <c r="C117" s="341"/>
      <c r="D117" s="329"/>
      <c r="E117" s="342"/>
      <c r="F117" s="46"/>
      <c r="G117" s="331"/>
      <c r="H117" s="332"/>
      <c r="I117" s="333"/>
      <c r="J117" s="44"/>
      <c r="K117" s="333"/>
      <c r="L117" s="331"/>
      <c r="M117" s="333"/>
      <c r="N117" s="331"/>
      <c r="O117" s="165"/>
      <c r="P117" s="331"/>
      <c r="Q117" s="462"/>
      <c r="R117" s="331"/>
      <c r="S117" s="330"/>
      <c r="T117" s="335"/>
      <c r="U117" s="337"/>
      <c r="V117" s="338"/>
      <c r="W117" s="338"/>
      <c r="X117" s="337"/>
      <c r="Y117" s="345"/>
      <c r="Z117" s="337"/>
      <c r="AA117" s="345"/>
      <c r="AB117" s="338"/>
      <c r="AC117" s="338"/>
      <c r="AD117" s="338"/>
      <c r="AE117" s="338"/>
      <c r="AF117" s="338"/>
      <c r="AG117" s="338"/>
      <c r="AH117" s="338"/>
      <c r="AI117" s="338"/>
      <c r="AJ117" s="338"/>
      <c r="AK117" s="339"/>
      <c r="AL117" s="339"/>
      <c r="AM117" s="339"/>
      <c r="AN117" s="339"/>
      <c r="AO117" s="339"/>
      <c r="AP117" s="339"/>
      <c r="AQ117" s="493"/>
      <c r="AR117" s="493"/>
      <c r="AS117" s="493"/>
      <c r="AT117" s="55"/>
      <c r="AU117" s="55"/>
      <c r="AV117" s="55"/>
      <c r="AW117" s="55"/>
      <c r="AX117" s="55"/>
      <c r="AY117" s="55"/>
      <c r="AZ117" s="55"/>
      <c r="BA117" s="80"/>
      <c r="BB117" s="345"/>
      <c r="BC117" s="57"/>
      <c r="BD117" s="165"/>
      <c r="BE117" s="165"/>
      <c r="BF117" s="55"/>
      <c r="BG117" s="55"/>
      <c r="BH117" s="55"/>
      <c r="BI117" s="55"/>
      <c r="BJ117" s="55"/>
      <c r="BK117" s="55"/>
      <c r="BL117" s="55"/>
      <c r="BM117" s="55"/>
      <c r="BN117" s="448"/>
      <c r="BO117" s="55"/>
      <c r="BP117" s="55"/>
      <c r="BQ117" s="55"/>
      <c r="BR117" s="55"/>
      <c r="BS117" s="55"/>
      <c r="BT117" s="55"/>
      <c r="BU117" s="448"/>
      <c r="BV117" s="57"/>
      <c r="BW117" s="57"/>
      <c r="BX117" s="57"/>
      <c r="BY117" s="753"/>
      <c r="BZ117" s="55"/>
      <c r="CA117" s="755"/>
      <c r="CB117" s="755"/>
      <c r="CC117" s="710"/>
      <c r="CD117" s="710"/>
      <c r="CE117" s="710"/>
      <c r="CF117" s="710"/>
      <c r="CG117" s="710"/>
      <c r="CH117" s="429"/>
      <c r="CI117" s="439"/>
      <c r="CJ117" s="710"/>
      <c r="CK117" s="710"/>
      <c r="CL117" s="710"/>
      <c r="CM117" s="710"/>
      <c r="CN117" s="710"/>
      <c r="CO117" s="505"/>
      <c r="CP117" s="1085"/>
      <c r="CQ117" s="1086"/>
      <c r="CR117" s="514"/>
      <c r="CS117" s="1087"/>
      <c r="CT117" s="516"/>
      <c r="CU117" s="516"/>
      <c r="CV117" s="516"/>
      <c r="CW117" s="516"/>
      <c r="CX117" s="516"/>
      <c r="CY117" s="516"/>
      <c r="CZ117" s="516"/>
      <c r="DA117" s="516"/>
      <c r="DB117" s="516"/>
      <c r="DC117" s="516"/>
      <c r="DD117" s="516"/>
      <c r="DE117" s="516"/>
      <c r="DF117" s="516"/>
      <c r="DG117" s="516"/>
      <c r="DH117" s="516"/>
      <c r="DI117" s="516"/>
      <c r="DJ117" s="516"/>
      <c r="DK117" s="516"/>
      <c r="DL117" s="516"/>
      <c r="DM117" s="516"/>
      <c r="DN117" s="516">
        <f t="shared" si="55"/>
        <v>0</v>
      </c>
      <c r="DO117" s="1085"/>
    </row>
    <row r="118" spans="1:323" s="213" customFormat="1" ht="15" x14ac:dyDescent="0.2">
      <c r="A118" s="215" t="s">
        <v>1216</v>
      </c>
      <c r="B118" s="215" t="s">
        <v>1217</v>
      </c>
      <c r="C118" s="216" t="s">
        <v>355</v>
      </c>
      <c r="D118" s="217">
        <v>1</v>
      </c>
      <c r="E118" s="840">
        <v>1</v>
      </c>
      <c r="F118" s="46">
        <v>43281</v>
      </c>
      <c r="G118" s="795">
        <v>12</v>
      </c>
      <c r="H118" s="221">
        <f>100/G118</f>
        <v>8.3333333333333339</v>
      </c>
      <c r="I118" s="222">
        <f>H118*J118</f>
        <v>75</v>
      </c>
      <c r="J118" s="48">
        <f>(YEAR(F118)-YEAR(S118))*12+MONTH(F118)-MONTH(S118)</f>
        <v>9</v>
      </c>
      <c r="K118" s="222">
        <v>100</v>
      </c>
      <c r="L118" s="883">
        <v>12</v>
      </c>
      <c r="M118" s="222">
        <f>N118*H118</f>
        <v>25</v>
      </c>
      <c r="N118" s="48">
        <f>G118-J118</f>
        <v>3</v>
      </c>
      <c r="O118" s="222">
        <f>K118-M118</f>
        <v>75</v>
      </c>
      <c r="P118" s="220">
        <f>L118-N118</f>
        <v>9</v>
      </c>
      <c r="Q118" s="219">
        <v>43363</v>
      </c>
      <c r="R118" s="795" t="s">
        <v>1193</v>
      </c>
      <c r="S118" s="214">
        <v>42998</v>
      </c>
      <c r="T118" s="223">
        <v>1300</v>
      </c>
      <c r="U118" s="225"/>
      <c r="V118" s="227"/>
      <c r="W118" s="227"/>
      <c r="X118" s="225"/>
      <c r="Y118" s="848"/>
      <c r="Z118" s="225"/>
      <c r="AA118" s="848"/>
      <c r="AB118" s="227"/>
      <c r="AC118" s="227"/>
      <c r="AD118" s="227"/>
      <c r="AE118" s="227"/>
      <c r="AF118" s="227"/>
      <c r="AG118" s="227"/>
      <c r="AH118" s="227"/>
      <c r="AI118" s="227"/>
      <c r="AJ118" s="227"/>
      <c r="AK118" s="228"/>
      <c r="AL118" s="228"/>
      <c r="AM118" s="228"/>
      <c r="AN118" s="228"/>
      <c r="AO118" s="228"/>
      <c r="AP118" s="228"/>
      <c r="AQ118" s="802"/>
      <c r="AR118" s="802"/>
      <c r="AS118" s="802"/>
      <c r="AT118" s="227"/>
      <c r="AU118" s="227"/>
      <c r="AV118" s="227"/>
      <c r="AW118" s="227"/>
      <c r="AX118" s="227"/>
      <c r="AY118" s="227"/>
      <c r="AZ118" s="227"/>
      <c r="BA118" s="226"/>
      <c r="BB118" s="848"/>
      <c r="BC118" s="225"/>
      <c r="BD118" s="222"/>
      <c r="BE118" s="222"/>
      <c r="BF118" s="227"/>
      <c r="BG118" s="227"/>
      <c r="BH118" s="227"/>
      <c r="BI118" s="227"/>
      <c r="BJ118" s="227"/>
      <c r="BK118" s="227"/>
      <c r="BL118" s="227"/>
      <c r="BM118" s="227"/>
      <c r="BN118" s="800"/>
      <c r="BO118" s="227"/>
      <c r="BP118" s="227"/>
      <c r="BQ118" s="227"/>
      <c r="BR118" s="227"/>
      <c r="BS118" s="227"/>
      <c r="BT118" s="227"/>
      <c r="BU118" s="223">
        <v>1300</v>
      </c>
      <c r="BV118" s="225">
        <v>126.408</v>
      </c>
      <c r="BW118" s="225">
        <v>127.91200000000001</v>
      </c>
      <c r="BX118" s="225">
        <f>BV118/BW118</f>
        <v>0.98824191631746827</v>
      </c>
      <c r="BY118" s="804"/>
      <c r="BZ118" s="227">
        <f>BU118/G118</f>
        <v>108.33333333333333</v>
      </c>
      <c r="CA118" s="805"/>
      <c r="CB118" s="805"/>
      <c r="CC118" s="877"/>
      <c r="CD118" s="915">
        <v>108.33</v>
      </c>
      <c r="CE118" s="916">
        <v>108.33</v>
      </c>
      <c r="CF118" s="916">
        <v>108.33</v>
      </c>
      <c r="CG118" s="916">
        <v>108.33</v>
      </c>
      <c r="CH118" s="880">
        <f>SUM(CA118:CG118)</f>
        <v>433.32</v>
      </c>
      <c r="CI118" s="803">
        <f>BU118-CH118</f>
        <v>866.68000000000006</v>
      </c>
      <c r="CJ118" s="916">
        <v>108.33</v>
      </c>
      <c r="CK118" s="916">
        <v>108.33</v>
      </c>
      <c r="CL118" s="916">
        <v>108.33</v>
      </c>
      <c r="CM118" s="916">
        <v>108.33</v>
      </c>
      <c r="CN118" s="916">
        <v>108.33</v>
      </c>
      <c r="CO118" s="505">
        <f t="shared" si="53"/>
        <v>541.65</v>
      </c>
      <c r="CP118" s="1085">
        <f t="shared" ref="CP118" si="75">CI118-CO118</f>
        <v>325.03000000000009</v>
      </c>
      <c r="CQ118" s="1086">
        <v>132.28200000000001</v>
      </c>
      <c r="CR118" s="1121">
        <v>127.91200000000001</v>
      </c>
      <c r="CS118" s="1087">
        <f>CQ118/CR118</f>
        <v>1.0341641128275689</v>
      </c>
      <c r="CT118" s="516">
        <f>CP118/L118</f>
        <v>27.085833333333341</v>
      </c>
      <c r="CU118" s="516">
        <f>CS118*CT118</f>
        <v>28.011196799362068</v>
      </c>
      <c r="CV118" s="516">
        <v>28.011196799362068</v>
      </c>
      <c r="CW118" s="516">
        <v>28.011196799362068</v>
      </c>
      <c r="CX118" s="516">
        <v>28.011196799362068</v>
      </c>
      <c r="CY118" s="516">
        <v>28.011196799362068</v>
      </c>
      <c r="CZ118" s="516">
        <v>28.011196799362068</v>
      </c>
      <c r="DA118" s="516">
        <v>28.011196799362068</v>
      </c>
      <c r="DB118" s="516">
        <v>28.011196799362068</v>
      </c>
      <c r="DC118" s="516">
        <v>28.011196799362068</v>
      </c>
      <c r="DD118" s="516">
        <v>28.011196799362068</v>
      </c>
      <c r="DE118" s="516">
        <v>28.011196799362068</v>
      </c>
      <c r="DF118" s="516">
        <v>28.011196799362068</v>
      </c>
      <c r="DG118" s="516">
        <v>15.91</v>
      </c>
      <c r="DH118" s="516">
        <v>0</v>
      </c>
      <c r="DI118" s="516">
        <v>0</v>
      </c>
      <c r="DJ118" s="516">
        <v>0</v>
      </c>
      <c r="DK118" s="516">
        <v>0</v>
      </c>
      <c r="DL118" s="516">
        <v>0</v>
      </c>
      <c r="DM118" s="516">
        <v>0</v>
      </c>
      <c r="DN118" s="516">
        <f t="shared" si="55"/>
        <v>324.03316479298275</v>
      </c>
      <c r="DO118" s="1085">
        <f t="shared" si="52"/>
        <v>0.99683520701734096</v>
      </c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  <c r="IV118" s="16"/>
      <c r="IW118" s="16"/>
      <c r="IX118" s="16"/>
      <c r="IY118" s="16"/>
      <c r="IZ118" s="16"/>
      <c r="JA118" s="16"/>
      <c r="JB118" s="16"/>
      <c r="JC118" s="16"/>
      <c r="JD118" s="16"/>
      <c r="JE118" s="16"/>
      <c r="JF118" s="16"/>
      <c r="JG118" s="16"/>
      <c r="JH118" s="16"/>
      <c r="JI118" s="16"/>
      <c r="JJ118" s="16"/>
      <c r="JK118" s="16"/>
      <c r="JL118" s="16"/>
      <c r="JM118" s="16"/>
      <c r="JN118" s="16"/>
      <c r="JO118" s="16"/>
      <c r="JP118" s="16"/>
      <c r="JQ118" s="16"/>
      <c r="JR118" s="16"/>
      <c r="JS118" s="16"/>
      <c r="JT118" s="16"/>
      <c r="JU118" s="16"/>
      <c r="JV118" s="16"/>
      <c r="JW118" s="16"/>
      <c r="JX118" s="16"/>
      <c r="JY118" s="16"/>
      <c r="JZ118" s="16"/>
      <c r="KA118" s="16"/>
      <c r="KB118" s="16"/>
      <c r="KC118" s="16"/>
      <c r="KD118" s="16"/>
      <c r="KE118" s="16"/>
      <c r="KF118" s="16"/>
      <c r="KG118" s="16"/>
      <c r="KH118" s="16"/>
      <c r="KI118" s="16"/>
      <c r="KJ118" s="16"/>
      <c r="KK118" s="16"/>
      <c r="KL118" s="16"/>
      <c r="KM118" s="16"/>
      <c r="KN118" s="16"/>
      <c r="KO118" s="16"/>
      <c r="KP118" s="16"/>
      <c r="KQ118" s="16"/>
      <c r="KR118" s="16"/>
      <c r="KS118" s="16"/>
      <c r="KT118" s="16"/>
      <c r="KU118" s="16"/>
      <c r="KV118" s="16"/>
      <c r="KW118" s="16"/>
      <c r="KX118" s="16"/>
      <c r="KY118" s="16"/>
      <c r="KZ118" s="16"/>
      <c r="LA118" s="16"/>
      <c r="LB118" s="16"/>
      <c r="LC118" s="16"/>
      <c r="LD118" s="16"/>
      <c r="LE118" s="16"/>
      <c r="LF118" s="16"/>
      <c r="LG118" s="16"/>
      <c r="LH118" s="16"/>
      <c r="LI118" s="16"/>
      <c r="LJ118" s="16"/>
      <c r="LK118" s="16"/>
    </row>
    <row r="119" spans="1:323" s="811" customFormat="1" ht="15" x14ac:dyDescent="0.2">
      <c r="A119" s="120" t="s">
        <v>1218</v>
      </c>
      <c r="B119" s="176"/>
      <c r="C119" s="177"/>
      <c r="D119" s="358"/>
      <c r="E119" s="461"/>
      <c r="F119" s="462"/>
      <c r="G119" s="183"/>
      <c r="H119" s="464"/>
      <c r="I119" s="465"/>
      <c r="J119" s="463"/>
      <c r="K119" s="465"/>
      <c r="L119" s="463"/>
      <c r="M119" s="465"/>
      <c r="N119" s="463"/>
      <c r="O119" s="465"/>
      <c r="P119" s="463"/>
      <c r="Q119" s="462"/>
      <c r="R119" s="183"/>
      <c r="S119" s="367"/>
      <c r="T119" s="466"/>
      <c r="U119" s="359"/>
      <c r="V119" s="355"/>
      <c r="W119" s="355"/>
      <c r="X119" s="359"/>
      <c r="Y119" s="356"/>
      <c r="Z119" s="359"/>
      <c r="AA119" s="356"/>
      <c r="AB119" s="355"/>
      <c r="AC119" s="355"/>
      <c r="AD119" s="355"/>
      <c r="AE119" s="355"/>
      <c r="AF119" s="355"/>
      <c r="AG119" s="355"/>
      <c r="AH119" s="355"/>
      <c r="AI119" s="355"/>
      <c r="AJ119" s="355"/>
      <c r="AK119" s="354"/>
      <c r="AL119" s="354"/>
      <c r="AM119" s="354"/>
      <c r="AN119" s="354"/>
      <c r="AO119" s="354"/>
      <c r="AP119" s="354"/>
      <c r="AQ119" s="918"/>
      <c r="AR119" s="918"/>
      <c r="AS119" s="918"/>
      <c r="AT119" s="355"/>
      <c r="AU119" s="355"/>
      <c r="AV119" s="355"/>
      <c r="AW119" s="355"/>
      <c r="AX119" s="355"/>
      <c r="AY119" s="355"/>
      <c r="AZ119" s="355"/>
      <c r="BA119" s="919"/>
      <c r="BB119" s="356"/>
      <c r="BC119" s="359"/>
      <c r="BD119" s="465"/>
      <c r="BE119" s="465"/>
      <c r="BF119" s="355"/>
      <c r="BG119" s="355"/>
      <c r="BH119" s="355"/>
      <c r="BI119" s="355"/>
      <c r="BJ119" s="355"/>
      <c r="BK119" s="355"/>
      <c r="BL119" s="355"/>
      <c r="BM119" s="355"/>
      <c r="BN119" s="449"/>
      <c r="BO119" s="355"/>
      <c r="BP119" s="355"/>
      <c r="BQ119" s="355"/>
      <c r="BR119" s="355"/>
      <c r="BS119" s="355"/>
      <c r="BT119" s="355"/>
      <c r="BU119" s="466"/>
      <c r="BV119" s="359"/>
      <c r="BW119" s="359"/>
      <c r="BX119" s="359"/>
      <c r="BY119" s="807"/>
      <c r="BZ119" s="355"/>
      <c r="CA119" s="808"/>
      <c r="CB119" s="808"/>
      <c r="CC119" s="920"/>
      <c r="CD119" s="921"/>
      <c r="CE119" s="922"/>
      <c r="CF119" s="922"/>
      <c r="CG119" s="922"/>
      <c r="CH119" s="918"/>
      <c r="CI119" s="810"/>
      <c r="CJ119" s="922"/>
      <c r="CK119" s="922"/>
      <c r="CL119" s="922"/>
      <c r="CM119" s="922"/>
      <c r="CN119" s="922"/>
      <c r="CO119" s="505"/>
      <c r="CP119" s="1085"/>
      <c r="CQ119" s="520"/>
      <c r="CR119" s="526"/>
      <c r="CS119" s="1087"/>
      <c r="CT119" s="516"/>
      <c r="CU119" s="516"/>
      <c r="CV119" s="516"/>
      <c r="CW119" s="516"/>
      <c r="CX119" s="516"/>
      <c r="CY119" s="516"/>
      <c r="CZ119" s="516"/>
      <c r="DA119" s="516"/>
      <c r="DB119" s="516"/>
      <c r="DC119" s="516"/>
      <c r="DD119" s="516"/>
      <c r="DE119" s="516"/>
      <c r="DF119" s="516"/>
      <c r="DG119" s="516"/>
      <c r="DH119" s="516"/>
      <c r="DI119" s="516"/>
      <c r="DJ119" s="516"/>
      <c r="DK119" s="516"/>
      <c r="DL119" s="516"/>
      <c r="DM119" s="516"/>
      <c r="DN119" s="516">
        <f t="shared" si="55"/>
        <v>0</v>
      </c>
      <c r="DO119" s="1085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6"/>
      <c r="GS119" s="16"/>
      <c r="GT119" s="16"/>
      <c r="GU119" s="16"/>
      <c r="GV119" s="16"/>
      <c r="GW119" s="16"/>
      <c r="GX119" s="16"/>
      <c r="GY119" s="16"/>
      <c r="GZ119" s="16"/>
      <c r="HA119" s="16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  <c r="IT119" s="16"/>
      <c r="IU119" s="16"/>
      <c r="IV119" s="16"/>
      <c r="IW119" s="16"/>
      <c r="IX119" s="16"/>
      <c r="IY119" s="16"/>
      <c r="IZ119" s="16"/>
      <c r="JA119" s="16"/>
      <c r="JB119" s="16"/>
      <c r="JC119" s="16"/>
      <c r="JD119" s="16"/>
      <c r="JE119" s="16"/>
      <c r="JF119" s="16"/>
      <c r="JG119" s="16"/>
      <c r="JH119" s="16"/>
      <c r="JI119" s="16"/>
      <c r="JJ119" s="16"/>
      <c r="JK119" s="16"/>
      <c r="JL119" s="16"/>
      <c r="JM119" s="16"/>
      <c r="JN119" s="16"/>
      <c r="JO119" s="16"/>
      <c r="JP119" s="16"/>
      <c r="JQ119" s="16"/>
      <c r="JR119" s="16"/>
      <c r="JS119" s="16"/>
      <c r="JT119" s="16"/>
      <c r="JU119" s="16"/>
      <c r="JV119" s="16"/>
      <c r="JW119" s="16"/>
      <c r="JX119" s="16"/>
      <c r="JY119" s="16"/>
      <c r="JZ119" s="16"/>
      <c r="KA119" s="16"/>
      <c r="KB119" s="16"/>
      <c r="KC119" s="16"/>
      <c r="KD119" s="16"/>
      <c r="KE119" s="16"/>
      <c r="KF119" s="16"/>
      <c r="KG119" s="16"/>
      <c r="KH119" s="16"/>
      <c r="KI119" s="16"/>
      <c r="KJ119" s="16"/>
      <c r="KK119" s="16"/>
      <c r="KL119" s="16"/>
      <c r="KM119" s="16"/>
      <c r="KN119" s="16"/>
      <c r="KO119" s="16"/>
      <c r="KP119" s="16"/>
      <c r="KQ119" s="16"/>
      <c r="KR119" s="16"/>
      <c r="KS119" s="16"/>
      <c r="KT119" s="16"/>
      <c r="KU119" s="16"/>
      <c r="KV119" s="16"/>
      <c r="KW119" s="16"/>
      <c r="KX119" s="16"/>
      <c r="KY119" s="16"/>
      <c r="KZ119" s="16"/>
      <c r="LA119" s="16"/>
      <c r="LB119" s="16"/>
      <c r="LC119" s="16"/>
      <c r="LD119" s="16"/>
      <c r="LE119" s="16"/>
      <c r="LF119" s="16"/>
      <c r="LG119" s="16"/>
      <c r="LH119" s="16"/>
      <c r="LI119" s="16"/>
      <c r="LJ119" s="16"/>
      <c r="LK119" s="16"/>
    </row>
    <row r="120" spans="1:323" s="811" customFormat="1" ht="15" x14ac:dyDescent="0.2">
      <c r="A120" s="120" t="s">
        <v>1218</v>
      </c>
      <c r="B120" s="176"/>
      <c r="C120" s="177"/>
      <c r="D120" s="358"/>
      <c r="E120" s="461"/>
      <c r="F120" s="462"/>
      <c r="G120" s="183"/>
      <c r="H120" s="464"/>
      <c r="I120" s="465"/>
      <c r="J120" s="463"/>
      <c r="K120" s="465"/>
      <c r="L120" s="463"/>
      <c r="M120" s="465"/>
      <c r="N120" s="463"/>
      <c r="O120" s="465"/>
      <c r="P120" s="463"/>
      <c r="Q120" s="462"/>
      <c r="R120" s="183"/>
      <c r="S120" s="367"/>
      <c r="T120" s="466"/>
      <c r="U120" s="359"/>
      <c r="V120" s="355"/>
      <c r="W120" s="355"/>
      <c r="X120" s="359"/>
      <c r="Y120" s="356"/>
      <c r="Z120" s="359"/>
      <c r="AA120" s="356"/>
      <c r="AB120" s="355"/>
      <c r="AC120" s="355"/>
      <c r="AD120" s="355"/>
      <c r="AE120" s="355"/>
      <c r="AF120" s="355"/>
      <c r="AG120" s="355"/>
      <c r="AH120" s="355"/>
      <c r="AI120" s="355"/>
      <c r="AJ120" s="355"/>
      <c r="AK120" s="354"/>
      <c r="AL120" s="354"/>
      <c r="AM120" s="354"/>
      <c r="AN120" s="354"/>
      <c r="AO120" s="354"/>
      <c r="AP120" s="354"/>
      <c r="AQ120" s="918"/>
      <c r="AR120" s="918"/>
      <c r="AS120" s="918"/>
      <c r="AT120" s="355"/>
      <c r="AU120" s="355"/>
      <c r="AV120" s="355"/>
      <c r="AW120" s="355"/>
      <c r="AX120" s="355"/>
      <c r="AY120" s="355"/>
      <c r="AZ120" s="355"/>
      <c r="BA120" s="919"/>
      <c r="BB120" s="356"/>
      <c r="BC120" s="359"/>
      <c r="BD120" s="465"/>
      <c r="BE120" s="465"/>
      <c r="BF120" s="355"/>
      <c r="BG120" s="355"/>
      <c r="BH120" s="355"/>
      <c r="BI120" s="355"/>
      <c r="BJ120" s="355"/>
      <c r="BK120" s="355"/>
      <c r="BL120" s="355"/>
      <c r="BM120" s="355"/>
      <c r="BN120" s="449"/>
      <c r="BO120" s="355"/>
      <c r="BP120" s="355"/>
      <c r="BQ120" s="355"/>
      <c r="BR120" s="355"/>
      <c r="BS120" s="355"/>
      <c r="BT120" s="355"/>
      <c r="BU120" s="466"/>
      <c r="BV120" s="359"/>
      <c r="BW120" s="359"/>
      <c r="BX120" s="359"/>
      <c r="BY120" s="807"/>
      <c r="BZ120" s="355"/>
      <c r="CA120" s="808"/>
      <c r="CB120" s="808"/>
      <c r="CC120" s="920"/>
      <c r="CD120" s="921"/>
      <c r="CE120" s="922"/>
      <c r="CF120" s="922"/>
      <c r="CG120" s="922"/>
      <c r="CH120" s="918"/>
      <c r="CI120" s="810"/>
      <c r="CJ120" s="922"/>
      <c r="CK120" s="922"/>
      <c r="CL120" s="922"/>
      <c r="CM120" s="922"/>
      <c r="CN120" s="922"/>
      <c r="CO120" s="505"/>
      <c r="CP120" s="1085"/>
      <c r="CQ120" s="514"/>
      <c r="CR120" s="526"/>
      <c r="CS120" s="1087"/>
      <c r="CT120" s="516"/>
      <c r="CU120" s="516"/>
      <c r="CV120" s="516"/>
      <c r="CW120" s="516"/>
      <c r="CX120" s="516"/>
      <c r="CY120" s="516"/>
      <c r="CZ120" s="516"/>
      <c r="DA120" s="516"/>
      <c r="DB120" s="516"/>
      <c r="DC120" s="516"/>
      <c r="DD120" s="516"/>
      <c r="DE120" s="516"/>
      <c r="DF120" s="516"/>
      <c r="DG120" s="516"/>
      <c r="DH120" s="516"/>
      <c r="DI120" s="516"/>
      <c r="DJ120" s="516"/>
      <c r="DK120" s="516"/>
      <c r="DL120" s="516"/>
      <c r="DM120" s="516"/>
      <c r="DN120" s="516">
        <f t="shared" si="55"/>
        <v>0</v>
      </c>
      <c r="DO120" s="1085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  <c r="FK120" s="16"/>
      <c r="FL120" s="16"/>
      <c r="FM120" s="16"/>
      <c r="FN120" s="16"/>
      <c r="FO120" s="16"/>
      <c r="FP120" s="16"/>
      <c r="FQ120" s="16"/>
      <c r="FR120" s="16"/>
      <c r="FS120" s="16"/>
      <c r="FT120" s="16"/>
      <c r="FU120" s="16"/>
      <c r="FV120" s="16"/>
      <c r="FW120" s="16"/>
      <c r="FX120" s="16"/>
      <c r="FY120" s="16"/>
      <c r="FZ120" s="16"/>
      <c r="GA120" s="16"/>
      <c r="GB120" s="16"/>
      <c r="GC120" s="16"/>
      <c r="GD120" s="16"/>
      <c r="GE120" s="16"/>
      <c r="GF120" s="16"/>
      <c r="GG120" s="16"/>
      <c r="GH120" s="16"/>
      <c r="GI120" s="16"/>
      <c r="GJ120" s="16"/>
      <c r="GK120" s="16"/>
      <c r="GL120" s="16"/>
      <c r="GM120" s="16"/>
      <c r="GN120" s="16"/>
      <c r="GO120" s="16"/>
      <c r="GP120" s="16"/>
      <c r="GQ120" s="16"/>
      <c r="GR120" s="16"/>
      <c r="GS120" s="16"/>
      <c r="GT120" s="16"/>
      <c r="GU120" s="16"/>
      <c r="GV120" s="16"/>
      <c r="GW120" s="16"/>
      <c r="GX120" s="16"/>
      <c r="GY120" s="16"/>
      <c r="GZ120" s="16"/>
      <c r="HA120" s="16"/>
      <c r="HB120" s="16"/>
      <c r="HC120" s="16"/>
      <c r="HD120" s="16"/>
      <c r="HE120" s="16"/>
      <c r="HF120" s="16"/>
      <c r="HG120" s="16"/>
      <c r="HH120" s="16"/>
      <c r="HI120" s="16"/>
      <c r="HJ120" s="16"/>
      <c r="HK120" s="16"/>
      <c r="HL120" s="16"/>
      <c r="HM120" s="16"/>
      <c r="HN120" s="16"/>
      <c r="HO120" s="16"/>
      <c r="HP120" s="16"/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16"/>
      <c r="IB120" s="16"/>
      <c r="IC120" s="16"/>
      <c r="ID120" s="16"/>
      <c r="IE120" s="16"/>
      <c r="IF120" s="16"/>
      <c r="IG120" s="16"/>
      <c r="IH120" s="16"/>
      <c r="II120" s="16"/>
      <c r="IJ120" s="16"/>
      <c r="IK120" s="16"/>
      <c r="IL120" s="16"/>
      <c r="IM120" s="16"/>
      <c r="IN120" s="16"/>
      <c r="IO120" s="16"/>
      <c r="IP120" s="16"/>
      <c r="IQ120" s="16"/>
      <c r="IR120" s="16"/>
      <c r="IS120" s="16"/>
      <c r="IT120" s="16"/>
      <c r="IU120" s="16"/>
      <c r="IV120" s="16"/>
      <c r="IW120" s="16"/>
      <c r="IX120" s="16"/>
      <c r="IY120" s="16"/>
      <c r="IZ120" s="16"/>
      <c r="JA120" s="16"/>
      <c r="JB120" s="16"/>
      <c r="JC120" s="16"/>
      <c r="JD120" s="16"/>
      <c r="JE120" s="16"/>
      <c r="JF120" s="16"/>
      <c r="JG120" s="16"/>
      <c r="JH120" s="16"/>
      <c r="JI120" s="16"/>
      <c r="JJ120" s="16"/>
      <c r="JK120" s="16"/>
      <c r="JL120" s="16"/>
      <c r="JM120" s="16"/>
      <c r="JN120" s="16"/>
      <c r="JO120" s="16"/>
      <c r="JP120" s="16"/>
      <c r="JQ120" s="16"/>
      <c r="JR120" s="16"/>
      <c r="JS120" s="16"/>
      <c r="JT120" s="16"/>
      <c r="JU120" s="16"/>
      <c r="JV120" s="16"/>
      <c r="JW120" s="16"/>
      <c r="JX120" s="16"/>
      <c r="JY120" s="16"/>
      <c r="JZ120" s="16"/>
      <c r="KA120" s="16"/>
      <c r="KB120" s="16"/>
      <c r="KC120" s="16"/>
      <c r="KD120" s="16"/>
      <c r="KE120" s="16"/>
      <c r="KF120" s="16"/>
      <c r="KG120" s="16"/>
      <c r="KH120" s="16"/>
      <c r="KI120" s="16"/>
      <c r="KJ120" s="16"/>
      <c r="KK120" s="16"/>
      <c r="KL120" s="16"/>
      <c r="KM120" s="16"/>
      <c r="KN120" s="16"/>
      <c r="KO120" s="16"/>
      <c r="KP120" s="16"/>
      <c r="KQ120" s="16"/>
      <c r="KR120" s="16"/>
      <c r="KS120" s="16"/>
      <c r="KT120" s="16"/>
      <c r="KU120" s="16"/>
      <c r="KV120" s="16"/>
      <c r="KW120" s="16"/>
      <c r="KX120" s="16"/>
      <c r="KY120" s="16"/>
      <c r="KZ120" s="16"/>
      <c r="LA120" s="16"/>
      <c r="LB120" s="16"/>
      <c r="LC120" s="16"/>
      <c r="LD120" s="16"/>
      <c r="LE120" s="16"/>
      <c r="LF120" s="16"/>
      <c r="LG120" s="16"/>
      <c r="LH120" s="16"/>
      <c r="LI120" s="16"/>
      <c r="LJ120" s="16"/>
      <c r="LK120" s="16"/>
    </row>
    <row r="121" spans="1:323" s="213" customFormat="1" ht="15" x14ac:dyDescent="0.2">
      <c r="A121" s="215" t="s">
        <v>1219</v>
      </c>
      <c r="B121" s="215" t="s">
        <v>1220</v>
      </c>
      <c r="C121" s="216" t="s">
        <v>355</v>
      </c>
      <c r="D121" s="217">
        <v>1</v>
      </c>
      <c r="E121" s="840">
        <v>1</v>
      </c>
      <c r="F121" s="46">
        <v>43281</v>
      </c>
      <c r="G121" s="795">
        <v>12</v>
      </c>
      <c r="H121" s="221">
        <f>100/G121</f>
        <v>8.3333333333333339</v>
      </c>
      <c r="I121" s="222">
        <f>H121*J121</f>
        <v>75</v>
      </c>
      <c r="J121" s="48">
        <f>(YEAR(F121)-YEAR(S121))*12+MONTH(F121)-MONTH(S121)</f>
        <v>9</v>
      </c>
      <c r="K121" s="222">
        <v>100</v>
      </c>
      <c r="L121" s="883">
        <v>12</v>
      </c>
      <c r="M121" s="222">
        <f>N121*H121</f>
        <v>25</v>
      </c>
      <c r="N121" s="48">
        <f>G121-J121</f>
        <v>3</v>
      </c>
      <c r="O121" s="222">
        <f>K121-M121</f>
        <v>75</v>
      </c>
      <c r="P121" s="220">
        <f>L121-N121</f>
        <v>9</v>
      </c>
      <c r="Q121" s="219">
        <v>43363</v>
      </c>
      <c r="R121" s="795" t="s">
        <v>1193</v>
      </c>
      <c r="S121" s="214">
        <v>42998</v>
      </c>
      <c r="T121" s="223">
        <v>500</v>
      </c>
      <c r="U121" s="225"/>
      <c r="V121" s="227"/>
      <c r="W121" s="227"/>
      <c r="X121" s="225"/>
      <c r="Y121" s="848"/>
      <c r="Z121" s="225"/>
      <c r="AA121" s="848"/>
      <c r="AB121" s="227"/>
      <c r="AC121" s="227"/>
      <c r="AD121" s="227"/>
      <c r="AE121" s="227"/>
      <c r="AF121" s="227"/>
      <c r="AG121" s="227"/>
      <c r="AH121" s="227"/>
      <c r="AI121" s="227"/>
      <c r="AJ121" s="227"/>
      <c r="AK121" s="228"/>
      <c r="AL121" s="228"/>
      <c r="AM121" s="228"/>
      <c r="AN121" s="228"/>
      <c r="AO121" s="228"/>
      <c r="AP121" s="228"/>
      <c r="AQ121" s="802"/>
      <c r="AR121" s="802"/>
      <c r="AS121" s="802"/>
      <c r="AT121" s="227"/>
      <c r="AU121" s="227"/>
      <c r="AV121" s="227"/>
      <c r="AW121" s="227"/>
      <c r="AX121" s="227"/>
      <c r="AY121" s="227"/>
      <c r="AZ121" s="227"/>
      <c r="BA121" s="226"/>
      <c r="BB121" s="848"/>
      <c r="BC121" s="225"/>
      <c r="BD121" s="222"/>
      <c r="BE121" s="222"/>
      <c r="BF121" s="227"/>
      <c r="BG121" s="227"/>
      <c r="BH121" s="227"/>
      <c r="BI121" s="227"/>
      <c r="BJ121" s="227"/>
      <c r="BK121" s="227"/>
      <c r="BL121" s="227"/>
      <c r="BM121" s="227"/>
      <c r="BN121" s="800"/>
      <c r="BO121" s="227"/>
      <c r="BP121" s="227"/>
      <c r="BQ121" s="227"/>
      <c r="BR121" s="227"/>
      <c r="BS121" s="227"/>
      <c r="BT121" s="227"/>
      <c r="BU121" s="223">
        <v>500</v>
      </c>
      <c r="BV121" s="225">
        <v>126.408</v>
      </c>
      <c r="BW121" s="225">
        <v>127.91200000000001</v>
      </c>
      <c r="BX121" s="225">
        <f>BV121/BW121</f>
        <v>0.98824191631746827</v>
      </c>
      <c r="BY121" s="804"/>
      <c r="BZ121" s="227">
        <f>BU121/G121</f>
        <v>41.666666666666664</v>
      </c>
      <c r="CA121" s="805"/>
      <c r="CB121" s="805"/>
      <c r="CC121" s="877"/>
      <c r="CD121" s="915">
        <v>108.33</v>
      </c>
      <c r="CE121" s="916">
        <v>108.33</v>
      </c>
      <c r="CF121" s="916">
        <v>108.33</v>
      </c>
      <c r="CG121" s="916">
        <v>108.33</v>
      </c>
      <c r="CH121" s="880">
        <f>SUM(CA121:CG121)</f>
        <v>433.32</v>
      </c>
      <c r="CI121" s="803">
        <f>BU121-CH121</f>
        <v>66.680000000000007</v>
      </c>
      <c r="CJ121" s="916">
        <v>65.680000000000007</v>
      </c>
      <c r="CK121" s="916">
        <v>0</v>
      </c>
      <c r="CL121" s="916">
        <v>0</v>
      </c>
      <c r="CM121" s="916">
        <v>0</v>
      </c>
      <c r="CN121" s="916">
        <v>0</v>
      </c>
      <c r="CO121" s="505">
        <f t="shared" si="53"/>
        <v>65.680000000000007</v>
      </c>
      <c r="CP121" s="1085">
        <f t="shared" ref="CP121" si="76">CI121-CO121</f>
        <v>1</v>
      </c>
      <c r="CQ121" s="1086">
        <v>132.28200000000001</v>
      </c>
      <c r="CR121" s="1121">
        <v>127.91200000000001</v>
      </c>
      <c r="CS121" s="1087">
        <f>CQ121/CR121</f>
        <v>1.0341641128275689</v>
      </c>
      <c r="CT121" s="516">
        <v>0</v>
      </c>
      <c r="CU121" s="516">
        <f>CT121*CS121</f>
        <v>0</v>
      </c>
      <c r="CV121" s="516">
        <v>0</v>
      </c>
      <c r="CW121" s="516">
        <v>0</v>
      </c>
      <c r="CX121" s="516">
        <v>0</v>
      </c>
      <c r="CY121" s="516">
        <v>0</v>
      </c>
      <c r="CZ121" s="516">
        <v>0</v>
      </c>
      <c r="DA121" s="516">
        <v>0</v>
      </c>
      <c r="DB121" s="516">
        <v>0</v>
      </c>
      <c r="DC121" s="516">
        <v>0</v>
      </c>
      <c r="DD121" s="516">
        <v>0</v>
      </c>
      <c r="DE121" s="516">
        <v>0</v>
      </c>
      <c r="DF121" s="516">
        <v>0</v>
      </c>
      <c r="DG121" s="516">
        <v>0</v>
      </c>
      <c r="DH121" s="516">
        <v>0</v>
      </c>
      <c r="DI121" s="516">
        <v>0</v>
      </c>
      <c r="DJ121" s="516">
        <v>0</v>
      </c>
      <c r="DK121" s="516">
        <v>0</v>
      </c>
      <c r="DL121" s="516">
        <v>0</v>
      </c>
      <c r="DM121" s="516">
        <v>0</v>
      </c>
      <c r="DN121" s="516">
        <f t="shared" si="55"/>
        <v>0</v>
      </c>
      <c r="DO121" s="1085">
        <f t="shared" si="52"/>
        <v>1</v>
      </c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  <c r="IT121" s="16"/>
      <c r="IU121" s="16"/>
      <c r="IV121" s="16"/>
      <c r="IW121" s="16"/>
      <c r="IX121" s="16"/>
      <c r="IY121" s="16"/>
      <c r="IZ121" s="16"/>
      <c r="JA121" s="16"/>
      <c r="JB121" s="16"/>
      <c r="JC121" s="16"/>
      <c r="JD121" s="16"/>
      <c r="JE121" s="16"/>
      <c r="JF121" s="16"/>
      <c r="JG121" s="16"/>
      <c r="JH121" s="16"/>
      <c r="JI121" s="16"/>
      <c r="JJ121" s="16"/>
      <c r="JK121" s="16"/>
      <c r="JL121" s="16"/>
      <c r="JM121" s="16"/>
      <c r="JN121" s="16"/>
      <c r="JO121" s="16"/>
      <c r="JP121" s="16"/>
      <c r="JQ121" s="16"/>
      <c r="JR121" s="16"/>
      <c r="JS121" s="16"/>
      <c r="JT121" s="16"/>
      <c r="JU121" s="16"/>
      <c r="JV121" s="16"/>
      <c r="JW121" s="16"/>
      <c r="JX121" s="16"/>
      <c r="JY121" s="16"/>
      <c r="JZ121" s="16"/>
      <c r="KA121" s="16"/>
      <c r="KB121" s="16"/>
      <c r="KC121" s="16"/>
      <c r="KD121" s="16"/>
      <c r="KE121" s="16"/>
      <c r="KF121" s="16"/>
      <c r="KG121" s="16"/>
      <c r="KH121" s="16"/>
      <c r="KI121" s="16"/>
      <c r="KJ121" s="16"/>
      <c r="KK121" s="16"/>
      <c r="KL121" s="16"/>
      <c r="KM121" s="16"/>
      <c r="KN121" s="16"/>
      <c r="KO121" s="16"/>
      <c r="KP121" s="16"/>
      <c r="KQ121" s="16"/>
      <c r="KR121" s="16"/>
      <c r="KS121" s="16"/>
      <c r="KT121" s="16"/>
      <c r="KU121" s="16"/>
      <c r="KV121" s="16"/>
      <c r="KW121" s="16"/>
      <c r="KX121" s="16"/>
      <c r="KY121" s="16"/>
      <c r="KZ121" s="16"/>
      <c r="LA121" s="16"/>
      <c r="LB121" s="16"/>
      <c r="LC121" s="16"/>
      <c r="LD121" s="16"/>
      <c r="LE121" s="16"/>
      <c r="LF121" s="16"/>
      <c r="LG121" s="16"/>
      <c r="LH121" s="16"/>
      <c r="LI121" s="16"/>
      <c r="LJ121" s="16"/>
      <c r="LK121" s="16"/>
    </row>
    <row r="122" spans="1:323" ht="15" x14ac:dyDescent="0.2">
      <c r="A122" s="917"/>
      <c r="R122" s="175"/>
      <c r="V122" s="254"/>
      <c r="Y122" s="237"/>
      <c r="AD122" s="195"/>
      <c r="AE122" s="195"/>
      <c r="AF122" s="195">
        <f>SUM(AF50:AF93)</f>
        <v>0</v>
      </c>
      <c r="AG122" s="195">
        <f>SUM(AG50:AG93)</f>
        <v>0</v>
      </c>
      <c r="AH122" s="195">
        <f>SUM(AH50:AH93)</f>
        <v>0</v>
      </c>
      <c r="AI122" s="195">
        <f>SUM(AI50:AI93)</f>
        <v>0</v>
      </c>
      <c r="AJ122" s="195">
        <f>SUM(AJ50:AJ93)</f>
        <v>0</v>
      </c>
      <c r="AK122" s="195" t="e">
        <f>SUM(AK29:AK93)</f>
        <v>#DIV/0!</v>
      </c>
      <c r="AL122" s="195"/>
      <c r="AM122" s="195"/>
      <c r="AN122" s="195"/>
      <c r="AO122" s="195"/>
      <c r="AP122" s="195">
        <v>0</v>
      </c>
      <c r="AQ122" s="195">
        <f>SUM(AQ29:AQ93)</f>
        <v>1488.037270108802</v>
      </c>
      <c r="AR122" s="195" t="e">
        <f>SUM(AR29:AR93)</f>
        <v>#DIV/0!</v>
      </c>
      <c r="AS122" s="195">
        <f>SUM(AS29:AS93)</f>
        <v>38707.564569068491</v>
      </c>
      <c r="AV122" s="13">
        <f>SUM(AV13:AV93)</f>
        <v>1710.1838102625729</v>
      </c>
      <c r="AW122" s="13">
        <f>SUM(AW30:AW93)</f>
        <v>953.38166650167636</v>
      </c>
      <c r="AX122" s="13">
        <f>SUM(AX32:AX93)</f>
        <v>363.90166650167635</v>
      </c>
      <c r="AY122" s="13">
        <f>SUM(AY29:AY98)</f>
        <v>363.90166650167635</v>
      </c>
      <c r="AZ122" s="13">
        <f>SUM(AZ13:AZ98)</f>
        <v>363.90166650167635</v>
      </c>
      <c r="BD122" s="460">
        <f t="shared" ref="BD122:BU122" si="77">SUM(BD12:BD118)</f>
        <v>10953.917166666668</v>
      </c>
      <c r="BE122" s="460">
        <f t="shared" si="77"/>
        <v>10552.741344593922</v>
      </c>
      <c r="BF122" s="460">
        <f t="shared" si="77"/>
        <v>468.77142947941604</v>
      </c>
      <c r="BG122" s="460">
        <f t="shared" si="77"/>
        <v>468.77142947941604</v>
      </c>
      <c r="BH122" s="460">
        <f t="shared" si="77"/>
        <v>468.77142947941604</v>
      </c>
      <c r="BI122" s="460">
        <f t="shared" si="77"/>
        <v>468.77142947941604</v>
      </c>
      <c r="BJ122" s="460">
        <f t="shared" si="77"/>
        <v>433.79999999999995</v>
      </c>
      <c r="BK122" s="460">
        <f t="shared" si="77"/>
        <v>433.79999999999995</v>
      </c>
      <c r="BL122" s="460">
        <f t="shared" si="77"/>
        <v>433.79999999999995</v>
      </c>
      <c r="BM122" s="460">
        <f t="shared" si="77"/>
        <v>6931.7561941869426</v>
      </c>
      <c r="BN122" s="460">
        <f t="shared" si="77"/>
        <v>1146103.3684154684</v>
      </c>
      <c r="BO122" s="13">
        <f t="shared" si="77"/>
        <v>940.00474373539657</v>
      </c>
      <c r="BP122" s="13">
        <f t="shared" si="77"/>
        <v>913.083380140955</v>
      </c>
      <c r="BQ122" s="13">
        <f t="shared" si="77"/>
        <v>805.98338014095498</v>
      </c>
      <c r="BR122" s="13">
        <f t="shared" si="77"/>
        <v>888.49338014095463</v>
      </c>
      <c r="BS122" s="13">
        <f t="shared" si="77"/>
        <v>888.49338014095463</v>
      </c>
      <c r="BT122" s="13">
        <f t="shared" si="77"/>
        <v>4436.0582642992176</v>
      </c>
      <c r="BU122" s="400">
        <f t="shared" si="77"/>
        <v>148337.72844994109</v>
      </c>
      <c r="BV122" s="400"/>
      <c r="BW122" s="400"/>
      <c r="BX122" s="400"/>
      <c r="BY122" s="400">
        <f t="shared" ref="BY122:CH122" si="78">SUM(BY12:BY118)</f>
        <v>3613.9420508717471</v>
      </c>
      <c r="BZ122" s="400">
        <f t="shared" si="78"/>
        <v>5224.7317180929094</v>
      </c>
      <c r="CA122" s="400">
        <f t="shared" si="78"/>
        <v>8742.1809800907904</v>
      </c>
      <c r="CB122" s="400">
        <f t="shared" si="78"/>
        <v>8742.1809800907904</v>
      </c>
      <c r="CC122" s="400">
        <f t="shared" si="78"/>
        <v>8742.1809800907904</v>
      </c>
      <c r="CD122" s="400">
        <f t="shared" si="78"/>
        <v>8936.4809800907897</v>
      </c>
      <c r="CE122" s="400">
        <f t="shared" si="78"/>
        <v>6648.6221999598692</v>
      </c>
      <c r="CF122" s="524">
        <f t="shared" si="78"/>
        <v>5608.4021999598726</v>
      </c>
      <c r="CG122" s="524">
        <f t="shared" si="78"/>
        <v>3400.8721999598715</v>
      </c>
      <c r="CH122" s="195">
        <f t="shared" si="78"/>
        <v>42359.110520242786</v>
      </c>
      <c r="CI122" s="195">
        <f t="shared" ref="CI122:CO122" si="79">SUM(CI12:CI121)</f>
        <v>106046.29792969831</v>
      </c>
      <c r="CJ122" s="195">
        <f t="shared" si="79"/>
        <v>4000.0321999598709</v>
      </c>
      <c r="CK122" s="195">
        <f t="shared" si="79"/>
        <v>3851.5562295544582</v>
      </c>
      <c r="CL122" s="524">
        <f t="shared" si="79"/>
        <v>3721.6162295544582</v>
      </c>
      <c r="CM122" s="524">
        <f t="shared" si="79"/>
        <v>3721.6162295544582</v>
      </c>
      <c r="CN122" s="524">
        <f t="shared" si="79"/>
        <v>3375.9114799760796</v>
      </c>
      <c r="CO122" s="400">
        <f t="shared" si="79"/>
        <v>18670.732368599325</v>
      </c>
      <c r="CP122" s="524">
        <f>SUM(CP13:CP121)</f>
        <v>87375.565561098978</v>
      </c>
      <c r="CQ122" s="524">
        <f>SUM(CQ12:CQ118)</f>
        <v>5820.408000000004</v>
      </c>
      <c r="CR122" s="524">
        <f>SUM(CR12:CR118)</f>
        <v>5099.559000000002</v>
      </c>
      <c r="CS122" s="524">
        <f>SUM(CS12:CS118)</f>
        <v>50.504520757553038</v>
      </c>
      <c r="CT122" s="524"/>
      <c r="CU122" s="524">
        <f>SUM(CU12:CU118)</f>
        <v>2109.5798386228703</v>
      </c>
      <c r="CV122" s="524">
        <v>2166.8638603461377</v>
      </c>
      <c r="CW122" s="524">
        <f t="shared" ref="CW122:DN122" si="80">SUM(CW12:CW118)</f>
        <v>2166.7969080826142</v>
      </c>
      <c r="CX122" s="524">
        <f t="shared" si="80"/>
        <v>2166.8269080826144</v>
      </c>
      <c r="CY122" s="524">
        <f t="shared" si="80"/>
        <v>2174.4669080826147</v>
      </c>
      <c r="CZ122" s="524">
        <f t="shared" si="80"/>
        <v>2168.7369080826147</v>
      </c>
      <c r="DA122" s="524">
        <f t="shared" si="80"/>
        <v>2168.7369080826147</v>
      </c>
      <c r="DB122" s="524">
        <f t="shared" si="80"/>
        <v>2168.7369080826147</v>
      </c>
      <c r="DC122" s="524">
        <f t="shared" ref="DC122:DD122" si="81">SUM(DC12:DC118)</f>
        <v>2168.7369080826147</v>
      </c>
      <c r="DD122" s="524">
        <f t="shared" si="81"/>
        <v>2168.7369080826147</v>
      </c>
      <c r="DE122" s="524">
        <f t="shared" ref="DE122:DF122" si="82">SUM(DE12:DE118)</f>
        <v>2168.7369080826147</v>
      </c>
      <c r="DF122" s="524">
        <f t="shared" si="82"/>
        <v>2168.7369080826147</v>
      </c>
      <c r="DG122" s="524">
        <f t="shared" ref="DG122:DM122" si="83">SUM(DG12:DG118)</f>
        <v>2044.5970119821707</v>
      </c>
      <c r="DH122" s="524">
        <f t="shared" ref="DH122:DL122" si="84">SUM(DH12:DH118)</f>
        <v>1860.6370119821706</v>
      </c>
      <c r="DI122" s="524">
        <f t="shared" si="84"/>
        <v>1860.6370119821706</v>
      </c>
      <c r="DJ122" s="524">
        <f t="shared" si="84"/>
        <v>1860.6370119821706</v>
      </c>
      <c r="DK122" s="524">
        <f t="shared" si="84"/>
        <v>1860.6370119821706</v>
      </c>
      <c r="DL122" s="524">
        <f t="shared" si="84"/>
        <v>1860.6370119821706</v>
      </c>
      <c r="DM122" s="524">
        <f t="shared" si="83"/>
        <v>1860.6370119821706</v>
      </c>
      <c r="DN122" s="524">
        <f t="shared" si="80"/>
        <v>37064.532025047476</v>
      </c>
      <c r="DO122" s="522">
        <f>SUM(DO12:DO121)</f>
        <v>50311.033536051516</v>
      </c>
    </row>
    <row r="123" spans="1:323" ht="15" x14ac:dyDescent="0.2">
      <c r="R123" s="175"/>
      <c r="V123" s="254"/>
      <c r="Y123" s="237"/>
      <c r="AD123" s="195"/>
      <c r="AE123" s="195"/>
      <c r="AF123" s="195"/>
      <c r="AG123" s="195"/>
      <c r="AH123" s="195"/>
      <c r="AI123" s="195"/>
      <c r="AJ123" s="195"/>
      <c r="AK123" s="195"/>
      <c r="AL123" s="195"/>
      <c r="AM123" s="195"/>
      <c r="AN123" s="195"/>
      <c r="AO123" s="195"/>
      <c r="AP123" s="195"/>
      <c r="AQ123" s="195"/>
      <c r="AR123" s="195"/>
      <c r="AS123" s="195"/>
      <c r="AV123" s="13"/>
      <c r="AW123" s="13"/>
      <c r="AX123" s="13"/>
      <c r="AY123" s="13"/>
      <c r="AZ123" s="13"/>
      <c r="BD123" s="492"/>
      <c r="BE123" s="492"/>
      <c r="BF123" s="492"/>
      <c r="BG123" s="492"/>
      <c r="BH123" s="492"/>
      <c r="BI123" s="492"/>
      <c r="BJ123" s="492"/>
      <c r="BK123" s="492"/>
      <c r="BL123" s="492"/>
      <c r="BM123" s="492"/>
      <c r="BN123" s="492"/>
      <c r="BO123" s="13"/>
      <c r="BP123" s="13"/>
      <c r="BQ123" s="13"/>
      <c r="BR123" s="13"/>
      <c r="BS123" s="13"/>
      <c r="BT123" s="13"/>
      <c r="BU123" s="400"/>
      <c r="BV123" s="400"/>
      <c r="BW123" s="400"/>
      <c r="BX123" s="400"/>
      <c r="BY123" s="400"/>
      <c r="BZ123" s="400"/>
      <c r="CA123" s="400"/>
      <c r="CB123" s="400"/>
      <c r="CC123" s="400"/>
      <c r="CD123" s="400"/>
      <c r="CE123" s="400"/>
      <c r="CF123" s="400"/>
      <c r="CG123" s="400"/>
      <c r="CH123" s="195"/>
      <c r="CI123" s="195"/>
      <c r="CJ123" s="994"/>
      <c r="CK123" s="971"/>
      <c r="CL123" s="971"/>
      <c r="CM123" s="971"/>
      <c r="CN123" s="971"/>
      <c r="CO123" s="971"/>
      <c r="CP123" s="1124">
        <f>CI122-CO122</f>
        <v>87375.565561098978</v>
      </c>
      <c r="CQ123" s="1024"/>
      <c r="CR123" s="1125"/>
      <c r="CS123" s="1125"/>
      <c r="CT123" s="1024"/>
      <c r="CU123" s="1024"/>
      <c r="CV123" s="1024"/>
      <c r="CW123" s="1024"/>
      <c r="CX123" s="1024"/>
      <c r="CY123" s="1024"/>
      <c r="CZ123" s="1024"/>
      <c r="DA123" s="1024"/>
      <c r="DB123" s="1024"/>
      <c r="DC123" s="1024"/>
      <c r="DD123" s="1024"/>
      <c r="DE123" s="1024"/>
      <c r="DF123" s="1024"/>
      <c r="DG123" s="1024"/>
      <c r="DH123" s="1024"/>
      <c r="DI123" s="1024"/>
      <c r="DJ123" s="1024"/>
      <c r="DK123" s="1024"/>
      <c r="DL123" s="1024"/>
      <c r="DM123" s="1024"/>
      <c r="DN123" s="1024"/>
      <c r="DO123" s="1124">
        <f>CP122-DN122</f>
        <v>50311.033536051502</v>
      </c>
      <c r="DP123" s="36"/>
    </row>
    <row r="124" spans="1:323" s="104" customFormat="1" x14ac:dyDescent="0.2">
      <c r="A124" s="110" t="s">
        <v>315</v>
      </c>
      <c r="B124" s="87"/>
      <c r="C124" s="87"/>
      <c r="D124" s="88"/>
      <c r="E124" s="88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9"/>
      <c r="S124" s="89"/>
      <c r="T124" s="90"/>
      <c r="U124" s="90"/>
      <c r="V124" s="90"/>
      <c r="W124" s="90"/>
      <c r="X124" s="90"/>
      <c r="Z124"/>
      <c r="AA124"/>
      <c r="AB124" s="77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 s="69"/>
      <c r="BA124"/>
      <c r="BB124" s="77"/>
      <c r="BC124"/>
      <c r="BD124"/>
      <c r="BE124"/>
      <c r="BU124" s="441"/>
      <c r="BV124"/>
      <c r="BW124" s="77"/>
      <c r="BX124"/>
      <c r="BY124"/>
      <c r="BZ124"/>
      <c r="CA124"/>
      <c r="CB124"/>
      <c r="CC124"/>
      <c r="CD124"/>
      <c r="CE124"/>
      <c r="CF124"/>
      <c r="CG124"/>
      <c r="CH124"/>
      <c r="CI124"/>
      <c r="CJ124" s="989"/>
      <c r="CK124" s="971"/>
      <c r="CL124" s="971"/>
      <c r="CM124" s="971"/>
      <c r="CN124" s="971"/>
      <c r="CO124" s="971"/>
      <c r="CP124" s="990"/>
      <c r="CQ124" s="991"/>
      <c r="CR124" s="992"/>
      <c r="CS124" s="992"/>
      <c r="CT124" s="958"/>
      <c r="CU124" s="958"/>
      <c r="CV124" s="958"/>
      <c r="CW124" s="958"/>
      <c r="CX124" s="958"/>
      <c r="CY124" s="958"/>
      <c r="CZ124" s="958"/>
      <c r="DA124" s="958"/>
      <c r="DB124" s="958"/>
      <c r="DC124" s="958"/>
      <c r="DD124" s="958"/>
      <c r="DE124" s="958"/>
      <c r="DF124" s="958"/>
      <c r="DG124" s="958"/>
      <c r="DH124" s="958"/>
      <c r="DI124" s="958"/>
      <c r="DJ124" s="958"/>
      <c r="DK124" s="958"/>
      <c r="DL124" s="958"/>
      <c r="DM124" s="958"/>
      <c r="DN124" s="958"/>
      <c r="DO124" s="958"/>
      <c r="DP124" s="3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03"/>
      <c r="EO124" s="103"/>
      <c r="EP124" s="103"/>
      <c r="EQ124" s="103"/>
      <c r="ER124" s="103"/>
      <c r="ES124" s="103"/>
      <c r="ET124" s="103"/>
      <c r="EU124" s="103"/>
      <c r="EV124" s="103"/>
      <c r="EW124" s="103"/>
      <c r="EX124" s="103"/>
      <c r="EY124" s="103"/>
      <c r="EZ124" s="103"/>
      <c r="FA124" s="103"/>
      <c r="FB124" s="103"/>
      <c r="FC124" s="103"/>
      <c r="FD124" s="103"/>
      <c r="FE124" s="103"/>
      <c r="FF124" s="103"/>
      <c r="FG124" s="103"/>
      <c r="FH124" s="103"/>
      <c r="FI124" s="103"/>
      <c r="FJ124" s="103"/>
      <c r="FK124" s="103"/>
      <c r="FL124" s="103"/>
      <c r="FM124" s="103"/>
      <c r="FN124" s="103"/>
      <c r="FO124" s="103"/>
      <c r="FP124" s="103"/>
      <c r="FQ124" s="103"/>
      <c r="FR124" s="103"/>
      <c r="FS124" s="103"/>
      <c r="FT124" s="103"/>
      <c r="FU124" s="103"/>
      <c r="FV124" s="103"/>
      <c r="FW124" s="103"/>
      <c r="FX124" s="103"/>
      <c r="FY124" s="103"/>
      <c r="FZ124" s="103"/>
      <c r="GA124" s="103"/>
      <c r="GB124" s="103"/>
      <c r="GC124" s="103"/>
      <c r="GD124" s="103"/>
      <c r="GE124" s="103"/>
      <c r="GF124" s="103"/>
      <c r="GG124" s="103"/>
      <c r="GH124" s="103"/>
      <c r="GI124" s="103"/>
      <c r="GJ124" s="103"/>
      <c r="GK124" s="103"/>
      <c r="GL124" s="103"/>
      <c r="GM124" s="103"/>
      <c r="GN124" s="103"/>
      <c r="GO124" s="103"/>
      <c r="GP124" s="103"/>
      <c r="GQ124" s="103"/>
      <c r="GR124" s="103"/>
      <c r="GS124" s="103"/>
      <c r="GT124" s="103"/>
      <c r="GU124" s="103"/>
      <c r="GV124" s="103"/>
      <c r="GW124" s="103"/>
      <c r="GX124" s="103"/>
      <c r="GY124" s="103"/>
      <c r="GZ124" s="103"/>
      <c r="HA124" s="103"/>
      <c r="HB124" s="103"/>
      <c r="HC124" s="103"/>
      <c r="HD124" s="103"/>
      <c r="HE124" s="103"/>
      <c r="HF124" s="103"/>
      <c r="HG124" s="103"/>
      <c r="HH124" s="103"/>
      <c r="HI124" s="103"/>
      <c r="HJ124" s="103"/>
      <c r="HK124" s="103"/>
      <c r="HL124" s="103"/>
      <c r="HM124" s="103"/>
      <c r="HN124" s="103"/>
      <c r="HO124" s="103"/>
      <c r="HP124" s="103"/>
      <c r="HQ124" s="103"/>
      <c r="HR124" s="103"/>
      <c r="HS124" s="103"/>
      <c r="HT124" s="103"/>
      <c r="HU124" s="103"/>
      <c r="HV124" s="103"/>
      <c r="HW124" s="103"/>
      <c r="HX124" s="103"/>
      <c r="HY124" s="103"/>
      <c r="HZ124" s="103"/>
      <c r="IA124" s="103"/>
      <c r="IB124" s="103"/>
      <c r="IC124" s="103"/>
      <c r="ID124" s="103"/>
      <c r="IE124" s="103"/>
      <c r="IF124" s="103"/>
      <c r="IG124" s="103"/>
      <c r="IH124" s="103"/>
      <c r="II124" s="103"/>
      <c r="IJ124" s="103"/>
      <c r="IK124" s="103"/>
      <c r="IL124" s="103"/>
      <c r="IM124" s="103"/>
      <c r="IN124" s="103"/>
      <c r="IO124" s="103"/>
      <c r="IP124" s="103"/>
      <c r="IQ124" s="103"/>
      <c r="IR124" s="103"/>
      <c r="IS124" s="103"/>
      <c r="IT124" s="103"/>
      <c r="IU124" s="103"/>
      <c r="IV124" s="103"/>
      <c r="IW124" s="103"/>
      <c r="IX124" s="103"/>
      <c r="IY124" s="103"/>
      <c r="IZ124" s="103"/>
      <c r="JA124" s="103"/>
      <c r="JB124" s="103"/>
      <c r="JC124" s="103"/>
      <c r="JD124" s="103"/>
      <c r="JE124" s="103"/>
      <c r="JF124" s="103"/>
      <c r="JG124" s="103"/>
      <c r="JH124" s="103"/>
      <c r="JI124" s="103"/>
      <c r="JJ124" s="103"/>
      <c r="JK124" s="103"/>
      <c r="JL124" s="103"/>
      <c r="JM124" s="103"/>
      <c r="JN124" s="103"/>
      <c r="JO124" s="103"/>
      <c r="JP124" s="103"/>
      <c r="JQ124" s="103"/>
      <c r="JR124" s="103"/>
      <c r="JS124" s="103"/>
      <c r="JT124" s="103"/>
      <c r="JU124" s="103"/>
      <c r="JV124" s="103"/>
      <c r="JW124" s="103"/>
      <c r="JX124" s="103"/>
      <c r="JY124" s="103"/>
      <c r="JZ124" s="103"/>
      <c r="KA124" s="103"/>
      <c r="KB124" s="103"/>
      <c r="KC124" s="103"/>
      <c r="KD124" s="103"/>
      <c r="KE124" s="103"/>
      <c r="KF124" s="103"/>
      <c r="KG124" s="103"/>
      <c r="KH124" s="103"/>
      <c r="KI124" s="103"/>
      <c r="KJ124" s="103"/>
      <c r="KK124" s="103"/>
      <c r="KL124" s="103"/>
      <c r="KM124" s="103"/>
      <c r="KN124" s="103"/>
      <c r="KO124" s="103"/>
      <c r="KP124" s="103"/>
      <c r="KQ124" s="103"/>
      <c r="KR124" s="103"/>
      <c r="KS124" s="103"/>
      <c r="KT124" s="103"/>
      <c r="KU124" s="103"/>
      <c r="KV124" s="103"/>
      <c r="KW124" s="103"/>
      <c r="KX124" s="103"/>
      <c r="KY124" s="103"/>
      <c r="KZ124" s="103"/>
      <c r="LA124" s="103"/>
      <c r="LB124" s="103"/>
      <c r="LC124" s="103"/>
      <c r="LD124" s="103"/>
      <c r="LE124" s="103"/>
      <c r="LF124" s="103"/>
      <c r="LG124" s="103"/>
      <c r="LH124" s="103"/>
      <c r="LI124" s="103"/>
      <c r="LJ124" s="103"/>
      <c r="LK124" s="103"/>
    </row>
    <row r="125" spans="1:323" s="104" customFormat="1" x14ac:dyDescent="0.2">
      <c r="A125" s="238" t="s">
        <v>568</v>
      </c>
      <c r="B125" s="239"/>
      <c r="C125" s="239"/>
      <c r="D125" s="240"/>
      <c r="E125" s="240"/>
      <c r="F125"/>
      <c r="G125"/>
      <c r="H125"/>
      <c r="I125"/>
      <c r="J125"/>
      <c r="K125"/>
      <c r="L125"/>
      <c r="M125"/>
      <c r="N125"/>
      <c r="O125"/>
      <c r="P125"/>
      <c r="Q125"/>
      <c r="R125" s="19"/>
      <c r="S125" s="19"/>
      <c r="T125" s="12"/>
      <c r="U125" s="12"/>
      <c r="V125" s="12"/>
      <c r="W125" s="12"/>
      <c r="X125" s="12"/>
      <c r="Z125"/>
      <c r="AA125"/>
      <c r="AB125" s="85"/>
      <c r="AC125"/>
      <c r="AD125"/>
      <c r="AE125" s="12"/>
      <c r="AF125"/>
      <c r="AG125"/>
      <c r="AH125"/>
      <c r="AI125"/>
      <c r="AJ125"/>
      <c r="AK125"/>
      <c r="AL125"/>
      <c r="AM125"/>
      <c r="AN125"/>
      <c r="AO125"/>
      <c r="AP125"/>
      <c r="AQ125"/>
      <c r="AR125" s="255"/>
      <c r="AS125" s="69"/>
      <c r="BA125"/>
      <c r="BB125" s="85"/>
      <c r="BC125"/>
      <c r="BD125"/>
      <c r="BE125" s="12"/>
      <c r="BU125" s="441"/>
      <c r="BV125"/>
      <c r="BW125" s="77"/>
      <c r="BX125"/>
      <c r="BY125"/>
      <c r="BZ125"/>
      <c r="CA125"/>
      <c r="CB125"/>
      <c r="CC125"/>
      <c r="CD125"/>
      <c r="CE125"/>
      <c r="CF125"/>
      <c r="CG125"/>
      <c r="CH125"/>
      <c r="CI125" s="289">
        <f>BU122-CH122</f>
        <v>105978.6179296983</v>
      </c>
      <c r="CJ125" s="989"/>
      <c r="CK125" s="971"/>
      <c r="CL125" s="971"/>
      <c r="CM125" s="971"/>
      <c r="CN125" s="971"/>
      <c r="CO125" s="971"/>
      <c r="CP125" s="993"/>
      <c r="CQ125" s="959"/>
      <c r="CR125" s="992"/>
      <c r="CS125" s="992"/>
      <c r="CT125" s="958"/>
      <c r="CU125" s="958"/>
      <c r="CV125" s="958"/>
      <c r="CW125" s="958"/>
      <c r="CX125" s="958"/>
      <c r="CY125" s="958"/>
      <c r="CZ125" s="958"/>
      <c r="DA125" s="958"/>
      <c r="DB125" s="958"/>
      <c r="DC125" s="958"/>
      <c r="DD125" s="958"/>
      <c r="DE125" s="958"/>
      <c r="DF125" s="958"/>
      <c r="DG125" s="958"/>
      <c r="DH125" s="958"/>
      <c r="DI125" s="958"/>
      <c r="DJ125" s="958"/>
      <c r="DK125" s="958"/>
      <c r="DL125" s="958"/>
      <c r="DM125" s="958"/>
      <c r="DN125" s="958"/>
      <c r="DO125" s="958"/>
      <c r="DP125" s="3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03"/>
      <c r="EO125" s="103"/>
      <c r="EP125" s="103"/>
      <c r="EQ125" s="103"/>
      <c r="ER125" s="103"/>
      <c r="ES125" s="103"/>
      <c r="ET125" s="103"/>
      <c r="EU125" s="103"/>
      <c r="EV125" s="103"/>
      <c r="EW125" s="103"/>
      <c r="EX125" s="103"/>
      <c r="EY125" s="103"/>
      <c r="EZ125" s="103"/>
      <c r="FA125" s="103"/>
      <c r="FB125" s="103"/>
      <c r="FC125" s="103"/>
      <c r="FD125" s="103"/>
      <c r="FE125" s="103"/>
      <c r="FF125" s="103"/>
      <c r="FG125" s="103"/>
      <c r="FH125" s="103"/>
      <c r="FI125" s="103"/>
      <c r="FJ125" s="103"/>
      <c r="FK125" s="103"/>
      <c r="FL125" s="103"/>
      <c r="FM125" s="103"/>
      <c r="FN125" s="103"/>
      <c r="FO125" s="103"/>
      <c r="FP125" s="103"/>
      <c r="FQ125" s="103"/>
      <c r="FR125" s="103"/>
      <c r="FS125" s="103"/>
      <c r="FT125" s="103"/>
      <c r="FU125" s="103"/>
      <c r="FV125" s="103"/>
      <c r="FW125" s="103"/>
      <c r="FX125" s="103"/>
      <c r="FY125" s="103"/>
      <c r="FZ125" s="103"/>
      <c r="GA125" s="103"/>
      <c r="GB125" s="103"/>
      <c r="GC125" s="103"/>
      <c r="GD125" s="103"/>
      <c r="GE125" s="103"/>
      <c r="GF125" s="103"/>
      <c r="GG125" s="103"/>
      <c r="GH125" s="103"/>
      <c r="GI125" s="103"/>
      <c r="GJ125" s="103"/>
      <c r="GK125" s="103"/>
      <c r="GL125" s="103"/>
      <c r="GM125" s="103"/>
      <c r="GN125" s="103"/>
      <c r="GO125" s="103"/>
      <c r="GP125" s="103"/>
      <c r="GQ125" s="103"/>
      <c r="GR125" s="103"/>
      <c r="GS125" s="103"/>
      <c r="GT125" s="103"/>
      <c r="GU125" s="103"/>
      <c r="GV125" s="103"/>
      <c r="GW125" s="103"/>
      <c r="GX125" s="103"/>
      <c r="GY125" s="103"/>
      <c r="GZ125" s="103"/>
      <c r="HA125" s="103"/>
      <c r="HB125" s="103"/>
      <c r="HC125" s="103"/>
      <c r="HD125" s="103"/>
      <c r="HE125" s="103"/>
      <c r="HF125" s="103"/>
      <c r="HG125" s="103"/>
      <c r="HH125" s="103"/>
      <c r="HI125" s="103"/>
      <c r="HJ125" s="103"/>
      <c r="HK125" s="103"/>
      <c r="HL125" s="103"/>
      <c r="HM125" s="103"/>
      <c r="HN125" s="103"/>
      <c r="HO125" s="103"/>
      <c r="HP125" s="103"/>
      <c r="HQ125" s="103"/>
      <c r="HR125" s="103"/>
      <c r="HS125" s="103"/>
      <c r="HT125" s="103"/>
      <c r="HU125" s="103"/>
      <c r="HV125" s="103"/>
      <c r="HW125" s="103"/>
      <c r="HX125" s="103"/>
      <c r="HY125" s="103"/>
      <c r="HZ125" s="103"/>
      <c r="IA125" s="103"/>
      <c r="IB125" s="103"/>
      <c r="IC125" s="103"/>
      <c r="ID125" s="103"/>
      <c r="IE125" s="103"/>
      <c r="IF125" s="103"/>
      <c r="IG125" s="103"/>
      <c r="IH125" s="103"/>
      <c r="II125" s="103"/>
      <c r="IJ125" s="103"/>
      <c r="IK125" s="103"/>
      <c r="IL125" s="103"/>
      <c r="IM125" s="103"/>
      <c r="IN125" s="103"/>
      <c r="IO125" s="103"/>
      <c r="IP125" s="103"/>
      <c r="IQ125" s="103"/>
      <c r="IR125" s="103"/>
      <c r="IS125" s="103"/>
      <c r="IT125" s="103"/>
      <c r="IU125" s="103"/>
      <c r="IV125" s="103"/>
      <c r="IW125" s="103"/>
      <c r="IX125" s="103"/>
      <c r="IY125" s="103"/>
      <c r="IZ125" s="103"/>
      <c r="JA125" s="103"/>
      <c r="JB125" s="103"/>
      <c r="JC125" s="103"/>
      <c r="JD125" s="103"/>
      <c r="JE125" s="103"/>
      <c r="JF125" s="103"/>
      <c r="JG125" s="103"/>
      <c r="JH125" s="103"/>
      <c r="JI125" s="103"/>
      <c r="JJ125" s="103"/>
      <c r="JK125" s="103"/>
      <c r="JL125" s="103"/>
      <c r="JM125" s="103"/>
      <c r="JN125" s="103"/>
      <c r="JO125" s="103"/>
      <c r="JP125" s="103"/>
      <c r="JQ125" s="103"/>
      <c r="JR125" s="103"/>
      <c r="JS125" s="103"/>
      <c r="JT125" s="103"/>
      <c r="JU125" s="103"/>
      <c r="JV125" s="103"/>
      <c r="JW125" s="103"/>
      <c r="JX125" s="103"/>
      <c r="JY125" s="103"/>
      <c r="JZ125" s="103"/>
      <c r="KA125" s="103"/>
      <c r="KB125" s="103"/>
      <c r="KC125" s="103"/>
      <c r="KD125" s="103"/>
      <c r="KE125" s="103"/>
      <c r="KF125" s="103"/>
      <c r="KG125" s="103"/>
      <c r="KH125" s="103"/>
      <c r="KI125" s="103"/>
      <c r="KJ125" s="103"/>
      <c r="KK125" s="103"/>
      <c r="KL125" s="103"/>
      <c r="KM125" s="103"/>
      <c r="KN125" s="103"/>
      <c r="KO125" s="103"/>
      <c r="KP125" s="103"/>
      <c r="KQ125" s="103"/>
      <c r="KR125" s="103"/>
      <c r="KS125" s="103"/>
      <c r="KT125" s="103"/>
      <c r="KU125" s="103"/>
      <c r="KV125" s="103"/>
      <c r="KW125" s="103"/>
      <c r="KX125" s="103"/>
      <c r="KY125" s="103"/>
      <c r="KZ125" s="103"/>
      <c r="LA125" s="103"/>
      <c r="LB125" s="103"/>
      <c r="LC125" s="103"/>
      <c r="LD125" s="103"/>
      <c r="LE125" s="103"/>
      <c r="LF125" s="103"/>
      <c r="LG125" s="103"/>
      <c r="LH125" s="103"/>
      <c r="LI125" s="103"/>
      <c r="LJ125" s="103"/>
      <c r="LK125" s="103"/>
    </row>
    <row r="126" spans="1:323" ht="30.75" hidden="1" customHeight="1" x14ac:dyDescent="0.2">
      <c r="A126" s="1271" t="s">
        <v>462</v>
      </c>
      <c r="B126" s="1271"/>
      <c r="C126" s="1271"/>
      <c r="D126" s="1271"/>
      <c r="E126" s="1271"/>
      <c r="F126" s="1271"/>
      <c r="G126" s="1271"/>
      <c r="H126" s="1271"/>
      <c r="I126" s="1271"/>
      <c r="J126" s="1271"/>
      <c r="K126" s="1271"/>
      <c r="L126" s="1271"/>
      <c r="M126" s="1271"/>
      <c r="N126" s="1271"/>
      <c r="O126" s="1271"/>
      <c r="P126" s="1271"/>
      <c r="Q126" s="1271"/>
      <c r="R126" s="1271"/>
      <c r="S126" s="1271"/>
      <c r="T126" s="1271"/>
      <c r="U126" s="1271"/>
      <c r="V126" s="1271"/>
      <c r="W126" s="1271"/>
      <c r="X126" s="1271"/>
      <c r="Y126" s="1271"/>
      <c r="Z126" s="1271"/>
      <c r="AA126" s="1271"/>
      <c r="AB126" s="171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BB126" s="171"/>
      <c r="BC126" s="170"/>
      <c r="BD126" s="170"/>
      <c r="BE126" s="170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6"/>
    </row>
    <row r="127" spans="1:323" hidden="1" x14ac:dyDescent="0.2">
      <c r="A127" s="1271"/>
      <c r="B127" s="1271"/>
      <c r="C127" s="1271"/>
      <c r="D127" s="1271"/>
      <c r="E127" s="1271"/>
      <c r="F127" s="1271"/>
      <c r="G127" s="1271"/>
      <c r="H127" s="1271"/>
      <c r="I127" s="1271"/>
      <c r="J127" s="1271"/>
      <c r="K127" s="1271"/>
      <c r="L127" s="1271"/>
      <c r="M127" s="1271"/>
      <c r="N127" s="1271"/>
      <c r="O127" s="1271"/>
      <c r="P127" s="1271"/>
      <c r="Q127" s="1271"/>
      <c r="R127" s="1271"/>
      <c r="S127" s="1271"/>
      <c r="T127" s="1271"/>
      <c r="U127" s="1271"/>
      <c r="V127" s="1271"/>
      <c r="W127" s="1271"/>
      <c r="X127" s="1271"/>
      <c r="Y127" s="1271"/>
      <c r="Z127" s="1271"/>
      <c r="AA127" s="1271"/>
      <c r="CJ127" s="36"/>
      <c r="CK127" s="36"/>
      <c r="CL127" s="36"/>
      <c r="CM127" s="36"/>
      <c r="CN127" s="36"/>
      <c r="CO127" s="36"/>
      <c r="CP127" s="36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A127" s="36"/>
      <c r="DB127" s="36"/>
      <c r="DC127" s="36"/>
      <c r="DD127" s="36"/>
      <c r="DE127" s="36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P127" s="36"/>
    </row>
    <row r="128" spans="1:323" x14ac:dyDescent="0.2">
      <c r="D128"/>
      <c r="E128"/>
      <c r="R128"/>
      <c r="S128"/>
      <c r="T128"/>
      <c r="U128"/>
      <c r="V128"/>
      <c r="W128"/>
      <c r="X128"/>
      <c r="Y128"/>
      <c r="BO128" s="289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P128" s="36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</row>
    <row r="129" spans="4:323" x14ac:dyDescent="0.2">
      <c r="D129"/>
      <c r="E129"/>
      <c r="R129"/>
      <c r="S129"/>
      <c r="T129"/>
      <c r="U129"/>
      <c r="V129"/>
      <c r="W129"/>
      <c r="X129"/>
      <c r="Y129"/>
      <c r="Z129" s="1266"/>
      <c r="AA129" s="1266"/>
      <c r="AB129" s="1266"/>
      <c r="AC129" s="1266"/>
      <c r="AD129" s="1266"/>
      <c r="AQ129" s="13"/>
      <c r="BB129"/>
      <c r="CJ129" s="36"/>
      <c r="CK129" s="36"/>
      <c r="CL129" s="36"/>
      <c r="CM129" s="36"/>
      <c r="CN129" s="36"/>
      <c r="CO129" s="36"/>
      <c r="CP129" s="36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A129" s="36"/>
      <c r="DB129" s="36"/>
      <c r="DC129" s="36"/>
      <c r="DD129" s="36"/>
      <c r="DE129" s="36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P129" s="36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</row>
    <row r="130" spans="4:323" x14ac:dyDescent="0.2">
      <c r="D130"/>
      <c r="E130"/>
      <c r="R130"/>
      <c r="S130"/>
      <c r="T130"/>
      <c r="U130"/>
      <c r="V130"/>
      <c r="W130"/>
      <c r="X130"/>
      <c r="Y130"/>
      <c r="Z130" s="1266"/>
      <c r="AA130" s="1266"/>
      <c r="AB130" s="1266"/>
      <c r="AC130" s="1266"/>
      <c r="AD130" s="1266"/>
      <c r="BB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</row>
    <row r="131" spans="4:323" x14ac:dyDescent="0.2">
      <c r="D131"/>
      <c r="E131"/>
      <c r="R131"/>
      <c r="S131"/>
      <c r="T131"/>
      <c r="U131"/>
      <c r="V131"/>
      <c r="W131"/>
      <c r="X131"/>
      <c r="Y131"/>
      <c r="Z131" s="1266"/>
      <c r="AA131" s="1266"/>
      <c r="AB131" s="1266"/>
      <c r="AC131" s="1266"/>
      <c r="AD131" s="1266"/>
      <c r="BB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</row>
    <row r="132" spans="4:323" x14ac:dyDescent="0.2">
      <c r="D132"/>
      <c r="E132"/>
      <c r="R132"/>
      <c r="S132"/>
      <c r="T132"/>
      <c r="U132"/>
      <c r="V132"/>
      <c r="W132"/>
      <c r="X132"/>
      <c r="Y132"/>
      <c r="Z132" s="1266"/>
      <c r="AA132" s="1266"/>
      <c r="AB132" s="1266"/>
      <c r="AC132" s="1266"/>
      <c r="AD132" s="1266"/>
      <c r="BB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</row>
  </sheetData>
  <mergeCells count="52">
    <mergeCell ref="R9:T9"/>
    <mergeCell ref="L8:L9"/>
    <mergeCell ref="K8:K9"/>
    <mergeCell ref="Z10:Z11"/>
    <mergeCell ref="Y10:Y11"/>
    <mergeCell ref="M8:M9"/>
    <mergeCell ref="O8:O9"/>
    <mergeCell ref="Q8:Q9"/>
    <mergeCell ref="BZ10:BZ11"/>
    <mergeCell ref="AD10:AD11"/>
    <mergeCell ref="AE10:AE11"/>
    <mergeCell ref="W9:BA9"/>
    <mergeCell ref="BN10:BN11"/>
    <mergeCell ref="BD10:BD11"/>
    <mergeCell ref="BE10:BE11"/>
    <mergeCell ref="AT10:AT11"/>
    <mergeCell ref="AU10:AU11"/>
    <mergeCell ref="BY10:BY11"/>
    <mergeCell ref="BU10:BU11"/>
    <mergeCell ref="BT10:BT11"/>
    <mergeCell ref="Z129:AD132"/>
    <mergeCell ref="A126:AA127"/>
    <mergeCell ref="V10:V11"/>
    <mergeCell ref="R10:R11"/>
    <mergeCell ref="S10:S11"/>
    <mergeCell ref="T10:T11"/>
    <mergeCell ref="W10:W11"/>
    <mergeCell ref="J10:J11"/>
    <mergeCell ref="K10:K11"/>
    <mergeCell ref="L10:L11"/>
    <mergeCell ref="M10:M11"/>
    <mergeCell ref="O10:O11"/>
    <mergeCell ref="Q10:Q11"/>
    <mergeCell ref="E8:E9"/>
    <mergeCell ref="A10:A11"/>
    <mergeCell ref="B10:B11"/>
    <mergeCell ref="E10:E11"/>
    <mergeCell ref="J8:J9"/>
    <mergeCell ref="G8:G9"/>
    <mergeCell ref="H8:H9"/>
    <mergeCell ref="I8:I9"/>
    <mergeCell ref="H10:H11"/>
    <mergeCell ref="I10:I11"/>
    <mergeCell ref="F10:F11"/>
    <mergeCell ref="G10:G11"/>
    <mergeCell ref="F8:F9"/>
    <mergeCell ref="DO10:DO11"/>
    <mergeCell ref="CO10:CO11"/>
    <mergeCell ref="CP10:CP11"/>
    <mergeCell ref="CT10:CT11"/>
    <mergeCell ref="CU10:CU11"/>
    <mergeCell ref="DN10:DN11"/>
  </mergeCells>
  <printOptions horizontalCentered="1"/>
  <pageMargins left="0.19685039370078741" right="0.19685039370078741" top="0.39370078740157483" bottom="0.39370078740157483" header="0" footer="0"/>
  <pageSetup scale="40" orientation="landscape" r:id="rId1"/>
  <headerFooter alignWithMargins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DQ55"/>
  <sheetViews>
    <sheetView topLeftCell="A7" zoomScale="85" zoomScaleNormal="85" workbookViewId="0">
      <selection activeCell="S30" sqref="S30"/>
    </sheetView>
  </sheetViews>
  <sheetFormatPr baseColWidth="10" defaultRowHeight="12.75" x14ac:dyDescent="0.2"/>
  <cols>
    <col min="1" max="1" width="20.5703125" customWidth="1"/>
    <col min="2" max="2" width="26.7109375" customWidth="1"/>
    <col min="3" max="3" width="23.85546875" customWidth="1"/>
    <col min="4" max="4" width="6.7109375" style="18" customWidth="1"/>
    <col min="5" max="5" width="7.42578125" style="18" customWidth="1"/>
    <col min="6" max="6" width="9.7109375" customWidth="1"/>
    <col min="7" max="13" width="8.5703125" customWidth="1"/>
    <col min="14" max="14" width="8.5703125" hidden="1" customWidth="1"/>
    <col min="15" max="15" width="8.42578125" hidden="1" customWidth="1"/>
    <col min="16" max="16" width="8.5703125" hidden="1" customWidth="1"/>
    <col min="17" max="17" width="11" customWidth="1"/>
    <col min="18" max="18" width="7" style="19" customWidth="1"/>
    <col min="19" max="19" width="9.5703125" style="19" customWidth="1"/>
    <col min="20" max="21" width="8.42578125" style="12" customWidth="1"/>
    <col min="22" max="22" width="7.85546875" style="12" hidden="1" customWidth="1"/>
    <col min="23" max="23" width="8.28515625" style="12" hidden="1" customWidth="1"/>
    <col min="24" max="24" width="8.42578125" style="12" hidden="1" customWidth="1"/>
    <col min="25" max="25" width="8.5703125" style="104" hidden="1" customWidth="1"/>
    <col min="26" max="27" width="8.7109375" hidden="1" customWidth="1"/>
    <col min="28" max="28" width="8.7109375" style="77" hidden="1" customWidth="1"/>
    <col min="29" max="29" width="7.42578125" hidden="1" customWidth="1"/>
    <col min="30" max="30" width="9.42578125" hidden="1" customWidth="1"/>
    <col min="31" max="31" width="8" hidden="1" customWidth="1"/>
    <col min="32" max="36" width="7.7109375" hidden="1" customWidth="1"/>
    <col min="37" max="37" width="11.28515625" hidden="1" customWidth="1"/>
    <col min="38" max="38" width="8.140625" hidden="1" customWidth="1"/>
    <col min="39" max="39" width="8.28515625" hidden="1" customWidth="1"/>
    <col min="40" max="40" width="9" hidden="1" customWidth="1"/>
    <col min="41" max="41" width="8.7109375" hidden="1" customWidth="1"/>
    <col min="42" max="42" width="8.42578125" hidden="1" customWidth="1"/>
    <col min="43" max="43" width="9" hidden="1" customWidth="1"/>
    <col min="44" max="44" width="8.5703125" hidden="1" customWidth="1"/>
    <col min="45" max="45" width="9.28515625" style="69" hidden="1" customWidth="1"/>
    <col min="46" max="46" width="7.140625" hidden="1" customWidth="1"/>
    <col min="47" max="47" width="6.28515625" hidden="1" customWidth="1"/>
    <col min="48" max="48" width="10.28515625" hidden="1" customWidth="1"/>
    <col min="49" max="49" width="9.7109375" hidden="1" customWidth="1"/>
    <col min="50" max="50" width="10.140625" hidden="1" customWidth="1"/>
    <col min="51" max="51" width="9.42578125" hidden="1" customWidth="1"/>
    <col min="52" max="52" width="10.28515625" hidden="1" customWidth="1"/>
    <col min="53" max="53" width="8.7109375" hidden="1" customWidth="1"/>
    <col min="54" max="54" width="8.7109375" style="77" hidden="1" customWidth="1"/>
    <col min="55" max="55" width="7.42578125" hidden="1" customWidth="1"/>
    <col min="56" max="56" width="8.42578125" hidden="1" customWidth="1"/>
    <col min="57" max="57" width="8" hidden="1" customWidth="1"/>
    <col min="58" max="65" width="9" hidden="1" customWidth="1"/>
    <col min="66" max="66" width="9.5703125" hidden="1" customWidth="1"/>
    <col min="67" max="67" width="10.28515625" hidden="1" customWidth="1"/>
    <col min="68" max="68" width="9.7109375" hidden="1" customWidth="1"/>
    <col min="69" max="70" width="10.42578125" hidden="1" customWidth="1"/>
    <col min="71" max="72" width="10.28515625" hidden="1" customWidth="1"/>
    <col min="73" max="73" width="10.85546875" hidden="1" customWidth="1"/>
    <col min="74" max="74" width="8.7109375" style="77" hidden="1" customWidth="1"/>
    <col min="75" max="75" width="7.42578125" hidden="1" customWidth="1"/>
    <col min="76" max="76" width="8.42578125" hidden="1" customWidth="1"/>
    <col min="77" max="77" width="8" hidden="1" customWidth="1"/>
    <col min="78" max="85" width="9" hidden="1" customWidth="1"/>
    <col min="86" max="86" width="10.5703125" bestFit="1" customWidth="1"/>
    <col min="87" max="87" width="8.7109375" customWidth="1"/>
    <col min="88" max="88" width="8.7109375" style="77" customWidth="1"/>
    <col min="89" max="89" width="10.140625" customWidth="1"/>
    <col min="90" max="90" width="8.42578125" customWidth="1"/>
    <col min="91" max="91" width="9.42578125" customWidth="1"/>
    <col min="92" max="96" width="9" hidden="1" customWidth="1"/>
    <col min="97" max="97" width="11.7109375" hidden="1" customWidth="1"/>
    <col min="98" max="98" width="11.5703125" hidden="1" customWidth="1"/>
    <col min="99" max="99" width="9" customWidth="1"/>
    <col min="100" max="100" width="9.5703125" customWidth="1"/>
    <col min="101" max="101" width="0" hidden="1" customWidth="1"/>
    <col min="102" max="102" width="8.42578125" hidden="1" customWidth="1"/>
    <col min="103" max="105" width="11.42578125" hidden="1" customWidth="1"/>
    <col min="106" max="106" width="9.140625" hidden="1" customWidth="1"/>
    <col min="107" max="107" width="0" hidden="1" customWidth="1"/>
    <col min="108" max="121" width="11.42578125" hidden="1" customWidth="1"/>
  </cols>
  <sheetData>
    <row r="1" spans="1:121" x14ac:dyDescent="0.2">
      <c r="A1" s="637"/>
      <c r="B1" s="638" t="s">
        <v>27</v>
      </c>
      <c r="C1" s="637"/>
      <c r="D1" s="639"/>
      <c r="E1" s="639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40"/>
      <c r="S1" s="640"/>
      <c r="T1" s="637"/>
      <c r="U1" s="637"/>
      <c r="V1" s="637"/>
      <c r="W1" s="637"/>
      <c r="X1" s="637"/>
      <c r="Y1" s="661"/>
      <c r="Z1" s="662"/>
      <c r="AA1" s="662"/>
      <c r="AB1" s="663"/>
      <c r="AC1" s="662"/>
      <c r="AD1" s="662"/>
      <c r="AE1" s="662"/>
      <c r="AF1" s="662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62"/>
      <c r="AR1" s="637"/>
      <c r="AS1" s="664"/>
      <c r="AT1" s="637"/>
      <c r="AU1" s="637"/>
      <c r="AV1" s="637"/>
      <c r="AW1" s="637"/>
      <c r="AX1" s="637"/>
      <c r="AY1" s="637"/>
      <c r="AZ1" s="637"/>
      <c r="BA1" s="662"/>
      <c r="BB1" s="663"/>
      <c r="BC1" s="662"/>
      <c r="BD1" s="662"/>
      <c r="BE1" s="662"/>
      <c r="BF1" s="637"/>
      <c r="BG1" s="637"/>
      <c r="BH1" s="637"/>
      <c r="BI1" s="637"/>
      <c r="BJ1" s="637"/>
      <c r="BK1" s="637"/>
      <c r="BL1" s="637"/>
      <c r="BM1" s="637"/>
      <c r="BN1" s="637"/>
      <c r="BO1" s="637"/>
      <c r="BP1" s="637"/>
      <c r="BQ1" s="637"/>
      <c r="BR1" s="637"/>
      <c r="BS1" s="637"/>
      <c r="BT1" s="637"/>
      <c r="BU1" s="662"/>
      <c r="BV1" s="663"/>
      <c r="BW1" s="662"/>
      <c r="BX1" s="662"/>
      <c r="BY1" s="662"/>
      <c r="BZ1" s="637"/>
      <c r="CA1" s="637"/>
      <c r="CB1" s="637"/>
      <c r="CC1" s="637"/>
      <c r="CD1" s="637"/>
      <c r="CE1" s="637"/>
      <c r="CF1" s="637"/>
      <c r="CG1" s="637"/>
      <c r="CH1" s="637"/>
      <c r="CI1" s="662"/>
      <c r="CJ1" s="663"/>
      <c r="CK1" s="662"/>
      <c r="CL1" s="662"/>
      <c r="CM1" s="662"/>
      <c r="CN1" s="637"/>
      <c r="CO1" s="637"/>
      <c r="CP1" s="637"/>
      <c r="CQ1" s="637"/>
      <c r="CR1" s="637"/>
      <c r="CS1" s="637"/>
      <c r="CT1" s="637"/>
      <c r="CU1" s="637"/>
      <c r="CV1" s="637"/>
    </row>
    <row r="2" spans="1:121" x14ac:dyDescent="0.2">
      <c r="A2" s="637"/>
      <c r="B2" s="638" t="s">
        <v>1061</v>
      </c>
      <c r="C2" s="637"/>
      <c r="D2" s="639"/>
      <c r="E2" s="639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40"/>
      <c r="S2" s="640"/>
      <c r="T2" s="637"/>
      <c r="U2" s="637"/>
      <c r="V2" s="637"/>
      <c r="W2" s="637"/>
      <c r="X2" s="637"/>
      <c r="Y2" s="661"/>
      <c r="Z2" s="662"/>
      <c r="AA2" s="662"/>
      <c r="AB2" s="663"/>
      <c r="AC2" s="662"/>
      <c r="AD2" s="662"/>
      <c r="AE2" s="662"/>
      <c r="AF2" s="662"/>
      <c r="AG2" s="637"/>
      <c r="AH2" s="637"/>
      <c r="AI2" s="637"/>
      <c r="AJ2" s="637"/>
      <c r="AK2" s="637"/>
      <c r="AL2" s="637"/>
      <c r="AM2" s="637"/>
      <c r="AN2" s="637"/>
      <c r="AO2" s="637"/>
      <c r="AP2" s="637"/>
      <c r="AQ2" s="637"/>
      <c r="AR2" s="637"/>
      <c r="AS2" s="664"/>
      <c r="AT2" s="637"/>
      <c r="AU2" s="637"/>
      <c r="AV2" s="637"/>
      <c r="AW2" s="637"/>
      <c r="AX2" s="637"/>
      <c r="AY2" s="637"/>
      <c r="AZ2" s="637"/>
      <c r="BA2" s="662"/>
      <c r="BB2" s="663"/>
      <c r="BC2" s="662"/>
      <c r="BD2" s="662"/>
      <c r="BE2" s="662"/>
      <c r="BF2" s="637"/>
      <c r="BG2" s="637"/>
      <c r="BH2" s="637"/>
      <c r="BI2" s="637"/>
      <c r="BJ2" s="637"/>
      <c r="BK2" s="637"/>
      <c r="BL2" s="637"/>
      <c r="BM2" s="637"/>
      <c r="BN2" s="637"/>
      <c r="BO2" s="637"/>
      <c r="BP2" s="637"/>
      <c r="BQ2" s="637"/>
      <c r="BR2" s="637"/>
      <c r="BS2" s="637"/>
      <c r="BT2" s="637"/>
      <c r="BU2" s="662"/>
      <c r="BV2" s="663"/>
      <c r="BW2" s="662"/>
      <c r="BX2" s="662"/>
      <c r="BY2" s="662"/>
      <c r="BZ2" s="637"/>
      <c r="CA2" s="637"/>
      <c r="CB2" s="637"/>
      <c r="CC2" s="637"/>
      <c r="CD2" s="637"/>
      <c r="CE2" s="637"/>
      <c r="CF2" s="637"/>
      <c r="CG2" s="637"/>
      <c r="CH2" s="637"/>
      <c r="CI2" s="662"/>
      <c r="CJ2" s="663"/>
      <c r="CK2" s="662"/>
      <c r="CL2" s="662"/>
      <c r="CM2" s="662"/>
      <c r="CN2" s="637"/>
      <c r="CO2" s="637"/>
      <c r="CP2" s="637"/>
      <c r="CQ2" s="637"/>
      <c r="CR2" s="637"/>
      <c r="CS2" s="637"/>
      <c r="CT2" s="637"/>
      <c r="CU2" s="637"/>
      <c r="CV2" s="637"/>
    </row>
    <row r="3" spans="1:121" x14ac:dyDescent="0.2">
      <c r="A3" s="637"/>
      <c r="B3" s="637"/>
      <c r="C3" s="638"/>
      <c r="D3" s="641"/>
      <c r="E3" s="639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38"/>
      <c r="S3" s="638"/>
      <c r="T3" s="642"/>
      <c r="U3" s="642"/>
      <c r="V3" s="642"/>
      <c r="W3" s="642"/>
      <c r="X3" s="642"/>
      <c r="Y3" s="665"/>
      <c r="Z3" s="662"/>
      <c r="AA3" s="662"/>
      <c r="AB3" s="663"/>
      <c r="AC3" s="662"/>
      <c r="AD3" s="662"/>
      <c r="AE3" s="662"/>
      <c r="AF3" s="662"/>
      <c r="AG3" s="637"/>
      <c r="AH3" s="637"/>
      <c r="AI3" s="637"/>
      <c r="AJ3" s="637"/>
      <c r="AK3" s="637"/>
      <c r="AL3" s="637"/>
      <c r="AM3" s="637"/>
      <c r="AN3" s="637"/>
      <c r="AO3" s="637"/>
      <c r="AP3" s="637"/>
      <c r="AQ3" s="637"/>
      <c r="AR3" s="637"/>
      <c r="AS3" s="664"/>
      <c r="AT3" s="637"/>
      <c r="AU3" s="637"/>
      <c r="AV3" s="637"/>
      <c r="AW3" s="637"/>
      <c r="AX3" s="637"/>
      <c r="AY3" s="637"/>
      <c r="AZ3" s="637"/>
      <c r="BA3" s="662"/>
      <c r="BB3" s="663"/>
      <c r="BC3" s="662"/>
      <c r="BD3" s="662"/>
      <c r="BE3" s="662"/>
      <c r="BF3" s="637"/>
      <c r="BG3" s="637"/>
      <c r="BH3" s="637"/>
      <c r="BI3" s="637"/>
      <c r="BJ3" s="637"/>
      <c r="BK3" s="637"/>
      <c r="BL3" s="637"/>
      <c r="BM3" s="637"/>
      <c r="BN3" s="637"/>
      <c r="BO3" s="637"/>
      <c r="BP3" s="637"/>
      <c r="BQ3" s="637"/>
      <c r="BR3" s="637"/>
      <c r="BS3" s="637"/>
      <c r="BT3" s="637"/>
      <c r="BU3" s="662"/>
      <c r="BV3" s="663"/>
      <c r="BW3" s="662"/>
      <c r="BX3" s="662"/>
      <c r="BY3" s="662"/>
      <c r="BZ3" s="637"/>
      <c r="CA3" s="637"/>
      <c r="CB3" s="637"/>
      <c r="CC3" s="637"/>
      <c r="CD3" s="637"/>
      <c r="CE3" s="637"/>
      <c r="CF3" s="637"/>
      <c r="CG3" s="637"/>
      <c r="CH3" s="637"/>
      <c r="CI3" s="662"/>
      <c r="CJ3" s="663"/>
      <c r="CK3" s="662"/>
      <c r="CL3" s="662"/>
      <c r="CM3" s="662"/>
      <c r="CN3" s="637"/>
      <c r="CO3" s="637"/>
      <c r="CP3" s="637"/>
      <c r="CQ3" s="637"/>
      <c r="CR3" s="637"/>
      <c r="CS3" s="637"/>
      <c r="CT3" s="637"/>
      <c r="CU3" s="637"/>
      <c r="CV3" s="637"/>
    </row>
    <row r="4" spans="1:121" x14ac:dyDescent="0.2">
      <c r="A4" s="637"/>
      <c r="B4" s="637" t="s">
        <v>309</v>
      </c>
      <c r="C4" s="638"/>
      <c r="D4" s="641"/>
      <c r="E4" s="639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38"/>
      <c r="S4" s="638"/>
      <c r="T4" s="642"/>
      <c r="U4" s="642"/>
      <c r="V4" s="642"/>
      <c r="W4" s="642"/>
      <c r="X4" s="642"/>
      <c r="Y4" s="665"/>
      <c r="Z4" s="662"/>
      <c r="AA4" s="662"/>
      <c r="AB4" s="663"/>
      <c r="AC4" s="662"/>
      <c r="AD4" s="662"/>
      <c r="AE4" s="662"/>
      <c r="AF4" s="662"/>
      <c r="AG4" s="637"/>
      <c r="AH4" s="637"/>
      <c r="AI4" s="637"/>
      <c r="AJ4" s="637"/>
      <c r="AK4" s="637"/>
      <c r="AL4" s="637"/>
      <c r="AM4" s="637"/>
      <c r="AN4" s="637"/>
      <c r="AO4" s="637"/>
      <c r="AP4" s="637"/>
      <c r="AQ4" s="637"/>
      <c r="AR4" s="637"/>
      <c r="AS4" s="664"/>
      <c r="AT4" s="637"/>
      <c r="AU4" s="637"/>
      <c r="AV4" s="637"/>
      <c r="AW4" s="637"/>
      <c r="AX4" s="637"/>
      <c r="AY4" s="637"/>
      <c r="AZ4" s="637"/>
      <c r="BA4" s="662"/>
      <c r="BB4" s="663"/>
      <c r="BC4" s="662"/>
      <c r="BD4" s="662"/>
      <c r="BE4" s="662"/>
      <c r="BF4" s="637"/>
      <c r="BG4" s="637"/>
      <c r="BH4" s="637"/>
      <c r="BI4" s="637"/>
      <c r="BJ4" s="637"/>
      <c r="BK4" s="637"/>
      <c r="BL4" s="637"/>
      <c r="BM4" s="637"/>
      <c r="BN4" s="637"/>
      <c r="BO4" s="637"/>
      <c r="BP4" s="637"/>
      <c r="BQ4" s="637"/>
      <c r="BR4" s="637"/>
      <c r="BS4" s="637"/>
      <c r="BT4" s="637"/>
      <c r="BU4" s="662"/>
      <c r="BV4" s="663"/>
      <c r="BW4" s="662"/>
      <c r="BX4" s="662"/>
      <c r="BY4" s="662"/>
      <c r="BZ4" s="637"/>
      <c r="CA4" s="637"/>
      <c r="CB4" s="637"/>
      <c r="CC4" s="637"/>
      <c r="CD4" s="637"/>
      <c r="CE4" s="637"/>
      <c r="CF4" s="637"/>
      <c r="CG4" s="637"/>
      <c r="CH4" s="637"/>
      <c r="CI4" s="662"/>
      <c r="CJ4" s="663"/>
      <c r="CK4" s="662"/>
      <c r="CL4" s="662"/>
      <c r="CM4" s="662"/>
      <c r="CN4" s="637"/>
      <c r="CO4" s="637"/>
      <c r="CP4" s="637"/>
      <c r="CQ4" s="637"/>
      <c r="CR4" s="637"/>
      <c r="CS4" s="637"/>
      <c r="CT4" s="637"/>
      <c r="CU4" s="637"/>
      <c r="CV4" s="637"/>
    </row>
    <row r="5" spans="1:121" x14ac:dyDescent="0.2">
      <c r="A5" s="637"/>
      <c r="B5" s="642" t="s">
        <v>600</v>
      </c>
      <c r="C5" s="637"/>
      <c r="D5" s="639"/>
      <c r="E5" s="639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40"/>
      <c r="S5" s="640"/>
      <c r="T5" s="637"/>
      <c r="U5" s="637"/>
      <c r="V5" s="637"/>
      <c r="W5" s="637"/>
      <c r="X5" s="637"/>
      <c r="Y5" s="661"/>
      <c r="Z5" s="662"/>
      <c r="AA5" s="662"/>
      <c r="AB5" s="663"/>
      <c r="AC5" s="662"/>
      <c r="AD5" s="662"/>
      <c r="AE5" s="662"/>
      <c r="AF5" s="662"/>
      <c r="AG5" s="637"/>
      <c r="AH5" s="637"/>
      <c r="AI5" s="637"/>
      <c r="AJ5" s="637"/>
      <c r="AK5" s="637"/>
      <c r="AL5" s="637"/>
      <c r="AM5" s="637"/>
      <c r="AN5" s="637"/>
      <c r="AO5" s="637"/>
      <c r="AP5" s="637"/>
      <c r="AQ5" s="637"/>
      <c r="AR5" s="637"/>
      <c r="AS5" s="664"/>
      <c r="AT5" s="637"/>
      <c r="AU5" s="637"/>
      <c r="AV5" s="637"/>
      <c r="AW5" s="637"/>
      <c r="AX5" s="637"/>
      <c r="AY5" s="637"/>
      <c r="AZ5" s="637"/>
      <c r="BA5" s="662"/>
      <c r="BB5" s="663"/>
      <c r="BC5" s="662"/>
      <c r="BD5" s="662"/>
      <c r="BE5" s="662"/>
      <c r="BF5" s="637"/>
      <c r="BG5" s="637"/>
      <c r="BH5" s="637"/>
      <c r="BI5" s="637"/>
      <c r="BJ5" s="637"/>
      <c r="BK5" s="637"/>
      <c r="BL5" s="637"/>
      <c r="BM5" s="637"/>
      <c r="BN5" s="637"/>
      <c r="BO5" s="637"/>
      <c r="BP5" s="637"/>
      <c r="BQ5" s="637"/>
      <c r="BR5" s="637"/>
      <c r="BS5" s="637"/>
      <c r="BT5" s="637"/>
      <c r="BU5" s="662"/>
      <c r="BV5" s="663"/>
      <c r="BW5" s="662"/>
      <c r="BX5" s="662"/>
      <c r="BY5" s="662"/>
      <c r="BZ5" s="637"/>
      <c r="CA5" s="637"/>
      <c r="CB5" s="637"/>
      <c r="CC5" s="637"/>
      <c r="CD5" s="637"/>
      <c r="CE5" s="637"/>
      <c r="CF5" s="637"/>
      <c r="CG5" s="637"/>
      <c r="CH5" s="637"/>
      <c r="CI5" s="662"/>
      <c r="CJ5" s="663"/>
      <c r="CK5" s="662"/>
      <c r="CL5" s="662"/>
      <c r="CM5" s="662"/>
      <c r="CN5" s="637"/>
      <c r="CO5" s="637"/>
      <c r="CP5" s="637"/>
      <c r="CQ5" s="637"/>
      <c r="CR5" s="637"/>
      <c r="CS5" s="637"/>
      <c r="CT5" s="637"/>
      <c r="CU5" s="637"/>
      <c r="CV5" s="637"/>
    </row>
    <row r="6" spans="1:121" x14ac:dyDescent="0.2">
      <c r="A6" s="637"/>
      <c r="B6" s="637" t="s">
        <v>706</v>
      </c>
      <c r="C6" s="637"/>
      <c r="D6" s="639"/>
      <c r="E6" s="639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40"/>
      <c r="S6" s="640"/>
      <c r="T6" s="637"/>
      <c r="U6" s="637"/>
      <c r="V6" s="637"/>
      <c r="W6" s="637"/>
      <c r="X6" s="637"/>
      <c r="Y6" s="661"/>
      <c r="Z6" s="662"/>
      <c r="AA6" s="662"/>
      <c r="AB6" s="663"/>
      <c r="AC6" s="662"/>
      <c r="AD6" s="662"/>
      <c r="AE6" s="662"/>
      <c r="AF6" s="662"/>
      <c r="AG6" s="637"/>
      <c r="AH6" s="637"/>
      <c r="AI6" s="637"/>
      <c r="AJ6" s="637"/>
      <c r="AK6" s="637"/>
      <c r="AL6" s="637"/>
      <c r="AM6" s="637"/>
      <c r="AN6" s="637"/>
      <c r="AO6" s="637"/>
      <c r="AP6" s="637"/>
      <c r="AQ6" s="637"/>
      <c r="AR6" s="637"/>
      <c r="AS6" s="664"/>
      <c r="AT6" s="637"/>
      <c r="AU6" s="637"/>
      <c r="AV6" s="637"/>
      <c r="AW6" s="637"/>
      <c r="AX6" s="637"/>
      <c r="AY6" s="637"/>
      <c r="AZ6" s="637"/>
      <c r="BA6" s="662"/>
      <c r="BB6" s="663"/>
      <c r="BC6" s="662"/>
      <c r="BD6" s="662"/>
      <c r="BE6" s="662"/>
      <c r="BF6" s="637"/>
      <c r="BG6" s="637"/>
      <c r="BH6" s="637"/>
      <c r="BI6" s="637"/>
      <c r="BJ6" s="637"/>
      <c r="BK6" s="637"/>
      <c r="BL6" s="637"/>
      <c r="BM6" s="637"/>
      <c r="BN6" s="637"/>
      <c r="BO6" s="637"/>
      <c r="BP6" s="637"/>
      <c r="BQ6" s="637"/>
      <c r="BR6" s="637"/>
      <c r="BS6" s="637"/>
      <c r="BT6" s="637"/>
      <c r="BU6" s="662"/>
      <c r="BV6" s="663"/>
      <c r="BW6" s="662"/>
      <c r="BX6" s="662"/>
      <c r="BY6" s="662"/>
      <c r="BZ6" s="637"/>
      <c r="CA6" s="637"/>
      <c r="CB6" s="637"/>
      <c r="CC6" s="637"/>
      <c r="CD6" s="637"/>
      <c r="CE6" s="637"/>
      <c r="CF6" s="637"/>
      <c r="CG6" s="637"/>
      <c r="CH6" s="637"/>
      <c r="CI6" s="662"/>
      <c r="CJ6" s="663"/>
      <c r="CK6" s="662"/>
      <c r="CL6" s="662"/>
      <c r="CM6" s="662"/>
      <c r="CN6" s="637"/>
      <c r="CO6" s="637"/>
      <c r="CP6" s="637"/>
      <c r="CQ6" s="637"/>
      <c r="CR6" s="637"/>
      <c r="CS6" s="637"/>
      <c r="CT6" s="637"/>
      <c r="CU6" s="637"/>
      <c r="CV6" s="637"/>
    </row>
    <row r="7" spans="1:121" x14ac:dyDescent="0.2">
      <c r="A7" s="637"/>
      <c r="B7" s="637"/>
      <c r="C7" s="637"/>
      <c r="D7" s="639"/>
      <c r="E7" s="639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40"/>
      <c r="S7" s="640"/>
      <c r="T7" s="637"/>
      <c r="U7" s="637"/>
      <c r="V7" s="637"/>
      <c r="W7" s="637"/>
      <c r="X7" s="637"/>
      <c r="Y7" s="661"/>
      <c r="Z7" s="662"/>
      <c r="AA7" s="662"/>
      <c r="AB7" s="663"/>
      <c r="AC7" s="662"/>
      <c r="AD7" s="662"/>
      <c r="AE7" s="662"/>
      <c r="AF7" s="662"/>
      <c r="AG7" s="637"/>
      <c r="AH7" s="637"/>
      <c r="AI7" s="637"/>
      <c r="AJ7" s="637"/>
      <c r="AK7" s="637"/>
      <c r="AL7" s="637"/>
      <c r="AM7" s="637"/>
      <c r="AN7" s="637"/>
      <c r="AO7" s="637"/>
      <c r="AP7" s="637"/>
      <c r="AQ7" s="637"/>
      <c r="AR7" s="637"/>
      <c r="AS7" s="664"/>
      <c r="AT7" s="637"/>
      <c r="AU7" s="637"/>
      <c r="AV7" s="637"/>
      <c r="AW7" s="637"/>
      <c r="AX7" s="637"/>
      <c r="AY7" s="637"/>
      <c r="AZ7" s="637"/>
      <c r="BA7" s="662"/>
      <c r="BB7" s="663"/>
      <c r="BC7" s="662"/>
      <c r="BD7" s="662"/>
      <c r="BE7" s="662"/>
      <c r="BF7" s="637"/>
      <c r="BG7" s="637"/>
      <c r="BH7" s="637"/>
      <c r="BI7" s="637"/>
      <c r="BJ7" s="637"/>
      <c r="BK7" s="637"/>
      <c r="BL7" s="637"/>
      <c r="BM7" s="637"/>
      <c r="BN7" s="637"/>
      <c r="BO7" s="637"/>
      <c r="BP7" s="637"/>
      <c r="BQ7" s="637"/>
      <c r="BR7" s="637"/>
      <c r="BS7" s="637"/>
      <c r="BT7" s="637"/>
      <c r="BU7" s="662"/>
      <c r="BV7" s="663"/>
      <c r="BW7" s="662"/>
      <c r="BX7" s="662"/>
      <c r="BY7" s="662"/>
      <c r="BZ7" s="637"/>
      <c r="CA7" s="637"/>
      <c r="CB7" s="637"/>
      <c r="CC7" s="637"/>
      <c r="CD7" s="637"/>
      <c r="CE7" s="637"/>
      <c r="CF7" s="637"/>
      <c r="CG7" s="637"/>
      <c r="CH7" s="637"/>
      <c r="CI7" s="662"/>
      <c r="CJ7" s="663"/>
      <c r="CK7" s="662"/>
      <c r="CL7" s="662"/>
      <c r="CM7" s="662"/>
      <c r="CN7" s="637"/>
      <c r="CO7" s="637"/>
      <c r="CP7" s="637"/>
      <c r="CQ7" s="637"/>
      <c r="CR7" s="637"/>
      <c r="CS7" s="637"/>
      <c r="CT7" s="637"/>
      <c r="CU7" s="637"/>
      <c r="CV7" s="637"/>
    </row>
    <row r="8" spans="1:121" s="16" customFormat="1" x14ac:dyDescent="0.2">
      <c r="A8" s="637"/>
      <c r="B8" s="637"/>
      <c r="C8" s="637"/>
      <c r="D8" s="639"/>
      <c r="E8" s="639"/>
      <c r="F8" s="637"/>
      <c r="G8" s="637"/>
      <c r="H8" s="637"/>
      <c r="I8" s="637"/>
      <c r="J8" s="637"/>
      <c r="K8" s="637"/>
      <c r="L8" s="637"/>
      <c r="M8" s="637"/>
      <c r="N8" s="637"/>
      <c r="O8" s="637"/>
      <c r="P8" s="637"/>
      <c r="Q8" s="637"/>
      <c r="R8" s="640"/>
      <c r="S8" s="640"/>
      <c r="T8" s="637"/>
      <c r="U8" s="637"/>
      <c r="V8" s="637"/>
      <c r="W8" s="637"/>
      <c r="X8" s="637"/>
      <c r="Y8" s="661"/>
      <c r="Z8" s="662"/>
      <c r="AA8" s="662"/>
      <c r="AB8" s="663"/>
      <c r="AC8" s="662"/>
      <c r="AD8" s="662"/>
      <c r="AE8" s="662"/>
      <c r="AF8" s="662"/>
      <c r="AG8" s="637"/>
      <c r="AH8" s="637"/>
      <c r="AI8" s="637"/>
      <c r="AJ8" s="637"/>
      <c r="AK8" s="637"/>
      <c r="AL8" s="637"/>
      <c r="AM8" s="637"/>
      <c r="AN8" s="637"/>
      <c r="AO8" s="637"/>
      <c r="AP8" s="637"/>
      <c r="AQ8" s="637"/>
      <c r="AR8" s="637"/>
      <c r="AS8" s="664"/>
      <c r="AT8" s="637"/>
      <c r="AU8" s="637"/>
      <c r="AV8" s="637"/>
      <c r="AW8" s="637"/>
      <c r="AX8" s="637"/>
      <c r="AY8" s="637"/>
      <c r="AZ8" s="637"/>
      <c r="BA8" s="662"/>
      <c r="BB8" s="663"/>
      <c r="BC8" s="662"/>
      <c r="BD8" s="662"/>
      <c r="BE8" s="662"/>
      <c r="BF8" s="637"/>
      <c r="BG8" s="637"/>
      <c r="BH8" s="637"/>
      <c r="BI8" s="637"/>
      <c r="BJ8" s="637"/>
      <c r="BK8" s="637"/>
      <c r="BL8" s="637"/>
      <c r="BM8" s="637"/>
      <c r="BN8" s="637"/>
      <c r="BO8" s="637"/>
      <c r="BP8" s="637"/>
      <c r="BQ8" s="637"/>
      <c r="BR8" s="637"/>
      <c r="BS8" s="637"/>
      <c r="BT8" s="637"/>
      <c r="BU8" s="662"/>
      <c r="BV8" s="663"/>
      <c r="BW8" s="662"/>
      <c r="BX8" s="662"/>
      <c r="BY8" s="662"/>
      <c r="BZ8" s="637"/>
      <c r="CA8" s="637"/>
      <c r="CB8" s="637"/>
      <c r="CC8" s="637"/>
      <c r="CD8" s="637"/>
      <c r="CE8" s="637"/>
      <c r="CF8" s="637"/>
      <c r="CG8" s="637"/>
      <c r="CH8" s="637"/>
      <c r="CI8" s="662"/>
      <c r="CJ8" s="663"/>
      <c r="CK8" s="662"/>
      <c r="CL8" s="662"/>
      <c r="CM8" s="662"/>
      <c r="CN8" s="637"/>
      <c r="CO8" s="637"/>
      <c r="CP8" s="637"/>
      <c r="CQ8" s="637"/>
      <c r="CR8" s="637"/>
      <c r="CS8" s="637"/>
      <c r="CT8" s="637"/>
      <c r="CU8" s="637"/>
      <c r="CV8" s="637"/>
    </row>
    <row r="9" spans="1:121" s="16" customFormat="1" ht="20.25" customHeight="1" x14ac:dyDescent="0.2">
      <c r="A9" s="637"/>
      <c r="B9" s="637"/>
      <c r="C9" s="637"/>
      <c r="D9" s="639"/>
      <c r="E9" s="639"/>
      <c r="F9" s="637"/>
      <c r="G9" s="637"/>
      <c r="H9" s="637"/>
      <c r="I9" s="637"/>
      <c r="J9" s="637"/>
      <c r="K9" s="637"/>
      <c r="L9" s="637"/>
      <c r="M9" s="637"/>
      <c r="N9" s="637"/>
      <c r="O9" s="637"/>
      <c r="P9" s="637"/>
      <c r="Q9" s="637"/>
      <c r="R9" s="640"/>
      <c r="S9" s="640"/>
      <c r="T9" s="637"/>
      <c r="U9" s="637"/>
      <c r="V9" s="637"/>
      <c r="W9" s="637"/>
      <c r="X9" s="637"/>
      <c r="Y9" s="661"/>
      <c r="Z9" s="662"/>
      <c r="AA9" s="662"/>
      <c r="AB9" s="663"/>
      <c r="AC9" s="662"/>
      <c r="AD9" s="662"/>
      <c r="AE9" s="662"/>
      <c r="AF9" s="662"/>
      <c r="AG9" s="637"/>
      <c r="AH9" s="637"/>
      <c r="AI9" s="637"/>
      <c r="AJ9" s="637"/>
      <c r="AK9" s="637"/>
      <c r="AL9" s="637"/>
      <c r="AM9" s="637"/>
      <c r="AN9" s="637"/>
      <c r="AO9" s="637"/>
      <c r="AP9" s="637"/>
      <c r="AQ9" s="637"/>
      <c r="AR9" s="637"/>
      <c r="AS9" s="664"/>
      <c r="AT9" s="637"/>
      <c r="AU9" s="637"/>
      <c r="AV9" s="637"/>
      <c r="AW9" s="637"/>
      <c r="AX9" s="637"/>
      <c r="AY9" s="637"/>
      <c r="AZ9" s="637"/>
      <c r="BA9" s="662"/>
      <c r="BB9" s="663"/>
      <c r="BC9" s="662"/>
      <c r="BD9" s="662"/>
      <c r="BE9" s="662"/>
      <c r="BF9" s="637"/>
      <c r="BG9" s="637"/>
      <c r="BH9" s="637"/>
      <c r="BI9" s="637"/>
      <c r="BJ9" s="637"/>
      <c r="BK9" s="637"/>
      <c r="BL9" s="637"/>
      <c r="BM9" s="637"/>
      <c r="BN9" s="637"/>
      <c r="BO9" s="637"/>
      <c r="BP9" s="637"/>
      <c r="BQ9" s="637"/>
      <c r="BR9" s="637"/>
      <c r="BS9" s="637"/>
      <c r="BT9" s="637"/>
      <c r="BU9" s="662"/>
      <c r="BV9" s="663"/>
      <c r="BW9" s="662"/>
      <c r="BX9" s="662"/>
      <c r="BY9" s="662"/>
      <c r="BZ9" s="637"/>
      <c r="CA9" s="637"/>
      <c r="CB9" s="637"/>
      <c r="CC9" s="637"/>
      <c r="CD9" s="637"/>
      <c r="CE9" s="637"/>
      <c r="CF9" s="637"/>
      <c r="CG9" s="637"/>
      <c r="CH9" s="637"/>
      <c r="CI9" s="662"/>
      <c r="CJ9" s="663"/>
      <c r="CK9" s="662"/>
      <c r="CL9" s="662"/>
      <c r="CM9" s="662"/>
      <c r="CN9" s="637"/>
      <c r="CO9" s="637"/>
      <c r="CP9" s="637"/>
      <c r="CQ9" s="637"/>
      <c r="CR9" s="637"/>
      <c r="CS9" s="637"/>
      <c r="CT9" s="637"/>
      <c r="CU9" s="637"/>
      <c r="CV9" s="637"/>
    </row>
    <row r="10" spans="1:121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1259"/>
      <c r="V10" s="253"/>
      <c r="W10" s="1275" t="s">
        <v>450</v>
      </c>
      <c r="X10" s="1275"/>
      <c r="Y10" s="1275"/>
      <c r="Z10" s="1275"/>
      <c r="AA10" s="1275"/>
      <c r="AB10" s="1275"/>
      <c r="AC10" s="1275"/>
      <c r="AD10" s="1275"/>
      <c r="AE10" s="1275"/>
      <c r="AF10" s="1275"/>
      <c r="AG10" s="1275"/>
      <c r="AH10" s="1275"/>
      <c r="AI10" s="1275"/>
      <c r="AJ10" s="1275"/>
      <c r="AK10" s="1275"/>
      <c r="AL10" s="1275"/>
      <c r="AM10" s="1275"/>
      <c r="AN10" s="1275"/>
      <c r="AO10" s="1275"/>
      <c r="AP10" s="1275"/>
      <c r="AQ10" s="1275"/>
      <c r="AR10" s="1275"/>
      <c r="AS10" s="1275"/>
      <c r="AT10" s="1275"/>
      <c r="AU10" s="1275"/>
      <c r="AV10" s="1275"/>
      <c r="AW10" s="1275"/>
      <c r="AX10" s="1275"/>
      <c r="AY10" s="1275"/>
      <c r="AZ10" s="1275"/>
      <c r="BA10" s="1275"/>
      <c r="BB10" s="1275"/>
      <c r="BC10" s="1275"/>
      <c r="BD10" s="1275"/>
      <c r="BV10"/>
      <c r="CJ10"/>
    </row>
    <row r="11" spans="1:121" ht="54" customHeight="1" x14ac:dyDescent="0.25">
      <c r="A11" s="1261" t="s">
        <v>57</v>
      </c>
      <c r="B11" s="1261" t="s">
        <v>0</v>
      </c>
      <c r="C11" s="244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1126</v>
      </c>
      <c r="J11" s="1254" t="s">
        <v>1127</v>
      </c>
      <c r="K11" s="1254" t="s">
        <v>534</v>
      </c>
      <c r="L11" s="1254" t="s">
        <v>493</v>
      </c>
      <c r="M11" s="1254" t="s">
        <v>1148</v>
      </c>
      <c r="N11" s="245" t="s">
        <v>529</v>
      </c>
      <c r="O11" s="1254" t="s">
        <v>492</v>
      </c>
      <c r="P11" s="250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247"/>
      <c r="V11" s="1245" t="s">
        <v>595</v>
      </c>
      <c r="W11" s="1245" t="s">
        <v>596</v>
      </c>
      <c r="X11" s="246"/>
      <c r="Y11" s="1268" t="s">
        <v>569</v>
      </c>
      <c r="Z11" s="1245" t="s">
        <v>599</v>
      </c>
      <c r="AA11" s="158" t="s">
        <v>15</v>
      </c>
      <c r="AB11" s="159" t="s">
        <v>15</v>
      </c>
      <c r="AC11" s="158" t="s">
        <v>16</v>
      </c>
      <c r="AD11" s="1245" t="s">
        <v>527</v>
      </c>
      <c r="AE11" s="1245" t="s">
        <v>536</v>
      </c>
      <c r="AF11" s="158" t="s">
        <v>3</v>
      </c>
      <c r="AG11" s="158" t="s">
        <v>4</v>
      </c>
      <c r="AH11" s="158" t="s">
        <v>5</v>
      </c>
      <c r="AI11" s="158" t="s">
        <v>6</v>
      </c>
      <c r="AJ11" s="158" t="s">
        <v>7</v>
      </c>
      <c r="AK11" s="158" t="s">
        <v>8</v>
      </c>
      <c r="AL11" s="158" t="s">
        <v>9</v>
      </c>
      <c r="AM11" s="158" t="s">
        <v>10</v>
      </c>
      <c r="AN11" s="158" t="s">
        <v>11</v>
      </c>
      <c r="AO11" s="158" t="s">
        <v>12</v>
      </c>
      <c r="AP11" s="158" t="s">
        <v>13</v>
      </c>
      <c r="AQ11" s="158" t="s">
        <v>14</v>
      </c>
      <c r="AR11" s="196" t="s">
        <v>531</v>
      </c>
      <c r="AS11" s="196" t="s">
        <v>63</v>
      </c>
      <c r="AT11" s="1245" t="s">
        <v>976</v>
      </c>
      <c r="AU11" s="1245" t="s">
        <v>536</v>
      </c>
      <c r="AV11" s="158" t="s">
        <v>3</v>
      </c>
      <c r="AW11" s="158" t="s">
        <v>4</v>
      </c>
      <c r="AX11" s="158" t="s">
        <v>5</v>
      </c>
      <c r="AY11" s="158" t="s">
        <v>6</v>
      </c>
      <c r="AZ11" s="158" t="s">
        <v>7</v>
      </c>
      <c r="BA11" s="158" t="s">
        <v>15</v>
      </c>
      <c r="BB11" s="159" t="s">
        <v>15</v>
      </c>
      <c r="BC11" s="158" t="s">
        <v>16</v>
      </c>
      <c r="BD11" s="1245" t="s">
        <v>1059</v>
      </c>
      <c r="BE11" s="1245" t="s">
        <v>536</v>
      </c>
      <c r="BF11" s="158" t="s">
        <v>8</v>
      </c>
      <c r="BG11" s="158" t="s">
        <v>9</v>
      </c>
      <c r="BH11" s="158" t="s">
        <v>10</v>
      </c>
      <c r="BI11" s="158" t="s">
        <v>11</v>
      </c>
      <c r="BJ11" s="158" t="s">
        <v>12</v>
      </c>
      <c r="BK11" s="158" t="s">
        <v>13</v>
      </c>
      <c r="BL11" s="158" t="s">
        <v>14</v>
      </c>
      <c r="BM11" s="196" t="s">
        <v>989</v>
      </c>
      <c r="BN11" s="196" t="s">
        <v>63</v>
      </c>
      <c r="BO11" s="158" t="s">
        <v>3</v>
      </c>
      <c r="BP11" s="158" t="s">
        <v>4</v>
      </c>
      <c r="BQ11" s="158" t="s">
        <v>5</v>
      </c>
      <c r="BR11" s="158" t="s">
        <v>6</v>
      </c>
      <c r="BS11" s="158" t="s">
        <v>7</v>
      </c>
      <c r="BT11" s="1245" t="s">
        <v>1151</v>
      </c>
      <c r="BU11" s="158" t="s">
        <v>15</v>
      </c>
      <c r="BV11" s="159" t="s">
        <v>15</v>
      </c>
      <c r="BW11" s="158" t="s">
        <v>16</v>
      </c>
      <c r="BX11" s="1245" t="s">
        <v>1004</v>
      </c>
      <c r="BY11" s="1245" t="s">
        <v>536</v>
      </c>
      <c r="BZ11" s="158" t="s">
        <v>8</v>
      </c>
      <c r="CA11" s="158" t="s">
        <v>9</v>
      </c>
      <c r="CB11" s="158" t="s">
        <v>10</v>
      </c>
      <c r="CC11" s="158" t="s">
        <v>11</v>
      </c>
      <c r="CD11" s="158" t="s">
        <v>12</v>
      </c>
      <c r="CE11" s="158" t="s">
        <v>13</v>
      </c>
      <c r="CF11" s="158" t="s">
        <v>14</v>
      </c>
      <c r="CG11" s="196" t="s">
        <v>1058</v>
      </c>
      <c r="CH11" s="196" t="s">
        <v>63</v>
      </c>
      <c r="CI11" s="158" t="s">
        <v>15</v>
      </c>
      <c r="CJ11" s="159" t="s">
        <v>15</v>
      </c>
      <c r="CK11" s="158" t="s">
        <v>16</v>
      </c>
      <c r="CL11" s="1245" t="s">
        <v>1124</v>
      </c>
      <c r="CM11" s="1245" t="s">
        <v>536</v>
      </c>
      <c r="CN11" s="158" t="s">
        <v>8</v>
      </c>
      <c r="CO11" s="158" t="s">
        <v>9</v>
      </c>
      <c r="CP11" s="158" t="s">
        <v>10</v>
      </c>
      <c r="CQ11" s="158" t="s">
        <v>11</v>
      </c>
      <c r="CR11" s="158" t="s">
        <v>12</v>
      </c>
      <c r="CS11" s="158" t="s">
        <v>13</v>
      </c>
      <c r="CT11" s="158" t="s">
        <v>14</v>
      </c>
      <c r="CU11" s="1247" t="s">
        <v>1144</v>
      </c>
      <c r="CV11" s="732" t="s">
        <v>63</v>
      </c>
      <c r="CW11" s="158" t="s">
        <v>3</v>
      </c>
      <c r="CX11" s="158" t="s">
        <v>4</v>
      </c>
      <c r="CY11" s="158" t="s">
        <v>5</v>
      </c>
      <c r="CZ11" s="158" t="s">
        <v>6</v>
      </c>
      <c r="DA11" s="158" t="s">
        <v>7</v>
      </c>
      <c r="DB11" s="1247" t="s">
        <v>1252</v>
      </c>
      <c r="DC11" s="1247" t="s">
        <v>1253</v>
      </c>
      <c r="DD11" s="158" t="s">
        <v>15</v>
      </c>
      <c r="DE11" s="159" t="s">
        <v>15</v>
      </c>
      <c r="DF11" s="158" t="s">
        <v>16</v>
      </c>
      <c r="DG11" s="1245" t="s">
        <v>1254</v>
      </c>
      <c r="DH11" s="1245" t="s">
        <v>536</v>
      </c>
      <c r="DI11" s="158" t="s">
        <v>8</v>
      </c>
      <c r="DJ11" s="158" t="s">
        <v>9</v>
      </c>
      <c r="DK11" s="158" t="s">
        <v>10</v>
      </c>
      <c r="DL11" s="158" t="s">
        <v>11</v>
      </c>
      <c r="DM11" s="158" t="s">
        <v>12</v>
      </c>
      <c r="DN11" s="158" t="s">
        <v>13</v>
      </c>
      <c r="DO11" s="158" t="s">
        <v>14</v>
      </c>
      <c r="DP11" s="1247" t="s">
        <v>1252</v>
      </c>
      <c r="DQ11" s="1247" t="s">
        <v>1253</v>
      </c>
    </row>
    <row r="12" spans="1:121" ht="32.25" customHeight="1" x14ac:dyDescent="0.25">
      <c r="A12" s="1262"/>
      <c r="B12" s="1262"/>
      <c r="C12" s="161" t="s">
        <v>600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/>
      <c r="O12" s="1255"/>
      <c r="P12" s="193"/>
      <c r="Q12" s="1257"/>
      <c r="R12" s="1251" t="s">
        <v>18</v>
      </c>
      <c r="S12" s="1251" t="s">
        <v>18</v>
      </c>
      <c r="T12" s="1253"/>
      <c r="U12" s="248"/>
      <c r="V12" s="1267"/>
      <c r="W12" s="1267"/>
      <c r="X12" s="249" t="s">
        <v>570</v>
      </c>
      <c r="Y12" s="1272"/>
      <c r="Z12" s="1246"/>
      <c r="AA12" s="162" t="s">
        <v>20</v>
      </c>
      <c r="AB12" s="163" t="s">
        <v>21</v>
      </c>
      <c r="AC12" s="162" t="s">
        <v>22</v>
      </c>
      <c r="AD12" s="1246"/>
      <c r="AE12" s="1246"/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>
        <v>2015</v>
      </c>
      <c r="AQ12" s="162">
        <v>2015</v>
      </c>
      <c r="AR12" s="162">
        <v>2015</v>
      </c>
      <c r="AS12" s="162" t="s">
        <v>64</v>
      </c>
      <c r="AT12" s="1265"/>
      <c r="AU12" s="1265"/>
      <c r="AV12" s="430">
        <v>2016</v>
      </c>
      <c r="AW12" s="430">
        <v>2016</v>
      </c>
      <c r="AX12" s="430">
        <v>2016</v>
      </c>
      <c r="AY12" s="430">
        <v>2016</v>
      </c>
      <c r="AZ12" s="430">
        <v>2016</v>
      </c>
      <c r="BA12" s="162" t="s">
        <v>20</v>
      </c>
      <c r="BB12" s="163" t="s">
        <v>21</v>
      </c>
      <c r="BC12" s="162" t="s">
        <v>22</v>
      </c>
      <c r="BD12" s="1246"/>
      <c r="BE12" s="1246"/>
      <c r="BF12" s="430">
        <v>2016</v>
      </c>
      <c r="BG12" s="430">
        <v>2016</v>
      </c>
      <c r="BH12" s="430">
        <v>2016</v>
      </c>
      <c r="BI12" s="430">
        <v>2016</v>
      </c>
      <c r="BJ12" s="430">
        <v>2016</v>
      </c>
      <c r="BK12" s="430">
        <v>2016</v>
      </c>
      <c r="BL12" s="430">
        <v>2016</v>
      </c>
      <c r="BM12" s="162">
        <v>2016</v>
      </c>
      <c r="BN12" s="162" t="s">
        <v>64</v>
      </c>
      <c r="BO12" s="430">
        <v>2017</v>
      </c>
      <c r="BP12" s="430">
        <v>2017</v>
      </c>
      <c r="BQ12" s="430">
        <v>2017</v>
      </c>
      <c r="BR12" s="430">
        <v>2017</v>
      </c>
      <c r="BS12" s="430">
        <v>2017</v>
      </c>
      <c r="BT12" s="1246"/>
      <c r="BU12" s="162" t="s">
        <v>20</v>
      </c>
      <c r="BV12" s="163" t="s">
        <v>21</v>
      </c>
      <c r="BW12" s="162" t="s">
        <v>22</v>
      </c>
      <c r="BX12" s="1246"/>
      <c r="BY12" s="1246"/>
      <c r="BZ12" s="430">
        <v>2017</v>
      </c>
      <c r="CA12" s="430">
        <v>2017</v>
      </c>
      <c r="CB12" s="430">
        <v>2017</v>
      </c>
      <c r="CC12" s="430">
        <v>2017</v>
      </c>
      <c r="CD12" s="430">
        <v>2017</v>
      </c>
      <c r="CE12" s="430">
        <v>2017</v>
      </c>
      <c r="CF12" s="430">
        <v>2017</v>
      </c>
      <c r="CG12" s="430">
        <v>2017</v>
      </c>
      <c r="CH12" s="162" t="s">
        <v>64</v>
      </c>
      <c r="CI12" s="162" t="s">
        <v>20</v>
      </c>
      <c r="CJ12" s="163" t="s">
        <v>21</v>
      </c>
      <c r="CK12" s="162" t="s">
        <v>22</v>
      </c>
      <c r="CL12" s="1246"/>
      <c r="CM12" s="1246"/>
      <c r="CN12" s="430">
        <v>2017</v>
      </c>
      <c r="CO12" s="430">
        <v>2017</v>
      </c>
      <c r="CP12" s="430">
        <v>2017</v>
      </c>
      <c r="CQ12" s="430">
        <v>2017</v>
      </c>
      <c r="CR12" s="430">
        <v>2017</v>
      </c>
      <c r="CS12" s="430">
        <v>2017</v>
      </c>
      <c r="CT12" s="430">
        <v>2017</v>
      </c>
      <c r="CU12" s="1248"/>
      <c r="CV12" s="162" t="s">
        <v>64</v>
      </c>
      <c r="CW12" s="162">
        <v>2018</v>
      </c>
      <c r="CX12" s="162">
        <v>2018</v>
      </c>
      <c r="CY12" s="162">
        <v>2018</v>
      </c>
      <c r="CZ12" s="162">
        <v>2018</v>
      </c>
      <c r="DA12" s="162">
        <v>2018</v>
      </c>
      <c r="DB12" s="1248"/>
      <c r="DC12" s="1248"/>
      <c r="DD12" s="162" t="s">
        <v>20</v>
      </c>
      <c r="DE12" s="163" t="s">
        <v>21</v>
      </c>
      <c r="DF12" s="162" t="s">
        <v>22</v>
      </c>
      <c r="DG12" s="1246"/>
      <c r="DH12" s="1246"/>
      <c r="DI12" s="162">
        <v>2018</v>
      </c>
      <c r="DJ12" s="162">
        <v>2018</v>
      </c>
      <c r="DK12" s="162">
        <v>2018</v>
      </c>
      <c r="DL12" s="162">
        <v>2018</v>
      </c>
      <c r="DM12" s="162">
        <v>2018</v>
      </c>
      <c r="DN12" s="162">
        <v>2018</v>
      </c>
      <c r="DO12" s="162">
        <v>2018</v>
      </c>
      <c r="DP12" s="1248"/>
      <c r="DQ12" s="1248"/>
    </row>
    <row r="13" spans="1:121" s="16" customFormat="1" x14ac:dyDescent="0.2">
      <c r="A13" s="26" t="s">
        <v>65</v>
      </c>
      <c r="B13" s="26"/>
      <c r="C13" s="124"/>
      <c r="D13" s="27"/>
      <c r="E13" s="25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20"/>
      <c r="S13" s="20"/>
      <c r="T13" s="14"/>
      <c r="U13" s="14"/>
      <c r="V13" s="14"/>
      <c r="W13" s="14"/>
      <c r="X13" s="14"/>
      <c r="Y13" s="108"/>
      <c r="Z13" s="66"/>
      <c r="AA13" s="66"/>
      <c r="AB13" s="81"/>
      <c r="AC13" s="66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73"/>
      <c r="AT13" s="55"/>
      <c r="AU13" s="55"/>
      <c r="AV13" s="55"/>
      <c r="AW13" s="55"/>
      <c r="AX13" s="55"/>
      <c r="AY13" s="55"/>
      <c r="AZ13" s="55"/>
      <c r="BA13" s="66"/>
      <c r="BB13" s="81"/>
      <c r="BC13" s="66"/>
      <c r="BD13" s="65">
        <v>0</v>
      </c>
      <c r="BE13" s="6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66"/>
      <c r="BV13" s="81"/>
      <c r="BW13" s="66"/>
      <c r="BX13" s="65"/>
      <c r="BY13" s="65"/>
      <c r="BZ13" s="55"/>
      <c r="CA13" s="55"/>
      <c r="CB13" s="55"/>
      <c r="CC13" s="55"/>
      <c r="CD13" s="55"/>
      <c r="CE13" s="55"/>
      <c r="CF13" s="55"/>
      <c r="CG13" s="55"/>
      <c r="CH13" s="55"/>
      <c r="CI13" s="66"/>
      <c r="CJ13" s="81"/>
      <c r="CK13" s="66"/>
      <c r="CL13" s="65">
        <v>0</v>
      </c>
      <c r="CM13" s="65"/>
      <c r="CN13" s="55"/>
      <c r="CO13" s="55"/>
      <c r="CP13" s="55"/>
      <c r="CQ13" s="55"/>
      <c r="CR13" s="55"/>
      <c r="CS13" s="55"/>
      <c r="CT13" s="55"/>
      <c r="CU13" s="55"/>
      <c r="CV13" s="55"/>
      <c r="CW13" s="968"/>
      <c r="CX13" s="968"/>
      <c r="CY13" s="968"/>
      <c r="CZ13" s="968"/>
      <c r="DA13" s="505"/>
      <c r="DB13" s="505"/>
      <c r="DC13" s="50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</row>
    <row r="14" spans="1:121" s="16" customFormat="1" x14ac:dyDescent="0.2">
      <c r="A14" s="26" t="s">
        <v>66</v>
      </c>
      <c r="B14" s="34"/>
      <c r="C14" s="45"/>
      <c r="D14" s="4"/>
      <c r="E14" s="25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20"/>
      <c r="S14" s="20"/>
      <c r="T14" s="14"/>
      <c r="U14" s="14"/>
      <c r="V14" s="14"/>
      <c r="W14" s="14"/>
      <c r="X14" s="14"/>
      <c r="Y14" s="108"/>
      <c r="Z14" s="66"/>
      <c r="AA14" s="66"/>
      <c r="AB14" s="112"/>
      <c r="AC14" s="66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73"/>
      <c r="AT14" s="55"/>
      <c r="AU14" s="55"/>
      <c r="AV14" s="55"/>
      <c r="AW14" s="55"/>
      <c r="AX14" s="55"/>
      <c r="AY14" s="55"/>
      <c r="AZ14" s="55"/>
      <c r="BA14" s="66"/>
      <c r="BB14" s="112"/>
      <c r="BC14" s="66"/>
      <c r="BD14" s="65"/>
      <c r="BE14" s="6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66"/>
      <c r="BV14" s="112"/>
      <c r="BW14" s="66"/>
      <c r="BX14" s="65"/>
      <c r="BY14" s="65"/>
      <c r="BZ14" s="55"/>
      <c r="CA14" s="55"/>
      <c r="CB14" s="55"/>
      <c r="CC14" s="55"/>
      <c r="CD14" s="55"/>
      <c r="CE14" s="55"/>
      <c r="CF14" s="55"/>
      <c r="CG14" s="55"/>
      <c r="CH14" s="55"/>
      <c r="CI14" s="66"/>
      <c r="CJ14" s="112"/>
      <c r="CK14" s="66"/>
      <c r="CL14" s="65"/>
      <c r="CM14" s="65"/>
      <c r="CN14" s="55"/>
      <c r="CO14" s="55"/>
      <c r="CP14" s="55"/>
      <c r="CQ14" s="55"/>
      <c r="CR14" s="55"/>
      <c r="CS14" s="55"/>
      <c r="CT14" s="55"/>
      <c r="CU14" s="55"/>
      <c r="CV14" s="55"/>
      <c r="CW14" s="968"/>
      <c r="CX14" s="968"/>
      <c r="CY14" s="968"/>
      <c r="CZ14" s="968"/>
      <c r="DA14" s="505"/>
      <c r="DB14" s="505"/>
      <c r="DC14" s="50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</row>
    <row r="15" spans="1:121" s="16" customFormat="1" x14ac:dyDescent="0.2">
      <c r="A15" s="119" t="s">
        <v>395</v>
      </c>
      <c r="B15" s="100" t="s">
        <v>397</v>
      </c>
      <c r="C15" s="45" t="s">
        <v>426</v>
      </c>
      <c r="D15" s="58">
        <v>3</v>
      </c>
      <c r="E15" s="30">
        <v>0.33329999999999999</v>
      </c>
      <c r="F15" s="46">
        <v>43281</v>
      </c>
      <c r="G15" s="58">
        <v>36</v>
      </c>
      <c r="H15" s="145">
        <f>100/G15</f>
        <v>2.7777777777777777</v>
      </c>
      <c r="I15" s="165">
        <f>H15*J15</f>
        <v>125</v>
      </c>
      <c r="J15" s="48">
        <f>(YEAR(F15)-YEAR(S15))*12+MONTH(F15)-MONTH(S15)</f>
        <v>45</v>
      </c>
      <c r="K15" s="165">
        <f>L15*H15</f>
        <v>-25</v>
      </c>
      <c r="L15" s="48">
        <f>G15-J15</f>
        <v>-9</v>
      </c>
      <c r="M15" s="165">
        <f>N15*H15</f>
        <v>19.444444444444443</v>
      </c>
      <c r="N15" s="48">
        <v>7</v>
      </c>
      <c r="O15" s="165">
        <f t="shared" ref="O15:P17" si="0">K15-M15</f>
        <v>-44.444444444444443</v>
      </c>
      <c r="P15" s="48">
        <f t="shared" si="0"/>
        <v>-16</v>
      </c>
      <c r="Q15" s="462">
        <f>DATE(YEAR(S15),MONTH(S15)+G15,DAY(S15))</f>
        <v>42996</v>
      </c>
      <c r="R15" s="125" t="s">
        <v>603</v>
      </c>
      <c r="S15" s="20">
        <v>41900</v>
      </c>
      <c r="T15" s="154">
        <v>5056.99</v>
      </c>
      <c r="U15" s="72">
        <v>140.46</v>
      </c>
      <c r="V15" s="154">
        <v>1685.51789725</v>
      </c>
      <c r="W15" s="154">
        <v>3371.47210275</v>
      </c>
      <c r="X15" s="243">
        <v>140.46</v>
      </c>
      <c r="Y15" s="106">
        <f>X15*5</f>
        <v>702.30000000000007</v>
      </c>
      <c r="Z15" s="258">
        <f>W15-Y15</f>
        <v>2669.1721027499998</v>
      </c>
      <c r="AA15" s="57">
        <v>115.958</v>
      </c>
      <c r="AB15" s="57">
        <v>113.93899999999999</v>
      </c>
      <c r="AC15" s="57">
        <f>AA15/AB15</f>
        <v>1.0177200080744961</v>
      </c>
      <c r="AD15" s="55">
        <f>Z15*M15/100/K15*100/7</f>
        <v>-296.57467808333331</v>
      </c>
      <c r="AE15" s="55">
        <f>AD15*AC15</f>
        <v>-301.82998377366107</v>
      </c>
      <c r="AF15" s="55"/>
      <c r="AG15" s="55"/>
      <c r="AH15" s="55"/>
      <c r="AI15" s="55"/>
      <c r="AJ15" s="55"/>
      <c r="AK15" s="55">
        <f>AE15</f>
        <v>-301.82998377366107</v>
      </c>
      <c r="AL15" s="55">
        <v>100.60999459122034</v>
      </c>
      <c r="AM15" s="55">
        <v>100.60999459122034</v>
      </c>
      <c r="AN15" s="55">
        <v>100.60999459122034</v>
      </c>
      <c r="AO15" s="55">
        <v>100.60999459122034</v>
      </c>
      <c r="AP15" s="55">
        <v>100.60999459122034</v>
      </c>
      <c r="AQ15" s="55">
        <v>100.60999459122034</v>
      </c>
      <c r="AR15" s="55">
        <f>SUM(AF15:AQ15)</f>
        <v>301.82998377366101</v>
      </c>
      <c r="AS15" s="72">
        <f>Z15-AR15</f>
        <v>2367.342118976339</v>
      </c>
      <c r="AT15" s="55"/>
      <c r="AU15" s="55"/>
      <c r="AV15" s="55">
        <f>$AQ15</f>
        <v>100.60999459122034</v>
      </c>
      <c r="AW15" s="55">
        <f>$AQ15</f>
        <v>100.60999459122034</v>
      </c>
      <c r="AX15" s="55">
        <f>$AQ15</f>
        <v>100.60999459122034</v>
      </c>
      <c r="AY15" s="55">
        <f>$AQ15</f>
        <v>100.60999459122034</v>
      </c>
      <c r="AZ15" s="55">
        <f>$AQ15</f>
        <v>100.60999459122034</v>
      </c>
      <c r="BA15" s="57">
        <v>118.901</v>
      </c>
      <c r="BB15" s="57">
        <v>113.93899999999999</v>
      </c>
      <c r="BC15" s="57">
        <f>BA15/BB15</f>
        <v>1.0435496186555964</v>
      </c>
      <c r="BD15" s="55">
        <f>T15/(D15*12)</f>
        <v>140.47194444444443</v>
      </c>
      <c r="BE15" s="55">
        <f>BD15*BC15</f>
        <v>146.58944405681009</v>
      </c>
      <c r="BF15" s="55">
        <f t="shared" ref="BF15:BL15" si="1">$BE15</f>
        <v>146.58944405681009</v>
      </c>
      <c r="BG15" s="55">
        <f t="shared" si="1"/>
        <v>146.58944405681009</v>
      </c>
      <c r="BH15" s="55">
        <f t="shared" si="1"/>
        <v>146.58944405681009</v>
      </c>
      <c r="BI15" s="55">
        <f t="shared" si="1"/>
        <v>146.58944405681009</v>
      </c>
      <c r="BJ15" s="55">
        <f t="shared" si="1"/>
        <v>146.58944405681009</v>
      </c>
      <c r="BK15" s="55">
        <f t="shared" si="1"/>
        <v>146.58944405681009</v>
      </c>
      <c r="BL15" s="55">
        <f t="shared" si="1"/>
        <v>146.58944405681009</v>
      </c>
      <c r="BM15" s="55">
        <f>SUM((AV15:AZ15),(BF15:BL15))</f>
        <v>1529.1760813537726</v>
      </c>
      <c r="BN15" s="448">
        <f>AS15-BM15</f>
        <v>838.16603762256636</v>
      </c>
      <c r="BO15" s="55">
        <f t="shared" ref="BO15:BP17" si="2">$BE15</f>
        <v>146.58944405681009</v>
      </c>
      <c r="BP15" s="55">
        <f t="shared" si="2"/>
        <v>146.58944405681009</v>
      </c>
      <c r="BQ15" s="55">
        <v>146.59</v>
      </c>
      <c r="BR15" s="55">
        <v>146.59</v>
      </c>
      <c r="BS15" s="55">
        <v>-151.63</v>
      </c>
      <c r="BT15" s="55">
        <v>1</v>
      </c>
      <c r="BU15" s="57">
        <v>126.408</v>
      </c>
      <c r="BV15" s="57">
        <v>113.93899999999999</v>
      </c>
      <c r="BW15" s="57">
        <f>BU15/BV15</f>
        <v>1.1094357507087127</v>
      </c>
      <c r="BX15" s="55">
        <f>AM15/(W15*12)</f>
        <v>2.4867968532488634E-3</v>
      </c>
      <c r="BY15" s="55">
        <f>BX15*BW15</f>
        <v>2.7589413337442172E-3</v>
      </c>
      <c r="BZ15" s="55"/>
      <c r="CA15" s="55"/>
      <c r="CB15" s="55"/>
      <c r="CC15" s="55"/>
      <c r="CD15" s="55"/>
      <c r="CE15" s="55"/>
      <c r="CF15" s="55"/>
      <c r="CG15" s="55">
        <f>SUM((BO15:BS15),(BZ15:CF15))</f>
        <v>434.7288881136202</v>
      </c>
      <c r="CH15" s="448">
        <v>1</v>
      </c>
      <c r="CI15" s="57">
        <v>126.408</v>
      </c>
      <c r="CJ15" s="57">
        <v>113.93899999999999</v>
      </c>
      <c r="CK15" s="57">
        <f>CI15/CJ15</f>
        <v>1.1094357507087127</v>
      </c>
      <c r="CL15" s="55"/>
      <c r="CM15" s="55">
        <f>CL15*CK15</f>
        <v>0</v>
      </c>
      <c r="CN15" s="55">
        <v>0</v>
      </c>
      <c r="CO15" s="55">
        <v>0</v>
      </c>
      <c r="CP15" s="55"/>
      <c r="CQ15" s="55"/>
      <c r="CR15" s="55"/>
      <c r="CS15" s="55"/>
      <c r="CT15" s="55"/>
      <c r="CU15" s="55">
        <f>SUM(CN15:CT15)</f>
        <v>0</v>
      </c>
      <c r="CV15" s="448">
        <f>CH15-CU15</f>
        <v>1</v>
      </c>
      <c r="CW15" s="968"/>
      <c r="CX15" s="968">
        <v>0</v>
      </c>
      <c r="CY15" s="968">
        <v>0</v>
      </c>
      <c r="CZ15" s="968">
        <v>0</v>
      </c>
      <c r="DA15" s="505"/>
      <c r="DB15" s="505">
        <f>SUM(CW15:DA15)</f>
        <v>0</v>
      </c>
      <c r="DC15" s="679">
        <f>CV15-DB15</f>
        <v>1</v>
      </c>
      <c r="DD15" s="956"/>
      <c r="DE15" s="957">
        <v>118.051</v>
      </c>
      <c r="DF15" s="957">
        <f>DD15/DE15</f>
        <v>0</v>
      </c>
      <c r="DG15" s="511">
        <f>DC15/AY15</f>
        <v>9.9393703782910681E-3</v>
      </c>
      <c r="DH15" s="511">
        <f>DG15*DF15</f>
        <v>0</v>
      </c>
      <c r="DI15" s="511"/>
      <c r="DJ15" s="511"/>
      <c r="DK15" s="511"/>
      <c r="DL15" s="511"/>
      <c r="DM15" s="511"/>
      <c r="DN15" s="511"/>
      <c r="DO15" s="511">
        <v>0</v>
      </c>
      <c r="DP15" s="511"/>
      <c r="DQ15" s="756"/>
    </row>
    <row r="16" spans="1:121" s="1161" customFormat="1" x14ac:dyDescent="0.2">
      <c r="A16" s="1140" t="s">
        <v>395</v>
      </c>
      <c r="B16" s="1137" t="s">
        <v>396</v>
      </c>
      <c r="C16" s="1137" t="s">
        <v>426</v>
      </c>
      <c r="D16" s="1138">
        <v>3</v>
      </c>
      <c r="E16" s="1153">
        <v>0.33329999999999999</v>
      </c>
      <c r="F16" s="1140">
        <v>43281</v>
      </c>
      <c r="G16" s="1138">
        <v>36</v>
      </c>
      <c r="H16" s="1141">
        <f>100/G16</f>
        <v>2.7777777777777777</v>
      </c>
      <c r="I16" s="1142">
        <f>H16*J16</f>
        <v>125</v>
      </c>
      <c r="J16" s="1143">
        <f>(YEAR(F16)-YEAR(S16))*12+MONTH(F16)-MONTH(S16)</f>
        <v>45</v>
      </c>
      <c r="K16" s="1142">
        <f>L16*H16</f>
        <v>-25</v>
      </c>
      <c r="L16" s="1143">
        <f>G16-J16</f>
        <v>-9</v>
      </c>
      <c r="M16" s="1142">
        <f>N16*H16</f>
        <v>19.444444444444443</v>
      </c>
      <c r="N16" s="1143">
        <v>7</v>
      </c>
      <c r="O16" s="1142">
        <f t="shared" si="0"/>
        <v>-44.444444444444443</v>
      </c>
      <c r="P16" s="1143">
        <f t="shared" si="0"/>
        <v>-16</v>
      </c>
      <c r="Q16" s="1151">
        <f>DATE(YEAR(S16),MONTH(S16)+G16,DAY(S16))</f>
        <v>42996</v>
      </c>
      <c r="R16" s="1143" t="s">
        <v>603</v>
      </c>
      <c r="S16" s="1140">
        <v>41900</v>
      </c>
      <c r="T16" s="1154">
        <v>7786.99</v>
      </c>
      <c r="U16" s="1149">
        <v>216.28</v>
      </c>
      <c r="V16" s="1154">
        <v>2595.3636472500002</v>
      </c>
      <c r="W16" s="1154">
        <v>5191.6263527499996</v>
      </c>
      <c r="X16" s="1155">
        <v>216.28</v>
      </c>
      <c r="Y16" s="1145">
        <f>X16*5</f>
        <v>1081.4000000000001</v>
      </c>
      <c r="Z16" s="1156">
        <f>W16-Y16</f>
        <v>4110.2263527499999</v>
      </c>
      <c r="AA16" s="1146">
        <v>115.958</v>
      </c>
      <c r="AB16" s="1146">
        <v>113.93899999999999</v>
      </c>
      <c r="AC16" s="1146">
        <f>AA16/AB16</f>
        <v>1.0177200080744961</v>
      </c>
      <c r="AD16" s="1148">
        <f>Z16*M16/100/K16*100/7</f>
        <v>-456.69181697222223</v>
      </c>
      <c r="AE16" s="1148">
        <f>AD16*AC16</f>
        <v>-464.78439965652632</v>
      </c>
      <c r="AF16" s="1148"/>
      <c r="AG16" s="1148"/>
      <c r="AH16" s="1148"/>
      <c r="AI16" s="1148"/>
      <c r="AJ16" s="1148"/>
      <c r="AK16" s="1148">
        <f>AE16</f>
        <v>-464.78439965652632</v>
      </c>
      <c r="AL16" s="1148">
        <v>154.92813321884208</v>
      </c>
      <c r="AM16" s="1148">
        <v>154.92813321884208</v>
      </c>
      <c r="AN16" s="1148">
        <v>154.92813321884208</v>
      </c>
      <c r="AO16" s="1148">
        <v>154.92813321884208</v>
      </c>
      <c r="AP16" s="1148">
        <v>154.92813321884208</v>
      </c>
      <c r="AQ16" s="1148">
        <v>154.92813321884208</v>
      </c>
      <c r="AR16" s="1148">
        <f>SUM(AF16:AQ16)</f>
        <v>464.78439965652615</v>
      </c>
      <c r="AS16" s="1149">
        <f>Z16-AR16</f>
        <v>3645.4419530934738</v>
      </c>
      <c r="AT16" s="1148"/>
      <c r="AU16" s="1148"/>
      <c r="AV16" s="1148">
        <f t="shared" ref="AV16:AZ50" si="3">$AQ16</f>
        <v>154.92813321884208</v>
      </c>
      <c r="AW16" s="1148">
        <f t="shared" si="3"/>
        <v>154.92813321884208</v>
      </c>
      <c r="AX16" s="1148">
        <f t="shared" si="3"/>
        <v>154.92813321884208</v>
      </c>
      <c r="AY16" s="1148">
        <f t="shared" si="3"/>
        <v>154.92813321884208</v>
      </c>
      <c r="AZ16" s="1148">
        <f t="shared" si="3"/>
        <v>154.92813321884208</v>
      </c>
      <c r="BA16" s="1146">
        <v>118.901</v>
      </c>
      <c r="BB16" s="1146">
        <v>113.93899999999999</v>
      </c>
      <c r="BC16" s="1146">
        <f>BA16/BB16</f>
        <v>1.0435496186555964</v>
      </c>
      <c r="BD16" s="1148">
        <f>T16/(D16*12)</f>
        <v>216.30527777777777</v>
      </c>
      <c r="BE16" s="1148">
        <f>BD16*BC16</f>
        <v>225.72529013819283</v>
      </c>
      <c r="BF16" s="1148">
        <f t="shared" ref="BF16:BL17" si="4">$BE16</f>
        <v>225.72529013819283</v>
      </c>
      <c r="BG16" s="1148">
        <f t="shared" si="4"/>
        <v>225.72529013819283</v>
      </c>
      <c r="BH16" s="1148">
        <f t="shared" si="4"/>
        <v>225.72529013819283</v>
      </c>
      <c r="BI16" s="1148">
        <f t="shared" si="4"/>
        <v>225.72529013819283</v>
      </c>
      <c r="BJ16" s="1148">
        <f t="shared" si="4"/>
        <v>225.72529013819283</v>
      </c>
      <c r="BK16" s="1148">
        <f t="shared" si="4"/>
        <v>225.72529013819283</v>
      </c>
      <c r="BL16" s="1148">
        <f t="shared" si="4"/>
        <v>225.72529013819283</v>
      </c>
      <c r="BM16" s="1148">
        <f>SUM((AV16:AZ16),(BF16:BL16))</f>
        <v>2354.7176970615606</v>
      </c>
      <c r="BN16" s="1150">
        <f>AS16-BM16</f>
        <v>1290.7242560319132</v>
      </c>
      <c r="BO16" s="1148">
        <f t="shared" si="2"/>
        <v>225.72529013819283</v>
      </c>
      <c r="BP16" s="1148">
        <f t="shared" si="2"/>
        <v>225.72529013819283</v>
      </c>
      <c r="BQ16" s="1148">
        <f>$BE16</f>
        <v>225.72529013819283</v>
      </c>
      <c r="BR16" s="1148">
        <f>$BE16</f>
        <v>225.72529013819283</v>
      </c>
      <c r="BS16" s="1148">
        <v>-150</v>
      </c>
      <c r="BT16" s="1148">
        <v>1</v>
      </c>
      <c r="BU16" s="1146">
        <v>126.408</v>
      </c>
      <c r="BV16" s="1146">
        <v>113.93899999999999</v>
      </c>
      <c r="BW16" s="1146">
        <f>BU16/BV16</f>
        <v>1.1094357507087127</v>
      </c>
      <c r="BX16" s="1148">
        <f>AM16/(W16*12)</f>
        <v>2.4868272273481443E-3</v>
      </c>
      <c r="BY16" s="1148">
        <f>BX16*BW16</f>
        <v>2.7589750318558551E-3</v>
      </c>
      <c r="BZ16" s="1148"/>
      <c r="CA16" s="1148"/>
      <c r="CB16" s="1148"/>
      <c r="CC16" s="1148"/>
      <c r="CD16" s="1148"/>
      <c r="CE16" s="1148"/>
      <c r="CF16" s="1148"/>
      <c r="CG16" s="1148">
        <f>SUM((BO16:BS16),(BZ16:CF16))</f>
        <v>752.90116055277133</v>
      </c>
      <c r="CH16" s="1150">
        <v>1</v>
      </c>
      <c r="CI16" s="1146">
        <v>126.408</v>
      </c>
      <c r="CJ16" s="1146">
        <v>113.93899999999999</v>
      </c>
      <c r="CK16" s="1146">
        <f>CI16/CJ16</f>
        <v>1.1094357507087127</v>
      </c>
      <c r="CL16" s="1148">
        <v>0</v>
      </c>
      <c r="CM16" s="1148">
        <f>CL16*CK16</f>
        <v>0</v>
      </c>
      <c r="CN16" s="1148">
        <v>0</v>
      </c>
      <c r="CO16" s="1148">
        <v>0</v>
      </c>
      <c r="CP16" s="1148"/>
      <c r="CQ16" s="1148"/>
      <c r="CR16" s="1148"/>
      <c r="CS16" s="1148"/>
      <c r="CT16" s="1148"/>
      <c r="CU16" s="1148">
        <f>SUM(CN16:CT16)</f>
        <v>0</v>
      </c>
      <c r="CV16" s="1150">
        <f>CH16-CU16</f>
        <v>1</v>
      </c>
      <c r="CW16" s="1157"/>
      <c r="CX16" s="1157">
        <v>0</v>
      </c>
      <c r="CY16" s="1157">
        <v>0</v>
      </c>
      <c r="CZ16" s="1157">
        <v>0</v>
      </c>
      <c r="DA16" s="1158"/>
      <c r="DB16" s="1158"/>
      <c r="DC16" s="1159">
        <f>CV16-DB16</f>
        <v>1</v>
      </c>
      <c r="DD16" s="1152"/>
      <c r="DE16" s="1160"/>
      <c r="DF16" s="1160"/>
      <c r="DG16" s="1152"/>
      <c r="DH16" s="1152"/>
      <c r="DI16" s="1152"/>
      <c r="DJ16" s="1152"/>
      <c r="DK16" s="1152"/>
      <c r="DL16" s="1152"/>
      <c r="DM16" s="1152"/>
      <c r="DN16" s="1152"/>
      <c r="DO16" s="1152"/>
      <c r="DP16" s="1152"/>
      <c r="DQ16" s="1152"/>
    </row>
    <row r="17" spans="1:121" s="16" customFormat="1" x14ac:dyDescent="0.2">
      <c r="A17" s="119" t="s">
        <v>395</v>
      </c>
      <c r="B17" s="100" t="s">
        <v>401</v>
      </c>
      <c r="C17" s="45" t="s">
        <v>426</v>
      </c>
      <c r="D17" s="58">
        <v>3</v>
      </c>
      <c r="E17" s="30">
        <v>0.33329999999999999</v>
      </c>
      <c r="F17" s="46">
        <v>43281</v>
      </c>
      <c r="G17" s="58">
        <v>36</v>
      </c>
      <c r="H17" s="145">
        <f>100/G17</f>
        <v>2.7777777777777777</v>
      </c>
      <c r="I17" s="165">
        <f>H17*J17</f>
        <v>125</v>
      </c>
      <c r="J17" s="48">
        <f>(YEAR(F17)-YEAR(S17))*12+MONTH(F17)-MONTH(S17)</f>
        <v>45</v>
      </c>
      <c r="K17" s="165">
        <f>L17*H17</f>
        <v>-25</v>
      </c>
      <c r="L17" s="48">
        <f>G17-J17</f>
        <v>-9</v>
      </c>
      <c r="M17" s="165">
        <f>N17*H17</f>
        <v>19.444444444444443</v>
      </c>
      <c r="N17" s="48">
        <v>7</v>
      </c>
      <c r="O17" s="165">
        <f t="shared" si="0"/>
        <v>-44.444444444444443</v>
      </c>
      <c r="P17" s="48">
        <f t="shared" si="0"/>
        <v>-16</v>
      </c>
      <c r="Q17" s="462">
        <f>DATE(YEAR(S17),MONTH(S17)+G17,DAY(S17))</f>
        <v>42996</v>
      </c>
      <c r="R17" s="125" t="s">
        <v>603</v>
      </c>
      <c r="S17" s="20">
        <v>41900</v>
      </c>
      <c r="T17" s="154">
        <v>9737</v>
      </c>
      <c r="U17" s="72">
        <v>270.45</v>
      </c>
      <c r="V17" s="154">
        <v>3245.3951749999992</v>
      </c>
      <c r="W17" s="154">
        <v>6491.6048250000003</v>
      </c>
      <c r="X17" s="243">
        <v>270.45</v>
      </c>
      <c r="Y17" s="106">
        <f>X17*5</f>
        <v>1352.25</v>
      </c>
      <c r="Z17" s="258">
        <f>W17-Y17</f>
        <v>5139.3548250000003</v>
      </c>
      <c r="AA17" s="57">
        <v>115.958</v>
      </c>
      <c r="AB17" s="57">
        <v>113.93899999999999</v>
      </c>
      <c r="AC17" s="57">
        <f>AA17/AB17</f>
        <v>1.0177200080744961</v>
      </c>
      <c r="AD17" s="55">
        <f>Z17*M17/100/K17*100/7</f>
        <v>-571.03942499999994</v>
      </c>
      <c r="AE17" s="55">
        <f>AD17*AC17</f>
        <v>-581.15824822185562</v>
      </c>
      <c r="AF17" s="55"/>
      <c r="AG17" s="55"/>
      <c r="AH17" s="55"/>
      <c r="AI17" s="55"/>
      <c r="AJ17" s="55"/>
      <c r="AK17" s="55">
        <f>AE17</f>
        <v>-581.15824822185562</v>
      </c>
      <c r="AL17" s="55">
        <v>193.71941607395183</v>
      </c>
      <c r="AM17" s="55">
        <v>193.71941607395183</v>
      </c>
      <c r="AN17" s="55">
        <v>193.71941607395183</v>
      </c>
      <c r="AO17" s="55">
        <v>193.71941607395183</v>
      </c>
      <c r="AP17" s="55">
        <v>193.71941607395183</v>
      </c>
      <c r="AQ17" s="55">
        <v>193.71941607395183</v>
      </c>
      <c r="AR17" s="55">
        <f>SUM(AF17:AQ17)</f>
        <v>581.15824822185539</v>
      </c>
      <c r="AS17" s="72">
        <f>Z17-AR17</f>
        <v>4558.1965767781448</v>
      </c>
      <c r="AT17" s="55"/>
      <c r="AU17" s="55"/>
      <c r="AV17" s="55">
        <f t="shared" si="3"/>
        <v>193.71941607395183</v>
      </c>
      <c r="AW17" s="55">
        <f t="shared" si="3"/>
        <v>193.71941607395183</v>
      </c>
      <c r="AX17" s="55">
        <f t="shared" si="3"/>
        <v>193.71941607395183</v>
      </c>
      <c r="AY17" s="55">
        <f t="shared" si="3"/>
        <v>193.71941607395183</v>
      </c>
      <c r="AZ17" s="55">
        <f t="shared" si="3"/>
        <v>193.71941607395183</v>
      </c>
      <c r="BA17" s="57">
        <v>118.901</v>
      </c>
      <c r="BB17" s="57">
        <v>113.93899999999999</v>
      </c>
      <c r="BC17" s="57">
        <f>BA17/BB17</f>
        <v>1.0435496186555964</v>
      </c>
      <c r="BD17" s="55">
        <f>T17/(D17*12)</f>
        <v>270.47222222222223</v>
      </c>
      <c r="BE17" s="55">
        <f>BD17*BC17</f>
        <v>282.25118435693173</v>
      </c>
      <c r="BF17" s="55">
        <f t="shared" si="4"/>
        <v>282.25118435693173</v>
      </c>
      <c r="BG17" s="55">
        <f t="shared" si="4"/>
        <v>282.25118435693173</v>
      </c>
      <c r="BH17" s="55">
        <f t="shared" si="4"/>
        <v>282.25118435693173</v>
      </c>
      <c r="BI17" s="55">
        <f t="shared" si="4"/>
        <v>282.25118435693173</v>
      </c>
      <c r="BJ17" s="55">
        <f t="shared" si="4"/>
        <v>282.25118435693173</v>
      </c>
      <c r="BK17" s="55">
        <f t="shared" si="4"/>
        <v>282.25118435693173</v>
      </c>
      <c r="BL17" s="55">
        <f t="shared" si="4"/>
        <v>282.25118435693173</v>
      </c>
      <c r="BM17" s="55">
        <f>SUM((AV17:AZ17),(BF17:BL17))</f>
        <v>2944.3553708682821</v>
      </c>
      <c r="BN17" s="448">
        <f>AS17-BM17</f>
        <v>1613.8412059098628</v>
      </c>
      <c r="BO17" s="55">
        <f t="shared" si="2"/>
        <v>282.25118435693173</v>
      </c>
      <c r="BP17" s="55">
        <f t="shared" si="2"/>
        <v>282.25118435693173</v>
      </c>
      <c r="BQ17" s="55">
        <f>$BE17</f>
        <v>282.25118435693173</v>
      </c>
      <c r="BR17" s="55">
        <f>$BE17</f>
        <v>282.25118435693173</v>
      </c>
      <c r="BS17" s="55">
        <v>0</v>
      </c>
      <c r="BT17" s="55">
        <v>1</v>
      </c>
      <c r="BU17" s="57">
        <v>126.408</v>
      </c>
      <c r="BV17" s="57">
        <v>113.93899999999999</v>
      </c>
      <c r="BW17" s="57">
        <f>BU17/BV17</f>
        <v>1.1094357507087127</v>
      </c>
      <c r="BX17" s="55">
        <f>AM17/(W17*12)</f>
        <v>2.4867941145553817E-3</v>
      </c>
      <c r="BY17" s="55">
        <f>BX17*BW17</f>
        <v>2.7589382953397586E-3</v>
      </c>
      <c r="BZ17" s="55"/>
      <c r="CA17" s="55"/>
      <c r="CB17" s="55"/>
      <c r="CC17" s="55"/>
      <c r="CD17" s="55"/>
      <c r="CE17" s="55"/>
      <c r="CF17" s="55"/>
      <c r="CG17" s="55">
        <f>SUM((BO17:BS17),(BZ17:CF17))</f>
        <v>1129.0047374277269</v>
      </c>
      <c r="CH17" s="448">
        <v>1</v>
      </c>
      <c r="CI17" s="57">
        <v>126.408</v>
      </c>
      <c r="CJ17" s="57">
        <v>113.93899999999999</v>
      </c>
      <c r="CK17" s="57">
        <f>CI17/CJ17</f>
        <v>1.1094357507087127</v>
      </c>
      <c r="CL17" s="55">
        <v>0</v>
      </c>
      <c r="CM17" s="55">
        <f>CL17*CK17</f>
        <v>0</v>
      </c>
      <c r="CN17" s="55">
        <v>0</v>
      </c>
      <c r="CO17" s="55">
        <v>0</v>
      </c>
      <c r="CP17" s="55"/>
      <c r="CQ17" s="55"/>
      <c r="CR17" s="55"/>
      <c r="CS17" s="55"/>
      <c r="CT17" s="55"/>
      <c r="CU17" s="55">
        <f>SUM(CN17:CT17)</f>
        <v>0</v>
      </c>
      <c r="CV17" s="448">
        <f>CH17-CU17</f>
        <v>1</v>
      </c>
      <c r="CW17" s="968"/>
      <c r="CX17" s="968">
        <v>0</v>
      </c>
      <c r="CY17" s="968">
        <v>0</v>
      </c>
      <c r="CZ17" s="968">
        <v>0</v>
      </c>
      <c r="DA17" s="505"/>
      <c r="DB17" s="505">
        <f>SUM(CW17:DA17)</f>
        <v>0</v>
      </c>
      <c r="DC17" s="679">
        <f>CV17-DB17</f>
        <v>1</v>
      </c>
      <c r="DD17" s="623"/>
      <c r="DE17" s="957">
        <v>118.77</v>
      </c>
      <c r="DF17" s="957">
        <f>DD17/DE17</f>
        <v>0</v>
      </c>
      <c r="DG17" s="511">
        <f>DC17/AY17</f>
        <v>5.162105173898794E-3</v>
      </c>
      <c r="DH17" s="511"/>
      <c r="DI17" s="511"/>
      <c r="DJ17" s="511"/>
      <c r="DK17" s="511"/>
      <c r="DL17" s="511"/>
      <c r="DM17" s="511"/>
      <c r="DN17" s="511"/>
      <c r="DO17" s="511"/>
      <c r="DP17" s="511"/>
      <c r="DQ17" s="511"/>
    </row>
    <row r="18" spans="1:121" s="16" customFormat="1" x14ac:dyDescent="0.2">
      <c r="A18" s="26" t="s">
        <v>268</v>
      </c>
      <c r="B18" s="26"/>
      <c r="C18" s="45"/>
      <c r="D18" s="58"/>
      <c r="E18" s="27"/>
      <c r="F18" s="21"/>
      <c r="G18" s="58"/>
      <c r="H18" s="145"/>
      <c r="I18" s="165"/>
      <c r="J18" s="48"/>
      <c r="K18" s="165"/>
      <c r="L18" s="48"/>
      <c r="M18" s="165"/>
      <c r="N18" s="48"/>
      <c r="O18" s="165"/>
      <c r="P18" s="48"/>
      <c r="Q18" s="48"/>
      <c r="R18" s="125"/>
      <c r="S18" s="21"/>
      <c r="T18" s="155"/>
      <c r="U18" s="72"/>
      <c r="V18" s="154"/>
      <c r="W18" s="154"/>
      <c r="X18" s="243"/>
      <c r="Y18" s="106"/>
      <c r="Z18" s="258"/>
      <c r="AA18" s="57"/>
      <c r="AB18" s="80"/>
      <c r="AC18" s="57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72"/>
      <c r="AT18" s="55"/>
      <c r="AU18" s="55"/>
      <c r="AV18" s="55">
        <f t="shared" si="3"/>
        <v>0</v>
      </c>
      <c r="AW18" s="55">
        <f t="shared" si="3"/>
        <v>0</v>
      </c>
      <c r="AX18" s="55">
        <f t="shared" si="3"/>
        <v>0</v>
      </c>
      <c r="AY18" s="55">
        <f t="shared" si="3"/>
        <v>0</v>
      </c>
      <c r="AZ18" s="55">
        <f t="shared" si="3"/>
        <v>0</v>
      </c>
      <c r="BA18" s="57"/>
      <c r="BB18" s="80"/>
      <c r="BC18" s="57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448"/>
      <c r="BO18" s="55"/>
      <c r="BP18" s="55"/>
      <c r="BQ18" s="55"/>
      <c r="BR18" s="55"/>
      <c r="BS18" s="55"/>
      <c r="BT18" s="55"/>
      <c r="BU18" s="57"/>
      <c r="BV18" s="80"/>
      <c r="BW18" s="57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448"/>
      <c r="CI18" s="57"/>
      <c r="CJ18" s="80"/>
      <c r="CK18" s="57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448"/>
      <c r="CW18" s="968"/>
      <c r="CX18" s="968"/>
      <c r="CY18" s="968"/>
      <c r="CZ18" s="968"/>
      <c r="DA18" s="505"/>
      <c r="DB18" s="505"/>
      <c r="DC18" s="679"/>
      <c r="DD18" s="656"/>
      <c r="DE18" s="957"/>
      <c r="DF18" s="957"/>
      <c r="DG18" s="511"/>
      <c r="DH18" s="511"/>
      <c r="DI18" s="511">
        <v>0</v>
      </c>
      <c r="DJ18" s="511">
        <v>0</v>
      </c>
      <c r="DK18" s="511">
        <v>0</v>
      </c>
      <c r="DL18" s="511">
        <v>0</v>
      </c>
      <c r="DM18" s="511">
        <v>0</v>
      </c>
      <c r="DN18" s="511">
        <v>0</v>
      </c>
      <c r="DO18" s="511">
        <v>0</v>
      </c>
      <c r="DP18" s="511">
        <f>SUM(DI18:DO18)</f>
        <v>0</v>
      </c>
      <c r="DQ18" s="511">
        <f>DJ18-DP18</f>
        <v>0</v>
      </c>
    </row>
    <row r="19" spans="1:121" s="16" customFormat="1" x14ac:dyDescent="0.2">
      <c r="A19" s="120" t="s">
        <v>269</v>
      </c>
      <c r="B19" s="29"/>
      <c r="C19" s="45"/>
      <c r="D19" s="58"/>
      <c r="E19" s="27"/>
      <c r="F19" s="20"/>
      <c r="G19" s="58"/>
      <c r="H19" s="145"/>
      <c r="I19" s="165"/>
      <c r="J19" s="48"/>
      <c r="K19" s="165"/>
      <c r="L19" s="48"/>
      <c r="M19" s="165"/>
      <c r="N19" s="48"/>
      <c r="O19" s="165"/>
      <c r="P19" s="48"/>
      <c r="Q19" s="48"/>
      <c r="R19" s="125"/>
      <c r="S19" s="20"/>
      <c r="T19" s="154"/>
      <c r="U19" s="72"/>
      <c r="V19" s="154"/>
      <c r="W19" s="154"/>
      <c r="X19" s="243"/>
      <c r="Y19" s="106"/>
      <c r="Z19" s="258"/>
      <c r="AA19" s="57"/>
      <c r="AB19" s="57"/>
      <c r="AC19" s="57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72"/>
      <c r="AT19" s="55"/>
      <c r="AU19" s="55"/>
      <c r="AV19" s="55">
        <f t="shared" si="3"/>
        <v>0</v>
      </c>
      <c r="AW19" s="55">
        <f t="shared" si="3"/>
        <v>0</v>
      </c>
      <c r="AX19" s="55">
        <f t="shared" si="3"/>
        <v>0</v>
      </c>
      <c r="AY19" s="55">
        <f t="shared" si="3"/>
        <v>0</v>
      </c>
      <c r="AZ19" s="55">
        <f t="shared" si="3"/>
        <v>0</v>
      </c>
      <c r="BA19" s="57"/>
      <c r="BB19" s="57"/>
      <c r="BC19" s="57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448"/>
      <c r="BO19" s="55"/>
      <c r="BP19" s="55"/>
      <c r="BQ19" s="55"/>
      <c r="BR19" s="55"/>
      <c r="BS19" s="55"/>
      <c r="BT19" s="55"/>
      <c r="BU19" s="57"/>
      <c r="BV19" s="57"/>
      <c r="BW19" s="57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448"/>
      <c r="CI19" s="57"/>
      <c r="CJ19" s="57"/>
      <c r="CK19" s="57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448"/>
      <c r="CW19" s="968"/>
      <c r="CX19" s="968"/>
      <c r="CY19" s="968"/>
      <c r="CZ19" s="968"/>
      <c r="DA19" s="505"/>
      <c r="DB19" s="505">
        <f>SUM(CW19:DA19)</f>
        <v>0</v>
      </c>
      <c r="DC19" s="679"/>
      <c r="DD19" s="623"/>
      <c r="DE19" s="957">
        <v>118.901</v>
      </c>
      <c r="DF19" s="957">
        <f>DD19/DE19</f>
        <v>0</v>
      </c>
      <c r="DG19" s="511" t="e">
        <f>DC19/AY19</f>
        <v>#DIV/0!</v>
      </c>
      <c r="DH19" s="511"/>
      <c r="DI19" s="511"/>
      <c r="DJ19" s="511"/>
      <c r="DK19" s="511"/>
      <c r="DL19" s="511"/>
      <c r="DM19" s="511"/>
      <c r="DN19" s="511"/>
      <c r="DO19" s="511"/>
      <c r="DP19" s="511"/>
      <c r="DQ19" s="511"/>
    </row>
    <row r="20" spans="1:121" s="1161" customFormat="1" x14ac:dyDescent="0.2">
      <c r="A20" s="1140" t="s">
        <v>399</v>
      </c>
      <c r="B20" s="1137" t="s">
        <v>400</v>
      </c>
      <c r="C20" s="1137" t="s">
        <v>426</v>
      </c>
      <c r="D20" s="1138">
        <v>3</v>
      </c>
      <c r="E20" s="1153">
        <v>0.33329999999999999</v>
      </c>
      <c r="F20" s="1140">
        <v>43281</v>
      </c>
      <c r="G20" s="1138">
        <v>36</v>
      </c>
      <c r="H20" s="1141">
        <f>100/G20</f>
        <v>2.7777777777777777</v>
      </c>
      <c r="I20" s="1142">
        <f>H20*J20</f>
        <v>125</v>
      </c>
      <c r="J20" s="1143">
        <f>(YEAR(F20)-YEAR(S20))*12+MONTH(F20)-MONTH(S20)</f>
        <v>45</v>
      </c>
      <c r="K20" s="1142">
        <f>L20*H20</f>
        <v>-25</v>
      </c>
      <c r="L20" s="1143">
        <f>G20-J20</f>
        <v>-9</v>
      </c>
      <c r="M20" s="1142">
        <f>N20*H20</f>
        <v>19.444444444444443</v>
      </c>
      <c r="N20" s="1143">
        <v>7</v>
      </c>
      <c r="O20" s="1142">
        <f>K20-M20</f>
        <v>-44.444444444444443</v>
      </c>
      <c r="P20" s="1143">
        <f>L20-N20</f>
        <v>-16</v>
      </c>
      <c r="Q20" s="1151">
        <f>DATE(YEAR(S20),MONTH(S20)+G20,DAY(S20))</f>
        <v>42996</v>
      </c>
      <c r="R20" s="1143" t="s">
        <v>603</v>
      </c>
      <c r="S20" s="1140">
        <v>41900</v>
      </c>
      <c r="T20" s="1154">
        <v>1951.9</v>
      </c>
      <c r="U20" s="1149">
        <v>54.21</v>
      </c>
      <c r="V20" s="1154">
        <v>650.5240225</v>
      </c>
      <c r="W20" s="1154">
        <v>1301.3759775000001</v>
      </c>
      <c r="X20" s="1155">
        <v>54.21</v>
      </c>
      <c r="Y20" s="1145">
        <f>X20*5</f>
        <v>271.05</v>
      </c>
      <c r="Z20" s="1156">
        <f>W20-Y20</f>
        <v>1030.3259775000001</v>
      </c>
      <c r="AA20" s="1146">
        <v>115.958</v>
      </c>
      <c r="AB20" s="1146">
        <v>113.93899999999999</v>
      </c>
      <c r="AC20" s="1146">
        <f>AA20/AB20</f>
        <v>1.0177200080744961</v>
      </c>
      <c r="AD20" s="1148">
        <f>Z20*M20/100/K20*100/7</f>
        <v>-114.48066416666666</v>
      </c>
      <c r="AE20" s="1148">
        <f>AD20*AC20</f>
        <v>-116.50926246007367</v>
      </c>
      <c r="AF20" s="1148"/>
      <c r="AG20" s="1148"/>
      <c r="AH20" s="1148"/>
      <c r="AI20" s="1148"/>
      <c r="AJ20" s="1148"/>
      <c r="AK20" s="1148">
        <f>AE20</f>
        <v>-116.50926246007367</v>
      </c>
      <c r="AL20" s="1148">
        <v>38.836420820024557</v>
      </c>
      <c r="AM20" s="1148">
        <v>38.836420820024557</v>
      </c>
      <c r="AN20" s="1148">
        <v>38.836420820024557</v>
      </c>
      <c r="AO20" s="1148">
        <v>38.836420820024557</v>
      </c>
      <c r="AP20" s="1148">
        <v>38.836420820024557</v>
      </c>
      <c r="AQ20" s="1148">
        <v>38.836420820024557</v>
      </c>
      <c r="AR20" s="1148">
        <f>SUM(AF20:AQ20)</f>
        <v>116.50926246007367</v>
      </c>
      <c r="AS20" s="1149">
        <f>Z20-AR20</f>
        <v>913.81671503992652</v>
      </c>
      <c r="AT20" s="1148"/>
      <c r="AU20" s="1148"/>
      <c r="AV20" s="1148">
        <f t="shared" si="3"/>
        <v>38.836420820024557</v>
      </c>
      <c r="AW20" s="1148">
        <f t="shared" si="3"/>
        <v>38.836420820024557</v>
      </c>
      <c r="AX20" s="1148">
        <f t="shared" si="3"/>
        <v>38.836420820024557</v>
      </c>
      <c r="AY20" s="1148">
        <f t="shared" si="3"/>
        <v>38.836420820024557</v>
      </c>
      <c r="AZ20" s="1148">
        <f t="shared" si="3"/>
        <v>38.836420820024557</v>
      </c>
      <c r="BA20" s="1146">
        <v>118.901</v>
      </c>
      <c r="BB20" s="1146">
        <v>113.93899999999999</v>
      </c>
      <c r="BC20" s="1146">
        <f>BA20/BB20</f>
        <v>1.0435496186555964</v>
      </c>
      <c r="BD20" s="1148">
        <f>T20/(D20*12)</f>
        <v>54.219444444444449</v>
      </c>
      <c r="BE20" s="1148">
        <f>BD20*BC20</f>
        <v>56.580680573718297</v>
      </c>
      <c r="BF20" s="1148">
        <f t="shared" ref="BF20:BL20" si="5">$BE20</f>
        <v>56.580680573718297</v>
      </c>
      <c r="BG20" s="1148">
        <f t="shared" si="5"/>
        <v>56.580680573718297</v>
      </c>
      <c r="BH20" s="1148">
        <f t="shared" si="5"/>
        <v>56.580680573718297</v>
      </c>
      <c r="BI20" s="1148">
        <f t="shared" si="5"/>
        <v>56.580680573718297</v>
      </c>
      <c r="BJ20" s="1148">
        <f t="shared" si="5"/>
        <v>56.580680573718297</v>
      </c>
      <c r="BK20" s="1148">
        <f t="shared" si="5"/>
        <v>56.580680573718297</v>
      </c>
      <c r="BL20" s="1148">
        <f t="shared" si="5"/>
        <v>56.580680573718297</v>
      </c>
      <c r="BM20" s="1148">
        <f>SUM((AV20:AZ20),(BF20:BL20))</f>
        <v>590.24686811615072</v>
      </c>
      <c r="BN20" s="1150">
        <f>AS20-BM20</f>
        <v>323.5698469237758</v>
      </c>
      <c r="BO20" s="1148">
        <f>$BE20</f>
        <v>56.580680573718297</v>
      </c>
      <c r="BP20" s="1148">
        <f>$BE20</f>
        <v>56.580680573718297</v>
      </c>
      <c r="BQ20" s="1148">
        <f>$BE20</f>
        <v>56.580680573718297</v>
      </c>
      <c r="BR20" s="1148">
        <f>$BE20</f>
        <v>56.580680573718297</v>
      </c>
      <c r="BS20" s="1148">
        <v>0</v>
      </c>
      <c r="BT20" s="1148">
        <v>1</v>
      </c>
      <c r="BU20" s="1146">
        <v>126.408</v>
      </c>
      <c r="BV20" s="1146">
        <v>113.93899999999999</v>
      </c>
      <c r="BW20" s="1146">
        <f>BU20/BV20</f>
        <v>1.1094357507087127</v>
      </c>
      <c r="BX20" s="1148">
        <f>AM20/(W20*12)</f>
        <v>2.486881929299108E-3</v>
      </c>
      <c r="BY20" s="1148">
        <f>BX20*BW20</f>
        <v>2.7590357201558876E-3</v>
      </c>
      <c r="BZ20" s="1148"/>
      <c r="CA20" s="1148"/>
      <c r="CB20" s="1148"/>
      <c r="CC20" s="1148"/>
      <c r="CD20" s="1148"/>
      <c r="CE20" s="1148"/>
      <c r="CF20" s="1148"/>
      <c r="CG20" s="1148">
        <f>SUM((BO20:BS20),(BZ20:CF20))</f>
        <v>226.32272229487319</v>
      </c>
      <c r="CH20" s="1150">
        <v>1</v>
      </c>
      <c r="CI20" s="1146">
        <v>126.408</v>
      </c>
      <c r="CJ20" s="1146">
        <v>113.93899999999999</v>
      </c>
      <c r="CK20" s="1146">
        <f>CI20/CJ20</f>
        <v>1.1094357507087127</v>
      </c>
      <c r="CL20" s="1148">
        <v>0</v>
      </c>
      <c r="CM20" s="1148">
        <v>0</v>
      </c>
      <c r="CN20" s="1148">
        <v>0</v>
      </c>
      <c r="CO20" s="1148">
        <v>0</v>
      </c>
      <c r="CP20" s="1148">
        <v>0</v>
      </c>
      <c r="CQ20" s="1148">
        <v>0</v>
      </c>
      <c r="CR20" s="1148">
        <v>0</v>
      </c>
      <c r="CS20" s="1148">
        <v>0</v>
      </c>
      <c r="CT20" s="1148">
        <v>0</v>
      </c>
      <c r="CU20" s="1148">
        <f>SUM(CN20:CT20)</f>
        <v>0</v>
      </c>
      <c r="CV20" s="1150">
        <f>CH20-CU20</f>
        <v>1</v>
      </c>
      <c r="CW20" s="1157"/>
      <c r="CX20" s="1157">
        <v>0</v>
      </c>
      <c r="CY20" s="1157">
        <v>0</v>
      </c>
      <c r="CZ20" s="1157">
        <v>0</v>
      </c>
      <c r="DA20" s="1158"/>
      <c r="DB20" s="1158"/>
      <c r="DC20" s="1159">
        <f>CV20-DB20</f>
        <v>1</v>
      </c>
      <c r="DD20" s="1148"/>
      <c r="DE20" s="1148"/>
      <c r="DF20" s="1148"/>
      <c r="DG20" s="1148"/>
      <c r="DH20" s="1148"/>
      <c r="DI20" s="1148"/>
      <c r="DJ20" s="1148"/>
      <c r="DK20" s="1148"/>
      <c r="DL20" s="1148"/>
      <c r="DM20" s="1148"/>
      <c r="DN20" s="1148"/>
      <c r="DO20" s="1148"/>
      <c r="DP20" s="1148"/>
      <c r="DQ20" s="1148"/>
    </row>
    <row r="21" spans="1:121" s="16" customFormat="1" x14ac:dyDescent="0.2">
      <c r="A21" s="26" t="s">
        <v>65</v>
      </c>
      <c r="B21" s="26"/>
      <c r="C21" s="45"/>
      <c r="D21" s="58"/>
      <c r="E21" s="30"/>
      <c r="F21" s="20"/>
      <c r="G21" s="58"/>
      <c r="H21" s="145"/>
      <c r="I21" s="165"/>
      <c r="J21" s="48"/>
      <c r="K21" s="165"/>
      <c r="L21" s="48"/>
      <c r="M21" s="165"/>
      <c r="N21" s="48"/>
      <c r="O21" s="165"/>
      <c r="P21" s="48"/>
      <c r="Q21" s="48"/>
      <c r="R21" s="46"/>
      <c r="S21" s="20"/>
      <c r="T21" s="154"/>
      <c r="U21" s="72"/>
      <c r="V21" s="154"/>
      <c r="W21" s="154"/>
      <c r="X21" s="243"/>
      <c r="Y21" s="106"/>
      <c r="Z21" s="258"/>
      <c r="AA21" s="57"/>
      <c r="AB21" s="80"/>
      <c r="AC21" s="57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72"/>
      <c r="AT21" s="55"/>
      <c r="AU21" s="55"/>
      <c r="AV21" s="55">
        <f t="shared" si="3"/>
        <v>0</v>
      </c>
      <c r="AW21" s="55">
        <f t="shared" si="3"/>
        <v>0</v>
      </c>
      <c r="AX21" s="55">
        <f t="shared" si="3"/>
        <v>0</v>
      </c>
      <c r="AY21" s="55">
        <f t="shared" si="3"/>
        <v>0</v>
      </c>
      <c r="AZ21" s="55">
        <f t="shared" si="3"/>
        <v>0</v>
      </c>
      <c r="BA21" s="57"/>
      <c r="BB21" s="80"/>
      <c r="BC21" s="57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448"/>
      <c r="BO21" s="55"/>
      <c r="BP21" s="55"/>
      <c r="BQ21" s="55"/>
      <c r="BR21" s="55"/>
      <c r="BS21" s="55"/>
      <c r="BT21" s="55"/>
      <c r="BU21" s="57"/>
      <c r="BV21" s="80"/>
      <c r="BW21" s="57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448"/>
      <c r="CI21" s="57"/>
      <c r="CJ21" s="80"/>
      <c r="CK21" s="57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448"/>
      <c r="CW21" s="968"/>
      <c r="CX21" s="968"/>
      <c r="CY21" s="968"/>
      <c r="CZ21" s="968"/>
      <c r="DA21" s="505"/>
      <c r="DB21" s="505"/>
      <c r="DC21" s="679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</row>
    <row r="22" spans="1:121" s="16" customFormat="1" x14ac:dyDescent="0.2">
      <c r="A22" s="26" t="s">
        <v>82</v>
      </c>
      <c r="B22" s="9"/>
      <c r="C22" s="124"/>
      <c r="D22" s="111"/>
      <c r="E22" s="30"/>
      <c r="F22" s="20"/>
      <c r="G22" s="8"/>
      <c r="H22" s="145"/>
      <c r="I22" s="165"/>
      <c r="J22" s="48"/>
      <c r="K22" s="165"/>
      <c r="L22" s="48"/>
      <c r="M22" s="165"/>
      <c r="N22" s="48"/>
      <c r="O22" s="165"/>
      <c r="P22" s="48"/>
      <c r="Q22" s="48"/>
      <c r="R22" s="125"/>
      <c r="S22" s="20"/>
      <c r="T22" s="154"/>
      <c r="U22" s="72"/>
      <c r="V22" s="154"/>
      <c r="W22" s="154"/>
      <c r="X22" s="243"/>
      <c r="Y22" s="106"/>
      <c r="Z22" s="258"/>
      <c r="AA22" s="57"/>
      <c r="AB22" s="82"/>
      <c r="AC22" s="57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72"/>
      <c r="AT22" s="55"/>
      <c r="AU22" s="55"/>
      <c r="AV22" s="55">
        <f t="shared" si="3"/>
        <v>0</v>
      </c>
      <c r="AW22" s="55">
        <f t="shared" si="3"/>
        <v>0</v>
      </c>
      <c r="AX22" s="55">
        <f t="shared" si="3"/>
        <v>0</v>
      </c>
      <c r="AY22" s="55">
        <f t="shared" si="3"/>
        <v>0</v>
      </c>
      <c r="AZ22" s="55">
        <f t="shared" si="3"/>
        <v>0</v>
      </c>
      <c r="BA22" s="57"/>
      <c r="BB22" s="82"/>
      <c r="BC22" s="57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448"/>
      <c r="BO22" s="55"/>
      <c r="BP22" s="55"/>
      <c r="BQ22" s="55"/>
      <c r="BR22" s="55"/>
      <c r="BS22" s="55"/>
      <c r="BT22" s="55"/>
      <c r="BU22" s="57"/>
      <c r="BV22" s="82"/>
      <c r="BW22" s="57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448"/>
      <c r="CI22" s="57"/>
      <c r="CJ22" s="82"/>
      <c r="CK22" s="57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448"/>
      <c r="CW22" s="968"/>
      <c r="CX22" s="968"/>
      <c r="CY22" s="968"/>
      <c r="CZ22" s="968"/>
      <c r="DA22" s="505"/>
      <c r="DB22" s="505"/>
      <c r="DC22" s="679"/>
      <c r="DD22" s="956"/>
      <c r="DE22" s="957"/>
      <c r="DF22" s="957"/>
      <c r="DG22" s="511"/>
      <c r="DH22" s="511"/>
      <c r="DI22" s="511"/>
      <c r="DJ22" s="511"/>
      <c r="DK22" s="511"/>
      <c r="DL22" s="511"/>
      <c r="DM22" s="511"/>
      <c r="DN22" s="511"/>
      <c r="DO22" s="511"/>
      <c r="DP22" s="511"/>
      <c r="DQ22" s="756"/>
    </row>
    <row r="23" spans="1:121" s="16" customFormat="1" x14ac:dyDescent="0.2">
      <c r="A23" s="119" t="s">
        <v>402</v>
      </c>
      <c r="B23" s="100" t="s">
        <v>403</v>
      </c>
      <c r="C23" s="45" t="s">
        <v>426</v>
      </c>
      <c r="D23" s="58">
        <v>10</v>
      </c>
      <c r="E23" s="30">
        <v>0.1</v>
      </c>
      <c r="F23" s="46">
        <v>43281</v>
      </c>
      <c r="G23" s="58">
        <v>120</v>
      </c>
      <c r="H23" s="145">
        <f>100/G23</f>
        <v>0.83333333333333337</v>
      </c>
      <c r="I23" s="165">
        <f>H23*J23</f>
        <v>37.5</v>
      </c>
      <c r="J23" s="48">
        <f>(YEAR(F23)-YEAR(S23))*12+MONTH(F23)-MONTH(S23)</f>
        <v>45</v>
      </c>
      <c r="K23" s="165">
        <f>L23*H23</f>
        <v>62.5</v>
      </c>
      <c r="L23" s="48">
        <f>G23-J23</f>
        <v>75</v>
      </c>
      <c r="M23" s="165">
        <f>N23*H23</f>
        <v>5.8333333333333339</v>
      </c>
      <c r="N23" s="48">
        <v>7</v>
      </c>
      <c r="O23" s="165">
        <f>K23-M23</f>
        <v>56.666666666666664</v>
      </c>
      <c r="P23" s="48">
        <f>L23-N23</f>
        <v>68</v>
      </c>
      <c r="Q23" s="462">
        <f>DATE(YEAR(S23),MONTH(S23)+G23,DAY(S23))</f>
        <v>45553</v>
      </c>
      <c r="R23" s="125" t="s">
        <v>603</v>
      </c>
      <c r="S23" s="20">
        <v>41900</v>
      </c>
      <c r="T23" s="154">
        <v>2865.2</v>
      </c>
      <c r="U23" s="72">
        <v>23.88</v>
      </c>
      <c r="V23" s="154">
        <v>286.55666666666662</v>
      </c>
      <c r="W23" s="154">
        <v>2578.6433333333334</v>
      </c>
      <c r="X23" s="243">
        <v>23.88</v>
      </c>
      <c r="Y23" s="106">
        <f>X23*5</f>
        <v>119.39999999999999</v>
      </c>
      <c r="Z23" s="258">
        <f>W23-Y23</f>
        <v>2459.2433333333333</v>
      </c>
      <c r="AA23" s="57">
        <v>115.958</v>
      </c>
      <c r="AB23" s="57">
        <v>113.93899999999999</v>
      </c>
      <c r="AC23" s="57">
        <f>AA23/AB23</f>
        <v>1.0177200080744961</v>
      </c>
      <c r="AD23" s="55">
        <f>Z23*M23/100/K23*100/7</f>
        <v>32.789911111111117</v>
      </c>
      <c r="AE23" s="55">
        <f>AD23*AC23</f>
        <v>33.37094860076202</v>
      </c>
      <c r="AF23" s="55"/>
      <c r="AG23" s="55"/>
      <c r="AH23" s="55"/>
      <c r="AI23" s="55"/>
      <c r="AJ23" s="55"/>
      <c r="AK23" s="55">
        <f>AE23</f>
        <v>33.37094860076202</v>
      </c>
      <c r="AL23" s="55">
        <v>22.547938243758118</v>
      </c>
      <c r="AM23" s="55">
        <v>22.547938243758118</v>
      </c>
      <c r="AN23" s="55">
        <v>22.547938243758118</v>
      </c>
      <c r="AO23" s="55">
        <v>22.547938243758118</v>
      </c>
      <c r="AP23" s="55">
        <v>22.547938243758118</v>
      </c>
      <c r="AQ23" s="55">
        <v>22.547938243758118</v>
      </c>
      <c r="AR23" s="55">
        <f>SUM(AF23:AQ23)</f>
        <v>168.65857806331076</v>
      </c>
      <c r="AS23" s="72">
        <f>Z23-AR23</f>
        <v>2290.5847552700225</v>
      </c>
      <c r="AT23" s="55"/>
      <c r="AU23" s="55"/>
      <c r="AV23" s="55">
        <f t="shared" si="3"/>
        <v>22.547938243758118</v>
      </c>
      <c r="AW23" s="55">
        <f t="shared" si="3"/>
        <v>22.547938243758118</v>
      </c>
      <c r="AX23" s="55">
        <f t="shared" si="3"/>
        <v>22.547938243758118</v>
      </c>
      <c r="AY23" s="55">
        <f t="shared" si="3"/>
        <v>22.547938243758118</v>
      </c>
      <c r="AZ23" s="55">
        <f t="shared" si="3"/>
        <v>22.547938243758118</v>
      </c>
      <c r="BA23" s="57">
        <v>118.901</v>
      </c>
      <c r="BB23" s="57">
        <v>113.93899999999999</v>
      </c>
      <c r="BC23" s="57">
        <f>BA23/BB23</f>
        <v>1.0435496186555964</v>
      </c>
      <c r="BD23" s="55">
        <f>T23/(D23*12)</f>
        <v>23.876666666666665</v>
      </c>
      <c r="BE23" s="55">
        <f>BD23*BC23</f>
        <v>24.916486394766789</v>
      </c>
      <c r="BF23" s="55">
        <f t="shared" ref="BF23:BL24" si="6">$BE23</f>
        <v>24.916486394766789</v>
      </c>
      <c r="BG23" s="55">
        <f t="shared" si="6"/>
        <v>24.916486394766789</v>
      </c>
      <c r="BH23" s="55">
        <f t="shared" si="6"/>
        <v>24.916486394766789</v>
      </c>
      <c r="BI23" s="55">
        <f t="shared" si="6"/>
        <v>24.916486394766789</v>
      </c>
      <c r="BJ23" s="55">
        <f t="shared" si="6"/>
        <v>24.916486394766789</v>
      </c>
      <c r="BK23" s="55">
        <f t="shared" si="6"/>
        <v>24.916486394766789</v>
      </c>
      <c r="BL23" s="55">
        <f t="shared" si="6"/>
        <v>24.916486394766789</v>
      </c>
      <c r="BM23" s="55">
        <f>SUM((AV23:AZ23),(BF23:BL23))</f>
        <v>287.15509598215812</v>
      </c>
      <c r="BN23" s="448">
        <f>AS23-BM23</f>
        <v>2003.4296592878643</v>
      </c>
      <c r="BO23" s="55">
        <f t="shared" ref="BO23:BS24" si="7">$BE23</f>
        <v>24.916486394766789</v>
      </c>
      <c r="BP23" s="55">
        <f t="shared" si="7"/>
        <v>24.916486394766789</v>
      </c>
      <c r="BQ23" s="55">
        <f t="shared" si="7"/>
        <v>24.916486394766789</v>
      </c>
      <c r="BR23" s="55">
        <f t="shared" si="7"/>
        <v>24.916486394766789</v>
      </c>
      <c r="BS23" s="55">
        <f t="shared" si="7"/>
        <v>24.916486394766789</v>
      </c>
      <c r="BT23" s="55">
        <f>SUM(BO23:BS23)</f>
        <v>124.58243197383395</v>
      </c>
      <c r="BU23" s="57">
        <v>126.408</v>
      </c>
      <c r="BV23" s="57">
        <v>113.93899999999999</v>
      </c>
      <c r="BW23" s="57">
        <f>BU23/BV23</f>
        <v>1.1094357507087127</v>
      </c>
      <c r="BX23" s="55">
        <f>AM23/(W23*12)</f>
        <v>7.2867574563621046E-4</v>
      </c>
      <c r="BY23" s="55">
        <f>BX23*BW23</f>
        <v>8.0841892288314012E-4</v>
      </c>
      <c r="BZ23" s="55"/>
      <c r="CA23" s="55"/>
      <c r="CB23" s="55"/>
      <c r="CC23" s="55"/>
      <c r="CD23" s="55"/>
      <c r="CE23" s="55"/>
      <c r="CF23" s="55"/>
      <c r="CG23" s="55">
        <f>SUM((BO23:BS23),(BZ23:CF23))</f>
        <v>124.58243197383395</v>
      </c>
      <c r="CH23" s="448">
        <f>BN23-CG23</f>
        <v>1878.8472273140303</v>
      </c>
      <c r="CI23" s="57">
        <v>126.408</v>
      </c>
      <c r="CJ23" s="57">
        <v>113.93899999999999</v>
      </c>
      <c r="CK23" s="57">
        <f>CI23/CJ23</f>
        <v>1.1094357507087127</v>
      </c>
      <c r="CL23" s="55">
        <f>CH23/N23</f>
        <v>268.40674675914721</v>
      </c>
      <c r="CM23" s="55">
        <f>CL23*CK23</f>
        <v>297.78004058601783</v>
      </c>
      <c r="CN23" s="55">
        <v>298.50955631828867</v>
      </c>
      <c r="CO23" s="55">
        <v>298.50955631828867</v>
      </c>
      <c r="CP23" s="55">
        <v>298.50955631828867</v>
      </c>
      <c r="CQ23" s="55">
        <v>298.50955631828867</v>
      </c>
      <c r="CR23" s="55">
        <v>298.50955631828867</v>
      </c>
      <c r="CS23" s="55">
        <v>298.50955631828867</v>
      </c>
      <c r="CT23" s="55">
        <v>91.39</v>
      </c>
      <c r="CU23" s="55">
        <f>SUM(CN23:CT23)</f>
        <v>1882.4473379097319</v>
      </c>
      <c r="CV23" s="448">
        <v>0</v>
      </c>
      <c r="CW23" s="968"/>
      <c r="CX23" s="968">
        <v>0</v>
      </c>
      <c r="CY23" s="968">
        <v>0</v>
      </c>
      <c r="CZ23" s="968">
        <v>0</v>
      </c>
      <c r="DA23" s="505"/>
      <c r="DB23" s="505"/>
      <c r="DC23" s="679">
        <f>CV23-DB23</f>
        <v>0</v>
      </c>
      <c r="DD23" s="511"/>
      <c r="DE23" s="957"/>
      <c r="DF23" s="957"/>
      <c r="DG23" s="511"/>
      <c r="DH23" s="511"/>
      <c r="DI23" s="511"/>
      <c r="DJ23" s="511"/>
      <c r="DK23" s="511"/>
      <c r="DL23" s="511"/>
      <c r="DM23" s="511"/>
      <c r="DN23" s="511"/>
      <c r="DO23" s="511"/>
      <c r="DP23" s="511"/>
      <c r="DQ23" s="511"/>
    </row>
    <row r="24" spans="1:121" s="16" customFormat="1" x14ac:dyDescent="0.2">
      <c r="A24" s="119" t="s">
        <v>402</v>
      </c>
      <c r="B24" s="100" t="s">
        <v>404</v>
      </c>
      <c r="C24" s="45" t="s">
        <v>426</v>
      </c>
      <c r="D24" s="58">
        <v>10</v>
      </c>
      <c r="E24" s="30">
        <v>0.1</v>
      </c>
      <c r="F24" s="46">
        <v>43281</v>
      </c>
      <c r="G24" s="58">
        <v>120</v>
      </c>
      <c r="H24" s="145">
        <f>100/G24</f>
        <v>0.83333333333333337</v>
      </c>
      <c r="I24" s="165">
        <f>H24*J24</f>
        <v>37.5</v>
      </c>
      <c r="J24" s="48">
        <f>(YEAR(F24)-YEAR(S24))*12+MONTH(F24)-MONTH(S24)</f>
        <v>45</v>
      </c>
      <c r="K24" s="165">
        <f>L24*H24</f>
        <v>62.5</v>
      </c>
      <c r="L24" s="48">
        <f>G24-J24</f>
        <v>75</v>
      </c>
      <c r="M24" s="165">
        <f>N24*H24</f>
        <v>5.8333333333333339</v>
      </c>
      <c r="N24" s="48">
        <v>7</v>
      </c>
      <c r="O24" s="165">
        <f>K24-M24</f>
        <v>56.666666666666664</v>
      </c>
      <c r="P24" s="48">
        <f>L24-N24</f>
        <v>68</v>
      </c>
      <c r="Q24" s="462">
        <f>DATE(YEAR(S24),MONTH(S24)+G24,DAY(S24))</f>
        <v>45553</v>
      </c>
      <c r="R24" s="125" t="s">
        <v>603</v>
      </c>
      <c r="S24" s="20">
        <v>41900</v>
      </c>
      <c r="T24" s="154">
        <v>10253.1</v>
      </c>
      <c r="U24" s="72">
        <v>85.44</v>
      </c>
      <c r="V24" s="154">
        <v>1025.2825000000003</v>
      </c>
      <c r="W24" s="154">
        <v>9227.817500000001</v>
      </c>
      <c r="X24" s="243">
        <v>85.44</v>
      </c>
      <c r="Y24" s="106">
        <f>X24*5</f>
        <v>427.2</v>
      </c>
      <c r="Z24" s="258">
        <f>W24-Y24</f>
        <v>8800.6175000000003</v>
      </c>
      <c r="AA24" s="57">
        <v>115.958</v>
      </c>
      <c r="AB24" s="57">
        <v>113.93899999999999</v>
      </c>
      <c r="AC24" s="57">
        <f>AA24/AB24</f>
        <v>1.0177200080744961</v>
      </c>
      <c r="AD24" s="55">
        <f>Z24*M24/100/K24*100/7</f>
        <v>117.34156666666669</v>
      </c>
      <c r="AE24" s="55">
        <f>AD24*AC24</f>
        <v>119.42086017547406</v>
      </c>
      <c r="AF24" s="55"/>
      <c r="AG24" s="55"/>
      <c r="AH24" s="55"/>
      <c r="AI24" s="55"/>
      <c r="AJ24" s="55"/>
      <c r="AK24" s="55">
        <f>AE24</f>
        <v>119.42086017547406</v>
      </c>
      <c r="AL24" s="55">
        <v>80.689770388833821</v>
      </c>
      <c r="AM24" s="55">
        <v>80.689770388833821</v>
      </c>
      <c r="AN24" s="55">
        <v>80.689770388833821</v>
      </c>
      <c r="AO24" s="55">
        <v>80.689770388833821</v>
      </c>
      <c r="AP24" s="55">
        <v>80.689770388833821</v>
      </c>
      <c r="AQ24" s="55">
        <v>80.689770388833821</v>
      </c>
      <c r="AR24" s="55">
        <f>SUM(AF24:AQ24)</f>
        <v>603.559482508477</v>
      </c>
      <c r="AS24" s="72">
        <f>Z24-AR24</f>
        <v>8197.0580174915231</v>
      </c>
      <c r="AT24" s="55"/>
      <c r="AU24" s="55"/>
      <c r="AV24" s="55">
        <f t="shared" si="3"/>
        <v>80.689770388833821</v>
      </c>
      <c r="AW24" s="55">
        <f t="shared" si="3"/>
        <v>80.689770388833821</v>
      </c>
      <c r="AX24" s="55">
        <f t="shared" si="3"/>
        <v>80.689770388833821</v>
      </c>
      <c r="AY24" s="55">
        <f t="shared" si="3"/>
        <v>80.689770388833821</v>
      </c>
      <c r="AZ24" s="55">
        <f t="shared" si="3"/>
        <v>80.689770388833821</v>
      </c>
      <c r="BA24" s="57">
        <v>118.901</v>
      </c>
      <c r="BB24" s="57">
        <v>113.93899999999999</v>
      </c>
      <c r="BC24" s="57">
        <f>BA24/BB24</f>
        <v>1.0435496186555964</v>
      </c>
      <c r="BD24" s="55">
        <f>T24/(D24*12)</f>
        <v>85.44250000000001</v>
      </c>
      <c r="BE24" s="55">
        <f>BD24*BC24</f>
        <v>89.163488291980798</v>
      </c>
      <c r="BF24" s="55">
        <f t="shared" si="6"/>
        <v>89.163488291980798</v>
      </c>
      <c r="BG24" s="55">
        <f t="shared" si="6"/>
        <v>89.163488291980798</v>
      </c>
      <c r="BH24" s="55">
        <f t="shared" si="6"/>
        <v>89.163488291980798</v>
      </c>
      <c r="BI24" s="55">
        <f t="shared" si="6"/>
        <v>89.163488291980798</v>
      </c>
      <c r="BJ24" s="55">
        <f t="shared" si="6"/>
        <v>89.163488291980798</v>
      </c>
      <c r="BK24" s="55">
        <f t="shared" si="6"/>
        <v>89.163488291980798</v>
      </c>
      <c r="BL24" s="55">
        <f t="shared" si="6"/>
        <v>89.163488291980798</v>
      </c>
      <c r="BM24" s="55">
        <f>SUM((AV24:AZ24),(BF24:BL24))</f>
        <v>1027.5932699880345</v>
      </c>
      <c r="BN24" s="448">
        <f>AS24-BM24</f>
        <v>7169.464747503489</v>
      </c>
      <c r="BO24" s="55">
        <f t="shared" si="7"/>
        <v>89.163488291980798</v>
      </c>
      <c r="BP24" s="55">
        <f t="shared" si="7"/>
        <v>89.163488291980798</v>
      </c>
      <c r="BQ24" s="55">
        <f t="shared" si="7"/>
        <v>89.163488291980798</v>
      </c>
      <c r="BR24" s="55">
        <f t="shared" si="7"/>
        <v>89.163488291980798</v>
      </c>
      <c r="BS24" s="55">
        <f t="shared" si="7"/>
        <v>89.163488291980798</v>
      </c>
      <c r="BT24" s="55">
        <f>SUM(BO24:BS24)</f>
        <v>445.81744145990399</v>
      </c>
      <c r="BU24" s="57">
        <v>126.408</v>
      </c>
      <c r="BV24" s="57">
        <v>113.93899999999999</v>
      </c>
      <c r="BW24" s="57">
        <f>BU24/BV24</f>
        <v>1.1094357507087127</v>
      </c>
      <c r="BX24" s="55">
        <f>AM24/(W24*12)</f>
        <v>7.2868232736536217E-4</v>
      </c>
      <c r="BY24" s="55">
        <f>BX24*BW24</f>
        <v>8.0842622488876256E-4</v>
      </c>
      <c r="BZ24" s="55"/>
      <c r="CA24" s="55"/>
      <c r="CB24" s="55"/>
      <c r="CC24" s="55"/>
      <c r="CD24" s="55"/>
      <c r="CE24" s="55"/>
      <c r="CF24" s="55"/>
      <c r="CG24" s="55">
        <f>SUM((BO24:BS24),(BZ24:CF24))</f>
        <v>445.81744145990399</v>
      </c>
      <c r="CH24" s="448">
        <f>BN24-CG24</f>
        <v>6723.6473060435846</v>
      </c>
      <c r="CI24" s="57">
        <v>126.408</v>
      </c>
      <c r="CJ24" s="57">
        <v>113.93899999999999</v>
      </c>
      <c r="CK24" s="57">
        <f>CI24/CJ24</f>
        <v>1.1094357507087127</v>
      </c>
      <c r="CL24" s="55">
        <f>CH24/N24</f>
        <v>960.52104372051213</v>
      </c>
      <c r="CM24" s="55">
        <f>CL24*CK24</f>
        <v>1065.6363852115826</v>
      </c>
      <c r="CN24" s="55">
        <v>1068.2470211063426</v>
      </c>
      <c r="CO24" s="55">
        <v>1068.2470211063426</v>
      </c>
      <c r="CP24" s="55">
        <v>1068.2470211063426</v>
      </c>
      <c r="CQ24" s="55">
        <v>1068.2470211063426</v>
      </c>
      <c r="CR24" s="55">
        <v>1068.2470211063426</v>
      </c>
      <c r="CS24" s="55">
        <v>1068.2470211063426</v>
      </c>
      <c r="CT24" s="55">
        <v>329.64</v>
      </c>
      <c r="CU24" s="55">
        <f>SUM(CN24:CT24)</f>
        <v>6739.1221266380562</v>
      </c>
      <c r="CV24" s="448">
        <f>CH24-CU24</f>
        <v>-15.474820594471566</v>
      </c>
      <c r="CW24" s="968"/>
      <c r="CX24" s="968">
        <v>0</v>
      </c>
      <c r="CY24" s="968">
        <v>0</v>
      </c>
      <c r="CZ24" s="968">
        <v>0</v>
      </c>
      <c r="DA24" s="505"/>
      <c r="DB24" s="505">
        <f>SUM(CW24:DA24)</f>
        <v>0</v>
      </c>
      <c r="DC24" s="679">
        <f>CV24-DB24</f>
        <v>-15.474820594471566</v>
      </c>
      <c r="DD24" s="623"/>
      <c r="DE24" s="957">
        <v>118.77</v>
      </c>
      <c r="DF24" s="957">
        <f>DD24/DE24</f>
        <v>0</v>
      </c>
      <c r="DG24" s="511">
        <f>DC24/AY24</f>
        <v>-0.19178169078806842</v>
      </c>
      <c r="DH24" s="511"/>
      <c r="DI24" s="511"/>
      <c r="DJ24" s="511"/>
      <c r="DK24" s="511"/>
      <c r="DL24" s="511"/>
      <c r="DM24" s="511"/>
      <c r="DN24" s="511"/>
      <c r="DO24" s="511"/>
      <c r="DP24" s="511"/>
      <c r="DQ24" s="511"/>
    </row>
    <row r="25" spans="1:121" s="16" customFormat="1" ht="13.5" x14ac:dyDescent="0.25">
      <c r="A25" s="26" t="s">
        <v>65</v>
      </c>
      <c r="B25" s="26"/>
      <c r="C25" s="45"/>
      <c r="D25" s="58"/>
      <c r="E25" s="28"/>
      <c r="F25" s="11"/>
      <c r="G25" s="58"/>
      <c r="H25" s="145"/>
      <c r="I25" s="165"/>
      <c r="J25" s="48"/>
      <c r="K25" s="165"/>
      <c r="L25" s="48"/>
      <c r="M25" s="165"/>
      <c r="N25" s="48"/>
      <c r="O25" s="165"/>
      <c r="P25" s="48"/>
      <c r="Q25" s="48"/>
      <c r="R25" s="125"/>
      <c r="S25" s="11"/>
      <c r="T25" s="156"/>
      <c r="U25" s="72"/>
      <c r="V25" s="154"/>
      <c r="W25" s="154"/>
      <c r="X25" s="243"/>
      <c r="Y25" s="106"/>
      <c r="Z25" s="257"/>
      <c r="AA25" s="57"/>
      <c r="AB25" s="80"/>
      <c r="AC25" s="57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72"/>
      <c r="AT25" s="55"/>
      <c r="AU25" s="55"/>
      <c r="AV25" s="55">
        <f t="shared" si="3"/>
        <v>0</v>
      </c>
      <c r="AW25" s="55">
        <f t="shared" si="3"/>
        <v>0</v>
      </c>
      <c r="AX25" s="55">
        <f t="shared" si="3"/>
        <v>0</v>
      </c>
      <c r="AY25" s="55">
        <f t="shared" si="3"/>
        <v>0</v>
      </c>
      <c r="AZ25" s="55">
        <f t="shared" si="3"/>
        <v>0</v>
      </c>
      <c r="BA25" s="57"/>
      <c r="BB25" s="80"/>
      <c r="BC25" s="57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448"/>
      <c r="BO25" s="55"/>
      <c r="BP25" s="55"/>
      <c r="BQ25" s="55"/>
      <c r="BR25" s="55"/>
      <c r="BS25" s="55"/>
      <c r="BT25" s="55"/>
      <c r="BU25" s="57"/>
      <c r="BV25" s="80"/>
      <c r="BW25" s="57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448"/>
      <c r="CI25" s="57"/>
      <c r="CJ25" s="80"/>
      <c r="CK25" s="57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448"/>
      <c r="CW25" s="968"/>
      <c r="CX25" s="968"/>
      <c r="CY25" s="968"/>
      <c r="CZ25" s="968"/>
      <c r="DA25" s="505"/>
      <c r="DB25" s="505"/>
      <c r="DC25" s="679"/>
      <c r="DD25" s="656"/>
      <c r="DE25" s="957"/>
      <c r="DF25" s="957"/>
      <c r="DG25" s="511"/>
      <c r="DH25" s="511"/>
      <c r="DI25" s="511"/>
      <c r="DJ25" s="511"/>
      <c r="DK25" s="511"/>
      <c r="DL25" s="511"/>
      <c r="DM25" s="511"/>
      <c r="DN25" s="511"/>
      <c r="DO25" s="511"/>
      <c r="DP25" s="511"/>
      <c r="DQ25" s="511">
        <f>DJ25-DP25</f>
        <v>0</v>
      </c>
    </row>
    <row r="26" spans="1:121" s="16" customFormat="1" ht="13.5" x14ac:dyDescent="0.25">
      <c r="A26" s="120" t="s">
        <v>405</v>
      </c>
      <c r="B26" s="34"/>
      <c r="C26" s="45"/>
      <c r="D26" s="58"/>
      <c r="E26" s="28"/>
      <c r="F26" s="11"/>
      <c r="G26" s="58"/>
      <c r="H26" s="145"/>
      <c r="I26" s="165"/>
      <c r="J26" s="48"/>
      <c r="K26" s="165"/>
      <c r="L26" s="48"/>
      <c r="M26" s="165"/>
      <c r="N26" s="48"/>
      <c r="O26" s="165"/>
      <c r="P26" s="48"/>
      <c r="Q26" s="48"/>
      <c r="R26" s="125"/>
      <c r="S26" s="11"/>
      <c r="T26" s="156"/>
      <c r="U26" s="72"/>
      <c r="V26" s="154"/>
      <c r="W26" s="154"/>
      <c r="X26" s="243"/>
      <c r="Y26" s="106"/>
      <c r="Z26" s="258"/>
      <c r="AA26" s="57"/>
      <c r="AB26" s="80"/>
      <c r="AC26" s="57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72"/>
      <c r="AT26" s="55"/>
      <c r="AU26" s="55"/>
      <c r="AV26" s="55">
        <f t="shared" si="3"/>
        <v>0</v>
      </c>
      <c r="AW26" s="55">
        <f t="shared" si="3"/>
        <v>0</v>
      </c>
      <c r="AX26" s="55">
        <f t="shared" si="3"/>
        <v>0</v>
      </c>
      <c r="AY26" s="55">
        <f t="shared" si="3"/>
        <v>0</v>
      </c>
      <c r="AZ26" s="55">
        <f t="shared" si="3"/>
        <v>0</v>
      </c>
      <c r="BA26" s="57"/>
      <c r="BB26" s="80"/>
      <c r="BC26" s="57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448"/>
      <c r="BO26" s="55"/>
      <c r="BP26" s="55"/>
      <c r="BQ26" s="55"/>
      <c r="BR26" s="55"/>
      <c r="BS26" s="55"/>
      <c r="BT26" s="55"/>
      <c r="BU26" s="57"/>
      <c r="BV26" s="80"/>
      <c r="BW26" s="57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448"/>
      <c r="CI26" s="57"/>
      <c r="CJ26" s="80"/>
      <c r="CK26" s="57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448"/>
      <c r="CW26" s="968"/>
      <c r="CX26" s="968"/>
      <c r="CY26" s="968"/>
      <c r="CZ26" s="968"/>
      <c r="DA26" s="505"/>
      <c r="DB26" s="505"/>
      <c r="DC26" s="679"/>
      <c r="DD26" s="623"/>
      <c r="DE26" s="957"/>
      <c r="DF26" s="957"/>
      <c r="DG26" s="511"/>
      <c r="DH26" s="511"/>
      <c r="DI26" s="511"/>
      <c r="DJ26" s="511"/>
      <c r="DK26" s="511"/>
      <c r="DL26" s="511"/>
      <c r="DM26" s="511"/>
      <c r="DN26" s="511"/>
      <c r="DO26" s="511"/>
      <c r="DP26" s="511"/>
      <c r="DQ26" s="511"/>
    </row>
    <row r="27" spans="1:121" s="16" customFormat="1" x14ac:dyDescent="0.2">
      <c r="A27" s="119" t="s">
        <v>406</v>
      </c>
      <c r="B27" s="100" t="s">
        <v>407</v>
      </c>
      <c r="C27" s="45" t="s">
        <v>426</v>
      </c>
      <c r="D27" s="58">
        <v>3</v>
      </c>
      <c r="E27" s="30">
        <v>0.33329999999999999</v>
      </c>
      <c r="F27" s="46">
        <v>43281</v>
      </c>
      <c r="G27" s="58">
        <v>36</v>
      </c>
      <c r="H27" s="145">
        <f>100/G27</f>
        <v>2.7777777777777777</v>
      </c>
      <c r="I27" s="165">
        <f>H27*J27</f>
        <v>125</v>
      </c>
      <c r="J27" s="48">
        <f>(YEAR(F27)-YEAR(S27))*12+MONTH(F27)-MONTH(S27)</f>
        <v>45</v>
      </c>
      <c r="K27" s="165">
        <f>L27*H27</f>
        <v>-25</v>
      </c>
      <c r="L27" s="48">
        <f>G27-J27</f>
        <v>-9</v>
      </c>
      <c r="M27" s="165">
        <f>N27*H27</f>
        <v>19.444444444444443</v>
      </c>
      <c r="N27" s="48">
        <v>7</v>
      </c>
      <c r="O27" s="165">
        <f>K27-M27</f>
        <v>-44.444444444444443</v>
      </c>
      <c r="P27" s="48">
        <f>L27-N27</f>
        <v>-16</v>
      </c>
      <c r="Q27" s="462">
        <f>DATE(YEAR(S27),MONTH(S27)+G27,DAY(S27))</f>
        <v>42996</v>
      </c>
      <c r="R27" s="125" t="s">
        <v>603</v>
      </c>
      <c r="S27" s="20">
        <v>41900</v>
      </c>
      <c r="T27" s="154">
        <v>3639.99</v>
      </c>
      <c r="U27" s="72">
        <v>101.1</v>
      </c>
      <c r="V27" s="154">
        <v>1213.2007222499999</v>
      </c>
      <c r="W27" s="154">
        <v>2426.7892777500001</v>
      </c>
      <c r="X27" s="243">
        <v>101.1</v>
      </c>
      <c r="Y27" s="106">
        <f>X27*5</f>
        <v>505.5</v>
      </c>
      <c r="Z27" s="258">
        <f>W27-Y27</f>
        <v>1921.2892777500001</v>
      </c>
      <c r="AA27" s="57">
        <v>115.958</v>
      </c>
      <c r="AB27" s="57">
        <v>113.93899999999999</v>
      </c>
      <c r="AC27" s="57">
        <f>AA27/AB27</f>
        <v>1.0177200080744961</v>
      </c>
      <c r="AD27" s="55">
        <f>Z27*M27/100/K27*100/7</f>
        <v>-213.47658641666663</v>
      </c>
      <c r="AE27" s="55">
        <f>AD27*AC27</f>
        <v>-217.25939325168585</v>
      </c>
      <c r="AF27" s="55"/>
      <c r="AG27" s="55"/>
      <c r="AH27" s="55"/>
      <c r="AI27" s="55"/>
      <c r="AJ27" s="55"/>
      <c r="AK27" s="55">
        <f>AE27</f>
        <v>-217.25939325168585</v>
      </c>
      <c r="AL27" s="55">
        <v>72.419797750561941</v>
      </c>
      <c r="AM27" s="55">
        <v>72.419797750561941</v>
      </c>
      <c r="AN27" s="55">
        <v>72.419797750561941</v>
      </c>
      <c r="AO27" s="55">
        <v>72.419797750561941</v>
      </c>
      <c r="AP27" s="55">
        <v>72.419797750561941</v>
      </c>
      <c r="AQ27" s="55">
        <v>72.419797750561941</v>
      </c>
      <c r="AR27" s="55">
        <f>SUM(AF27:AQ27)</f>
        <v>217.25939325168579</v>
      </c>
      <c r="AS27" s="72">
        <f>Z27-AR27</f>
        <v>1704.0298844983142</v>
      </c>
      <c r="AT27" s="55"/>
      <c r="AU27" s="55"/>
      <c r="AV27" s="55">
        <f t="shared" si="3"/>
        <v>72.419797750561941</v>
      </c>
      <c r="AW27" s="55">
        <f t="shared" si="3"/>
        <v>72.419797750561941</v>
      </c>
      <c r="AX27" s="55">
        <f t="shared" si="3"/>
        <v>72.419797750561941</v>
      </c>
      <c r="AY27" s="55">
        <f t="shared" si="3"/>
        <v>72.419797750561941</v>
      </c>
      <c r="AZ27" s="55">
        <f t="shared" si="3"/>
        <v>72.419797750561941</v>
      </c>
      <c r="BA27" s="57">
        <v>118.901</v>
      </c>
      <c r="BB27" s="57">
        <v>113.93899999999999</v>
      </c>
      <c r="BC27" s="57">
        <f>BA27/BB27</f>
        <v>1.0435496186555964</v>
      </c>
      <c r="BD27" s="55">
        <f>T27/(D27*12)</f>
        <v>101.11083333333333</v>
      </c>
      <c r="BE27" s="55">
        <f>BD27*BC27</f>
        <v>105.51417156694956</v>
      </c>
      <c r="BF27" s="55">
        <f t="shared" ref="BF27:BL27" si="8">$BE27</f>
        <v>105.51417156694956</v>
      </c>
      <c r="BG27" s="55">
        <f t="shared" si="8"/>
        <v>105.51417156694956</v>
      </c>
      <c r="BH27" s="55">
        <f t="shared" si="8"/>
        <v>105.51417156694956</v>
      </c>
      <c r="BI27" s="55">
        <f t="shared" si="8"/>
        <v>105.51417156694956</v>
      </c>
      <c r="BJ27" s="55">
        <f t="shared" si="8"/>
        <v>105.51417156694956</v>
      </c>
      <c r="BK27" s="55">
        <f t="shared" si="8"/>
        <v>105.51417156694956</v>
      </c>
      <c r="BL27" s="55">
        <f t="shared" si="8"/>
        <v>105.51417156694956</v>
      </c>
      <c r="BM27" s="55">
        <f>SUM((AV27:AZ27),(BF27:BL27))</f>
        <v>1100.6981897214566</v>
      </c>
      <c r="BN27" s="448">
        <f>AS27-BM27</f>
        <v>603.3316947768576</v>
      </c>
      <c r="BO27" s="55">
        <f>$BE27</f>
        <v>105.51417156694956</v>
      </c>
      <c r="BP27" s="55">
        <f>$BE27</f>
        <v>105.51417156694956</v>
      </c>
      <c r="BQ27" s="55">
        <f>$BE27</f>
        <v>105.51417156694956</v>
      </c>
      <c r="BR27" s="55">
        <f>$BE27</f>
        <v>105.51417156694956</v>
      </c>
      <c r="BS27" s="55">
        <v>0</v>
      </c>
      <c r="BT27" s="55">
        <v>1</v>
      </c>
      <c r="BU27" s="57">
        <v>126.408</v>
      </c>
      <c r="BV27" s="57">
        <v>113.93899999999999</v>
      </c>
      <c r="BW27" s="57">
        <f>BU27/BV27</f>
        <v>1.1094357507087127</v>
      </c>
      <c r="BX27" s="55">
        <f>AM27/(W27*12)</f>
        <v>2.4868179537514282E-3</v>
      </c>
      <c r="BY27" s="55">
        <f>BX27*BW27</f>
        <v>2.7589647433961207E-3</v>
      </c>
      <c r="BZ27" s="55"/>
      <c r="CA27" s="55"/>
      <c r="CB27" s="55"/>
      <c r="CC27" s="55"/>
      <c r="CD27" s="55"/>
      <c r="CE27" s="55"/>
      <c r="CF27" s="55"/>
      <c r="CG27" s="55">
        <f>SUM((BO27:BS27),(BZ27:CF27))</f>
        <v>422.05668626779823</v>
      </c>
      <c r="CH27" s="448">
        <v>1</v>
      </c>
      <c r="CI27" s="57">
        <v>126.408</v>
      </c>
      <c r="CJ27" s="57">
        <v>113.93899999999999</v>
      </c>
      <c r="CK27" s="57">
        <f>CI27/CJ27</f>
        <v>1.1094357507087127</v>
      </c>
      <c r="CL27" s="55">
        <v>0</v>
      </c>
      <c r="CM27" s="55">
        <v>0</v>
      </c>
      <c r="CN27" s="55">
        <v>0</v>
      </c>
      <c r="CO27" s="55">
        <v>0</v>
      </c>
      <c r="CP27" s="55">
        <v>0</v>
      </c>
      <c r="CQ27" s="55">
        <v>0</v>
      </c>
      <c r="CR27" s="55">
        <v>0</v>
      </c>
      <c r="CS27" s="55">
        <v>0</v>
      </c>
      <c r="CT27" s="55">
        <v>0</v>
      </c>
      <c r="CU27" s="55">
        <f>SUM(CN27:CT27)</f>
        <v>0</v>
      </c>
      <c r="CV27" s="448">
        <f>CH27-CU27</f>
        <v>1</v>
      </c>
      <c r="CW27" s="968"/>
      <c r="CX27" s="968">
        <v>0</v>
      </c>
      <c r="CY27" s="968">
        <v>0</v>
      </c>
      <c r="CZ27" s="968">
        <v>0</v>
      </c>
      <c r="DA27" s="505"/>
      <c r="DB27" s="505"/>
      <c r="DC27" s="679">
        <f>CV27-DB27</f>
        <v>1</v>
      </c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</row>
    <row r="28" spans="1:121" s="16" customFormat="1" x14ac:dyDescent="0.2">
      <c r="A28" s="26" t="s">
        <v>71</v>
      </c>
      <c r="B28" s="26"/>
      <c r="C28" s="45"/>
      <c r="D28" s="58"/>
      <c r="E28" s="3"/>
      <c r="F28" s="46"/>
      <c r="G28" s="58"/>
      <c r="H28" s="145"/>
      <c r="I28" s="165"/>
      <c r="J28" s="48"/>
      <c r="K28" s="165"/>
      <c r="L28" s="48"/>
      <c r="M28" s="165"/>
      <c r="N28" s="48"/>
      <c r="O28" s="165"/>
      <c r="P28" s="48"/>
      <c r="Q28" s="48"/>
      <c r="R28" s="17"/>
      <c r="S28" s="21"/>
      <c r="T28" s="155"/>
      <c r="U28" s="72"/>
      <c r="V28" s="156"/>
      <c r="W28" s="156"/>
      <c r="X28" s="243"/>
      <c r="Y28" s="106"/>
      <c r="Z28" s="257"/>
      <c r="AA28" s="57"/>
      <c r="AB28" s="80"/>
      <c r="AC28" s="57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72"/>
      <c r="AT28" s="55"/>
      <c r="AU28" s="55"/>
      <c r="AV28" s="55">
        <f t="shared" si="3"/>
        <v>0</v>
      </c>
      <c r="AW28" s="55">
        <f t="shared" si="3"/>
        <v>0</v>
      </c>
      <c r="AX28" s="55">
        <f t="shared" si="3"/>
        <v>0</v>
      </c>
      <c r="AY28" s="55">
        <f t="shared" si="3"/>
        <v>0</v>
      </c>
      <c r="AZ28" s="55">
        <f t="shared" si="3"/>
        <v>0</v>
      </c>
      <c r="BA28" s="57"/>
      <c r="BB28" s="80"/>
      <c r="BC28" s="57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448"/>
      <c r="BO28" s="55"/>
      <c r="BP28" s="55"/>
      <c r="BQ28" s="55"/>
      <c r="BR28" s="55"/>
      <c r="BS28" s="55"/>
      <c r="BT28" s="55"/>
      <c r="BU28" s="57"/>
      <c r="BV28" s="80"/>
      <c r="BW28" s="57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448"/>
      <c r="CI28" s="57"/>
      <c r="CJ28" s="80"/>
      <c r="CK28" s="57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448"/>
      <c r="CW28" s="968"/>
      <c r="CX28" s="968"/>
      <c r="CY28" s="968"/>
      <c r="CZ28" s="968"/>
      <c r="DA28" s="505"/>
      <c r="DB28" s="505"/>
      <c r="DC28" s="679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</row>
    <row r="29" spans="1:121" s="16" customFormat="1" x14ac:dyDescent="0.2">
      <c r="A29" s="26" t="s">
        <v>76</v>
      </c>
      <c r="B29" s="28"/>
      <c r="C29" s="124"/>
      <c r="D29" s="111"/>
      <c r="E29" s="27"/>
      <c r="F29" s="21"/>
      <c r="G29" s="8"/>
      <c r="H29" s="145"/>
      <c r="I29" s="165"/>
      <c r="J29" s="48"/>
      <c r="K29" s="165"/>
      <c r="L29" s="48"/>
      <c r="M29" s="165"/>
      <c r="N29" s="48"/>
      <c r="O29" s="165"/>
      <c r="P29" s="48"/>
      <c r="Q29" s="48"/>
      <c r="R29" s="46"/>
      <c r="S29" s="21"/>
      <c r="T29" s="155"/>
      <c r="U29" s="72"/>
      <c r="V29" s="154"/>
      <c r="W29" s="154"/>
      <c r="X29" s="243"/>
      <c r="Y29" s="106"/>
      <c r="Z29" s="258"/>
      <c r="AA29" s="57"/>
      <c r="AB29" s="82"/>
      <c r="AC29" s="57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72"/>
      <c r="AT29" s="55"/>
      <c r="AU29" s="55"/>
      <c r="AV29" s="55">
        <f t="shared" si="3"/>
        <v>0</v>
      </c>
      <c r="AW29" s="55">
        <f t="shared" si="3"/>
        <v>0</v>
      </c>
      <c r="AX29" s="55">
        <f t="shared" si="3"/>
        <v>0</v>
      </c>
      <c r="AY29" s="55">
        <f t="shared" si="3"/>
        <v>0</v>
      </c>
      <c r="AZ29" s="55">
        <f t="shared" si="3"/>
        <v>0</v>
      </c>
      <c r="BA29" s="57"/>
      <c r="BB29" s="82"/>
      <c r="BC29" s="57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448"/>
      <c r="BO29" s="55"/>
      <c r="BP29" s="55"/>
      <c r="BQ29" s="55"/>
      <c r="BR29" s="55"/>
      <c r="BS29" s="55"/>
      <c r="BT29" s="55"/>
      <c r="BU29" s="57"/>
      <c r="BV29" s="82"/>
      <c r="BW29" s="57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448"/>
      <c r="CI29" s="57"/>
      <c r="CJ29" s="82"/>
      <c r="CK29" s="57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448"/>
      <c r="CW29" s="968"/>
      <c r="CX29" s="968"/>
      <c r="CY29" s="968"/>
      <c r="CZ29" s="968"/>
      <c r="DA29" s="505"/>
      <c r="DB29" s="505"/>
      <c r="DC29" s="679"/>
      <c r="DD29" s="956"/>
      <c r="DE29" s="957">
        <v>118.051</v>
      </c>
      <c r="DF29" s="957">
        <f>DD29/DE29</f>
        <v>0</v>
      </c>
      <c r="DG29" s="511" t="e">
        <f>DC29/AY29</f>
        <v>#DIV/0!</v>
      </c>
      <c r="DH29" s="511" t="e">
        <f>DG29*DF29</f>
        <v>#DIV/0!</v>
      </c>
      <c r="DI29" s="511"/>
      <c r="DJ29" s="511"/>
      <c r="DK29" s="511"/>
      <c r="DL29" s="511"/>
      <c r="DM29" s="511"/>
      <c r="DN29" s="511"/>
      <c r="DO29" s="511">
        <v>0</v>
      </c>
      <c r="DP29" s="511"/>
      <c r="DQ29" s="756"/>
    </row>
    <row r="30" spans="1:121" s="1161" customFormat="1" x14ac:dyDescent="0.2">
      <c r="A30" s="1140" t="s">
        <v>408</v>
      </c>
      <c r="B30" s="1137" t="s">
        <v>409</v>
      </c>
      <c r="C30" s="1137" t="s">
        <v>426</v>
      </c>
      <c r="D30" s="1138">
        <v>10</v>
      </c>
      <c r="E30" s="1139">
        <v>0.1</v>
      </c>
      <c r="F30" s="1140">
        <v>43281</v>
      </c>
      <c r="G30" s="1138">
        <v>120</v>
      </c>
      <c r="H30" s="1141">
        <f>100/G30</f>
        <v>0.83333333333333337</v>
      </c>
      <c r="I30" s="1142">
        <f>H30*J30</f>
        <v>37.5</v>
      </c>
      <c r="J30" s="1143">
        <f>(YEAR(F30)-YEAR(S30))*12+MONTH(F30)-MONTH(S30)</f>
        <v>45</v>
      </c>
      <c r="K30" s="1142">
        <f>L30*H30</f>
        <v>62.5</v>
      </c>
      <c r="L30" s="1143">
        <f>G30-J30</f>
        <v>75</v>
      </c>
      <c r="M30" s="1142">
        <f>N30*H30</f>
        <v>5.8333333333333339</v>
      </c>
      <c r="N30" s="1143">
        <v>7</v>
      </c>
      <c r="O30" s="1142">
        <f>K30-M30</f>
        <v>56.666666666666664</v>
      </c>
      <c r="P30" s="1143">
        <f>L30-N30</f>
        <v>68</v>
      </c>
      <c r="Q30" s="1151">
        <f>DATE(YEAR(S30),MONTH(S30)+G30,DAY(S30))</f>
        <v>45553</v>
      </c>
      <c r="R30" s="1143" t="s">
        <v>603</v>
      </c>
      <c r="S30" s="1140">
        <v>41900</v>
      </c>
      <c r="T30" s="1154">
        <v>779.99</v>
      </c>
      <c r="U30" s="1149">
        <v>6.5</v>
      </c>
      <c r="V30" s="1154">
        <v>77.999916666666664</v>
      </c>
      <c r="W30" s="1154">
        <v>701.99008333333336</v>
      </c>
      <c r="X30" s="1155">
        <v>6.5</v>
      </c>
      <c r="Y30" s="1145">
        <f>X30*5</f>
        <v>32.5</v>
      </c>
      <c r="Z30" s="1156">
        <f>W30-Y30</f>
        <v>669.49008333333336</v>
      </c>
      <c r="AA30" s="1146">
        <v>115.958</v>
      </c>
      <c r="AB30" s="1146">
        <v>113.93899999999999</v>
      </c>
      <c r="AC30" s="1146">
        <f>AA30/AB30</f>
        <v>1.0177200080744961</v>
      </c>
      <c r="AD30" s="1148">
        <f>Z30*M30/100/K30*100/7</f>
        <v>8.9265344444444459</v>
      </c>
      <c r="AE30" s="1148">
        <f>AD30*AC30</f>
        <v>9.0847127068772693</v>
      </c>
      <c r="AF30" s="1148"/>
      <c r="AG30" s="1148"/>
      <c r="AH30" s="1148"/>
      <c r="AI30" s="1148"/>
      <c r="AJ30" s="1148"/>
      <c r="AK30" s="1148">
        <f>AE30</f>
        <v>9.0847127068772693</v>
      </c>
      <c r="AL30" s="1148">
        <v>6.1383193965386962</v>
      </c>
      <c r="AM30" s="1148">
        <v>6.1383193965386962</v>
      </c>
      <c r="AN30" s="1148">
        <v>6.1383193965386962</v>
      </c>
      <c r="AO30" s="1148">
        <v>6.1383193965386962</v>
      </c>
      <c r="AP30" s="1148">
        <v>6.1383193965386962</v>
      </c>
      <c r="AQ30" s="1148">
        <v>6.1383193965386962</v>
      </c>
      <c r="AR30" s="1148">
        <f>SUM(AF30:AQ30)</f>
        <v>45.91462908610945</v>
      </c>
      <c r="AS30" s="1149">
        <f>Z30-AR30</f>
        <v>623.57545424722389</v>
      </c>
      <c r="AT30" s="1148"/>
      <c r="AU30" s="1148"/>
      <c r="AV30" s="1148">
        <f t="shared" si="3"/>
        <v>6.1383193965386962</v>
      </c>
      <c r="AW30" s="1148">
        <f t="shared" si="3"/>
        <v>6.1383193965386962</v>
      </c>
      <c r="AX30" s="1148">
        <f t="shared" si="3"/>
        <v>6.1383193965386962</v>
      </c>
      <c r="AY30" s="1148">
        <f t="shared" si="3"/>
        <v>6.1383193965386962</v>
      </c>
      <c r="AZ30" s="1148">
        <f t="shared" si="3"/>
        <v>6.1383193965386962</v>
      </c>
      <c r="BA30" s="1146">
        <v>118.901</v>
      </c>
      <c r="BB30" s="1146">
        <v>113.93899999999999</v>
      </c>
      <c r="BC30" s="1146">
        <f>BA30/BB30</f>
        <v>1.0435496186555964</v>
      </c>
      <c r="BD30" s="1148">
        <f>T30/(D30*12)</f>
        <v>6.4999166666666666</v>
      </c>
      <c r="BE30" s="1148">
        <f>BD30*BC30</f>
        <v>6.7829855587931549</v>
      </c>
      <c r="BF30" s="1148">
        <f t="shared" ref="BF30:BL30" si="9">$BE30</f>
        <v>6.7829855587931549</v>
      </c>
      <c r="BG30" s="1148">
        <f t="shared" si="9"/>
        <v>6.7829855587931549</v>
      </c>
      <c r="BH30" s="1148">
        <f t="shared" si="9"/>
        <v>6.7829855587931549</v>
      </c>
      <c r="BI30" s="1148">
        <f t="shared" si="9"/>
        <v>6.7829855587931549</v>
      </c>
      <c r="BJ30" s="1148">
        <f t="shared" si="9"/>
        <v>6.7829855587931549</v>
      </c>
      <c r="BK30" s="1148">
        <f t="shared" si="9"/>
        <v>6.7829855587931549</v>
      </c>
      <c r="BL30" s="1148">
        <f t="shared" si="9"/>
        <v>6.7829855587931549</v>
      </c>
      <c r="BM30" s="1148">
        <f>SUM((AV30:AZ30),(BF30:BL30))</f>
        <v>78.172495894245586</v>
      </c>
      <c r="BN30" s="1150">
        <f>AS30-BM30</f>
        <v>545.40295835297832</v>
      </c>
      <c r="BO30" s="1148">
        <f>$BE30</f>
        <v>6.7829855587931549</v>
      </c>
      <c r="BP30" s="1148">
        <f>$BE30</f>
        <v>6.7829855587931549</v>
      </c>
      <c r="BQ30" s="1148">
        <f>$BE30</f>
        <v>6.7829855587931549</v>
      </c>
      <c r="BR30" s="1148">
        <f>$BE30</f>
        <v>6.7829855587931549</v>
      </c>
      <c r="BS30" s="1148">
        <f>$BE30</f>
        <v>6.7829855587931549</v>
      </c>
      <c r="BT30" s="1148">
        <f>SUM(BO30:BS30)</f>
        <v>33.914927793965774</v>
      </c>
      <c r="BU30" s="1146">
        <v>126.408</v>
      </c>
      <c r="BV30" s="1146">
        <v>113.93899999999999</v>
      </c>
      <c r="BW30" s="1146">
        <f>BU30/BV30</f>
        <v>1.1094357507087127</v>
      </c>
      <c r="BX30" s="1148">
        <f>AM30/(W30*12)</f>
        <v>7.2868068726738839E-4</v>
      </c>
      <c r="BY30" s="1148">
        <f>BX30*BW30</f>
        <v>8.0842440530543578E-4</v>
      </c>
      <c r="BZ30" s="1148"/>
      <c r="CA30" s="1148"/>
      <c r="CB30" s="1148"/>
      <c r="CC30" s="1148"/>
      <c r="CD30" s="1148"/>
      <c r="CE30" s="1148"/>
      <c r="CF30" s="1148"/>
      <c r="CG30" s="1148">
        <f>SUM((BO30:BS30),(BZ30:CF30))</f>
        <v>33.914927793965774</v>
      </c>
      <c r="CH30" s="1150">
        <f>BN30-CG30</f>
        <v>511.48803055901254</v>
      </c>
      <c r="CI30" s="1146">
        <v>126.408</v>
      </c>
      <c r="CJ30" s="1146">
        <v>113.93899999999999</v>
      </c>
      <c r="CK30" s="1146">
        <f>CI30/CJ30</f>
        <v>1.1094357507087127</v>
      </c>
      <c r="CL30" s="1148">
        <f>CH30/N30</f>
        <v>73.069718651287502</v>
      </c>
      <c r="CM30" s="1148">
        <f>CL30*CK30</f>
        <v>81.066158165965575</v>
      </c>
      <c r="CN30" s="1148">
        <v>81.264757280486307</v>
      </c>
      <c r="CO30" s="1148">
        <v>81.264757280486307</v>
      </c>
      <c r="CP30" s="1148">
        <v>81.264757280486307</v>
      </c>
      <c r="CQ30" s="1148">
        <v>81.264757280486307</v>
      </c>
      <c r="CR30" s="1148">
        <v>81.264757280486307</v>
      </c>
      <c r="CS30" s="1148">
        <v>81.264757280486307</v>
      </c>
      <c r="CT30" s="1148">
        <v>24.15</v>
      </c>
      <c r="CU30" s="1148">
        <f>SUM(CN30:CT30)</f>
        <v>511.73854368291785</v>
      </c>
      <c r="CV30" s="1150">
        <f>CH30-CU30</f>
        <v>-0.25051312390530711</v>
      </c>
      <c r="CW30" s="1157"/>
      <c r="CX30" s="1157">
        <v>0</v>
      </c>
      <c r="CY30" s="1157">
        <v>0</v>
      </c>
      <c r="CZ30" s="1157">
        <v>0</v>
      </c>
      <c r="DA30" s="1158"/>
      <c r="DB30" s="1158"/>
      <c r="DC30" s="1159">
        <f>CV30-DB30</f>
        <v>-0.25051312390530711</v>
      </c>
      <c r="DD30" s="1152"/>
      <c r="DE30" s="1160"/>
      <c r="DF30" s="1160"/>
      <c r="DG30" s="1152"/>
      <c r="DH30" s="1152"/>
      <c r="DI30" s="1152"/>
      <c r="DJ30" s="1152"/>
      <c r="DK30" s="1152"/>
      <c r="DL30" s="1152"/>
      <c r="DM30" s="1152"/>
      <c r="DN30" s="1152"/>
      <c r="DO30" s="1152"/>
      <c r="DP30" s="1152"/>
      <c r="DQ30" s="1152"/>
    </row>
    <row r="31" spans="1:121" s="16" customFormat="1" x14ac:dyDescent="0.2">
      <c r="A31" s="26" t="s">
        <v>65</v>
      </c>
      <c r="B31" s="26"/>
      <c r="C31" s="45"/>
      <c r="D31" s="58"/>
      <c r="E31" s="30"/>
      <c r="F31" s="20"/>
      <c r="G31" s="58"/>
      <c r="H31" s="145"/>
      <c r="I31" s="165"/>
      <c r="J31" s="48"/>
      <c r="K31" s="165"/>
      <c r="L31" s="48"/>
      <c r="M31" s="165"/>
      <c r="N31" s="48"/>
      <c r="O31" s="165"/>
      <c r="P31" s="48"/>
      <c r="Q31" s="48"/>
      <c r="R31" s="125"/>
      <c r="S31" s="20"/>
      <c r="T31" s="154"/>
      <c r="U31" s="72"/>
      <c r="V31" s="154"/>
      <c r="W31" s="154"/>
      <c r="X31" s="243"/>
      <c r="Y31" s="106"/>
      <c r="Z31" s="258"/>
      <c r="AA31" s="57"/>
      <c r="AB31" s="80"/>
      <c r="AC31" s="57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72"/>
      <c r="AT31" s="55"/>
      <c r="AU31" s="55"/>
      <c r="AV31" s="55">
        <f t="shared" si="3"/>
        <v>0</v>
      </c>
      <c r="AW31" s="55">
        <f t="shared" si="3"/>
        <v>0</v>
      </c>
      <c r="AX31" s="55">
        <f t="shared" si="3"/>
        <v>0</v>
      </c>
      <c r="AY31" s="55">
        <f t="shared" si="3"/>
        <v>0</v>
      </c>
      <c r="AZ31" s="55">
        <f t="shared" si="3"/>
        <v>0</v>
      </c>
      <c r="BA31" s="57"/>
      <c r="BB31" s="80"/>
      <c r="BC31" s="57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448"/>
      <c r="BO31" s="55"/>
      <c r="BP31" s="55"/>
      <c r="BQ31" s="55"/>
      <c r="BR31" s="55"/>
      <c r="BS31" s="55"/>
      <c r="BT31" s="55"/>
      <c r="BU31" s="57"/>
      <c r="BV31" s="80"/>
      <c r="BW31" s="57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448"/>
      <c r="CI31" s="57"/>
      <c r="CJ31" s="80"/>
      <c r="CK31" s="57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448"/>
      <c r="CW31" s="968"/>
      <c r="CX31" s="968"/>
      <c r="CY31" s="968"/>
      <c r="CZ31" s="968"/>
      <c r="DA31" s="505"/>
      <c r="DB31" s="505">
        <f>SUM(CW31:DA31)</f>
        <v>0</v>
      </c>
      <c r="DC31" s="679"/>
      <c r="DD31" s="623"/>
      <c r="DE31" s="957">
        <v>118.77</v>
      </c>
      <c r="DF31" s="957">
        <f>DD31/DE31</f>
        <v>0</v>
      </c>
      <c r="DG31" s="511" t="e">
        <f>DC31/AY31</f>
        <v>#DIV/0!</v>
      </c>
      <c r="DH31" s="511"/>
      <c r="DI31" s="511"/>
      <c r="DJ31" s="511"/>
      <c r="DK31" s="511"/>
      <c r="DL31" s="511"/>
      <c r="DM31" s="511"/>
      <c r="DN31" s="511"/>
      <c r="DO31" s="511"/>
      <c r="DP31" s="511"/>
      <c r="DQ31" s="511"/>
    </row>
    <row r="32" spans="1:121" s="16" customFormat="1" x14ac:dyDescent="0.2">
      <c r="A32" s="26" t="s">
        <v>83</v>
      </c>
      <c r="B32" s="9"/>
      <c r="C32" s="124"/>
      <c r="D32" s="111"/>
      <c r="E32" s="30"/>
      <c r="F32" s="20"/>
      <c r="G32" s="8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20"/>
      <c r="S32" s="20"/>
      <c r="T32" s="154"/>
      <c r="U32" s="72"/>
      <c r="V32" s="14"/>
      <c r="W32" s="14"/>
      <c r="X32" s="243"/>
      <c r="Y32" s="108"/>
      <c r="Z32" s="257"/>
      <c r="AA32" s="66"/>
      <c r="AB32" s="82"/>
      <c r="AC32" s="66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73"/>
      <c r="AT32" s="55"/>
      <c r="AU32" s="55"/>
      <c r="AV32" s="55">
        <f t="shared" si="3"/>
        <v>0</v>
      </c>
      <c r="AW32" s="55">
        <f t="shared" si="3"/>
        <v>0</v>
      </c>
      <c r="AX32" s="55">
        <f t="shared" si="3"/>
        <v>0</v>
      </c>
      <c r="AY32" s="55">
        <f t="shared" si="3"/>
        <v>0</v>
      </c>
      <c r="AZ32" s="55">
        <f t="shared" si="3"/>
        <v>0</v>
      </c>
      <c r="BA32" s="66"/>
      <c r="BB32" s="82"/>
      <c r="BC32" s="57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448"/>
      <c r="BO32" s="55"/>
      <c r="BP32" s="55"/>
      <c r="BQ32" s="55"/>
      <c r="BR32" s="55"/>
      <c r="BS32" s="55"/>
      <c r="BT32" s="55"/>
      <c r="BU32" s="66"/>
      <c r="BV32" s="82"/>
      <c r="BW32" s="57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448"/>
      <c r="CI32" s="66"/>
      <c r="CJ32" s="82"/>
      <c r="CK32" s="57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448"/>
      <c r="CW32" s="968"/>
      <c r="CX32" s="968"/>
      <c r="CY32" s="968"/>
      <c r="CZ32" s="968"/>
      <c r="DA32" s="505"/>
      <c r="DB32" s="505"/>
      <c r="DC32" s="679"/>
      <c r="DD32" s="656"/>
      <c r="DE32" s="957"/>
      <c r="DF32" s="957"/>
      <c r="DG32" s="511"/>
      <c r="DH32" s="511"/>
      <c r="DI32" s="511">
        <v>0</v>
      </c>
      <c r="DJ32" s="511">
        <v>0</v>
      </c>
      <c r="DK32" s="511">
        <v>0</v>
      </c>
      <c r="DL32" s="511">
        <v>0</v>
      </c>
      <c r="DM32" s="511">
        <v>0</v>
      </c>
      <c r="DN32" s="511">
        <v>0</v>
      </c>
      <c r="DO32" s="511">
        <v>0</v>
      </c>
      <c r="DP32" s="511">
        <f>SUM(DI32:DO32)</f>
        <v>0</v>
      </c>
      <c r="DQ32" s="511">
        <f>DJ32-DP32</f>
        <v>0</v>
      </c>
    </row>
    <row r="33" spans="1:121" s="1161" customFormat="1" x14ac:dyDescent="0.2">
      <c r="A33" s="1140" t="s">
        <v>410</v>
      </c>
      <c r="B33" s="1137" t="s">
        <v>411</v>
      </c>
      <c r="C33" s="1137" t="s">
        <v>426</v>
      </c>
      <c r="D33" s="1138">
        <v>10</v>
      </c>
      <c r="E33" s="1153">
        <v>0.1</v>
      </c>
      <c r="F33" s="1140">
        <v>43281</v>
      </c>
      <c r="G33" s="1138">
        <v>120</v>
      </c>
      <c r="H33" s="1141">
        <f>100/G33</f>
        <v>0.83333333333333337</v>
      </c>
      <c r="I33" s="1142">
        <f>H33*J33</f>
        <v>37.5</v>
      </c>
      <c r="J33" s="1143">
        <f>(YEAR(F33)-YEAR(S33))*12+MONTH(F33)-MONTH(S33)</f>
        <v>45</v>
      </c>
      <c r="K33" s="1142">
        <f>L33*H33</f>
        <v>62.5</v>
      </c>
      <c r="L33" s="1143">
        <f>G33-J33</f>
        <v>75</v>
      </c>
      <c r="M33" s="1142">
        <f>N33*H33</f>
        <v>5.8333333333333339</v>
      </c>
      <c r="N33" s="1143">
        <v>7</v>
      </c>
      <c r="O33" s="1142">
        <f t="shared" ref="O33:P35" si="10">K33-M33</f>
        <v>56.666666666666664</v>
      </c>
      <c r="P33" s="1143">
        <f t="shared" si="10"/>
        <v>68</v>
      </c>
      <c r="Q33" s="1151">
        <f>DATE(YEAR(S33),MONTH(S33)+G33,DAY(S33))</f>
        <v>45553</v>
      </c>
      <c r="R33" s="1143" t="s">
        <v>603</v>
      </c>
      <c r="S33" s="1140">
        <v>41900</v>
      </c>
      <c r="T33" s="1154">
        <v>2974.32</v>
      </c>
      <c r="U33" s="1149">
        <v>24.79</v>
      </c>
      <c r="V33" s="1154">
        <v>297.476</v>
      </c>
      <c r="W33" s="1154">
        <v>2676.8440000000001</v>
      </c>
      <c r="X33" s="1155">
        <v>24.79</v>
      </c>
      <c r="Y33" s="1145">
        <f>X33*5</f>
        <v>123.94999999999999</v>
      </c>
      <c r="Z33" s="1156">
        <f>W33-Y33</f>
        <v>2552.8940000000002</v>
      </c>
      <c r="AA33" s="1146">
        <v>115.958</v>
      </c>
      <c r="AB33" s="1146">
        <v>113.93899999999999</v>
      </c>
      <c r="AC33" s="1146">
        <f>AA33/AB33</f>
        <v>1.0177200080744961</v>
      </c>
      <c r="AD33" s="1148">
        <f>Z33*M33/100/K33*100/7</f>
        <v>34.038586666666667</v>
      </c>
      <c r="AE33" s="1148">
        <f>AD33*AC33</f>
        <v>34.64175069724444</v>
      </c>
      <c r="AF33" s="1148"/>
      <c r="AG33" s="1148"/>
      <c r="AH33" s="1148"/>
      <c r="AI33" s="1148"/>
      <c r="AJ33" s="1148"/>
      <c r="AK33" s="1148">
        <f>AE33</f>
        <v>34.64175069724444</v>
      </c>
      <c r="AL33" s="1148">
        <v>23.406588308948947</v>
      </c>
      <c r="AM33" s="1148">
        <v>23.406588308948947</v>
      </c>
      <c r="AN33" s="1148">
        <v>23.406588308948947</v>
      </c>
      <c r="AO33" s="1148">
        <v>23.406588308948947</v>
      </c>
      <c r="AP33" s="1148">
        <v>23.406588308948947</v>
      </c>
      <c r="AQ33" s="1148">
        <v>23.406588308948947</v>
      </c>
      <c r="AR33" s="1148">
        <f>SUM(AF33:AQ33)</f>
        <v>175.08128055093815</v>
      </c>
      <c r="AS33" s="1149">
        <f>Z33-AR33</f>
        <v>2377.8127194490621</v>
      </c>
      <c r="AT33" s="1148"/>
      <c r="AU33" s="1148"/>
      <c r="AV33" s="1148">
        <f t="shared" si="3"/>
        <v>23.406588308948947</v>
      </c>
      <c r="AW33" s="1148">
        <f t="shared" si="3"/>
        <v>23.406588308948947</v>
      </c>
      <c r="AX33" s="1148">
        <f t="shared" si="3"/>
        <v>23.406588308948947</v>
      </c>
      <c r="AY33" s="1148">
        <f t="shared" si="3"/>
        <v>23.406588308948947</v>
      </c>
      <c r="AZ33" s="1148">
        <f t="shared" si="3"/>
        <v>23.406588308948947</v>
      </c>
      <c r="BA33" s="1146">
        <v>118.901</v>
      </c>
      <c r="BB33" s="1146">
        <v>113.93899999999999</v>
      </c>
      <c r="BC33" s="1146">
        <f>BA33/BB33</f>
        <v>1.0435496186555964</v>
      </c>
      <c r="BD33" s="1148">
        <f>T33/(D33*12)</f>
        <v>24.786000000000001</v>
      </c>
      <c r="BE33" s="1148">
        <f>BD33*BC33</f>
        <v>25.865420847997612</v>
      </c>
      <c r="BF33" s="1148">
        <f t="shared" ref="BF33:BL35" si="11">$BE33</f>
        <v>25.865420847997612</v>
      </c>
      <c r="BG33" s="1148">
        <f t="shared" si="11"/>
        <v>25.865420847997612</v>
      </c>
      <c r="BH33" s="1148">
        <f t="shared" si="11"/>
        <v>25.865420847997612</v>
      </c>
      <c r="BI33" s="1148">
        <f t="shared" si="11"/>
        <v>25.865420847997612</v>
      </c>
      <c r="BJ33" s="1148">
        <f t="shared" si="11"/>
        <v>25.865420847997612</v>
      </c>
      <c r="BK33" s="1148">
        <f t="shared" si="11"/>
        <v>25.865420847997612</v>
      </c>
      <c r="BL33" s="1148">
        <f t="shared" si="11"/>
        <v>25.865420847997612</v>
      </c>
      <c r="BM33" s="1148">
        <f>SUM((AV33:AZ33),(BF33:BL33))</f>
        <v>298.09088748072793</v>
      </c>
      <c r="BN33" s="1150">
        <f>AS33-BM33</f>
        <v>2079.7218319683343</v>
      </c>
      <c r="BO33" s="1148">
        <f t="shared" ref="BO33:BS35" si="12">$BE33</f>
        <v>25.865420847997612</v>
      </c>
      <c r="BP33" s="1148">
        <f t="shared" si="12"/>
        <v>25.865420847997612</v>
      </c>
      <c r="BQ33" s="1148">
        <f t="shared" si="12"/>
        <v>25.865420847997612</v>
      </c>
      <c r="BR33" s="1148">
        <f t="shared" si="12"/>
        <v>25.865420847997612</v>
      </c>
      <c r="BS33" s="1148">
        <f t="shared" si="12"/>
        <v>25.865420847997612</v>
      </c>
      <c r="BT33" s="1148">
        <f>SUM(BO33:BS33)</f>
        <v>129.32710423998805</v>
      </c>
      <c r="BU33" s="1146">
        <v>126.408</v>
      </c>
      <c r="BV33" s="1146">
        <v>113.93899999999999</v>
      </c>
      <c r="BW33" s="1146">
        <f>BU33/BV33</f>
        <v>1.1094357507087127</v>
      </c>
      <c r="BX33" s="1148">
        <f>AM33/(W33*12)</f>
        <v>7.2867489691059528E-4</v>
      </c>
      <c r="BY33" s="1148">
        <f>BX33*BW33</f>
        <v>8.0841798127660009E-4</v>
      </c>
      <c r="BZ33" s="1148"/>
      <c r="CA33" s="1148"/>
      <c r="CB33" s="1148"/>
      <c r="CC33" s="1148"/>
      <c r="CD33" s="1148"/>
      <c r="CE33" s="1148"/>
      <c r="CF33" s="1148"/>
      <c r="CG33" s="1148">
        <f>SUM((BO33:BS33),(BZ33:CF33))</f>
        <v>129.32710423998805</v>
      </c>
      <c r="CH33" s="1150">
        <f>BN33-CG33</f>
        <v>1950.3947277283462</v>
      </c>
      <c r="CI33" s="1146">
        <v>126.408</v>
      </c>
      <c r="CJ33" s="1146">
        <v>113.93899999999999</v>
      </c>
      <c r="CK33" s="1146">
        <f>CI33/CJ33</f>
        <v>1.1094357507087127</v>
      </c>
      <c r="CL33" s="1148">
        <f>CH33/N33</f>
        <v>278.6278182469066</v>
      </c>
      <c r="CM33" s="1148">
        <f>CL33*CK33</f>
        <v>309.11966270508759</v>
      </c>
      <c r="CN33" s="1148">
        <v>309.87695919160308</v>
      </c>
      <c r="CO33" s="1148">
        <v>309.87695919160308</v>
      </c>
      <c r="CP33" s="1148">
        <v>309.87695919160308</v>
      </c>
      <c r="CQ33" s="1148">
        <v>309.87695919160308</v>
      </c>
      <c r="CR33" s="1148">
        <v>309.87695919160308</v>
      </c>
      <c r="CS33" s="1148">
        <v>309.87695919160308</v>
      </c>
      <c r="CT33" s="1148">
        <v>94.91</v>
      </c>
      <c r="CU33" s="1148">
        <f>SUM(CN33:CT33)</f>
        <v>1954.1717551496183</v>
      </c>
      <c r="CV33" s="1150">
        <f>CH33-CU33</f>
        <v>-3.7770274212721233</v>
      </c>
      <c r="CW33" s="1157"/>
      <c r="CX33" s="1157">
        <v>0</v>
      </c>
      <c r="CY33" s="1157">
        <v>0</v>
      </c>
      <c r="CZ33" s="1157">
        <v>0</v>
      </c>
      <c r="DA33" s="1158"/>
      <c r="DB33" s="1158">
        <f>SUM(CW33:DA33)</f>
        <v>0</v>
      </c>
      <c r="DC33" s="1159">
        <f>CV33-DB33</f>
        <v>-3.7770274212721233</v>
      </c>
      <c r="DD33" s="1152"/>
      <c r="DE33" s="1160">
        <v>118.901</v>
      </c>
      <c r="DF33" s="1160">
        <f>DD33/DE33</f>
        <v>0</v>
      </c>
      <c r="DG33" s="1152">
        <f>DC33/AY33</f>
        <v>-0.16136599539489774</v>
      </c>
      <c r="DH33" s="1152"/>
      <c r="DI33" s="1152"/>
      <c r="DJ33" s="1152"/>
      <c r="DK33" s="1152"/>
      <c r="DL33" s="1152"/>
      <c r="DM33" s="1152"/>
      <c r="DN33" s="1152"/>
      <c r="DO33" s="1152"/>
      <c r="DP33" s="1152"/>
      <c r="DQ33" s="1152"/>
    </row>
    <row r="34" spans="1:121" s="1161" customFormat="1" x14ac:dyDescent="0.2">
      <c r="A34" s="1140" t="s">
        <v>410</v>
      </c>
      <c r="B34" s="1137" t="s">
        <v>412</v>
      </c>
      <c r="C34" s="1137" t="s">
        <v>426</v>
      </c>
      <c r="D34" s="1138">
        <v>10</v>
      </c>
      <c r="E34" s="1153">
        <v>0.1</v>
      </c>
      <c r="F34" s="1140">
        <v>43281</v>
      </c>
      <c r="G34" s="1138">
        <v>120</v>
      </c>
      <c r="H34" s="1141">
        <f>100/G34</f>
        <v>0.83333333333333337</v>
      </c>
      <c r="I34" s="1142">
        <f>H34*J34</f>
        <v>37.5</v>
      </c>
      <c r="J34" s="1143">
        <f>(YEAR(F34)-YEAR(S34))*12+MONTH(F34)-MONTH(S34)</f>
        <v>45</v>
      </c>
      <c r="K34" s="1142">
        <f>L34*H34</f>
        <v>62.5</v>
      </c>
      <c r="L34" s="1143">
        <f>G34-J34</f>
        <v>75</v>
      </c>
      <c r="M34" s="1142">
        <f>N34*H34</f>
        <v>5.8333333333333339</v>
      </c>
      <c r="N34" s="1143">
        <v>7</v>
      </c>
      <c r="O34" s="1142">
        <f t="shared" si="10"/>
        <v>56.666666666666664</v>
      </c>
      <c r="P34" s="1143">
        <f t="shared" si="10"/>
        <v>68</v>
      </c>
      <c r="Q34" s="1151">
        <f>DATE(YEAR(S34),MONTH(S34)+G34,DAY(S34))</f>
        <v>45553</v>
      </c>
      <c r="R34" s="1143" t="s">
        <v>603</v>
      </c>
      <c r="S34" s="1140">
        <v>41900</v>
      </c>
      <c r="T34" s="1154">
        <v>10701</v>
      </c>
      <c r="U34" s="1149">
        <v>89.18</v>
      </c>
      <c r="V34" s="1154">
        <v>1070.1550000000004</v>
      </c>
      <c r="W34" s="1154">
        <v>9630.8449999999993</v>
      </c>
      <c r="X34" s="1155">
        <v>89.18</v>
      </c>
      <c r="Y34" s="1145">
        <f>X34*5</f>
        <v>445.90000000000003</v>
      </c>
      <c r="Z34" s="1156">
        <f>W34-Y34</f>
        <v>9184.9449999999997</v>
      </c>
      <c r="AA34" s="1146">
        <v>115.958</v>
      </c>
      <c r="AB34" s="1146">
        <v>113.93899999999999</v>
      </c>
      <c r="AC34" s="1146">
        <f>AA34/AB34</f>
        <v>1.0177200080744961</v>
      </c>
      <c r="AD34" s="1148">
        <f>Z34*M34/100/K34*100/7</f>
        <v>122.46593333333337</v>
      </c>
      <c r="AE34" s="1148">
        <f>AD34*AC34</f>
        <v>124.63603066085074</v>
      </c>
      <c r="AF34" s="1148"/>
      <c r="AG34" s="1148"/>
      <c r="AH34" s="1148"/>
      <c r="AI34" s="1148"/>
      <c r="AJ34" s="1148"/>
      <c r="AK34" s="1148">
        <f>AE34</f>
        <v>124.63603066085074</v>
      </c>
      <c r="AL34" s="1148">
        <v>84.213534230304546</v>
      </c>
      <c r="AM34" s="1148">
        <v>84.213534230304546</v>
      </c>
      <c r="AN34" s="1148">
        <v>84.213534230304546</v>
      </c>
      <c r="AO34" s="1148">
        <v>84.213534230304546</v>
      </c>
      <c r="AP34" s="1148">
        <v>84.213534230304546</v>
      </c>
      <c r="AQ34" s="1148">
        <v>84.213534230304546</v>
      </c>
      <c r="AR34" s="1148">
        <f>SUM(AF34:AQ34)</f>
        <v>629.91723604267804</v>
      </c>
      <c r="AS34" s="1149">
        <f>Z34-AR34</f>
        <v>8555.0277639573214</v>
      </c>
      <c r="AT34" s="1148"/>
      <c r="AU34" s="1148"/>
      <c r="AV34" s="1148">
        <f t="shared" si="3"/>
        <v>84.213534230304546</v>
      </c>
      <c r="AW34" s="1148">
        <f t="shared" si="3"/>
        <v>84.213534230304546</v>
      </c>
      <c r="AX34" s="1148">
        <f t="shared" si="3"/>
        <v>84.213534230304546</v>
      </c>
      <c r="AY34" s="1148">
        <f t="shared" si="3"/>
        <v>84.213534230304546</v>
      </c>
      <c r="AZ34" s="1148">
        <f t="shared" si="3"/>
        <v>84.213534230304546</v>
      </c>
      <c r="BA34" s="1146">
        <v>118.901</v>
      </c>
      <c r="BB34" s="1146">
        <v>113.93899999999999</v>
      </c>
      <c r="BC34" s="1146">
        <f>BA34/BB34</f>
        <v>1.0435496186555964</v>
      </c>
      <c r="BD34" s="1148">
        <f>T34/(D34*12)</f>
        <v>89.174999999999997</v>
      </c>
      <c r="BE34" s="1148">
        <f>BD34*BC34</f>
        <v>93.058537243612804</v>
      </c>
      <c r="BF34" s="1148">
        <f t="shared" si="11"/>
        <v>93.058537243612804</v>
      </c>
      <c r="BG34" s="1148">
        <f t="shared" si="11"/>
        <v>93.058537243612804</v>
      </c>
      <c r="BH34" s="1148">
        <f t="shared" si="11"/>
        <v>93.058537243612804</v>
      </c>
      <c r="BI34" s="1148">
        <f t="shared" si="11"/>
        <v>93.058537243612804</v>
      </c>
      <c r="BJ34" s="1148">
        <f t="shared" si="11"/>
        <v>93.058537243612804</v>
      </c>
      <c r="BK34" s="1148">
        <f t="shared" si="11"/>
        <v>93.058537243612804</v>
      </c>
      <c r="BL34" s="1148">
        <f t="shared" si="11"/>
        <v>93.058537243612804</v>
      </c>
      <c r="BM34" s="1148">
        <f>SUM((AV34:AZ34),(BF34:BL34))</f>
        <v>1072.4774318568125</v>
      </c>
      <c r="BN34" s="1150">
        <f>AS34-BM34</f>
        <v>7482.550332100509</v>
      </c>
      <c r="BO34" s="1148">
        <f t="shared" si="12"/>
        <v>93.058537243612804</v>
      </c>
      <c r="BP34" s="1148">
        <f t="shared" si="12"/>
        <v>93.058537243612804</v>
      </c>
      <c r="BQ34" s="1148">
        <f t="shared" si="12"/>
        <v>93.058537243612804</v>
      </c>
      <c r="BR34" s="1148">
        <f t="shared" si="12"/>
        <v>93.058537243612804</v>
      </c>
      <c r="BS34" s="1148">
        <f t="shared" si="12"/>
        <v>93.058537243612804</v>
      </c>
      <c r="BT34" s="1148">
        <f>SUM(BO34:BS34)</f>
        <v>465.29268621806403</v>
      </c>
      <c r="BU34" s="1146">
        <v>126.408</v>
      </c>
      <c r="BV34" s="1146">
        <v>113.93899999999999</v>
      </c>
      <c r="BW34" s="1146">
        <f>BU34/BV34</f>
        <v>1.1094357507087127</v>
      </c>
      <c r="BX34" s="1148">
        <f>AM34/(W34*12)</f>
        <v>7.2867900160287558E-4</v>
      </c>
      <c r="BY34" s="1148">
        <f>BX34*BW34</f>
        <v>8.0842253516896149E-4</v>
      </c>
      <c r="BZ34" s="1148"/>
      <c r="CA34" s="1148"/>
      <c r="CB34" s="1148"/>
      <c r="CC34" s="1148"/>
      <c r="CD34" s="1148"/>
      <c r="CE34" s="1148"/>
      <c r="CF34" s="1148"/>
      <c r="CG34" s="1148">
        <f>SUM((BO34:BS34),(BZ34:CF34))</f>
        <v>465.29268621806403</v>
      </c>
      <c r="CH34" s="1150">
        <f>BN34-CG34</f>
        <v>7017.2576458824451</v>
      </c>
      <c r="CI34" s="1146">
        <v>126.408</v>
      </c>
      <c r="CJ34" s="1146">
        <v>113.93899999999999</v>
      </c>
      <c r="CK34" s="1146">
        <f>CI34/CJ34</f>
        <v>1.1094357507087127</v>
      </c>
      <c r="CL34" s="1148">
        <f>CH34/N34</f>
        <v>1002.4653779832064</v>
      </c>
      <c r="CM34" s="1148">
        <f>CL34*CK34</f>
        <v>1112.170929182292</v>
      </c>
      <c r="CN34" s="1148">
        <v>1114.8955728914857</v>
      </c>
      <c r="CO34" s="1148">
        <v>1114.8955728914857</v>
      </c>
      <c r="CP34" s="1148">
        <v>1114.8955728914857</v>
      </c>
      <c r="CQ34" s="1148">
        <v>1114.8955728914857</v>
      </c>
      <c r="CR34" s="1148">
        <v>1114.8955728914857</v>
      </c>
      <c r="CS34" s="1148">
        <v>1114.8955728914857</v>
      </c>
      <c r="CT34" s="1148">
        <v>344.08</v>
      </c>
      <c r="CU34" s="1148">
        <f>SUM(CN34:CT34)</f>
        <v>7033.453437348915</v>
      </c>
      <c r="CV34" s="1150">
        <f>CH34-CU34</f>
        <v>-16.195791466469927</v>
      </c>
      <c r="CW34" s="1157"/>
      <c r="CX34" s="1157">
        <v>0</v>
      </c>
      <c r="CY34" s="1157">
        <v>0</v>
      </c>
      <c r="CZ34" s="1157">
        <v>0</v>
      </c>
      <c r="DA34" s="1158"/>
      <c r="DB34" s="1158"/>
      <c r="DC34" s="1159">
        <f>CV34-DB34</f>
        <v>-16.195791466469927</v>
      </c>
      <c r="DD34" s="1148"/>
      <c r="DE34" s="1148"/>
      <c r="DF34" s="1148"/>
      <c r="DG34" s="1148"/>
      <c r="DH34" s="1148"/>
      <c r="DI34" s="1148"/>
      <c r="DJ34" s="1148"/>
      <c r="DK34" s="1148"/>
      <c r="DL34" s="1148"/>
      <c r="DM34" s="1148"/>
      <c r="DN34" s="1148"/>
      <c r="DO34" s="1148"/>
      <c r="DP34" s="1148"/>
      <c r="DQ34" s="1148"/>
    </row>
    <row r="35" spans="1:121" s="16" customFormat="1" x14ac:dyDescent="0.2">
      <c r="A35" s="119" t="s">
        <v>410</v>
      </c>
      <c r="B35" s="100" t="s">
        <v>413</v>
      </c>
      <c r="C35" s="45" t="s">
        <v>426</v>
      </c>
      <c r="D35" s="58">
        <v>10</v>
      </c>
      <c r="E35" s="30">
        <v>0.1</v>
      </c>
      <c r="F35" s="46">
        <v>43281</v>
      </c>
      <c r="G35" s="58">
        <v>120</v>
      </c>
      <c r="H35" s="145">
        <f>100/G35</f>
        <v>0.83333333333333337</v>
      </c>
      <c r="I35" s="165">
        <f>H35*J35</f>
        <v>37.5</v>
      </c>
      <c r="J35" s="48">
        <f>(YEAR(F35)-YEAR(S35))*12+MONTH(F35)-MONTH(S35)</f>
        <v>45</v>
      </c>
      <c r="K35" s="165">
        <f>L35*H35</f>
        <v>62.5</v>
      </c>
      <c r="L35" s="48">
        <f>G35-J35</f>
        <v>75</v>
      </c>
      <c r="M35" s="165">
        <f>N35*H35</f>
        <v>5.8333333333333339</v>
      </c>
      <c r="N35" s="48">
        <v>7</v>
      </c>
      <c r="O35" s="165">
        <f t="shared" si="10"/>
        <v>56.666666666666664</v>
      </c>
      <c r="P35" s="48">
        <f t="shared" si="10"/>
        <v>68</v>
      </c>
      <c r="Q35" s="462">
        <f>DATE(YEAR(S35),MONTH(S35)+G35,DAY(S35))</f>
        <v>45553</v>
      </c>
      <c r="R35" s="125" t="s">
        <v>603</v>
      </c>
      <c r="S35" s="20">
        <v>41900</v>
      </c>
      <c r="T35" s="154">
        <v>2209.9899999999998</v>
      </c>
      <c r="U35" s="72">
        <v>18.420000000000002</v>
      </c>
      <c r="V35" s="154">
        <v>221.0365833333334</v>
      </c>
      <c r="W35" s="154">
        <v>1988.9534166666663</v>
      </c>
      <c r="X35" s="243">
        <v>18.420000000000002</v>
      </c>
      <c r="Y35" s="106">
        <f>X35*5</f>
        <v>92.100000000000009</v>
      </c>
      <c r="Z35" s="258">
        <f>W35-Y35</f>
        <v>1896.8534166666664</v>
      </c>
      <c r="AA35" s="57">
        <v>115.958</v>
      </c>
      <c r="AB35" s="57">
        <v>113.93899999999999</v>
      </c>
      <c r="AC35" s="57">
        <f>AA35/AB35</f>
        <v>1.0177200080744961</v>
      </c>
      <c r="AD35" s="55">
        <f>Z35*M35/100/K35*100/7</f>
        <v>25.291378888888886</v>
      </c>
      <c r="AE35" s="55">
        <f>AD35*AC35</f>
        <v>25.739542327015137</v>
      </c>
      <c r="AF35" s="55"/>
      <c r="AG35" s="55"/>
      <c r="AH35" s="55"/>
      <c r="AI35" s="55"/>
      <c r="AJ35" s="55"/>
      <c r="AK35" s="55">
        <f>AE35</f>
        <v>25.739542327015137</v>
      </c>
      <c r="AL35" s="55">
        <v>17.391582653388607</v>
      </c>
      <c r="AM35" s="55">
        <v>17.391582653388607</v>
      </c>
      <c r="AN35" s="55">
        <v>17.391582653388607</v>
      </c>
      <c r="AO35" s="55">
        <v>17.391582653388607</v>
      </c>
      <c r="AP35" s="55">
        <v>17.391582653388607</v>
      </c>
      <c r="AQ35" s="55">
        <v>17.391582653388607</v>
      </c>
      <c r="AR35" s="55">
        <f>SUM(AF35:AQ35)</f>
        <v>130.08903824734679</v>
      </c>
      <c r="AS35" s="72">
        <f>Z35-AR35</f>
        <v>1766.7643784193197</v>
      </c>
      <c r="AT35" s="55"/>
      <c r="AU35" s="55"/>
      <c r="AV35" s="55">
        <f t="shared" si="3"/>
        <v>17.391582653388607</v>
      </c>
      <c r="AW35" s="55">
        <f t="shared" si="3"/>
        <v>17.391582653388607</v>
      </c>
      <c r="AX35" s="55">
        <f t="shared" si="3"/>
        <v>17.391582653388607</v>
      </c>
      <c r="AY35" s="55">
        <f t="shared" si="3"/>
        <v>17.391582653388607</v>
      </c>
      <c r="AZ35" s="55">
        <f t="shared" si="3"/>
        <v>17.391582653388607</v>
      </c>
      <c r="BA35" s="57">
        <v>118.901</v>
      </c>
      <c r="BB35" s="57">
        <v>113.93899999999999</v>
      </c>
      <c r="BC35" s="57">
        <f>BA35/BB35</f>
        <v>1.0435496186555964</v>
      </c>
      <c r="BD35" s="55">
        <f>T35/(D35*12)</f>
        <v>18.416583333333332</v>
      </c>
      <c r="BE35" s="55">
        <f>BD35*BC35</f>
        <v>19.218618514439012</v>
      </c>
      <c r="BF35" s="55">
        <f t="shared" si="11"/>
        <v>19.218618514439012</v>
      </c>
      <c r="BG35" s="55">
        <f t="shared" si="11"/>
        <v>19.218618514439012</v>
      </c>
      <c r="BH35" s="55">
        <f t="shared" si="11"/>
        <v>19.218618514439012</v>
      </c>
      <c r="BI35" s="55">
        <f t="shared" si="11"/>
        <v>19.218618514439012</v>
      </c>
      <c r="BJ35" s="55">
        <f t="shared" si="11"/>
        <v>19.218618514439012</v>
      </c>
      <c r="BK35" s="55">
        <f t="shared" si="11"/>
        <v>19.218618514439012</v>
      </c>
      <c r="BL35" s="55">
        <f t="shared" si="11"/>
        <v>19.218618514439012</v>
      </c>
      <c r="BM35" s="55">
        <f>SUM((AV35:AZ35),(BF35:BL35))</f>
        <v>221.48824286801613</v>
      </c>
      <c r="BN35" s="448">
        <f>AS35-BM35</f>
        <v>1545.2761355513035</v>
      </c>
      <c r="BO35" s="55">
        <f t="shared" si="12"/>
        <v>19.218618514439012</v>
      </c>
      <c r="BP35" s="55">
        <f t="shared" si="12"/>
        <v>19.218618514439012</v>
      </c>
      <c r="BQ35" s="55">
        <f t="shared" si="12"/>
        <v>19.218618514439012</v>
      </c>
      <c r="BR35" s="55">
        <f t="shared" si="12"/>
        <v>19.218618514439012</v>
      </c>
      <c r="BS35" s="55">
        <f t="shared" si="12"/>
        <v>19.218618514439012</v>
      </c>
      <c r="BT35" s="55">
        <f>SUM(BO35:BS35)</f>
        <v>96.093092572195062</v>
      </c>
      <c r="BU35" s="57">
        <v>126.408</v>
      </c>
      <c r="BV35" s="57">
        <v>113.93899999999999</v>
      </c>
      <c r="BW35" s="57">
        <f>BU35/BV35</f>
        <v>1.1094357507087127</v>
      </c>
      <c r="BX35" s="55">
        <f>AM35/(W35*12)</f>
        <v>7.2867395601349178E-4</v>
      </c>
      <c r="BY35" s="55">
        <f>BX35*BW35</f>
        <v>8.084169374117158E-4</v>
      </c>
      <c r="BZ35" s="55"/>
      <c r="CA35" s="55"/>
      <c r="CB35" s="55"/>
      <c r="CC35" s="55"/>
      <c r="CD35" s="55"/>
      <c r="CE35" s="55"/>
      <c r="CF35" s="55"/>
      <c r="CG35" s="55">
        <f>SUM((BO35:BS35),(BZ35:CF35))</f>
        <v>96.093092572195062</v>
      </c>
      <c r="CH35" s="448">
        <f>BN35-CG35</f>
        <v>1449.1830429791084</v>
      </c>
      <c r="CI35" s="57">
        <v>126.408</v>
      </c>
      <c r="CJ35" s="57">
        <v>113.93899999999999</v>
      </c>
      <c r="CK35" s="57">
        <f>CI35/CJ35</f>
        <v>1.1094357507087127</v>
      </c>
      <c r="CL35" s="55">
        <f>CH35/N35</f>
        <v>207.0261489970155</v>
      </c>
      <c r="CM35" s="55">
        <f>CL35*CK35</f>
        <v>229.68221102883768</v>
      </c>
      <c r="CN35" s="55">
        <v>230.24489809217698</v>
      </c>
      <c r="CO35" s="55">
        <v>230.24489809217698</v>
      </c>
      <c r="CP35" s="55">
        <v>230.24489809217698</v>
      </c>
      <c r="CQ35" s="55">
        <v>230.24489809217698</v>
      </c>
      <c r="CR35" s="55">
        <v>230.24489809217698</v>
      </c>
      <c r="CS35" s="55">
        <v>230.24489809217698</v>
      </c>
      <c r="CT35" s="55">
        <v>70.260000000000005</v>
      </c>
      <c r="CU35" s="55">
        <f>SUM(CN35:CT35)</f>
        <v>1451.7293885530619</v>
      </c>
      <c r="CV35" s="448">
        <f>CH35-CU35</f>
        <v>-2.5463455739534311</v>
      </c>
      <c r="CW35" s="968"/>
      <c r="CX35" s="968">
        <v>0</v>
      </c>
      <c r="CY35" s="968">
        <v>0</v>
      </c>
      <c r="CZ35" s="968">
        <v>0</v>
      </c>
      <c r="DA35" s="505"/>
      <c r="DB35" s="505"/>
      <c r="DC35" s="679">
        <f>CV35-DB35</f>
        <v>-2.5463455739534311</v>
      </c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</row>
    <row r="36" spans="1:121" s="16" customFormat="1" x14ac:dyDescent="0.2">
      <c r="A36" s="26" t="s">
        <v>71</v>
      </c>
      <c r="B36" s="26"/>
      <c r="C36" s="45"/>
      <c r="D36" s="58"/>
      <c r="E36" s="25"/>
      <c r="F36" s="20"/>
      <c r="G36" s="58"/>
      <c r="H36" s="145"/>
      <c r="I36" s="165"/>
      <c r="J36" s="48"/>
      <c r="K36" s="165"/>
      <c r="L36" s="48"/>
      <c r="M36" s="165"/>
      <c r="N36" s="48"/>
      <c r="O36" s="165"/>
      <c r="P36" s="48"/>
      <c r="Q36" s="48"/>
      <c r="R36" s="46"/>
      <c r="S36" s="20"/>
      <c r="T36" s="154"/>
      <c r="U36" s="113"/>
      <c r="V36" s="154"/>
      <c r="W36" s="154"/>
      <c r="X36" s="8"/>
      <c r="Y36" s="106"/>
      <c r="Z36" s="258"/>
      <c r="AA36" s="57"/>
      <c r="AB36" s="57"/>
      <c r="AC36" s="57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72"/>
      <c r="AT36" s="55"/>
      <c r="AU36" s="55"/>
      <c r="AV36" s="55">
        <f t="shared" si="3"/>
        <v>0</v>
      </c>
      <c r="AW36" s="55">
        <f t="shared" si="3"/>
        <v>0</v>
      </c>
      <c r="AX36" s="55">
        <f t="shared" si="3"/>
        <v>0</v>
      </c>
      <c r="AY36" s="55">
        <f t="shared" si="3"/>
        <v>0</v>
      </c>
      <c r="AZ36" s="55">
        <f t="shared" si="3"/>
        <v>0</v>
      </c>
      <c r="BA36" s="57"/>
      <c r="BB36" s="57"/>
      <c r="BC36" s="57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448"/>
      <c r="BO36" s="55"/>
      <c r="BP36" s="55"/>
      <c r="BQ36" s="55"/>
      <c r="BR36" s="55"/>
      <c r="BS36" s="55"/>
      <c r="BT36" s="55"/>
      <c r="BU36" s="57"/>
      <c r="BV36" s="57"/>
      <c r="BW36" s="57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448"/>
      <c r="CI36" s="57"/>
      <c r="CJ36" s="57"/>
      <c r="CK36" s="57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448"/>
      <c r="CW36" s="968"/>
      <c r="CX36" s="968"/>
      <c r="CY36" s="968"/>
      <c r="CZ36" s="968"/>
      <c r="DA36" s="505"/>
      <c r="DB36" s="505">
        <f>SUM(CW36:DA36)</f>
        <v>0</v>
      </c>
      <c r="DC36" s="679"/>
      <c r="DD36" s="956"/>
      <c r="DE36" s="957">
        <v>118.051</v>
      </c>
      <c r="DF36" s="957">
        <f>DD36/DE36</f>
        <v>0</v>
      </c>
      <c r="DG36" s="511" t="e">
        <f>DC36/AY36</f>
        <v>#DIV/0!</v>
      </c>
      <c r="DH36" s="511" t="e">
        <f>DG36*DF36</f>
        <v>#DIV/0!</v>
      </c>
      <c r="DI36" s="511"/>
      <c r="DJ36" s="511"/>
      <c r="DK36" s="511"/>
      <c r="DL36" s="511"/>
      <c r="DM36" s="511"/>
      <c r="DN36" s="511"/>
      <c r="DO36" s="511">
        <v>0</v>
      </c>
      <c r="DP36" s="511"/>
      <c r="DQ36" s="756"/>
    </row>
    <row r="37" spans="1:121" s="16" customFormat="1" x14ac:dyDescent="0.2">
      <c r="A37" s="26" t="s">
        <v>97</v>
      </c>
      <c r="B37" s="9"/>
      <c r="C37" s="124"/>
      <c r="D37" s="111"/>
      <c r="E37" s="25"/>
      <c r="F37" s="20"/>
      <c r="G37" s="8"/>
      <c r="H37" s="145"/>
      <c r="I37" s="165"/>
      <c r="J37" s="48"/>
      <c r="K37" s="165"/>
      <c r="L37" s="48"/>
      <c r="M37" s="165"/>
      <c r="N37" s="48"/>
      <c r="O37" s="165"/>
      <c r="P37" s="48"/>
      <c r="Q37" s="48"/>
      <c r="R37" s="125"/>
      <c r="S37" s="20"/>
      <c r="T37" s="154"/>
      <c r="U37" s="72"/>
      <c r="V37" s="154"/>
      <c r="W37" s="154"/>
      <c r="X37" s="243"/>
      <c r="Y37" s="106"/>
      <c r="Z37" s="258"/>
      <c r="AA37" s="57"/>
      <c r="AB37" s="82"/>
      <c r="AC37" s="57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72"/>
      <c r="AT37" s="55"/>
      <c r="AU37" s="55"/>
      <c r="AV37" s="55">
        <f t="shared" si="3"/>
        <v>0</v>
      </c>
      <c r="AW37" s="55">
        <f t="shared" si="3"/>
        <v>0</v>
      </c>
      <c r="AX37" s="55">
        <f t="shared" si="3"/>
        <v>0</v>
      </c>
      <c r="AY37" s="55">
        <f t="shared" si="3"/>
        <v>0</v>
      </c>
      <c r="AZ37" s="55">
        <f t="shared" si="3"/>
        <v>0</v>
      </c>
      <c r="BA37" s="57"/>
      <c r="BB37" s="82"/>
      <c r="BC37" s="57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448"/>
      <c r="BO37" s="55"/>
      <c r="BP37" s="55"/>
      <c r="BQ37" s="55"/>
      <c r="BR37" s="55"/>
      <c r="BS37" s="55"/>
      <c r="BT37" s="55"/>
      <c r="BU37" s="57"/>
      <c r="BV37" s="82"/>
      <c r="BW37" s="57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448"/>
      <c r="CI37" s="57"/>
      <c r="CJ37" s="82"/>
      <c r="CK37" s="57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448"/>
      <c r="CW37" s="968"/>
      <c r="CX37" s="968"/>
      <c r="CY37" s="968"/>
      <c r="CZ37" s="968"/>
      <c r="DA37" s="505"/>
      <c r="DB37" s="505"/>
      <c r="DC37" s="679"/>
      <c r="DD37" s="511"/>
      <c r="DE37" s="957"/>
      <c r="DF37" s="957"/>
      <c r="DG37" s="511"/>
      <c r="DH37" s="511"/>
      <c r="DI37" s="511"/>
      <c r="DJ37" s="511"/>
      <c r="DK37" s="511"/>
      <c r="DL37" s="511"/>
      <c r="DM37" s="511"/>
      <c r="DN37" s="511"/>
      <c r="DO37" s="511"/>
      <c r="DP37" s="511"/>
      <c r="DQ37" s="511"/>
    </row>
    <row r="38" spans="1:121" s="16" customFormat="1" x14ac:dyDescent="0.2">
      <c r="A38" s="119" t="s">
        <v>414</v>
      </c>
      <c r="B38" s="100" t="s">
        <v>415</v>
      </c>
      <c r="C38" s="45" t="s">
        <v>426</v>
      </c>
      <c r="D38" s="58">
        <v>10</v>
      </c>
      <c r="E38" s="30">
        <v>0.1</v>
      </c>
      <c r="F38" s="46">
        <v>43281</v>
      </c>
      <c r="G38" s="58">
        <v>120</v>
      </c>
      <c r="H38" s="145">
        <f>100/G38</f>
        <v>0.83333333333333337</v>
      </c>
      <c r="I38" s="165">
        <f>H38*J38</f>
        <v>37.5</v>
      </c>
      <c r="J38" s="48">
        <f>(YEAR(F38)-YEAR(S38))*12+MONTH(F38)-MONTH(S38)</f>
        <v>45</v>
      </c>
      <c r="K38" s="165">
        <f>L38*H38</f>
        <v>62.5</v>
      </c>
      <c r="L38" s="48">
        <f>G38-J38</f>
        <v>75</v>
      </c>
      <c r="M38" s="165">
        <f>N38*H38</f>
        <v>5.8333333333333339</v>
      </c>
      <c r="N38" s="48">
        <v>7</v>
      </c>
      <c r="O38" s="165">
        <f>K38-M38</f>
        <v>56.666666666666664</v>
      </c>
      <c r="P38" s="48">
        <f>L38-N38</f>
        <v>68</v>
      </c>
      <c r="Q38" s="462">
        <f>DATE(YEAR(S38),MONTH(S38)+G38,DAY(S38))</f>
        <v>45553</v>
      </c>
      <c r="R38" s="125" t="s">
        <v>603</v>
      </c>
      <c r="S38" s="20">
        <v>41900</v>
      </c>
      <c r="T38" s="154">
        <v>2246.39</v>
      </c>
      <c r="U38" s="72">
        <v>18.72</v>
      </c>
      <c r="V38" s="154">
        <v>224.63991666666666</v>
      </c>
      <c r="W38" s="154">
        <v>2021.7500833333331</v>
      </c>
      <c r="X38" s="243">
        <v>18.72</v>
      </c>
      <c r="Y38" s="106">
        <f>X38*5</f>
        <v>93.6</v>
      </c>
      <c r="Z38" s="258">
        <f>W38-Y38</f>
        <v>1928.1500833333332</v>
      </c>
      <c r="AA38" s="57">
        <v>115.958</v>
      </c>
      <c r="AB38" s="57">
        <v>113.93899999999999</v>
      </c>
      <c r="AC38" s="57">
        <f>AA38/AB38</f>
        <v>1.0177200080744961</v>
      </c>
      <c r="AD38" s="55">
        <f>Z38*M38/100/K38*100/7</f>
        <v>25.70866777777778</v>
      </c>
      <c r="AE38" s="55">
        <f>AD38*AC38</f>
        <v>26.164225578384542</v>
      </c>
      <c r="AF38" s="55"/>
      <c r="AG38" s="55"/>
      <c r="AH38" s="55"/>
      <c r="AI38" s="55"/>
      <c r="AJ38" s="55"/>
      <c r="AK38" s="55">
        <f>AE38</f>
        <v>26.164225578384542</v>
      </c>
      <c r="AL38" s="55">
        <v>17.67853079620577</v>
      </c>
      <c r="AM38" s="55">
        <v>17.67853079620577</v>
      </c>
      <c r="AN38" s="55">
        <v>17.67853079620577</v>
      </c>
      <c r="AO38" s="55">
        <v>17.67853079620577</v>
      </c>
      <c r="AP38" s="55">
        <v>17.67853079620577</v>
      </c>
      <c r="AQ38" s="55">
        <v>17.67853079620577</v>
      </c>
      <c r="AR38" s="55">
        <f>SUM(AF38:AQ38)</f>
        <v>132.23541035561914</v>
      </c>
      <c r="AS38" s="72">
        <f>Z38-AR38</f>
        <v>1795.914672977714</v>
      </c>
      <c r="AT38" s="55"/>
      <c r="AU38" s="55"/>
      <c r="AV38" s="55">
        <f t="shared" si="3"/>
        <v>17.67853079620577</v>
      </c>
      <c r="AW38" s="55">
        <f t="shared" si="3"/>
        <v>17.67853079620577</v>
      </c>
      <c r="AX38" s="55">
        <f t="shared" si="3"/>
        <v>17.67853079620577</v>
      </c>
      <c r="AY38" s="55">
        <f t="shared" si="3"/>
        <v>17.67853079620577</v>
      </c>
      <c r="AZ38" s="55">
        <f t="shared" si="3"/>
        <v>17.67853079620577</v>
      </c>
      <c r="BA38" s="57">
        <v>118.901</v>
      </c>
      <c r="BB38" s="57">
        <v>113.93899999999999</v>
      </c>
      <c r="BC38" s="57">
        <f>BA38/BB38</f>
        <v>1.0435496186555964</v>
      </c>
      <c r="BD38" s="55">
        <f>T38/(D38*12)</f>
        <v>18.719916666666666</v>
      </c>
      <c r="BE38" s="55">
        <f>BD38*BC38</f>
        <v>19.535161898764542</v>
      </c>
      <c r="BF38" s="55">
        <f t="shared" ref="BF38:BL38" si="13">$BE38</f>
        <v>19.535161898764542</v>
      </c>
      <c r="BG38" s="55">
        <f t="shared" si="13"/>
        <v>19.535161898764542</v>
      </c>
      <c r="BH38" s="55">
        <f t="shared" si="13"/>
        <v>19.535161898764542</v>
      </c>
      <c r="BI38" s="55">
        <f t="shared" si="13"/>
        <v>19.535161898764542</v>
      </c>
      <c r="BJ38" s="55">
        <f t="shared" si="13"/>
        <v>19.535161898764542</v>
      </c>
      <c r="BK38" s="55">
        <f t="shared" si="13"/>
        <v>19.535161898764542</v>
      </c>
      <c r="BL38" s="55">
        <f t="shared" si="13"/>
        <v>19.535161898764542</v>
      </c>
      <c r="BM38" s="55">
        <f>SUM((AV38:AZ38),(BF38:BL38))</f>
        <v>225.13878727238068</v>
      </c>
      <c r="BN38" s="448">
        <f>AS38-BM38</f>
        <v>1570.7758857053332</v>
      </c>
      <c r="BO38" s="55">
        <f>$BE38</f>
        <v>19.535161898764542</v>
      </c>
      <c r="BP38" s="55">
        <f>$BE38</f>
        <v>19.535161898764542</v>
      </c>
      <c r="BQ38" s="55">
        <f>$BE38</f>
        <v>19.535161898764542</v>
      </c>
      <c r="BR38" s="55">
        <f>$BE38</f>
        <v>19.535161898764542</v>
      </c>
      <c r="BS38" s="55">
        <f>$BE38</f>
        <v>19.535161898764542</v>
      </c>
      <c r="BT38" s="55">
        <f>SUM(BO38:BS38)</f>
        <v>97.675809493822712</v>
      </c>
      <c r="BU38" s="57">
        <v>126.408</v>
      </c>
      <c r="BV38" s="57">
        <v>113.93899999999999</v>
      </c>
      <c r="BW38" s="57">
        <f>BU38/BV38</f>
        <v>1.1094357507087127</v>
      </c>
      <c r="BX38" s="55">
        <f>AM38/(W38*12)</f>
        <v>7.2868101345883345E-4</v>
      </c>
      <c r="BY38" s="55">
        <f>BX38*BW38</f>
        <v>8.0842476719388651E-4</v>
      </c>
      <c r="BZ38" s="55"/>
      <c r="CA38" s="55"/>
      <c r="CB38" s="55"/>
      <c r="CC38" s="55"/>
      <c r="CD38" s="55"/>
      <c r="CE38" s="55"/>
      <c r="CF38" s="55"/>
      <c r="CG38" s="55">
        <f>SUM((BO38:BS38),(BZ38:CF38))</f>
        <v>97.675809493822712</v>
      </c>
      <c r="CH38" s="448">
        <f>BN38-CG38</f>
        <v>1473.1000762115104</v>
      </c>
      <c r="CI38" s="57">
        <v>126.408</v>
      </c>
      <c r="CJ38" s="57">
        <v>113.93899999999999</v>
      </c>
      <c r="CK38" s="57">
        <f>CI38/CJ38</f>
        <v>1.1094357507087127</v>
      </c>
      <c r="CL38" s="55">
        <f>CH38/N38</f>
        <v>210.44286803021578</v>
      </c>
      <c r="CM38" s="55">
        <f>CL38*CK38</f>
        <v>233.47284127439698</v>
      </c>
      <c r="CN38" s="55">
        <v>234.04481225461905</v>
      </c>
      <c r="CO38" s="55">
        <v>234.04481225461905</v>
      </c>
      <c r="CP38" s="55">
        <v>234.04481225461905</v>
      </c>
      <c r="CQ38" s="55">
        <v>234.04481225461905</v>
      </c>
      <c r="CR38" s="55">
        <v>234.04481225461905</v>
      </c>
      <c r="CS38" s="55">
        <v>234.04481225461905</v>
      </c>
      <c r="CT38" s="55">
        <v>71.44</v>
      </c>
      <c r="CU38" s="55">
        <f>SUM(CN38:CT38)</f>
        <v>1475.7088735277143</v>
      </c>
      <c r="CV38" s="448">
        <f>CH38-CU38</f>
        <v>-2.6087973162038907</v>
      </c>
      <c r="CW38" s="968"/>
      <c r="CX38" s="968">
        <v>0</v>
      </c>
      <c r="CY38" s="968">
        <v>0</v>
      </c>
      <c r="CZ38" s="968">
        <v>0</v>
      </c>
      <c r="DA38" s="505"/>
      <c r="DB38" s="505">
        <f>SUM(CW38:DA38)</f>
        <v>0</v>
      </c>
      <c r="DC38" s="679">
        <f>CV38-DB38</f>
        <v>-2.6087973162038907</v>
      </c>
      <c r="DD38" s="623"/>
      <c r="DE38" s="957">
        <v>118.77</v>
      </c>
      <c r="DF38" s="957">
        <f>DD38/DE38</f>
        <v>0</v>
      </c>
      <c r="DG38" s="511">
        <f>DC38/AY38</f>
        <v>-0.14756867220910688</v>
      </c>
      <c r="DH38" s="511"/>
      <c r="DI38" s="511"/>
      <c r="DJ38" s="511"/>
      <c r="DK38" s="511"/>
      <c r="DL38" s="511"/>
      <c r="DM38" s="511"/>
      <c r="DN38" s="511"/>
      <c r="DO38" s="511"/>
      <c r="DP38" s="511"/>
      <c r="DQ38" s="511"/>
    </row>
    <row r="39" spans="1:121" s="16" customFormat="1" ht="13.5" x14ac:dyDescent="0.25">
      <c r="A39" s="26" t="s">
        <v>65</v>
      </c>
      <c r="B39" s="26"/>
      <c r="C39" s="58"/>
      <c r="D39" s="75"/>
      <c r="E39" s="28"/>
      <c r="F39" s="11"/>
      <c r="G39" s="58"/>
      <c r="H39" s="145"/>
      <c r="I39" s="165"/>
      <c r="J39" s="48"/>
      <c r="K39" s="165"/>
      <c r="L39" s="48"/>
      <c r="M39" s="165"/>
      <c r="N39" s="48"/>
      <c r="O39" s="165"/>
      <c r="P39" s="48"/>
      <c r="Q39" s="462">
        <f>DATE(YEAR(S39),MONTH(S39)+G39,DAY(S39))</f>
        <v>0</v>
      </c>
      <c r="R39" s="46"/>
      <c r="S39" s="11"/>
      <c r="T39" s="156"/>
      <c r="U39" s="113"/>
      <c r="V39" s="154"/>
      <c r="W39" s="154"/>
      <c r="X39" s="8"/>
      <c r="Y39" s="106"/>
      <c r="Z39" s="258"/>
      <c r="AA39" s="57"/>
      <c r="AB39" s="80"/>
      <c r="AC39" s="57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72"/>
      <c r="AT39" s="55"/>
      <c r="AU39" s="55"/>
      <c r="AV39" s="55">
        <f t="shared" si="3"/>
        <v>0</v>
      </c>
      <c r="AW39" s="55">
        <f t="shared" si="3"/>
        <v>0</v>
      </c>
      <c r="AX39" s="55">
        <f t="shared" si="3"/>
        <v>0</v>
      </c>
      <c r="AY39" s="55">
        <f t="shared" si="3"/>
        <v>0</v>
      </c>
      <c r="AZ39" s="55">
        <f t="shared" si="3"/>
        <v>0</v>
      </c>
      <c r="BA39" s="57"/>
      <c r="BB39" s="80"/>
      <c r="BC39" s="57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448"/>
      <c r="BO39" s="55"/>
      <c r="BP39" s="55"/>
      <c r="BQ39" s="55"/>
      <c r="BR39" s="55"/>
      <c r="BS39" s="55"/>
      <c r="BT39" s="55"/>
      <c r="BU39" s="57"/>
      <c r="BV39" s="80"/>
      <c r="BW39" s="57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448"/>
      <c r="CI39" s="57"/>
      <c r="CJ39" s="80"/>
      <c r="CK39" s="57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448"/>
      <c r="CW39" s="968"/>
      <c r="CX39" s="968"/>
      <c r="CY39" s="968"/>
      <c r="CZ39" s="968"/>
      <c r="DA39" s="505"/>
      <c r="DB39" s="505"/>
      <c r="DC39" s="679"/>
      <c r="DD39" s="656"/>
      <c r="DE39" s="957"/>
      <c r="DF39" s="957"/>
      <c r="DG39" s="511"/>
      <c r="DH39" s="511"/>
      <c r="DI39" s="511">
        <v>0</v>
      </c>
      <c r="DJ39" s="511">
        <v>0</v>
      </c>
      <c r="DK39" s="511">
        <v>0</v>
      </c>
      <c r="DL39" s="511">
        <v>0</v>
      </c>
      <c r="DM39" s="511">
        <v>0</v>
      </c>
      <c r="DN39" s="511">
        <v>0</v>
      </c>
      <c r="DO39" s="511">
        <v>0</v>
      </c>
      <c r="DP39" s="511">
        <f>SUM(DI39:DO39)</f>
        <v>0</v>
      </c>
      <c r="DQ39" s="511">
        <f>DJ39-DP39</f>
        <v>0</v>
      </c>
    </row>
    <row r="40" spans="1:121" s="16" customFormat="1" ht="13.5" x14ac:dyDescent="0.25">
      <c r="A40" s="26" t="s">
        <v>222</v>
      </c>
      <c r="B40" s="34"/>
      <c r="C40" s="28"/>
      <c r="D40" s="75"/>
      <c r="E40" s="28"/>
      <c r="F40" s="11"/>
      <c r="G40" s="58"/>
      <c r="H40" s="145"/>
      <c r="I40" s="165"/>
      <c r="J40" s="48"/>
      <c r="K40" s="165"/>
      <c r="L40" s="48"/>
      <c r="M40" s="165"/>
      <c r="N40" s="48"/>
      <c r="O40" s="165"/>
      <c r="P40" s="48"/>
      <c r="Q40" s="48"/>
      <c r="R40" s="125"/>
      <c r="S40" s="11"/>
      <c r="T40" s="156"/>
      <c r="U40" s="72"/>
      <c r="V40" s="154"/>
      <c r="W40" s="154"/>
      <c r="X40" s="243"/>
      <c r="Y40" s="106"/>
      <c r="Z40" s="258"/>
      <c r="AA40" s="57"/>
      <c r="AB40" s="80"/>
      <c r="AC40" s="57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72"/>
      <c r="AT40" s="55"/>
      <c r="AU40" s="55"/>
      <c r="AV40" s="55">
        <f t="shared" si="3"/>
        <v>0</v>
      </c>
      <c r="AW40" s="55">
        <f t="shared" si="3"/>
        <v>0</v>
      </c>
      <c r="AX40" s="55">
        <f t="shared" si="3"/>
        <v>0</v>
      </c>
      <c r="AY40" s="55">
        <f t="shared" si="3"/>
        <v>0</v>
      </c>
      <c r="AZ40" s="55">
        <f t="shared" si="3"/>
        <v>0</v>
      </c>
      <c r="BA40" s="57"/>
      <c r="BB40" s="80"/>
      <c r="BC40" s="57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448"/>
      <c r="BO40" s="55"/>
      <c r="BP40" s="55"/>
      <c r="BQ40" s="55"/>
      <c r="BR40" s="55"/>
      <c r="BS40" s="55"/>
      <c r="BT40" s="55"/>
      <c r="BU40" s="57">
        <v>126.408</v>
      </c>
      <c r="BV40" s="80"/>
      <c r="BW40" s="57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448"/>
      <c r="CI40" s="57"/>
      <c r="CJ40" s="80"/>
      <c r="CK40" s="57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448"/>
      <c r="CW40" s="968"/>
      <c r="CX40" s="968"/>
      <c r="CY40" s="968"/>
      <c r="CZ40" s="968"/>
      <c r="DA40" s="505"/>
      <c r="DB40" s="505">
        <f>SUM(CW40:DA40)</f>
        <v>0</v>
      </c>
      <c r="DC40" s="679"/>
      <c r="DD40" s="623"/>
      <c r="DE40" s="957">
        <v>118.901</v>
      </c>
      <c r="DF40" s="957">
        <f>DD40/DE40</f>
        <v>0</v>
      </c>
      <c r="DG40" s="511" t="e">
        <f>DC40/AY40</f>
        <v>#DIV/0!</v>
      </c>
      <c r="DH40" s="511"/>
      <c r="DI40" s="511"/>
      <c r="DJ40" s="511"/>
      <c r="DK40" s="511"/>
      <c r="DL40" s="511"/>
      <c r="DM40" s="511"/>
      <c r="DN40" s="511"/>
      <c r="DO40" s="511"/>
      <c r="DP40" s="511"/>
      <c r="DQ40" s="511"/>
    </row>
    <row r="41" spans="1:121" s="16" customFormat="1" x14ac:dyDescent="0.2">
      <c r="A41" s="119" t="s">
        <v>416</v>
      </c>
      <c r="B41" s="100" t="s">
        <v>417</v>
      </c>
      <c r="C41" s="45" t="s">
        <v>426</v>
      </c>
      <c r="D41" s="58">
        <v>3</v>
      </c>
      <c r="E41" s="30">
        <v>0.33329999999999999</v>
      </c>
      <c r="F41" s="46">
        <v>43281</v>
      </c>
      <c r="G41" s="8">
        <v>36</v>
      </c>
      <c r="H41" s="145">
        <f>100/G41</f>
        <v>2.7777777777777777</v>
      </c>
      <c r="I41" s="165">
        <f>H41*J41</f>
        <v>125</v>
      </c>
      <c r="J41" s="48">
        <f>(YEAR(F41)-YEAR(S41))*12+MONTH(F41)-MONTH(S41)</f>
        <v>45</v>
      </c>
      <c r="K41" s="165">
        <f>L41*H41</f>
        <v>-25</v>
      </c>
      <c r="L41" s="48">
        <f>G41-J41</f>
        <v>-9</v>
      </c>
      <c r="M41" s="165">
        <f>N41*H41</f>
        <v>19.444444444444443</v>
      </c>
      <c r="N41" s="48">
        <v>7</v>
      </c>
      <c r="O41" s="165">
        <f>K41-M41</f>
        <v>-44.444444444444443</v>
      </c>
      <c r="P41" s="48">
        <f>L41-N41</f>
        <v>-16</v>
      </c>
      <c r="Q41" s="462">
        <f>DATE(YEAR(S41),MONTH(S41)+G41,DAY(S41))</f>
        <v>42996</v>
      </c>
      <c r="R41" s="125" t="s">
        <v>603</v>
      </c>
      <c r="S41" s="20">
        <v>41900</v>
      </c>
      <c r="T41" s="154">
        <v>3986.98</v>
      </c>
      <c r="U41" s="72">
        <v>110.74</v>
      </c>
      <c r="V41" s="154">
        <v>1328.8783695</v>
      </c>
      <c r="W41" s="154">
        <v>2658.1016305000003</v>
      </c>
      <c r="X41" s="243">
        <v>110.74</v>
      </c>
      <c r="Y41" s="106">
        <f>X41*5</f>
        <v>553.69999999999993</v>
      </c>
      <c r="Z41" s="258">
        <f>W41-Y41</f>
        <v>2104.4016305000005</v>
      </c>
      <c r="AA41" s="57">
        <v>115.958</v>
      </c>
      <c r="AB41" s="57">
        <v>113.93899999999999</v>
      </c>
      <c r="AC41" s="57">
        <f>AA41/AB41</f>
        <v>1.0177200080744961</v>
      </c>
      <c r="AD41" s="55">
        <f>Z41*M41/100/K41*100/7</f>
        <v>-233.82240338888889</v>
      </c>
      <c r="AE41" s="55">
        <f>AD41*AC41</f>
        <v>-237.9657382649381</v>
      </c>
      <c r="AF41" s="55"/>
      <c r="AG41" s="55"/>
      <c r="AH41" s="55"/>
      <c r="AI41" s="55"/>
      <c r="AJ41" s="55"/>
      <c r="AK41" s="55">
        <f>AE41</f>
        <v>-237.9657382649381</v>
      </c>
      <c r="AL41" s="55">
        <v>79.32191275497938</v>
      </c>
      <c r="AM41" s="55">
        <v>79.32191275497938</v>
      </c>
      <c r="AN41" s="55">
        <v>79.32191275497938</v>
      </c>
      <c r="AO41" s="55">
        <v>79.32191275497938</v>
      </c>
      <c r="AP41" s="55">
        <v>79.32191275497938</v>
      </c>
      <c r="AQ41" s="55">
        <v>79.32191275497938</v>
      </c>
      <c r="AR41" s="55">
        <f>SUM(AF41:AQ41)</f>
        <v>237.96573826493818</v>
      </c>
      <c r="AS41" s="72">
        <f>Z41-AR41</f>
        <v>1866.4358922350623</v>
      </c>
      <c r="AT41" s="55"/>
      <c r="AU41" s="55"/>
      <c r="AV41" s="55">
        <f t="shared" si="3"/>
        <v>79.32191275497938</v>
      </c>
      <c r="AW41" s="55">
        <f t="shared" si="3"/>
        <v>79.32191275497938</v>
      </c>
      <c r="AX41" s="55">
        <f t="shared" si="3"/>
        <v>79.32191275497938</v>
      </c>
      <c r="AY41" s="55">
        <f t="shared" si="3"/>
        <v>79.32191275497938</v>
      </c>
      <c r="AZ41" s="55">
        <f t="shared" si="3"/>
        <v>79.32191275497938</v>
      </c>
      <c r="BA41" s="57">
        <v>118.901</v>
      </c>
      <c r="BB41" s="57">
        <v>113.93899999999999</v>
      </c>
      <c r="BC41" s="57">
        <f>BA41/BB41</f>
        <v>1.0435496186555964</v>
      </c>
      <c r="BD41" s="55">
        <f>T41/(D41*12)</f>
        <v>110.74944444444445</v>
      </c>
      <c r="BE41" s="55">
        <f>BD41*BC41</f>
        <v>115.57254051631917</v>
      </c>
      <c r="BF41" s="55">
        <f t="shared" ref="BF41:BL41" si="14">$BE41</f>
        <v>115.57254051631917</v>
      </c>
      <c r="BG41" s="55">
        <f t="shared" si="14"/>
        <v>115.57254051631917</v>
      </c>
      <c r="BH41" s="55">
        <f t="shared" si="14"/>
        <v>115.57254051631917</v>
      </c>
      <c r="BI41" s="55">
        <f t="shared" si="14"/>
        <v>115.57254051631917</v>
      </c>
      <c r="BJ41" s="55">
        <f t="shared" si="14"/>
        <v>115.57254051631917</v>
      </c>
      <c r="BK41" s="55">
        <f t="shared" si="14"/>
        <v>115.57254051631917</v>
      </c>
      <c r="BL41" s="55">
        <f t="shared" si="14"/>
        <v>115.57254051631917</v>
      </c>
      <c r="BM41" s="55">
        <f>SUM((AV41:AZ41),(BF41:BL41))</f>
        <v>1205.6173473891308</v>
      </c>
      <c r="BN41" s="448">
        <f>AS41-BM41</f>
        <v>660.81854484593146</v>
      </c>
      <c r="BO41" s="55">
        <f>$BE41</f>
        <v>115.57254051631917</v>
      </c>
      <c r="BP41" s="55">
        <f>$BE41</f>
        <v>115.57254051631917</v>
      </c>
      <c r="BQ41" s="55">
        <f>$BE41</f>
        <v>115.57254051631917</v>
      </c>
      <c r="BR41" s="55">
        <f>$BE41</f>
        <v>115.57254051631917</v>
      </c>
      <c r="BS41" s="55">
        <v>0</v>
      </c>
      <c r="BT41" s="55">
        <v>1</v>
      </c>
      <c r="BU41" s="57">
        <v>126.408</v>
      </c>
      <c r="BV41" s="57">
        <v>113.93899999999999</v>
      </c>
      <c r="BW41" s="57">
        <f>BU41/BV41</f>
        <v>1.1094357507087127</v>
      </c>
      <c r="BX41" s="55">
        <f>AM41/(W41*12)</f>
        <v>2.4867970887196222E-3</v>
      </c>
      <c r="BY41" s="55">
        <f>BX41*BW41</f>
        <v>2.758941594983895E-3</v>
      </c>
      <c r="BZ41" s="55"/>
      <c r="CA41" s="55"/>
      <c r="CB41" s="55"/>
      <c r="CC41" s="55"/>
      <c r="CD41" s="55"/>
      <c r="CE41" s="55"/>
      <c r="CF41" s="55"/>
      <c r="CG41" s="55">
        <f>SUM((BO41:BS41),(BZ41:CF41))</f>
        <v>462.29016206527666</v>
      </c>
      <c r="CH41" s="448">
        <v>1</v>
      </c>
      <c r="CI41" s="57">
        <v>126.408</v>
      </c>
      <c r="CJ41" s="57">
        <v>113.93899999999999</v>
      </c>
      <c r="CK41" s="57">
        <f>CI41/CJ41</f>
        <v>1.1094357507087127</v>
      </c>
      <c r="CL41" s="55">
        <v>0</v>
      </c>
      <c r="CM41" s="55">
        <v>0</v>
      </c>
      <c r="CN41" s="55">
        <v>0</v>
      </c>
      <c r="CO41" s="55">
        <v>0</v>
      </c>
      <c r="CP41" s="55">
        <v>0</v>
      </c>
      <c r="CQ41" s="55">
        <v>0</v>
      </c>
      <c r="CR41" s="55">
        <v>0</v>
      </c>
      <c r="CS41" s="55">
        <v>0</v>
      </c>
      <c r="CT41" s="55">
        <v>0</v>
      </c>
      <c r="CU41" s="55">
        <f>SUM(CN41:CT41)</f>
        <v>0</v>
      </c>
      <c r="CV41" s="448">
        <f>CH41-CU41</f>
        <v>1</v>
      </c>
      <c r="CW41" s="968"/>
      <c r="CX41" s="968">
        <v>0</v>
      </c>
      <c r="CY41" s="968">
        <v>0</v>
      </c>
      <c r="CZ41" s="968">
        <v>0</v>
      </c>
      <c r="DA41" s="505"/>
      <c r="DB41" s="505"/>
      <c r="DC41" s="679">
        <f>CV41-DB41</f>
        <v>1</v>
      </c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</row>
    <row r="42" spans="1:121" s="16" customFormat="1" ht="13.5" x14ac:dyDescent="0.25">
      <c r="A42" s="120" t="s">
        <v>65</v>
      </c>
      <c r="B42" s="26"/>
      <c r="C42" s="58"/>
      <c r="D42" s="75"/>
      <c r="E42" s="28"/>
      <c r="F42" s="11"/>
      <c r="G42" s="58"/>
      <c r="H42" s="145"/>
      <c r="I42" s="165"/>
      <c r="J42" s="48"/>
      <c r="K42" s="165"/>
      <c r="L42" s="48"/>
      <c r="M42" s="165"/>
      <c r="N42" s="48"/>
      <c r="O42" s="165"/>
      <c r="P42" s="48"/>
      <c r="Q42" s="48"/>
      <c r="R42" s="125"/>
      <c r="S42" s="11"/>
      <c r="T42" s="156"/>
      <c r="U42" s="72"/>
      <c r="V42" s="154"/>
      <c r="W42" s="154"/>
      <c r="X42" s="243"/>
      <c r="Y42" s="106"/>
      <c r="Z42" s="257"/>
      <c r="AA42" s="57"/>
      <c r="AB42" s="80"/>
      <c r="AC42" s="57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72"/>
      <c r="AT42" s="55"/>
      <c r="AU42" s="55"/>
      <c r="AV42" s="55">
        <f t="shared" si="3"/>
        <v>0</v>
      </c>
      <c r="AW42" s="55">
        <f t="shared" si="3"/>
        <v>0</v>
      </c>
      <c r="AX42" s="55">
        <f t="shared" si="3"/>
        <v>0</v>
      </c>
      <c r="AY42" s="55">
        <f t="shared" si="3"/>
        <v>0</v>
      </c>
      <c r="AZ42" s="55">
        <f t="shared" si="3"/>
        <v>0</v>
      </c>
      <c r="BA42" s="57"/>
      <c r="BB42" s="80"/>
      <c r="BC42" s="57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448"/>
      <c r="BO42" s="55"/>
      <c r="BP42" s="55"/>
      <c r="BQ42" s="55"/>
      <c r="BR42" s="55"/>
      <c r="BS42" s="55"/>
      <c r="BT42" s="55"/>
      <c r="BU42" s="57"/>
      <c r="BV42" s="80"/>
      <c r="BW42" s="57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448"/>
      <c r="CI42" s="57"/>
      <c r="CJ42" s="80"/>
      <c r="CK42" s="57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448"/>
      <c r="CW42" s="968"/>
      <c r="CX42" s="968"/>
      <c r="CY42" s="968"/>
      <c r="CZ42" s="968"/>
      <c r="DA42" s="505"/>
      <c r="DB42" s="505"/>
      <c r="DC42" s="679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</row>
    <row r="43" spans="1:121" s="16" customFormat="1" ht="13.5" x14ac:dyDescent="0.25">
      <c r="A43" s="120" t="s">
        <v>421</v>
      </c>
      <c r="B43" s="34"/>
      <c r="C43" s="28"/>
      <c r="D43" s="75"/>
      <c r="E43" s="28"/>
      <c r="F43" s="11"/>
      <c r="G43" s="58"/>
      <c r="H43" s="145"/>
      <c r="I43" s="165"/>
      <c r="J43" s="48"/>
      <c r="K43" s="165"/>
      <c r="L43" s="48"/>
      <c r="M43" s="165"/>
      <c r="N43" s="48"/>
      <c r="O43" s="165"/>
      <c r="P43" s="48"/>
      <c r="Q43" s="48"/>
      <c r="R43" s="125"/>
      <c r="S43" s="11"/>
      <c r="T43" s="156"/>
      <c r="U43" s="72"/>
      <c r="V43" s="154"/>
      <c r="W43" s="154"/>
      <c r="X43" s="243"/>
      <c r="Y43" s="106"/>
      <c r="Z43" s="258"/>
      <c r="AA43" s="57"/>
      <c r="AB43" s="80"/>
      <c r="AC43" s="57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72"/>
      <c r="AT43" s="55"/>
      <c r="AU43" s="55"/>
      <c r="AV43" s="55">
        <f t="shared" si="3"/>
        <v>0</v>
      </c>
      <c r="AW43" s="55">
        <f t="shared" si="3"/>
        <v>0</v>
      </c>
      <c r="AX43" s="55">
        <f t="shared" si="3"/>
        <v>0</v>
      </c>
      <c r="AY43" s="55">
        <f t="shared" si="3"/>
        <v>0</v>
      </c>
      <c r="AZ43" s="55">
        <f t="shared" si="3"/>
        <v>0</v>
      </c>
      <c r="BA43" s="57"/>
      <c r="BB43" s="80"/>
      <c r="BC43" s="57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448"/>
      <c r="BO43" s="55"/>
      <c r="BP43" s="55"/>
      <c r="BQ43" s="55"/>
      <c r="BR43" s="55"/>
      <c r="BS43" s="55"/>
      <c r="BT43" s="55"/>
      <c r="BU43" s="57"/>
      <c r="BV43" s="80"/>
      <c r="BW43" s="57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448"/>
      <c r="CI43" s="57"/>
      <c r="CJ43" s="80"/>
      <c r="CK43" s="57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448"/>
      <c r="CW43" s="968"/>
      <c r="CX43" s="968"/>
      <c r="CY43" s="968"/>
      <c r="CZ43" s="968"/>
      <c r="DA43" s="505"/>
      <c r="DB43" s="505">
        <f>SUM(CW43:DA43)</f>
        <v>0</v>
      </c>
      <c r="DC43" s="679"/>
      <c r="DD43" s="956"/>
      <c r="DE43" s="957">
        <v>118.051</v>
      </c>
      <c r="DF43" s="957">
        <f>DD43/DE43</f>
        <v>0</v>
      </c>
      <c r="DG43" s="511" t="e">
        <f>DC43/AY43</f>
        <v>#DIV/0!</v>
      </c>
      <c r="DH43" s="511" t="e">
        <f>DG43*DF43</f>
        <v>#DIV/0!</v>
      </c>
      <c r="DI43" s="511"/>
      <c r="DJ43" s="511"/>
      <c r="DK43" s="511"/>
      <c r="DL43" s="511"/>
      <c r="DM43" s="511"/>
      <c r="DN43" s="511"/>
      <c r="DO43" s="511">
        <v>0</v>
      </c>
      <c r="DP43" s="511"/>
      <c r="DQ43" s="756"/>
    </row>
    <row r="44" spans="1:121" s="16" customFormat="1" x14ac:dyDescent="0.2">
      <c r="A44" s="119" t="s">
        <v>422</v>
      </c>
      <c r="B44" s="100" t="s">
        <v>423</v>
      </c>
      <c r="C44" s="45" t="s">
        <v>426</v>
      </c>
      <c r="D44" s="58">
        <v>3</v>
      </c>
      <c r="E44" s="30">
        <v>0.33329999999999999</v>
      </c>
      <c r="F44" s="46">
        <v>43281</v>
      </c>
      <c r="G44" s="8">
        <v>36</v>
      </c>
      <c r="H44" s="145">
        <f>100/G44</f>
        <v>2.7777777777777777</v>
      </c>
      <c r="I44" s="165">
        <f>H44*J44</f>
        <v>125</v>
      </c>
      <c r="J44" s="48">
        <f>(YEAR(F44)-YEAR(S44))*12+MONTH(F44)-MONTH(S44)</f>
        <v>45</v>
      </c>
      <c r="K44" s="165">
        <f>L44*H44</f>
        <v>-25</v>
      </c>
      <c r="L44" s="48">
        <f>G44-J44</f>
        <v>-9</v>
      </c>
      <c r="M44" s="165">
        <f>N44*H44</f>
        <v>19.444444444444443</v>
      </c>
      <c r="N44" s="48">
        <v>7</v>
      </c>
      <c r="O44" s="165">
        <f>K44-M44</f>
        <v>-44.444444444444443</v>
      </c>
      <c r="P44" s="48">
        <f>L44-N44</f>
        <v>-16</v>
      </c>
      <c r="Q44" s="462">
        <f>DATE(YEAR(S44),MONTH(S44)+G44,DAY(S44))</f>
        <v>42996</v>
      </c>
      <c r="R44" s="125" t="s">
        <v>603</v>
      </c>
      <c r="S44" s="20">
        <v>41900</v>
      </c>
      <c r="T44" s="154">
        <v>7259.99</v>
      </c>
      <c r="U44" s="72">
        <v>201.65</v>
      </c>
      <c r="V44" s="154">
        <v>2419.7962222500005</v>
      </c>
      <c r="W44" s="154">
        <v>4840.1937777499988</v>
      </c>
      <c r="X44" s="243">
        <v>201.65</v>
      </c>
      <c r="Y44" s="106">
        <f>X44*5</f>
        <v>1008.25</v>
      </c>
      <c r="Z44" s="258">
        <f>W44-Y44</f>
        <v>3831.9437777499988</v>
      </c>
      <c r="AA44" s="57">
        <v>115.958</v>
      </c>
      <c r="AB44" s="57">
        <v>113.93899999999999</v>
      </c>
      <c r="AC44" s="57">
        <f>AA44/AB44</f>
        <v>1.0177200080744961</v>
      </c>
      <c r="AD44" s="55">
        <f>Z44*M44/100/K44*100/7</f>
        <v>-425.77153086111093</v>
      </c>
      <c r="AE44" s="55">
        <f>AD44*AC44</f>
        <v>-433.31620582586038</v>
      </c>
      <c r="AF44" s="55"/>
      <c r="AG44" s="55"/>
      <c r="AH44" s="55"/>
      <c r="AI44" s="55"/>
      <c r="AJ44" s="55"/>
      <c r="AK44" s="55">
        <f>AE44</f>
        <v>-433.31620582586038</v>
      </c>
      <c r="AL44" s="55">
        <v>144.43873527528677</v>
      </c>
      <c r="AM44" s="55">
        <v>144.43873527528677</v>
      </c>
      <c r="AN44" s="55">
        <v>144.43873527528677</v>
      </c>
      <c r="AO44" s="55">
        <v>144.43873527528677</v>
      </c>
      <c r="AP44" s="55">
        <v>144.43873527528677</v>
      </c>
      <c r="AQ44" s="55">
        <v>144.43873527528677</v>
      </c>
      <c r="AR44" s="55">
        <f>SUM(AF44:AQ44)</f>
        <v>433.31620582586027</v>
      </c>
      <c r="AS44" s="72">
        <f>Z44-AR44</f>
        <v>3398.6275719241385</v>
      </c>
      <c r="AT44" s="55"/>
      <c r="AU44" s="55"/>
      <c r="AV44" s="55">
        <f t="shared" si="3"/>
        <v>144.43873527528677</v>
      </c>
      <c r="AW44" s="55">
        <f t="shared" si="3"/>
        <v>144.43873527528677</v>
      </c>
      <c r="AX44" s="55">
        <f t="shared" si="3"/>
        <v>144.43873527528677</v>
      </c>
      <c r="AY44" s="55">
        <f t="shared" si="3"/>
        <v>144.43873527528677</v>
      </c>
      <c r="AZ44" s="55">
        <f t="shared" si="3"/>
        <v>144.43873527528677</v>
      </c>
      <c r="BA44" s="57">
        <v>118.901</v>
      </c>
      <c r="BB44" s="57">
        <v>113.93899999999999</v>
      </c>
      <c r="BC44" s="57">
        <f>BA44/BB44</f>
        <v>1.0435496186555964</v>
      </c>
      <c r="BD44" s="55">
        <f>T44/(D44*12)</f>
        <v>201.66638888888889</v>
      </c>
      <c r="BE44" s="55">
        <f>BD44*BC44</f>
        <v>210.4488832206512</v>
      </c>
      <c r="BF44" s="55">
        <f t="shared" ref="BF44:BL44" si="15">$BE44</f>
        <v>210.4488832206512</v>
      </c>
      <c r="BG44" s="55">
        <f t="shared" si="15"/>
        <v>210.4488832206512</v>
      </c>
      <c r="BH44" s="55">
        <f t="shared" si="15"/>
        <v>210.4488832206512</v>
      </c>
      <c r="BI44" s="55">
        <f t="shared" si="15"/>
        <v>210.4488832206512</v>
      </c>
      <c r="BJ44" s="55">
        <f t="shared" si="15"/>
        <v>210.4488832206512</v>
      </c>
      <c r="BK44" s="55">
        <f t="shared" si="15"/>
        <v>210.4488832206512</v>
      </c>
      <c r="BL44" s="55">
        <f t="shared" si="15"/>
        <v>210.4488832206512</v>
      </c>
      <c r="BM44" s="55">
        <f>SUM((AV44:AZ44),(BF44:BL44))</f>
        <v>2195.335858920992</v>
      </c>
      <c r="BN44" s="448">
        <f>AS44-BM44</f>
        <v>1203.2917130031465</v>
      </c>
      <c r="BO44" s="55">
        <f>$BE44</f>
        <v>210.4488832206512</v>
      </c>
      <c r="BP44" s="55">
        <f>$BE44</f>
        <v>210.4488832206512</v>
      </c>
      <c r="BQ44" s="55">
        <f>$BE44</f>
        <v>210.4488832206512</v>
      </c>
      <c r="BR44" s="55">
        <f>$BE44</f>
        <v>210.4488832206512</v>
      </c>
      <c r="BS44" s="55">
        <v>0</v>
      </c>
      <c r="BT44" s="55">
        <v>1</v>
      </c>
      <c r="BU44" s="57">
        <v>126.408</v>
      </c>
      <c r="BV44" s="57">
        <v>113.93899999999999</v>
      </c>
      <c r="BW44" s="57">
        <f>BU44/BV44</f>
        <v>1.1094357507087127</v>
      </c>
      <c r="BX44" s="55">
        <f>AM44/(W44*12)</f>
        <v>2.4867932619292471E-3</v>
      </c>
      <c r="BY44" s="55">
        <f>BX44*BW44</f>
        <v>2.7589373494058427E-3</v>
      </c>
      <c r="BZ44" s="55"/>
      <c r="CA44" s="55"/>
      <c r="CB44" s="55"/>
      <c r="CC44" s="55"/>
      <c r="CD44" s="55"/>
      <c r="CE44" s="55"/>
      <c r="CF44" s="55"/>
      <c r="CG44" s="55">
        <f>SUM((BO44:BS44),(BZ44:CF44))</f>
        <v>841.79553288260479</v>
      </c>
      <c r="CH44" s="448">
        <v>1</v>
      </c>
      <c r="CI44" s="57">
        <v>126.408</v>
      </c>
      <c r="CJ44" s="57">
        <v>113.93899999999999</v>
      </c>
      <c r="CK44" s="57">
        <f>CI44/CJ44</f>
        <v>1.1094357507087127</v>
      </c>
      <c r="CL44" s="55">
        <v>0</v>
      </c>
      <c r="CM44" s="55">
        <f>CL44*CK44</f>
        <v>0</v>
      </c>
      <c r="CN44" s="55">
        <v>0</v>
      </c>
      <c r="CO44" s="55">
        <v>0</v>
      </c>
      <c r="CP44" s="55">
        <v>0</v>
      </c>
      <c r="CQ44" s="55">
        <v>0</v>
      </c>
      <c r="CR44" s="55">
        <v>0</v>
      </c>
      <c r="CS44" s="55">
        <v>0</v>
      </c>
      <c r="CT44" s="55">
        <v>0</v>
      </c>
      <c r="CU44" s="55">
        <f>SUM(CN44:CT44)</f>
        <v>0</v>
      </c>
      <c r="CV44" s="448">
        <f>CH44-CU44</f>
        <v>1</v>
      </c>
      <c r="CW44" s="968"/>
      <c r="CX44" s="968">
        <v>0</v>
      </c>
      <c r="CY44" s="968">
        <v>0</v>
      </c>
      <c r="CZ44" s="968">
        <v>0</v>
      </c>
      <c r="DA44" s="505"/>
      <c r="DB44" s="505"/>
      <c r="DC44" s="679">
        <f>CV44-DB44</f>
        <v>1</v>
      </c>
      <c r="DD44" s="511"/>
      <c r="DE44" s="957"/>
      <c r="DF44" s="957"/>
      <c r="DG44" s="511"/>
      <c r="DH44" s="511"/>
      <c r="DI44" s="511"/>
      <c r="DJ44" s="511"/>
      <c r="DK44" s="511"/>
      <c r="DL44" s="511"/>
      <c r="DM44" s="511"/>
      <c r="DN44" s="511"/>
      <c r="DO44" s="511"/>
      <c r="DP44" s="511"/>
      <c r="DQ44" s="511"/>
    </row>
    <row r="45" spans="1:121" s="16" customFormat="1" ht="13.5" x14ac:dyDescent="0.25">
      <c r="A45" s="26" t="s">
        <v>65</v>
      </c>
      <c r="B45" s="26"/>
      <c r="C45" s="58"/>
      <c r="D45" s="75"/>
      <c r="E45" s="28"/>
      <c r="F45" s="11"/>
      <c r="G45" s="58"/>
      <c r="H45" s="145"/>
      <c r="I45" s="165"/>
      <c r="J45" s="48"/>
      <c r="K45" s="165"/>
      <c r="L45" s="48"/>
      <c r="M45" s="165"/>
      <c r="N45" s="48"/>
      <c r="O45" s="165"/>
      <c r="P45" s="48"/>
      <c r="Q45" s="48"/>
      <c r="R45" s="125"/>
      <c r="S45" s="11"/>
      <c r="T45" s="156"/>
      <c r="U45" s="72"/>
      <c r="V45" s="154"/>
      <c r="W45" s="154"/>
      <c r="X45" s="243"/>
      <c r="Y45" s="106"/>
      <c r="Z45" s="257"/>
      <c r="AA45" s="57"/>
      <c r="AB45" s="80"/>
      <c r="AC45" s="57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72"/>
      <c r="AT45" s="55"/>
      <c r="AU45" s="55"/>
      <c r="AV45" s="55">
        <f t="shared" si="3"/>
        <v>0</v>
      </c>
      <c r="AW45" s="55">
        <f t="shared" si="3"/>
        <v>0</v>
      </c>
      <c r="AX45" s="55">
        <f t="shared" si="3"/>
        <v>0</v>
      </c>
      <c r="AY45" s="55">
        <f t="shared" si="3"/>
        <v>0</v>
      </c>
      <c r="AZ45" s="55">
        <f t="shared" si="3"/>
        <v>0</v>
      </c>
      <c r="BA45" s="57"/>
      <c r="BB45" s="80"/>
      <c r="BC45" s="57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448"/>
      <c r="BO45" s="55"/>
      <c r="BP45" s="55"/>
      <c r="BQ45" s="55"/>
      <c r="BR45" s="55"/>
      <c r="BS45" s="55"/>
      <c r="BT45" s="55"/>
      <c r="BU45" s="57"/>
      <c r="BV45" s="80"/>
      <c r="BW45" s="57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448"/>
      <c r="CI45" s="57"/>
      <c r="CJ45" s="80"/>
      <c r="CK45" s="57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448"/>
      <c r="CW45" s="968"/>
      <c r="CX45" s="968"/>
      <c r="CY45" s="968"/>
      <c r="CZ45" s="968"/>
      <c r="DA45" s="505"/>
      <c r="DB45" s="505">
        <f>SUM(CW45:DA45)</f>
        <v>0</v>
      </c>
      <c r="DC45" s="679"/>
      <c r="DD45" s="623"/>
      <c r="DE45" s="957">
        <v>118.77</v>
      </c>
      <c r="DF45" s="957">
        <f>DD45/DE45</f>
        <v>0</v>
      </c>
      <c r="DG45" s="511" t="e">
        <f>DC45/AY45</f>
        <v>#DIV/0!</v>
      </c>
      <c r="DH45" s="511"/>
      <c r="DI45" s="511"/>
      <c r="DJ45" s="511"/>
      <c r="DK45" s="511"/>
      <c r="DL45" s="511"/>
      <c r="DM45" s="511"/>
      <c r="DN45" s="511"/>
      <c r="DO45" s="511"/>
      <c r="DP45" s="511"/>
      <c r="DQ45" s="511"/>
    </row>
    <row r="46" spans="1:121" s="16" customFormat="1" ht="13.5" x14ac:dyDescent="0.25">
      <c r="A46" s="120" t="s">
        <v>418</v>
      </c>
      <c r="B46" s="34"/>
      <c r="C46" s="28"/>
      <c r="D46" s="75"/>
      <c r="E46" s="28"/>
      <c r="F46" s="11"/>
      <c r="G46" s="58"/>
      <c r="H46" s="145"/>
      <c r="I46" s="165"/>
      <c r="J46" s="48"/>
      <c r="K46" s="165"/>
      <c r="L46" s="48"/>
      <c r="M46" s="165"/>
      <c r="N46" s="48"/>
      <c r="O46" s="165"/>
      <c r="P46" s="48"/>
      <c r="Q46" s="48"/>
      <c r="R46" s="125"/>
      <c r="S46" s="11"/>
      <c r="T46" s="156"/>
      <c r="U46" s="72"/>
      <c r="V46" s="154"/>
      <c r="W46" s="154"/>
      <c r="X46" s="243"/>
      <c r="Y46" s="106"/>
      <c r="Z46" s="258"/>
      <c r="AA46" s="57"/>
      <c r="AB46" s="80"/>
      <c r="AC46" s="57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72"/>
      <c r="AT46" s="55"/>
      <c r="AU46" s="55"/>
      <c r="AV46" s="55">
        <f t="shared" si="3"/>
        <v>0</v>
      </c>
      <c r="AW46" s="55">
        <f t="shared" si="3"/>
        <v>0</v>
      </c>
      <c r="AX46" s="55">
        <f t="shared" si="3"/>
        <v>0</v>
      </c>
      <c r="AY46" s="55">
        <f t="shared" si="3"/>
        <v>0</v>
      </c>
      <c r="AZ46" s="55">
        <f t="shared" si="3"/>
        <v>0</v>
      </c>
      <c r="BA46" s="57"/>
      <c r="BB46" s="80"/>
      <c r="BC46" s="57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448"/>
      <c r="BO46" s="55"/>
      <c r="BP46" s="55"/>
      <c r="BQ46" s="55"/>
      <c r="BR46" s="55"/>
      <c r="BS46" s="55"/>
      <c r="BT46" s="55"/>
      <c r="BU46" s="57"/>
      <c r="BV46" s="80"/>
      <c r="BW46" s="57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448"/>
      <c r="CI46" s="57"/>
      <c r="CJ46" s="80"/>
      <c r="CK46" s="57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448"/>
      <c r="CW46" s="968"/>
      <c r="CX46" s="968"/>
      <c r="CY46" s="968"/>
      <c r="CZ46" s="968"/>
      <c r="DA46" s="505"/>
      <c r="DB46" s="505"/>
      <c r="DC46" s="679"/>
      <c r="DD46" s="656"/>
      <c r="DE46" s="957"/>
      <c r="DF46" s="957"/>
      <c r="DG46" s="511"/>
      <c r="DH46" s="511"/>
      <c r="DI46" s="511">
        <v>0</v>
      </c>
      <c r="DJ46" s="511">
        <v>0</v>
      </c>
      <c r="DK46" s="511">
        <v>0</v>
      </c>
      <c r="DL46" s="511">
        <v>0</v>
      </c>
      <c r="DM46" s="511">
        <v>0</v>
      </c>
      <c r="DN46" s="511">
        <v>0</v>
      </c>
      <c r="DO46" s="511">
        <v>0</v>
      </c>
      <c r="DP46" s="511">
        <f>SUM(DI46:DO46)</f>
        <v>0</v>
      </c>
      <c r="DQ46" s="511">
        <f>DJ46-DP46</f>
        <v>0</v>
      </c>
    </row>
    <row r="47" spans="1:121" s="1161" customFormat="1" x14ac:dyDescent="0.2">
      <c r="A47" s="1140" t="s">
        <v>419</v>
      </c>
      <c r="B47" s="1137" t="s">
        <v>420</v>
      </c>
      <c r="C47" s="1137" t="s">
        <v>426</v>
      </c>
      <c r="D47" s="1138">
        <v>10</v>
      </c>
      <c r="E47" s="1139">
        <v>0.1</v>
      </c>
      <c r="F47" s="1140">
        <v>43281</v>
      </c>
      <c r="G47" s="1138">
        <v>120</v>
      </c>
      <c r="H47" s="1141">
        <f>100/G47</f>
        <v>0.83333333333333337</v>
      </c>
      <c r="I47" s="1142">
        <f>H47*J47</f>
        <v>37.5</v>
      </c>
      <c r="J47" s="1143">
        <f>(YEAR(F47)-YEAR(S47))*12+MONTH(F47)-MONTH(S47)</f>
        <v>45</v>
      </c>
      <c r="K47" s="1142">
        <f>L47*H47</f>
        <v>62.5</v>
      </c>
      <c r="L47" s="1143">
        <f>G47-J47</f>
        <v>75</v>
      </c>
      <c r="M47" s="1142">
        <f>N47*H47</f>
        <v>5.8333333333333339</v>
      </c>
      <c r="N47" s="1143">
        <v>7</v>
      </c>
      <c r="O47" s="1142">
        <f>K47-M47</f>
        <v>56.666666666666664</v>
      </c>
      <c r="P47" s="1143">
        <f>L47-N47</f>
        <v>68</v>
      </c>
      <c r="Q47" s="1151">
        <f>DATE(YEAR(S47),MONTH(S47)+G47,DAY(S47))</f>
        <v>45553</v>
      </c>
      <c r="R47" s="1143" t="s">
        <v>603</v>
      </c>
      <c r="S47" s="1140">
        <v>41900</v>
      </c>
      <c r="T47" s="1154">
        <v>2900</v>
      </c>
      <c r="U47" s="1149">
        <v>24.17</v>
      </c>
      <c r="V47" s="1154">
        <v>290.03666666666675</v>
      </c>
      <c r="W47" s="1154">
        <v>2609.9633333333331</v>
      </c>
      <c r="X47" s="1155">
        <v>24.17</v>
      </c>
      <c r="Y47" s="1145">
        <f>X47*5</f>
        <v>120.85000000000001</v>
      </c>
      <c r="Z47" s="1156">
        <f>W47-Y47</f>
        <v>2489.1133333333332</v>
      </c>
      <c r="AA47" s="1146">
        <v>115.958</v>
      </c>
      <c r="AB47" s="1146">
        <v>113.93899999999999</v>
      </c>
      <c r="AC47" s="1146">
        <f>AA47/AB47</f>
        <v>1.0177200080744961</v>
      </c>
      <c r="AD47" s="1148">
        <f>Z47*M47/100/K47*100/7</f>
        <v>33.188177777777774</v>
      </c>
      <c r="AE47" s="1148">
        <f>AD47*AC47</f>
        <v>33.776272555977812</v>
      </c>
      <c r="AF47" s="1148"/>
      <c r="AG47" s="1148"/>
      <c r="AH47" s="1148"/>
      <c r="AI47" s="1148"/>
      <c r="AJ47" s="1148"/>
      <c r="AK47" s="1148">
        <f>AE47</f>
        <v>33.776272555977812</v>
      </c>
      <c r="AL47" s="1148">
        <v>22.821805781066089</v>
      </c>
      <c r="AM47" s="1148">
        <v>22.821805781066089</v>
      </c>
      <c r="AN47" s="1148">
        <v>22.821805781066089</v>
      </c>
      <c r="AO47" s="1148">
        <v>22.821805781066089</v>
      </c>
      <c r="AP47" s="1148">
        <v>22.821805781066089</v>
      </c>
      <c r="AQ47" s="1148">
        <v>22.821805781066089</v>
      </c>
      <c r="AR47" s="1148">
        <f>SUM(AF47:AQ47)</f>
        <v>170.70710724237432</v>
      </c>
      <c r="AS47" s="1149">
        <f>Z47-AR47</f>
        <v>2318.4062260909591</v>
      </c>
      <c r="AT47" s="1148"/>
      <c r="AU47" s="1148"/>
      <c r="AV47" s="1148">
        <f t="shared" si="3"/>
        <v>22.821805781066089</v>
      </c>
      <c r="AW47" s="1148">
        <f t="shared" si="3"/>
        <v>22.821805781066089</v>
      </c>
      <c r="AX47" s="1148">
        <f t="shared" si="3"/>
        <v>22.821805781066089</v>
      </c>
      <c r="AY47" s="1148">
        <f t="shared" si="3"/>
        <v>22.821805781066089</v>
      </c>
      <c r="AZ47" s="1148">
        <f t="shared" si="3"/>
        <v>22.821805781066089</v>
      </c>
      <c r="BA47" s="1146">
        <v>118.901</v>
      </c>
      <c r="BB47" s="1146">
        <v>113.93899999999999</v>
      </c>
      <c r="BC47" s="1146">
        <f>BA47/BB47</f>
        <v>1.0435496186555964</v>
      </c>
      <c r="BD47" s="1148">
        <f>T47/(D47*12)</f>
        <v>24.166666666666668</v>
      </c>
      <c r="BE47" s="1148">
        <f>BD47*BC47</f>
        <v>25.219115784176914</v>
      </c>
      <c r="BF47" s="1148">
        <f t="shared" ref="BF47:BL47" si="16">$BE47</f>
        <v>25.219115784176914</v>
      </c>
      <c r="BG47" s="1148">
        <f t="shared" si="16"/>
        <v>25.219115784176914</v>
      </c>
      <c r="BH47" s="1148">
        <f t="shared" si="16"/>
        <v>25.219115784176914</v>
      </c>
      <c r="BI47" s="1148">
        <f t="shared" si="16"/>
        <v>25.219115784176914</v>
      </c>
      <c r="BJ47" s="1148">
        <f t="shared" si="16"/>
        <v>25.219115784176914</v>
      </c>
      <c r="BK47" s="1148">
        <f t="shared" si="16"/>
        <v>25.219115784176914</v>
      </c>
      <c r="BL47" s="1148">
        <f t="shared" si="16"/>
        <v>25.219115784176914</v>
      </c>
      <c r="BM47" s="1148">
        <f>SUM((AV47:AZ47),(BF47:BL47))</f>
        <v>290.64283939456885</v>
      </c>
      <c r="BN47" s="1150">
        <f>AS47-BM47</f>
        <v>2027.7633866963902</v>
      </c>
      <c r="BO47" s="1148">
        <f>$BE47</f>
        <v>25.219115784176914</v>
      </c>
      <c r="BP47" s="1148">
        <f>$BE47</f>
        <v>25.219115784176914</v>
      </c>
      <c r="BQ47" s="1148">
        <f>$BE47</f>
        <v>25.219115784176914</v>
      </c>
      <c r="BR47" s="1148">
        <f>$BE47</f>
        <v>25.219115784176914</v>
      </c>
      <c r="BS47" s="1148">
        <f>$BE47</f>
        <v>25.219115784176914</v>
      </c>
      <c r="BT47" s="1148">
        <f>SUM(BO47:BS47)</f>
        <v>126.09557892088458</v>
      </c>
      <c r="BU47" s="1146">
        <v>126.408</v>
      </c>
      <c r="BV47" s="1146">
        <v>113.93899999999999</v>
      </c>
      <c r="BW47" s="1146">
        <f>BU47/BV47</f>
        <v>1.1094357507087127</v>
      </c>
      <c r="BX47" s="1148">
        <f>AM47/(W47*12)</f>
        <v>7.2867581093304286E-4</v>
      </c>
      <c r="BY47" s="1148">
        <f>BX47*BW47</f>
        <v>8.0841899532578044E-4</v>
      </c>
      <c r="BZ47" s="1148"/>
      <c r="CA47" s="1148"/>
      <c r="CB47" s="1148"/>
      <c r="CC47" s="1148"/>
      <c r="CD47" s="1148"/>
      <c r="CE47" s="1148"/>
      <c r="CF47" s="1148"/>
      <c r="CG47" s="1148">
        <f>SUM((BO47:BS47),(BZ47:CF47))</f>
        <v>126.09557892088458</v>
      </c>
      <c r="CH47" s="1150">
        <f>BN47-CG47</f>
        <v>1901.6678077755055</v>
      </c>
      <c r="CI47" s="1146">
        <v>126.408</v>
      </c>
      <c r="CJ47" s="1146">
        <v>113.93899999999999</v>
      </c>
      <c r="CK47" s="1146">
        <f>CI47/CJ47</f>
        <v>1.1094357507087127</v>
      </c>
      <c r="CL47" s="1148">
        <f>CH47/N47</f>
        <v>271.66682968221505</v>
      </c>
      <c r="CM47" s="1148">
        <f>CL47*CK47</f>
        <v>301.39689313114422</v>
      </c>
      <c r="CN47" s="1148">
        <v>302.13526957053892</v>
      </c>
      <c r="CO47" s="1148">
        <v>302.13526957053892</v>
      </c>
      <c r="CP47" s="1148">
        <v>302.13526957053892</v>
      </c>
      <c r="CQ47" s="1148">
        <v>302.13526957053892</v>
      </c>
      <c r="CR47" s="1148">
        <v>302.13526957053892</v>
      </c>
      <c r="CS47" s="1148">
        <v>302.13526957053892</v>
      </c>
      <c r="CT47" s="1148">
        <v>90.53</v>
      </c>
      <c r="CU47" s="1148">
        <f>SUM(CN47:CT47)</f>
        <v>1903.3416174232334</v>
      </c>
      <c r="CV47" s="1150">
        <f>CH47-CU47</f>
        <v>-1.6738096477279214</v>
      </c>
      <c r="CW47" s="1157"/>
      <c r="CX47" s="1157">
        <v>1.98</v>
      </c>
      <c r="CY47" s="1157"/>
      <c r="CZ47" s="1157"/>
      <c r="DA47" s="1158"/>
      <c r="DB47" s="1158">
        <f>SUM(CW47:DA47)</f>
        <v>1.98</v>
      </c>
      <c r="DC47" s="1159">
        <f>CV47-DB47</f>
        <v>-3.6538096477279214</v>
      </c>
      <c r="DD47" s="1152"/>
      <c r="DE47" s="1160">
        <v>118.901</v>
      </c>
      <c r="DF47" s="1160">
        <f>DD47/DE47</f>
        <v>0</v>
      </c>
      <c r="DG47" s="1152">
        <f>DC47/AY47</f>
        <v>-0.16010168883126999</v>
      </c>
      <c r="DH47" s="1152"/>
      <c r="DI47" s="1152"/>
      <c r="DJ47" s="1152"/>
      <c r="DK47" s="1152"/>
      <c r="DL47" s="1152"/>
      <c r="DM47" s="1152"/>
      <c r="DN47" s="1152"/>
      <c r="DO47" s="1152"/>
      <c r="DP47" s="1152"/>
      <c r="DQ47" s="1152"/>
    </row>
    <row r="48" spans="1:121" s="16" customFormat="1" x14ac:dyDescent="0.2">
      <c r="A48" s="26" t="s">
        <v>70</v>
      </c>
      <c r="B48" s="26"/>
      <c r="C48" s="29"/>
      <c r="D48" s="27"/>
      <c r="E48" s="27"/>
      <c r="F48" s="21"/>
      <c r="G48" s="6"/>
      <c r="H48" s="145"/>
      <c r="I48" s="165"/>
      <c r="J48" s="48"/>
      <c r="K48" s="165"/>
      <c r="L48" s="48"/>
      <c r="M48" s="165"/>
      <c r="N48" s="48"/>
      <c r="O48" s="165"/>
      <c r="P48" s="48"/>
      <c r="Q48" s="48"/>
      <c r="R48" s="119"/>
      <c r="S48" s="21"/>
      <c r="T48" s="2"/>
      <c r="U48" s="72"/>
      <c r="V48" s="154"/>
      <c r="W48" s="154"/>
      <c r="X48" s="243"/>
      <c r="Y48" s="106"/>
      <c r="Z48" s="257"/>
      <c r="AA48" s="57"/>
      <c r="AB48" s="81"/>
      <c r="AC48" s="57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72"/>
      <c r="AT48" s="55"/>
      <c r="AU48" s="55"/>
      <c r="AV48" s="55">
        <f t="shared" si="3"/>
        <v>0</v>
      </c>
      <c r="AW48" s="55">
        <f t="shared" si="3"/>
        <v>0</v>
      </c>
      <c r="AX48" s="55">
        <f t="shared" si="3"/>
        <v>0</v>
      </c>
      <c r="AY48" s="55">
        <f t="shared" si="3"/>
        <v>0</v>
      </c>
      <c r="AZ48" s="55">
        <f t="shared" si="3"/>
        <v>0</v>
      </c>
      <c r="BA48" s="57"/>
      <c r="BB48" s="81"/>
      <c r="BC48" s="57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448"/>
      <c r="BO48" s="55"/>
      <c r="BP48" s="55"/>
      <c r="BQ48" s="55"/>
      <c r="BR48" s="55"/>
      <c r="BS48" s="55"/>
      <c r="BT48" s="55"/>
      <c r="BU48" s="57"/>
      <c r="BV48" s="81"/>
      <c r="BW48" s="57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448"/>
      <c r="CI48" s="57"/>
      <c r="CJ48" s="81"/>
      <c r="CK48" s="57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448"/>
      <c r="CW48" s="968"/>
      <c r="CX48" s="968"/>
      <c r="CY48" s="968"/>
      <c r="CZ48" s="968"/>
      <c r="DA48" s="505"/>
      <c r="DB48" s="505"/>
      <c r="DC48" s="679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</row>
    <row r="49" spans="1:121" s="16" customFormat="1" x14ac:dyDescent="0.2">
      <c r="A49" s="120" t="s">
        <v>258</v>
      </c>
      <c r="B49" s="29"/>
      <c r="C49" s="29"/>
      <c r="D49" s="27"/>
      <c r="E49" s="27"/>
      <c r="F49" s="20"/>
      <c r="G49" s="8"/>
      <c r="H49" s="145"/>
      <c r="I49" s="165"/>
      <c r="J49" s="48"/>
      <c r="K49" s="165"/>
      <c r="L49" s="48"/>
      <c r="M49" s="165"/>
      <c r="N49" s="48"/>
      <c r="O49" s="165"/>
      <c r="P49" s="48"/>
      <c r="Q49" s="48"/>
      <c r="R49" s="125"/>
      <c r="S49" s="20"/>
      <c r="T49" s="14"/>
      <c r="U49" s="72"/>
      <c r="V49" s="154"/>
      <c r="W49" s="154"/>
      <c r="X49" s="243"/>
      <c r="Y49" s="106"/>
      <c r="Z49" s="258"/>
      <c r="AA49" s="57"/>
      <c r="AB49" s="82"/>
      <c r="AC49" s="57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72"/>
      <c r="AT49" s="55"/>
      <c r="AU49" s="55"/>
      <c r="AV49" s="55">
        <f t="shared" si="3"/>
        <v>0</v>
      </c>
      <c r="AW49" s="55">
        <f t="shared" si="3"/>
        <v>0</v>
      </c>
      <c r="AX49" s="55">
        <f t="shared" si="3"/>
        <v>0</v>
      </c>
      <c r="AY49" s="55">
        <f t="shared" si="3"/>
        <v>0</v>
      </c>
      <c r="AZ49" s="55">
        <f t="shared" si="3"/>
        <v>0</v>
      </c>
      <c r="BA49" s="57"/>
      <c r="BB49" s="82"/>
      <c r="BC49" s="57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448"/>
      <c r="BO49" s="55"/>
      <c r="BP49" s="55"/>
      <c r="BQ49" s="55"/>
      <c r="BR49" s="55"/>
      <c r="BS49" s="55"/>
      <c r="BT49" s="55"/>
      <c r="BU49" s="57"/>
      <c r="BV49" s="82"/>
      <c r="BW49" s="57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448"/>
      <c r="CI49" s="57"/>
      <c r="CJ49" s="82"/>
      <c r="CK49" s="57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448"/>
      <c r="CW49" s="968"/>
      <c r="CX49" s="968"/>
      <c r="CY49" s="968"/>
      <c r="CZ49" s="968"/>
      <c r="DA49" s="505"/>
      <c r="DB49" s="505"/>
      <c r="DC49" s="679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</row>
    <row r="50" spans="1:121" s="16" customFormat="1" x14ac:dyDescent="0.2">
      <c r="A50" s="58" t="s">
        <v>424</v>
      </c>
      <c r="B50" s="45" t="s">
        <v>425</v>
      </c>
      <c r="C50" s="45" t="s">
        <v>426</v>
      </c>
      <c r="D50" s="58">
        <v>3</v>
      </c>
      <c r="E50" s="30">
        <v>0.33329999999999999</v>
      </c>
      <c r="F50" s="46">
        <v>43281</v>
      </c>
      <c r="G50" s="8">
        <v>36</v>
      </c>
      <c r="H50" s="145">
        <f>100/G50</f>
        <v>2.7777777777777777</v>
      </c>
      <c r="I50" s="165">
        <f>H50*J50</f>
        <v>125</v>
      </c>
      <c r="J50" s="48">
        <f>(YEAR(F50)-YEAR(S50))*12+MONTH(F50)-MONTH(S50)</f>
        <v>45</v>
      </c>
      <c r="K50" s="165">
        <f>L50*H50</f>
        <v>-25</v>
      </c>
      <c r="L50" s="48">
        <f>G50-J50</f>
        <v>-9</v>
      </c>
      <c r="M50" s="165">
        <f>N50*H50</f>
        <v>19.444444444444443</v>
      </c>
      <c r="N50" s="48">
        <v>7</v>
      </c>
      <c r="O50" s="165">
        <f>K50-M50</f>
        <v>-44.444444444444443</v>
      </c>
      <c r="P50" s="48">
        <f>L50-N50</f>
        <v>-16</v>
      </c>
      <c r="Q50" s="462">
        <f>DATE(YEAR(S50),MONTH(S50)+G50,DAY(S50))</f>
        <v>42996</v>
      </c>
      <c r="R50" s="125" t="s">
        <v>603</v>
      </c>
      <c r="S50" s="20">
        <v>41900</v>
      </c>
      <c r="T50" s="47">
        <v>650.08000000000004</v>
      </c>
      <c r="U50" s="72">
        <v>18.059999999999999</v>
      </c>
      <c r="V50" s="154">
        <v>216.71597200000002</v>
      </c>
      <c r="W50" s="154">
        <v>433.36402800000002</v>
      </c>
      <c r="X50" s="243">
        <v>18.059999999999999</v>
      </c>
      <c r="Y50" s="106">
        <f>X50*5</f>
        <v>90.3</v>
      </c>
      <c r="Z50" s="258">
        <f>W50-Y50</f>
        <v>343.06402800000001</v>
      </c>
      <c r="AA50" s="57">
        <v>115.958</v>
      </c>
      <c r="AB50" s="57">
        <v>113.93899999999999</v>
      </c>
      <c r="AC50" s="57">
        <f>AA50/AB50</f>
        <v>1.0177200080744961</v>
      </c>
      <c r="AD50" s="55">
        <f>Z50*M50/100/K50*100/7</f>
        <v>-38.118225333333328</v>
      </c>
      <c r="AE50" s="55">
        <f>AD50*AC50</f>
        <v>-38.79368059402546</v>
      </c>
      <c r="AF50" s="55"/>
      <c r="AG50" s="55"/>
      <c r="AH50" s="55"/>
      <c r="AI50" s="55"/>
      <c r="AJ50" s="55"/>
      <c r="AK50" s="55">
        <f>AE50</f>
        <v>-38.79368059402546</v>
      </c>
      <c r="AL50" s="55">
        <v>12.931226864675153</v>
      </c>
      <c r="AM50" s="55">
        <v>12.931226864675153</v>
      </c>
      <c r="AN50" s="55">
        <v>12.931226864675153</v>
      </c>
      <c r="AO50" s="55">
        <v>12.931226864675153</v>
      </c>
      <c r="AP50" s="55">
        <v>12.931226864675153</v>
      </c>
      <c r="AQ50" s="55">
        <v>12.931226864675153</v>
      </c>
      <c r="AR50" s="55">
        <f>SUM(AF50:AQ50)</f>
        <v>38.79368059402546</v>
      </c>
      <c r="AS50" s="72">
        <f>Z50-AR50</f>
        <v>304.27034740597458</v>
      </c>
      <c r="AT50" s="55"/>
      <c r="AU50" s="55"/>
      <c r="AV50" s="55">
        <f t="shared" si="3"/>
        <v>12.931226864675153</v>
      </c>
      <c r="AW50" s="55">
        <f t="shared" si="3"/>
        <v>12.931226864675153</v>
      </c>
      <c r="AX50" s="55">
        <f t="shared" si="3"/>
        <v>12.931226864675153</v>
      </c>
      <c r="AY50" s="55">
        <f t="shared" si="3"/>
        <v>12.931226864675153</v>
      </c>
      <c r="AZ50" s="55">
        <f t="shared" si="3"/>
        <v>12.931226864675153</v>
      </c>
      <c r="BA50" s="57">
        <v>118.901</v>
      </c>
      <c r="BB50" s="57">
        <v>113.93899999999999</v>
      </c>
      <c r="BC50" s="57">
        <f>BA50/BB50</f>
        <v>1.0435496186555964</v>
      </c>
      <c r="BD50" s="55">
        <f>T50/(D50*12)</f>
        <v>18.05777777777778</v>
      </c>
      <c r="BE50" s="55">
        <f>BD50*BC50</f>
        <v>18.844187113767504</v>
      </c>
      <c r="BF50" s="55">
        <f t="shared" ref="BF50:BL50" si="17">$BE50</f>
        <v>18.844187113767504</v>
      </c>
      <c r="BG50" s="55">
        <f t="shared" si="17"/>
        <v>18.844187113767504</v>
      </c>
      <c r="BH50" s="55">
        <f t="shared" si="17"/>
        <v>18.844187113767504</v>
      </c>
      <c r="BI50" s="55">
        <f t="shared" si="17"/>
        <v>18.844187113767504</v>
      </c>
      <c r="BJ50" s="55">
        <f t="shared" si="17"/>
        <v>18.844187113767504</v>
      </c>
      <c r="BK50" s="55">
        <f t="shared" si="17"/>
        <v>18.844187113767504</v>
      </c>
      <c r="BL50" s="55">
        <f t="shared" si="17"/>
        <v>18.844187113767504</v>
      </c>
      <c r="BM50" s="55">
        <f>SUM((AV50:AZ50),(BF50:BL50))</f>
        <v>196.56544411974829</v>
      </c>
      <c r="BN50" s="448">
        <f>AS50-BM50</f>
        <v>107.70490328622628</v>
      </c>
      <c r="BO50" s="55">
        <f>$BE50</f>
        <v>18.844187113767504</v>
      </c>
      <c r="BP50" s="55">
        <f>$BE50</f>
        <v>18.844187113767504</v>
      </c>
      <c r="BQ50" s="55">
        <f>$BE50</f>
        <v>18.844187113767504</v>
      </c>
      <c r="BR50" s="55">
        <f>$BE50</f>
        <v>18.844187113767504</v>
      </c>
      <c r="BS50" s="55">
        <v>0</v>
      </c>
      <c r="BT50" s="55">
        <v>1</v>
      </c>
      <c r="BU50" s="57">
        <v>126.408</v>
      </c>
      <c r="BV50" s="57">
        <v>113.93899999999999</v>
      </c>
      <c r="BW50" s="57">
        <f>BU50/BV50</f>
        <v>1.1094357507087127</v>
      </c>
      <c r="BX50" s="55">
        <f>AM50/(W50*12)</f>
        <v>2.486598261734196E-3</v>
      </c>
      <c r="BY50" s="55">
        <f>BX50*BW50</f>
        <v>2.7587210092180577E-3</v>
      </c>
      <c r="BZ50" s="55"/>
      <c r="CA50" s="55"/>
      <c r="CB50" s="55"/>
      <c r="CC50" s="55"/>
      <c r="CD50" s="55"/>
      <c r="CE50" s="55"/>
      <c r="CF50" s="55"/>
      <c r="CG50" s="55">
        <f>SUM((BO50:BS50),(BZ50:CF50))</f>
        <v>75.376748455070015</v>
      </c>
      <c r="CH50" s="448">
        <v>1</v>
      </c>
      <c r="CI50" s="57">
        <v>126.408</v>
      </c>
      <c r="CJ50" s="57">
        <v>113.93899999999999</v>
      </c>
      <c r="CK50" s="57">
        <f>CI50/CJ50</f>
        <v>1.1094357507087127</v>
      </c>
      <c r="CL50" s="55">
        <v>0</v>
      </c>
      <c r="CM50" s="55">
        <v>0</v>
      </c>
      <c r="CN50" s="55">
        <v>0</v>
      </c>
      <c r="CO50" s="55">
        <v>0</v>
      </c>
      <c r="CP50" s="55">
        <v>0</v>
      </c>
      <c r="CQ50" s="55">
        <v>0</v>
      </c>
      <c r="CR50" s="55">
        <v>0</v>
      </c>
      <c r="CS50" s="55">
        <v>0</v>
      </c>
      <c r="CT50" s="55">
        <v>0</v>
      </c>
      <c r="CU50" s="55">
        <f>SUM(CN50:CT50)</f>
        <v>0</v>
      </c>
      <c r="CV50" s="448">
        <f>CH50-CU50</f>
        <v>1</v>
      </c>
      <c r="CW50" s="968"/>
      <c r="CX50" s="968">
        <v>0</v>
      </c>
      <c r="CY50" s="968">
        <v>0</v>
      </c>
      <c r="CZ50" s="968">
        <v>0</v>
      </c>
      <c r="DA50" s="505"/>
      <c r="DB50" s="505">
        <f>SUM(CW50:DA50)</f>
        <v>0</v>
      </c>
      <c r="DC50" s="679">
        <f>CV50-DB50</f>
        <v>1</v>
      </c>
      <c r="DD50" s="956"/>
      <c r="DE50" s="957">
        <v>118.051</v>
      </c>
      <c r="DF50" s="957">
        <f>DD50/DE50</f>
        <v>0</v>
      </c>
      <c r="DG50" s="511">
        <f>DC50/AY50</f>
        <v>7.7332182821086184E-2</v>
      </c>
      <c r="DH50" s="511">
        <f>DG50*DF50</f>
        <v>0</v>
      </c>
      <c r="DI50" s="511"/>
      <c r="DJ50" s="511"/>
      <c r="DK50" s="511"/>
      <c r="DL50" s="511"/>
      <c r="DM50" s="511"/>
      <c r="DN50" s="511"/>
      <c r="DO50" s="511">
        <v>0</v>
      </c>
      <c r="DP50" s="511"/>
      <c r="DQ50" s="756"/>
    </row>
    <row r="51" spans="1:121" ht="15" x14ac:dyDescent="0.2">
      <c r="R51" s="175"/>
      <c r="V51" s="254"/>
      <c r="W51" s="254"/>
      <c r="Y51" s="237"/>
      <c r="AD51" s="195"/>
      <c r="AE51" s="195"/>
      <c r="AF51" s="195">
        <f>SUM(AF33:AF50)</f>
        <v>0</v>
      </c>
      <c r="AG51" s="195">
        <f>SUM(AG33:AG50)</f>
        <v>0</v>
      </c>
      <c r="AH51" s="195">
        <f>SUM(AH33:AH50)</f>
        <v>0</v>
      </c>
      <c r="AI51" s="195">
        <f>SUM(AI33:AI50)</f>
        <v>0</v>
      </c>
      <c r="AJ51" s="195">
        <f>SUM(AJ33:AJ50)</f>
        <v>0</v>
      </c>
      <c r="AK51" s="195">
        <f t="shared" ref="AK51:AS51" si="18">SUM(AK15:AK50)</f>
        <v>-1984.7825687460406</v>
      </c>
      <c r="AL51" s="195"/>
      <c r="AM51" s="195"/>
      <c r="AN51" s="195"/>
      <c r="AO51" s="195"/>
      <c r="AP51" s="195">
        <f t="shared" si="18"/>
        <v>1072.0937071485866</v>
      </c>
      <c r="AQ51" s="290">
        <f t="shared" si="18"/>
        <v>1072.0937071485866</v>
      </c>
      <c r="AR51" s="195">
        <f t="shared" si="18"/>
        <v>4447.7796741454786</v>
      </c>
      <c r="AS51" s="195">
        <f t="shared" si="18"/>
        <v>46683.305047854526</v>
      </c>
      <c r="AV51" s="13">
        <f>SUM(AV14:AV50)</f>
        <v>1072.0937071485866</v>
      </c>
      <c r="AW51" s="13">
        <f>SUM(AW14:AW50)</f>
        <v>1072.0937071485866</v>
      </c>
      <c r="AX51" s="13">
        <f>SUM(AX14:AX50)</f>
        <v>1072.0937071485866</v>
      </c>
      <c r="AY51" s="13">
        <f>SUM(AY14:AY50)</f>
        <v>1072.0937071485866</v>
      </c>
      <c r="AZ51" s="13">
        <f>SUM(AZ14:AZ50)</f>
        <v>1072.0937071485866</v>
      </c>
      <c r="BD51" s="195"/>
      <c r="BE51" s="195"/>
      <c r="BF51" s="290">
        <f t="shared" ref="BF51:BL51" si="19">SUM(BF14:BF50)</f>
        <v>1465.2861960778716</v>
      </c>
      <c r="BG51" s="290">
        <f t="shared" si="19"/>
        <v>1465.2861960778716</v>
      </c>
      <c r="BH51" s="290">
        <f t="shared" si="19"/>
        <v>1465.2861960778716</v>
      </c>
      <c r="BI51" s="290">
        <f t="shared" si="19"/>
        <v>1465.2861960778716</v>
      </c>
      <c r="BJ51" s="290">
        <f t="shared" si="19"/>
        <v>1465.2861960778716</v>
      </c>
      <c r="BK51" s="290">
        <f t="shared" si="19"/>
        <v>1465.2861960778716</v>
      </c>
      <c r="BL51" s="290">
        <f t="shared" si="19"/>
        <v>1465.2861960778716</v>
      </c>
      <c r="BM51" s="459">
        <f>SUM(AV51:BL51)</f>
        <v>15617.471908288037</v>
      </c>
      <c r="BN51" s="460">
        <f>(AS51-BM51)</f>
        <v>31065.83313956649</v>
      </c>
      <c r="BO51" s="13">
        <f t="shared" ref="BO51:BT51" si="20">SUM(BO14:BO50)</f>
        <v>1465.2861960778716</v>
      </c>
      <c r="BP51" s="13">
        <f t="shared" si="20"/>
        <v>1465.2861960778716</v>
      </c>
      <c r="BQ51" s="13">
        <f t="shared" si="20"/>
        <v>1465.2867520210616</v>
      </c>
      <c r="BR51" s="13">
        <f t="shared" si="20"/>
        <v>1465.2867520210616</v>
      </c>
      <c r="BS51" s="13">
        <f t="shared" si="20"/>
        <v>2.1298145345315831</v>
      </c>
      <c r="BT51" s="13">
        <f t="shared" si="20"/>
        <v>1526.799072672658</v>
      </c>
      <c r="BX51" s="195"/>
      <c r="BY51" s="195"/>
      <c r="BZ51" s="290">
        <f t="shared" ref="BZ51:CF51" si="21">SUM(BZ14:BZ50)</f>
        <v>0</v>
      </c>
      <c r="CA51" s="290">
        <f t="shared" si="21"/>
        <v>0</v>
      </c>
      <c r="CB51" s="290">
        <f t="shared" si="21"/>
        <v>0</v>
      </c>
      <c r="CC51" s="290">
        <f t="shared" si="21"/>
        <v>0</v>
      </c>
      <c r="CD51" s="290">
        <f t="shared" si="21"/>
        <v>0</v>
      </c>
      <c r="CE51" s="290">
        <f t="shared" si="21"/>
        <v>0</v>
      </c>
      <c r="CF51" s="290">
        <f t="shared" si="21"/>
        <v>0</v>
      </c>
      <c r="CG51" s="459">
        <f>SUM(BO51:CF51)</f>
        <v>7390.0747834050562</v>
      </c>
      <c r="CH51" s="460">
        <f>SUM(CH13:CH50)</f>
        <v>22913.585864493543</v>
      </c>
      <c r="CL51" s="195"/>
      <c r="CM51" s="290">
        <f t="shared" ref="CM51:CT51" si="22">SUM(CM14:CM50)</f>
        <v>3630.3251212853243</v>
      </c>
      <c r="CN51" s="290">
        <f t="shared" si="22"/>
        <v>3639.2188467055416</v>
      </c>
      <c r="CO51" s="290">
        <f t="shared" si="22"/>
        <v>3639.2188467055416</v>
      </c>
      <c r="CP51" s="290">
        <f t="shared" si="22"/>
        <v>3639.2188467055416</v>
      </c>
      <c r="CQ51" s="290">
        <f t="shared" si="22"/>
        <v>3639.2188467055416</v>
      </c>
      <c r="CR51" s="290">
        <f>SUM(CR14:CR50)</f>
        <v>3639.2188467055416</v>
      </c>
      <c r="CS51" s="524">
        <f t="shared" si="22"/>
        <v>3639.2188467055416</v>
      </c>
      <c r="CT51" s="524">
        <f t="shared" si="22"/>
        <v>1116.3999999999999</v>
      </c>
      <c r="CU51" s="459">
        <f>SUM(CU13:CU50)</f>
        <v>22951.71308023325</v>
      </c>
      <c r="CV51" s="1009">
        <f>SUM(CV13:CV50)</f>
        <v>-34.527105144004167</v>
      </c>
      <c r="CW51" s="1009">
        <f t="shared" ref="CW51:DB51" si="23">SUM(CW13:CW50)</f>
        <v>0</v>
      </c>
      <c r="CX51" s="1009">
        <f t="shared" si="23"/>
        <v>1.98</v>
      </c>
      <c r="CY51" s="1009">
        <f>SUM(CY13:CY50)</f>
        <v>0</v>
      </c>
      <c r="CZ51" s="1009">
        <f>SUM(CZ13:CZ50)</f>
        <v>0</v>
      </c>
      <c r="DA51" s="1009">
        <f t="shared" si="23"/>
        <v>0</v>
      </c>
      <c r="DB51" s="1009">
        <f t="shared" si="23"/>
        <v>1.98</v>
      </c>
      <c r="DC51" s="679">
        <f>SUM(DC13:DC50)</f>
        <v>-36.507105144004164</v>
      </c>
      <c r="DD51" s="958"/>
      <c r="DE51" s="1016"/>
      <c r="DF51" s="1016"/>
      <c r="DG51" s="958"/>
      <c r="DH51" s="958"/>
      <c r="DI51" s="958"/>
      <c r="DJ51" s="958"/>
      <c r="DK51" s="958"/>
      <c r="DL51" s="958"/>
      <c r="DM51" s="958"/>
      <c r="DN51" s="958"/>
      <c r="DO51" s="958"/>
      <c r="DP51" s="958"/>
      <c r="DQ51" s="958"/>
    </row>
    <row r="52" spans="1:121" s="104" customFormat="1" x14ac:dyDescent="0.2">
      <c r="A52" s="110" t="s">
        <v>315</v>
      </c>
      <c r="B52" s="87"/>
      <c r="C52" s="87"/>
      <c r="D52" s="88"/>
      <c r="E52" s="88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9"/>
      <c r="S52" s="89"/>
      <c r="T52" s="90"/>
      <c r="U52" s="90"/>
      <c r="V52" s="90"/>
      <c r="W52" s="90"/>
      <c r="X52" s="90"/>
      <c r="Z52"/>
      <c r="AA52"/>
      <c r="AB52" s="77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 s="69"/>
      <c r="BA52"/>
      <c r="BB52" s="77"/>
      <c r="BC52"/>
      <c r="BD52"/>
      <c r="BE52"/>
      <c r="BN52" s="104">
        <f>BN51-BO51-CG51</f>
        <v>22210.472160083562</v>
      </c>
      <c r="BU52"/>
      <c r="BV52" s="77"/>
      <c r="BW52"/>
      <c r="BX52"/>
      <c r="BY52"/>
      <c r="CI52"/>
      <c r="CJ52" s="77"/>
      <c r="CK52"/>
      <c r="CL52"/>
      <c r="CM52"/>
      <c r="CW52" s="971"/>
      <c r="CX52" s="971"/>
      <c r="CY52" s="971"/>
      <c r="CZ52" s="971"/>
      <c r="DA52" s="971"/>
      <c r="DB52" s="971"/>
      <c r="DC52" s="990">
        <f>CV51-DB51</f>
        <v>-36.507105144004164</v>
      </c>
      <c r="DD52" s="991"/>
      <c r="DE52" s="1016">
        <v>118.77</v>
      </c>
      <c r="DF52" s="1016">
        <f>DD52/DE52</f>
        <v>0</v>
      </c>
      <c r="DG52" s="958" t="e">
        <f>DC52/AY52</f>
        <v>#DIV/0!</v>
      </c>
      <c r="DH52" s="958"/>
      <c r="DI52" s="958"/>
      <c r="DJ52" s="958"/>
      <c r="DK52" s="958"/>
      <c r="DL52" s="958"/>
      <c r="DM52" s="958"/>
      <c r="DN52" s="958"/>
      <c r="DO52" s="958"/>
      <c r="DP52" s="958"/>
      <c r="DQ52" s="958"/>
    </row>
    <row r="53" spans="1:121" s="104" customFormat="1" x14ac:dyDescent="0.2">
      <c r="A53" s="238" t="s">
        <v>568</v>
      </c>
      <c r="B53" s="239"/>
      <c r="C53" s="239"/>
      <c r="D53" s="240"/>
      <c r="E53" s="240"/>
      <c r="F53"/>
      <c r="G53"/>
      <c r="H53"/>
      <c r="I53"/>
      <c r="J53"/>
      <c r="K53"/>
      <c r="L53"/>
      <c r="M53"/>
      <c r="N53"/>
      <c r="O53"/>
      <c r="P53"/>
      <c r="Q53"/>
      <c r="R53" s="19"/>
      <c r="S53" s="19"/>
      <c r="T53" s="12"/>
      <c r="U53" s="12"/>
      <c r="V53" s="12"/>
      <c r="W53" s="12"/>
      <c r="X53" s="12"/>
      <c r="Z53"/>
      <c r="AA53"/>
      <c r="AB53" s="85"/>
      <c r="AC53"/>
      <c r="AD53"/>
      <c r="AE53" s="12"/>
      <c r="AF53"/>
      <c r="AG53"/>
      <c r="AH53"/>
      <c r="AI53"/>
      <c r="AJ53"/>
      <c r="AK53"/>
      <c r="AL53"/>
      <c r="AM53"/>
      <c r="AN53"/>
      <c r="AO53"/>
      <c r="AP53"/>
      <c r="AQ53"/>
      <c r="AR53" s="255"/>
      <c r="AS53" s="69"/>
      <c r="BA53"/>
      <c r="BB53" s="85"/>
      <c r="BC53"/>
      <c r="BD53"/>
      <c r="BE53" s="12"/>
      <c r="BU53"/>
      <c r="BV53" s="85"/>
      <c r="BW53"/>
      <c r="BX53"/>
      <c r="BY53" s="12"/>
      <c r="CI53"/>
      <c r="CJ53" s="85"/>
      <c r="CK53"/>
      <c r="CL53"/>
      <c r="CM53" s="12"/>
      <c r="CV53" s="104">
        <f>CH51-CU51</f>
        <v>-38.127215739707026</v>
      </c>
      <c r="CW53" s="971"/>
      <c r="CX53" s="971"/>
      <c r="CY53" s="971"/>
      <c r="CZ53" s="971"/>
      <c r="DA53" s="971"/>
      <c r="DB53" s="971"/>
      <c r="DC53" s="993"/>
      <c r="DD53" s="959"/>
      <c r="DE53" s="1016"/>
      <c r="DF53" s="1016"/>
      <c r="DG53" s="958"/>
      <c r="DH53" s="958"/>
      <c r="DI53" s="958">
        <v>0</v>
      </c>
      <c r="DJ53" s="958">
        <v>0</v>
      </c>
      <c r="DK53" s="958">
        <v>0</v>
      </c>
      <c r="DL53" s="958">
        <v>0</v>
      </c>
      <c r="DM53" s="958">
        <v>0</v>
      </c>
      <c r="DN53" s="958">
        <v>0</v>
      </c>
      <c r="DO53" s="958">
        <v>0</v>
      </c>
      <c r="DP53" s="958">
        <f>SUM(DI53:DO53)</f>
        <v>0</v>
      </c>
      <c r="DQ53" s="958">
        <f>DJ53-DP53</f>
        <v>0</v>
      </c>
    </row>
    <row r="54" spans="1:121" ht="30.75" hidden="1" customHeight="1" x14ac:dyDescent="0.2">
      <c r="A54" s="1271" t="s">
        <v>462</v>
      </c>
      <c r="B54" s="1271"/>
      <c r="C54" s="1271"/>
      <c r="D54" s="1271"/>
      <c r="E54" s="1271"/>
      <c r="F54" s="1271"/>
      <c r="G54" s="1271"/>
      <c r="H54" s="1271"/>
      <c r="I54" s="1271"/>
      <c r="J54" s="1271"/>
      <c r="K54" s="1271"/>
      <c r="L54" s="1271"/>
      <c r="M54" s="1271"/>
      <c r="N54" s="1271"/>
      <c r="O54" s="1271"/>
      <c r="P54" s="1271"/>
      <c r="Q54" s="1271"/>
      <c r="R54" s="1271"/>
      <c r="S54" s="1271"/>
      <c r="T54" s="1271"/>
      <c r="U54" s="1271"/>
      <c r="V54" s="1271"/>
      <c r="W54" s="1271"/>
      <c r="X54" s="1271"/>
      <c r="Y54" s="1271"/>
      <c r="Z54" s="1271"/>
      <c r="AA54" s="1271"/>
      <c r="AB54" s="171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BB54" s="171"/>
      <c r="BC54" s="170"/>
      <c r="BD54" s="170"/>
      <c r="BE54" s="170"/>
      <c r="BV54" s="171"/>
      <c r="BW54" s="170"/>
      <c r="BX54" s="170"/>
      <c r="BY54" s="170"/>
      <c r="CJ54" s="171"/>
      <c r="CK54" s="170"/>
      <c r="CL54" s="170"/>
      <c r="CM54" s="170"/>
      <c r="CW54" s="1010">
        <v>90.693669663557642</v>
      </c>
      <c r="CX54" s="1010">
        <v>90.693669663557642</v>
      </c>
      <c r="CY54" s="1011"/>
      <c r="CZ54" s="1011"/>
      <c r="DA54" s="1011"/>
      <c r="DB54" s="1011">
        <f>SUM(CW54:DA54)</f>
        <v>181.38733932711528</v>
      </c>
      <c r="DC54" s="1012">
        <f>CV54-DB54</f>
        <v>-181.38733932711528</v>
      </c>
      <c r="DD54" s="1013"/>
      <c r="DE54" s="1014">
        <v>118.901</v>
      </c>
      <c r="DF54" s="1014">
        <f>DD54/DE54</f>
        <v>0</v>
      </c>
      <c r="DG54" s="1015" t="e">
        <f>DC54/AY54</f>
        <v>#DIV/0!</v>
      </c>
      <c r="DH54" s="1015"/>
      <c r="DI54" s="1015"/>
      <c r="DJ54" s="1015"/>
      <c r="DK54" s="1015"/>
      <c r="DL54" s="1015"/>
      <c r="DM54" s="1015"/>
      <c r="DN54" s="1015"/>
      <c r="DO54" s="1015"/>
      <c r="DP54" s="1015"/>
      <c r="DQ54" s="1015"/>
    </row>
    <row r="55" spans="1:121" hidden="1" x14ac:dyDescent="0.2">
      <c r="A55" s="1271"/>
      <c r="B55" s="1271"/>
      <c r="C55" s="1271"/>
      <c r="D55" s="1271"/>
      <c r="E55" s="1271"/>
      <c r="F55" s="1271"/>
      <c r="G55" s="1271"/>
      <c r="H55" s="1271"/>
      <c r="I55" s="1271"/>
      <c r="J55" s="1271"/>
      <c r="K55" s="1271"/>
      <c r="L55" s="1271"/>
      <c r="M55" s="1271"/>
      <c r="N55" s="1271"/>
      <c r="O55" s="1271"/>
      <c r="P55" s="1271"/>
      <c r="Q55" s="1271"/>
      <c r="R55" s="1271"/>
      <c r="S55" s="1271"/>
      <c r="T55" s="1271"/>
      <c r="U55" s="1271"/>
      <c r="V55" s="1271"/>
      <c r="W55" s="1271"/>
      <c r="X55" s="1271"/>
      <c r="Y55" s="1271"/>
      <c r="Z55" s="1271"/>
      <c r="AA55" s="1271"/>
    </row>
  </sheetData>
  <mergeCells count="42">
    <mergeCell ref="DQ11:DQ12"/>
    <mergeCell ref="DB11:DB12"/>
    <mergeCell ref="DC11:DC12"/>
    <mergeCell ref="DG11:DG12"/>
    <mergeCell ref="DH11:DH12"/>
    <mergeCell ref="DP11:DP12"/>
    <mergeCell ref="CM11:CM12"/>
    <mergeCell ref="CU11:CU12"/>
    <mergeCell ref="BE11:BE12"/>
    <mergeCell ref="A54:AA55"/>
    <mergeCell ref="R11:R12"/>
    <mergeCell ref="S11:S12"/>
    <mergeCell ref="T11:T12"/>
    <mergeCell ref="V11:V12"/>
    <mergeCell ref="W11:W12"/>
    <mergeCell ref="Y11:Y12"/>
    <mergeCell ref="J11:J12"/>
    <mergeCell ref="K11:K12"/>
    <mergeCell ref="L11:L12"/>
    <mergeCell ref="M11:M12"/>
    <mergeCell ref="O11:O12"/>
    <mergeCell ref="A11:A12"/>
    <mergeCell ref="D10:P10"/>
    <mergeCell ref="H11:H12"/>
    <mergeCell ref="I11:I12"/>
    <mergeCell ref="Z11:Z12"/>
    <mergeCell ref="AD11:AD12"/>
    <mergeCell ref="R10:U10"/>
    <mergeCell ref="W10:BD10"/>
    <mergeCell ref="BD11:BD12"/>
    <mergeCell ref="E11:E12"/>
    <mergeCell ref="F11:F12"/>
    <mergeCell ref="G11:G12"/>
    <mergeCell ref="AT11:AT12"/>
    <mergeCell ref="AU11:AU12"/>
    <mergeCell ref="AE11:AE12"/>
    <mergeCell ref="Q11:Q12"/>
    <mergeCell ref="BT11:BT12"/>
    <mergeCell ref="B11:B12"/>
    <mergeCell ref="BX11:BX12"/>
    <mergeCell ref="BY11:BY12"/>
    <mergeCell ref="CL11:CL12"/>
  </mergeCells>
  <printOptions horizontalCentered="1"/>
  <pageMargins left="0.19685039370078741" right="0.19685039370078741" top="0.39370078740157483" bottom="0.39370078740157483" header="0" footer="0"/>
  <pageSetup scale="45" orientation="landscape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DV144"/>
  <sheetViews>
    <sheetView topLeftCell="D17" zoomScaleNormal="100" workbookViewId="0">
      <selection activeCell="DT51" sqref="DT51"/>
    </sheetView>
  </sheetViews>
  <sheetFormatPr baseColWidth="10" defaultRowHeight="12.75" x14ac:dyDescent="0.2"/>
  <cols>
    <col min="1" max="1" width="18.28515625" customWidth="1"/>
    <col min="2" max="2" width="20.7109375" customWidth="1"/>
    <col min="3" max="3" width="10.85546875" customWidth="1"/>
    <col min="4" max="4" width="5.140625" style="18" customWidth="1"/>
    <col min="5" max="5" width="6.5703125" style="18" customWidth="1"/>
    <col min="6" max="6" width="9.7109375" customWidth="1"/>
    <col min="7" max="12" width="6.42578125" customWidth="1"/>
    <col min="13" max="13" width="7.7109375" hidden="1" customWidth="1"/>
    <col min="14" max="14" width="8.28515625" hidden="1" customWidth="1"/>
    <col min="15" max="15" width="7.7109375" hidden="1" customWidth="1"/>
    <col min="16" max="16" width="8.140625" hidden="1" customWidth="1"/>
    <col min="17" max="17" width="11" customWidth="1"/>
    <col min="18" max="19" width="9.5703125" style="19" customWidth="1"/>
    <col min="20" max="20" width="8.42578125" style="12" customWidth="1"/>
    <col min="21" max="24" width="8.42578125" style="12" hidden="1" customWidth="1"/>
    <col min="25" max="25" width="9.140625" style="104" hidden="1" customWidth="1"/>
    <col min="26" max="27" width="8.7109375" hidden="1" customWidth="1"/>
    <col min="28" max="28" width="8.7109375" style="77" hidden="1" customWidth="1"/>
    <col min="29" max="29" width="7.42578125" hidden="1" customWidth="1"/>
    <col min="30" max="31" width="9.85546875" hidden="1" customWidth="1"/>
    <col min="32" max="32" width="11" hidden="1" customWidth="1"/>
    <col min="33" max="34" width="7.7109375" hidden="1" customWidth="1"/>
    <col min="35" max="35" width="9" hidden="1" customWidth="1"/>
    <col min="36" max="38" width="7.7109375" hidden="1" customWidth="1"/>
    <col min="39" max="39" width="9.28515625" hidden="1" customWidth="1"/>
    <col min="40" max="40" width="10" style="69" hidden="1" customWidth="1"/>
    <col min="41" max="41" width="9.85546875" style="36" hidden="1" customWidth="1"/>
    <col min="42" max="42" width="9.28515625" style="36" hidden="1" customWidth="1"/>
    <col min="43" max="43" width="10" style="36" hidden="1" customWidth="1"/>
    <col min="44" max="45" width="10.140625" style="36" hidden="1" customWidth="1"/>
    <col min="46" max="47" width="10.140625" hidden="1" customWidth="1"/>
    <col min="48" max="48" width="8.7109375" hidden="1" customWidth="1"/>
    <col min="49" max="49" width="8.7109375" style="77" hidden="1" customWidth="1"/>
    <col min="50" max="50" width="7.42578125" hidden="1" customWidth="1"/>
    <col min="51" max="52" width="9.85546875" hidden="1" customWidth="1"/>
    <col min="53" max="57" width="9" hidden="1" customWidth="1"/>
    <col min="58" max="59" width="11.42578125" hidden="1" customWidth="1"/>
    <col min="60" max="60" width="9" hidden="1" customWidth="1"/>
    <col min="61" max="61" width="0" hidden="1" customWidth="1"/>
    <col min="62" max="62" width="10" style="36" hidden="1" customWidth="1"/>
    <col min="63" max="65" width="10.140625" style="36" hidden="1" customWidth="1"/>
    <col min="66" max="66" width="10.140625" hidden="1" customWidth="1"/>
    <col min="67" max="67" width="8.7109375" hidden="1" customWidth="1"/>
    <col min="68" max="68" width="8.7109375" style="77" hidden="1" customWidth="1"/>
    <col min="69" max="69" width="7.42578125" hidden="1" customWidth="1"/>
    <col min="70" max="71" width="9.85546875" hidden="1" customWidth="1"/>
    <col min="72" max="76" width="9" hidden="1" customWidth="1"/>
    <col min="77" max="78" width="11.42578125" hidden="1" customWidth="1"/>
    <col min="79" max="79" width="9" hidden="1" customWidth="1"/>
    <col min="80" max="80" width="12" hidden="1" customWidth="1"/>
    <col min="81" max="81" width="9.28515625" hidden="1" customWidth="1"/>
    <col min="82" max="82" width="9.85546875" style="77" hidden="1" customWidth="1"/>
    <col min="83" max="83" width="8.7109375" hidden="1" customWidth="1"/>
    <col min="84" max="84" width="12.85546875" hidden="1" customWidth="1"/>
    <col min="85" max="85" width="9.85546875" hidden="1" customWidth="1"/>
    <col min="86" max="90" width="9" hidden="1" customWidth="1"/>
    <col min="91" max="92" width="11.42578125" hidden="1" customWidth="1"/>
    <col min="93" max="93" width="9" hidden="1" customWidth="1"/>
    <col min="94" max="94" width="0" hidden="1" customWidth="1"/>
    <col min="95" max="99" width="11.42578125" hidden="1" customWidth="1"/>
    <col min="100" max="100" width="0" hidden="1" customWidth="1"/>
    <col min="101" max="101" width="13.7109375" customWidth="1"/>
    <col min="102" max="106" width="11.42578125" customWidth="1"/>
    <col min="107" max="123" width="11.42578125" hidden="1" customWidth="1"/>
    <col min="124" max="126" width="11.42578125" customWidth="1"/>
  </cols>
  <sheetData>
    <row r="1" spans="1:126" x14ac:dyDescent="0.2">
      <c r="A1" s="637"/>
      <c r="B1" s="638" t="s">
        <v>27</v>
      </c>
      <c r="C1" s="637"/>
      <c r="D1" s="639"/>
      <c r="E1" s="639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40"/>
      <c r="S1" s="640"/>
      <c r="T1" s="637"/>
      <c r="U1" s="637"/>
      <c r="V1" s="637"/>
      <c r="W1" s="637"/>
      <c r="X1" s="637"/>
      <c r="Y1" s="661"/>
      <c r="Z1" s="662"/>
      <c r="AA1" s="662"/>
      <c r="AB1" s="663"/>
      <c r="AC1" s="662"/>
      <c r="AD1" s="662"/>
      <c r="AE1" s="662"/>
      <c r="AF1" s="637"/>
      <c r="AG1" s="637"/>
      <c r="AH1" s="637"/>
      <c r="AI1" s="637"/>
      <c r="AJ1" s="637"/>
      <c r="AK1" s="637"/>
      <c r="AL1" s="662" t="s">
        <v>1072</v>
      </c>
      <c r="AM1" s="637"/>
      <c r="AN1" s="664"/>
      <c r="AO1" s="691"/>
      <c r="AP1" s="691"/>
      <c r="AQ1" s="691"/>
      <c r="AR1" s="691"/>
      <c r="AS1" s="691"/>
      <c r="AT1" s="637"/>
      <c r="AU1" s="637"/>
      <c r="AV1" s="662"/>
      <c r="AW1" s="663"/>
      <c r="AX1" s="662"/>
      <c r="AY1" s="662"/>
      <c r="AZ1" s="662"/>
      <c r="BA1" s="637"/>
      <c r="BB1" s="637"/>
      <c r="BC1" s="637"/>
      <c r="BD1" s="637"/>
      <c r="BE1" s="637"/>
      <c r="BF1" s="637"/>
      <c r="BG1" s="637"/>
      <c r="BH1" s="637"/>
      <c r="BI1" s="637"/>
      <c r="BJ1" s="691"/>
      <c r="BK1" s="691"/>
      <c r="BL1" s="691"/>
      <c r="BM1" s="691"/>
      <c r="BN1" s="637"/>
      <c r="BO1" s="662"/>
      <c r="BP1" s="663"/>
      <c r="BQ1" s="662"/>
      <c r="BR1" s="662"/>
      <c r="BS1" s="662"/>
      <c r="BT1" s="637"/>
      <c r="BU1" s="637"/>
      <c r="BV1" s="637"/>
      <c r="BW1" s="637"/>
      <c r="BX1" s="637"/>
      <c r="BY1" s="637"/>
      <c r="BZ1" s="637"/>
      <c r="CA1" s="637"/>
      <c r="CB1" s="637"/>
      <c r="CC1" s="662"/>
      <c r="CD1" s="663"/>
      <c r="CE1" s="662"/>
      <c r="CF1" s="662"/>
      <c r="CG1" s="662"/>
      <c r="CH1" s="637"/>
      <c r="CI1" s="637"/>
      <c r="CJ1" s="637"/>
      <c r="CK1" s="637"/>
      <c r="CL1" s="637"/>
      <c r="CM1" s="637"/>
      <c r="CN1" s="637"/>
      <c r="CO1" s="637"/>
      <c r="CP1" s="637"/>
    </row>
    <row r="2" spans="1:126" x14ac:dyDescent="0.2">
      <c r="A2" s="637"/>
      <c r="B2" s="638" t="s">
        <v>1273</v>
      </c>
      <c r="C2" s="637"/>
      <c r="D2" s="639"/>
      <c r="E2" s="639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40"/>
      <c r="S2" s="640"/>
      <c r="T2" s="637"/>
      <c r="U2" s="637"/>
      <c r="V2" s="637"/>
      <c r="W2" s="637"/>
      <c r="X2" s="637"/>
      <c r="Y2" s="661"/>
      <c r="Z2" s="662"/>
      <c r="AA2" s="662"/>
      <c r="AB2" s="663"/>
      <c r="AC2" s="662"/>
      <c r="AD2" s="662"/>
      <c r="AE2" s="662"/>
      <c r="AF2" s="637"/>
      <c r="AG2" s="637"/>
      <c r="AH2" s="637"/>
      <c r="AI2" s="637"/>
      <c r="AJ2" s="637"/>
      <c r="AK2" s="637"/>
      <c r="AL2" s="637"/>
      <c r="AM2" s="637"/>
      <c r="AN2" s="664"/>
      <c r="AO2" s="691"/>
      <c r="AP2" s="691"/>
      <c r="AQ2" s="691"/>
      <c r="AR2" s="691"/>
      <c r="AS2" s="691"/>
      <c r="AT2" s="637"/>
      <c r="AU2" s="637"/>
      <c r="AV2" s="662"/>
      <c r="AW2" s="663"/>
      <c r="AX2" s="662"/>
      <c r="AY2" s="662"/>
      <c r="AZ2" s="662"/>
      <c r="BA2" s="637"/>
      <c r="BB2" s="637"/>
      <c r="BC2" s="637"/>
      <c r="BD2" s="637"/>
      <c r="BE2" s="637"/>
      <c r="BF2" s="637"/>
      <c r="BG2" s="637"/>
      <c r="BH2" s="637"/>
      <c r="BI2" s="637"/>
      <c r="BJ2" s="691"/>
      <c r="BK2" s="691"/>
      <c r="BL2" s="691"/>
      <c r="BM2" s="691"/>
      <c r="BN2" s="637"/>
      <c r="BO2" s="662"/>
      <c r="BP2" s="663"/>
      <c r="BQ2" s="662"/>
      <c r="BR2" s="662"/>
      <c r="BS2" s="662"/>
      <c r="BT2" s="637"/>
      <c r="BU2" s="637"/>
      <c r="BV2" s="637"/>
      <c r="BW2" s="637"/>
      <c r="BX2" s="637"/>
      <c r="BY2" s="637"/>
      <c r="BZ2" s="637"/>
      <c r="CA2" s="637"/>
      <c r="CB2" s="637"/>
      <c r="CC2" s="662"/>
      <c r="CD2" s="663"/>
      <c r="CE2" s="662"/>
      <c r="CF2" s="662"/>
      <c r="CG2" s="662"/>
      <c r="CH2" s="637"/>
      <c r="CI2" s="637"/>
      <c r="CJ2" s="637"/>
      <c r="CK2" s="637"/>
      <c r="CL2" s="637"/>
      <c r="CM2" s="637"/>
      <c r="CN2" s="637"/>
      <c r="CO2" s="637"/>
      <c r="CP2" s="637"/>
    </row>
    <row r="3" spans="1:126" x14ac:dyDescent="0.2">
      <c r="A3" s="637"/>
      <c r="B3" s="637"/>
      <c r="C3" s="638"/>
      <c r="D3" s="641"/>
      <c r="E3" s="639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38"/>
      <c r="S3" s="638"/>
      <c r="T3" s="642"/>
      <c r="U3" s="642"/>
      <c r="V3" s="642"/>
      <c r="W3" s="642"/>
      <c r="X3" s="642"/>
      <c r="Y3" s="665"/>
      <c r="Z3" s="662"/>
      <c r="AA3" s="662"/>
      <c r="AB3" s="663"/>
      <c r="AC3" s="662"/>
      <c r="AD3" s="662"/>
      <c r="AE3" s="662"/>
      <c r="AF3" s="637"/>
      <c r="AG3" s="637"/>
      <c r="AH3" s="637"/>
      <c r="AI3" s="637"/>
      <c r="AJ3" s="637"/>
      <c r="AK3" s="637"/>
      <c r="AL3" s="637"/>
      <c r="AM3" s="637"/>
      <c r="AN3" s="664"/>
      <c r="AO3" s="691"/>
      <c r="AP3" s="691"/>
      <c r="AQ3" s="691"/>
      <c r="AR3" s="691"/>
      <c r="AS3" s="691"/>
      <c r="AT3" s="637"/>
      <c r="AU3" s="637"/>
      <c r="AV3" s="662"/>
      <c r="AW3" s="663"/>
      <c r="AX3" s="662"/>
      <c r="AY3" s="662"/>
      <c r="AZ3" s="662"/>
      <c r="BA3" s="637"/>
      <c r="BB3" s="637"/>
      <c r="BC3" s="637"/>
      <c r="BD3" s="637"/>
      <c r="BE3" s="637"/>
      <c r="BF3" s="637"/>
      <c r="BG3" s="637"/>
      <c r="BH3" s="637"/>
      <c r="BI3" s="637"/>
      <c r="BJ3" s="691"/>
      <c r="BK3" s="691"/>
      <c r="BL3" s="691"/>
      <c r="BM3" s="691"/>
      <c r="BN3" s="637"/>
      <c r="BO3" s="662"/>
      <c r="BP3" s="663"/>
      <c r="BQ3" s="662"/>
      <c r="BR3" s="662"/>
      <c r="BS3" s="662"/>
      <c r="BT3" s="637"/>
      <c r="BU3" s="637"/>
      <c r="BV3" s="637"/>
      <c r="BW3" s="637"/>
      <c r="BX3" s="637"/>
      <c r="BY3" s="637"/>
      <c r="BZ3" s="637"/>
      <c r="CA3" s="637"/>
      <c r="CB3" s="637"/>
      <c r="CC3" s="662"/>
      <c r="CD3" s="663"/>
      <c r="CE3" s="662"/>
      <c r="CF3" s="662"/>
      <c r="CG3" s="662"/>
      <c r="CH3" s="637"/>
      <c r="CI3" s="637"/>
      <c r="CJ3" s="637"/>
      <c r="CK3" s="637"/>
      <c r="CL3" s="637"/>
      <c r="CM3" s="637"/>
      <c r="CN3" s="637"/>
      <c r="CO3" s="637"/>
      <c r="CP3" s="637"/>
    </row>
    <row r="4" spans="1:126" x14ac:dyDescent="0.2">
      <c r="A4" s="637"/>
      <c r="B4" s="637" t="s">
        <v>309</v>
      </c>
      <c r="C4" s="638"/>
      <c r="D4" s="641"/>
      <c r="E4" s="639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38"/>
      <c r="S4" s="638"/>
      <c r="T4" s="642"/>
      <c r="U4" s="642"/>
      <c r="V4" s="642"/>
      <c r="W4" s="642"/>
      <c r="X4" s="642"/>
      <c r="Y4" s="665"/>
      <c r="Z4" s="662"/>
      <c r="AA4" s="662"/>
      <c r="AB4" s="663"/>
      <c r="AC4" s="662"/>
      <c r="AD4" s="662"/>
      <c r="AE4" s="662"/>
      <c r="AF4" s="637"/>
      <c r="AG4" s="637"/>
      <c r="AH4" s="637"/>
      <c r="AI4" s="637"/>
      <c r="AJ4" s="637"/>
      <c r="AK4" s="637"/>
      <c r="AL4" s="637"/>
      <c r="AM4" s="637"/>
      <c r="AN4" s="664"/>
      <c r="AO4" s="691"/>
      <c r="AP4" s="691"/>
      <c r="AQ4" s="691"/>
      <c r="AR4" s="691"/>
      <c r="AS4" s="691"/>
      <c r="AT4" s="637"/>
      <c r="AU4" s="637"/>
      <c r="AV4" s="662"/>
      <c r="AW4" s="663"/>
      <c r="AX4" s="662"/>
      <c r="AY4" s="662"/>
      <c r="AZ4" s="662"/>
      <c r="BA4" s="637"/>
      <c r="BB4" s="637"/>
      <c r="BC4" s="637"/>
      <c r="BD4" s="637"/>
      <c r="BE4" s="637"/>
      <c r="BF4" s="637"/>
      <c r="BG4" s="637"/>
      <c r="BH4" s="637"/>
      <c r="BI4" s="637"/>
      <c r="BJ4" s="691"/>
      <c r="BK4" s="691"/>
      <c r="BL4" s="691"/>
      <c r="BM4" s="691"/>
      <c r="BN4" s="637"/>
      <c r="BO4" s="662"/>
      <c r="BP4" s="663"/>
      <c r="BQ4" s="662"/>
      <c r="BR4" s="662"/>
      <c r="BS4" s="662"/>
      <c r="BT4" s="637"/>
      <c r="BU4" s="637"/>
      <c r="BV4" s="637"/>
      <c r="BW4" s="637"/>
      <c r="BX4" s="637"/>
      <c r="BY4" s="637"/>
      <c r="BZ4" s="637"/>
      <c r="CA4" s="637"/>
      <c r="CB4" s="637"/>
      <c r="CC4" s="662"/>
      <c r="CD4" s="663"/>
      <c r="CE4" s="662"/>
      <c r="CF4" s="662"/>
      <c r="CG4" s="662"/>
      <c r="CH4" s="637"/>
      <c r="CI4" s="637"/>
      <c r="CJ4" s="637"/>
      <c r="CK4" s="637"/>
      <c r="CL4" s="637"/>
      <c r="CM4" s="637"/>
      <c r="CN4" s="637"/>
      <c r="CO4" s="637"/>
      <c r="CP4" s="637"/>
    </row>
    <row r="5" spans="1:126" x14ac:dyDescent="0.2">
      <c r="A5" s="637"/>
      <c r="B5" s="642" t="s">
        <v>604</v>
      </c>
      <c r="C5" s="637"/>
      <c r="D5" s="639"/>
      <c r="E5" s="639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40"/>
      <c r="S5" s="640"/>
      <c r="T5" s="637"/>
      <c r="U5" s="637"/>
      <c r="V5" s="637"/>
      <c r="W5" s="637"/>
      <c r="X5" s="637"/>
      <c r="Y5" s="661"/>
      <c r="Z5" s="662"/>
      <c r="AA5" s="662"/>
      <c r="AB5" s="663"/>
      <c r="AC5" s="662"/>
      <c r="AD5" s="662"/>
      <c r="AE5" s="662"/>
      <c r="AF5" s="637"/>
      <c r="AG5" s="637"/>
      <c r="AH5" s="637"/>
      <c r="AI5" s="637"/>
      <c r="AJ5" s="637"/>
      <c r="AK5" s="637"/>
      <c r="AL5" s="637"/>
      <c r="AM5" s="637"/>
      <c r="AN5" s="664"/>
      <c r="AO5" s="691"/>
      <c r="AP5" s="691"/>
      <c r="AQ5" s="691"/>
      <c r="AR5" s="691"/>
      <c r="AS5" s="691"/>
      <c r="AT5" s="637"/>
      <c r="AU5" s="637"/>
      <c r="AV5" s="662"/>
      <c r="AW5" s="663"/>
      <c r="AX5" s="662"/>
      <c r="AY5" s="662"/>
      <c r="AZ5" s="662"/>
      <c r="BA5" s="637"/>
      <c r="BB5" s="637"/>
      <c r="BC5" s="637"/>
      <c r="BD5" s="637"/>
      <c r="BE5" s="637"/>
      <c r="BF5" s="637"/>
      <c r="BG5" s="637"/>
      <c r="BH5" s="637"/>
      <c r="BI5" s="637"/>
      <c r="BJ5" s="691"/>
      <c r="BK5" s="691"/>
      <c r="BL5" s="691"/>
      <c r="BM5" s="691"/>
      <c r="BN5" s="637"/>
      <c r="BO5" s="662"/>
      <c r="BP5" s="663"/>
      <c r="BQ5" s="662"/>
      <c r="BR5" s="662"/>
      <c r="BS5" s="662"/>
      <c r="BT5" s="637"/>
      <c r="BU5" s="637"/>
      <c r="BV5" s="637"/>
      <c r="BW5" s="637"/>
      <c r="BX5" s="637"/>
      <c r="BY5" s="637"/>
      <c r="BZ5" s="637"/>
      <c r="CA5" s="637"/>
      <c r="CB5" s="637"/>
      <c r="CC5" s="662"/>
      <c r="CD5" s="663"/>
      <c r="CE5" s="662"/>
      <c r="CF5" s="662"/>
      <c r="CG5" s="662"/>
      <c r="CH5" s="637"/>
      <c r="CI5" s="637"/>
      <c r="CJ5" s="637"/>
      <c r="CK5" s="637"/>
      <c r="CL5" s="637"/>
      <c r="CM5" s="637"/>
      <c r="CN5" s="637"/>
      <c r="CO5" s="637"/>
      <c r="CP5" s="637"/>
    </row>
    <row r="6" spans="1:126" x14ac:dyDescent="0.2">
      <c r="A6" s="637"/>
      <c r="B6" s="637" t="s">
        <v>1272</v>
      </c>
      <c r="C6" s="637"/>
      <c r="D6" s="639"/>
      <c r="E6" s="639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40"/>
      <c r="S6" s="640"/>
      <c r="T6" s="637"/>
      <c r="U6" s="637"/>
      <c r="V6" s="637"/>
      <c r="W6" s="637"/>
      <c r="X6" s="637"/>
      <c r="Y6" s="661"/>
      <c r="Z6" s="662"/>
      <c r="AA6" s="662"/>
      <c r="AB6" s="663"/>
      <c r="AC6" s="662"/>
      <c r="AD6" s="662"/>
      <c r="AE6" s="662"/>
      <c r="AF6" s="637"/>
      <c r="AG6" s="637"/>
      <c r="AH6" s="637"/>
      <c r="AI6" s="637"/>
      <c r="AJ6" s="637"/>
      <c r="AK6" s="637"/>
      <c r="AL6" s="637"/>
      <c r="AM6" s="637"/>
      <c r="AN6" s="664"/>
      <c r="AO6" s="691"/>
      <c r="AP6" s="691"/>
      <c r="AQ6" s="691"/>
      <c r="AR6" s="691"/>
      <c r="AS6" s="691"/>
      <c r="AT6" s="637"/>
      <c r="AU6" s="637"/>
      <c r="AV6" s="662"/>
      <c r="AW6" s="663"/>
      <c r="AX6" s="662"/>
      <c r="AY6" s="662"/>
      <c r="AZ6" s="662"/>
      <c r="BA6" s="637"/>
      <c r="BB6" s="637"/>
      <c r="BC6" s="637"/>
      <c r="BD6" s="637"/>
      <c r="BE6" s="637"/>
      <c r="BF6" s="637"/>
      <c r="BG6" s="637"/>
      <c r="BH6" s="637"/>
      <c r="BI6" s="637"/>
      <c r="BJ6" s="691"/>
      <c r="BK6" s="691"/>
      <c r="BL6" s="691"/>
      <c r="BM6" s="691"/>
      <c r="BN6" s="637"/>
      <c r="BO6" s="662"/>
      <c r="BP6" s="663"/>
      <c r="BQ6" s="662"/>
      <c r="BR6" s="662"/>
      <c r="BS6" s="662"/>
      <c r="BT6" s="637"/>
      <c r="BU6" s="637"/>
      <c r="BV6" s="637"/>
      <c r="BW6" s="637"/>
      <c r="BX6" s="637"/>
      <c r="BY6" s="637"/>
      <c r="BZ6" s="637"/>
      <c r="CA6" s="637"/>
      <c r="CB6" s="637"/>
      <c r="CC6" s="662"/>
      <c r="CD6" s="663"/>
      <c r="CE6" s="662"/>
      <c r="CF6" s="662"/>
      <c r="CG6" s="662"/>
      <c r="CH6" s="637"/>
      <c r="CI6" s="637"/>
      <c r="CJ6" s="637"/>
      <c r="CK6" s="637"/>
      <c r="CL6" s="637"/>
      <c r="CM6" s="637"/>
      <c r="CN6" s="637"/>
      <c r="CO6" s="637"/>
      <c r="CP6" s="637"/>
    </row>
    <row r="7" spans="1:126" x14ac:dyDescent="0.2">
      <c r="A7" s="637"/>
      <c r="B7" s="637"/>
      <c r="C7" s="637"/>
      <c r="D7" s="639"/>
      <c r="E7" s="639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40"/>
      <c r="S7" s="640"/>
      <c r="T7" s="637"/>
      <c r="U7" s="637"/>
      <c r="V7" s="637"/>
      <c r="W7" s="637"/>
      <c r="X7" s="637"/>
      <c r="Y7" s="661"/>
      <c r="Z7" s="662"/>
      <c r="AA7" s="662"/>
      <c r="AB7" s="663"/>
      <c r="AC7" s="662"/>
      <c r="AD7" s="662"/>
      <c r="AE7" s="662"/>
      <c r="AF7" s="637"/>
      <c r="AG7" s="637"/>
      <c r="AH7" s="637"/>
      <c r="AI7" s="637"/>
      <c r="AJ7" s="637"/>
      <c r="AK7" s="637"/>
      <c r="AL7" s="637"/>
      <c r="AM7" s="637"/>
      <c r="AN7" s="664"/>
      <c r="AO7" s="691"/>
      <c r="AP7" s="691"/>
      <c r="AQ7" s="691"/>
      <c r="AR7" s="691"/>
      <c r="AS7" s="691"/>
      <c r="AT7" s="637"/>
      <c r="AU7" s="637"/>
      <c r="AV7" s="662"/>
      <c r="AW7" s="663"/>
      <c r="AX7" s="662"/>
      <c r="AY7" s="662"/>
      <c r="AZ7" s="662"/>
      <c r="BA7" s="637"/>
      <c r="BB7" s="637"/>
      <c r="BC7" s="637"/>
      <c r="BD7" s="637"/>
      <c r="BE7" s="637"/>
      <c r="BF7" s="637"/>
      <c r="BG7" s="637"/>
      <c r="BH7" s="637"/>
      <c r="BI7" s="637"/>
      <c r="BJ7" s="691"/>
      <c r="BK7" s="691"/>
      <c r="BL7" s="691"/>
      <c r="BM7" s="691"/>
      <c r="BN7" s="637"/>
      <c r="BO7" s="662"/>
      <c r="BP7" s="663"/>
      <c r="BQ7" s="662"/>
      <c r="BR7" s="662"/>
      <c r="BS7" s="662"/>
      <c r="BT7" s="637"/>
      <c r="BU7" s="637"/>
      <c r="BV7" s="637"/>
      <c r="BW7" s="637"/>
      <c r="BX7" s="637"/>
      <c r="BY7" s="637"/>
      <c r="BZ7" s="637"/>
      <c r="CA7" s="637"/>
      <c r="CB7" s="637"/>
      <c r="CC7" s="662"/>
      <c r="CD7" s="663"/>
      <c r="CE7" s="662"/>
      <c r="CF7" s="662"/>
      <c r="CG7" s="662"/>
      <c r="CH7" s="637"/>
      <c r="CI7" s="637"/>
      <c r="CJ7" s="637"/>
      <c r="CK7" s="637"/>
      <c r="CL7" s="637"/>
      <c r="CM7" s="637"/>
      <c r="CN7" s="637"/>
      <c r="CO7" s="637"/>
      <c r="CP7" s="637"/>
    </row>
    <row r="8" spans="1:126" s="16" customFormat="1" x14ac:dyDescent="0.2">
      <c r="D8" s="38"/>
      <c r="E8" s="38"/>
      <c r="R8" s="37"/>
      <c r="S8" s="37"/>
      <c r="T8" s="35"/>
      <c r="U8" s="35"/>
      <c r="V8" s="35"/>
      <c r="W8" s="35"/>
      <c r="X8" s="35"/>
      <c r="Y8" s="103"/>
      <c r="Z8" s="39"/>
      <c r="AA8" s="39"/>
      <c r="AB8" s="76"/>
      <c r="AC8" s="39"/>
      <c r="AD8" s="39"/>
      <c r="AE8" s="39"/>
      <c r="AN8" s="68"/>
      <c r="AO8" s="36"/>
      <c r="AP8" s="36"/>
      <c r="AQ8" s="36"/>
      <c r="AR8" s="36"/>
      <c r="AS8" s="36"/>
      <c r="AV8" s="39"/>
      <c r="AW8" s="76"/>
      <c r="AX8" s="39"/>
      <c r="AY8" s="39"/>
      <c r="AZ8" s="39"/>
      <c r="BJ8" s="36"/>
      <c r="BK8" s="36"/>
      <c r="BL8" s="36"/>
      <c r="BM8" s="36"/>
      <c r="BO8" s="39"/>
      <c r="BP8" s="76"/>
      <c r="BQ8" s="39"/>
      <c r="BR8" s="39"/>
      <c r="BS8" s="39"/>
      <c r="CC8" s="39"/>
      <c r="CD8" s="76"/>
      <c r="CE8" s="39"/>
      <c r="CF8" s="39"/>
      <c r="CG8" s="39"/>
    </row>
    <row r="9" spans="1:126" s="16" customFormat="1" ht="20.25" customHeight="1" x14ac:dyDescent="0.2">
      <c r="D9" s="38"/>
      <c r="E9" s="38"/>
      <c r="R9" s="37"/>
      <c r="S9" s="37"/>
      <c r="T9" s="35"/>
      <c r="U9" s="35"/>
      <c r="V9" s="35"/>
      <c r="W9" s="35"/>
      <c r="X9" s="35"/>
      <c r="Y9" s="103"/>
      <c r="Z9" s="39"/>
      <c r="AA9" s="39"/>
      <c r="AB9" s="76"/>
      <c r="AC9" s="39"/>
      <c r="AD9" s="39"/>
      <c r="AE9" s="39"/>
      <c r="AN9" s="68"/>
      <c r="AO9" s="36"/>
      <c r="AP9" s="36"/>
      <c r="AQ9" s="36"/>
      <c r="AR9" s="36"/>
      <c r="AS9" s="36"/>
      <c r="AV9" s="39"/>
      <c r="AW9" s="76"/>
      <c r="AX9" s="39"/>
      <c r="AY9" s="39"/>
      <c r="AZ9" s="39"/>
      <c r="BJ9" s="36"/>
      <c r="BK9" s="36"/>
      <c r="BL9" s="36"/>
      <c r="BM9" s="36"/>
      <c r="BO9" s="39"/>
      <c r="BP9" s="76"/>
      <c r="BQ9" s="39"/>
      <c r="BR9" s="39"/>
      <c r="BS9" s="39"/>
      <c r="CC9" s="39"/>
      <c r="CD9" s="76"/>
      <c r="CE9" s="39"/>
      <c r="CF9" s="39"/>
      <c r="CG9" s="39"/>
    </row>
    <row r="10" spans="1:126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260"/>
      <c r="V10" s="253"/>
      <c r="W10" s="1275" t="s">
        <v>450</v>
      </c>
      <c r="X10" s="1275"/>
      <c r="Y10" s="1275"/>
      <c r="Z10" s="1275"/>
      <c r="AA10" s="1275"/>
      <c r="AB10" s="1275"/>
      <c r="AC10" s="1275"/>
      <c r="AD10" s="1275"/>
      <c r="AE10" s="1275"/>
      <c r="AF10" s="1275"/>
      <c r="AG10" s="1275"/>
      <c r="AH10" s="1275"/>
      <c r="AI10" s="1275"/>
      <c r="AJ10" s="1275"/>
      <c r="AK10" s="1275"/>
      <c r="AL10" s="1275"/>
      <c r="AM10" s="1275"/>
      <c r="AN10" s="1275"/>
      <c r="AO10" s="1275"/>
      <c r="AP10" s="1275"/>
      <c r="AQ10" s="1275"/>
      <c r="AR10" s="1275"/>
      <c r="AS10" s="1275"/>
      <c r="AT10" s="1275"/>
      <c r="AU10" s="1275"/>
      <c r="AV10" s="1275"/>
      <c r="AW10" s="1275"/>
      <c r="AX10" s="1275"/>
      <c r="AY10" s="1275"/>
      <c r="BJ10"/>
      <c r="BK10"/>
      <c r="BL10"/>
      <c r="BM10"/>
      <c r="BP10"/>
      <c r="CD10"/>
    </row>
    <row r="11" spans="1:126" ht="54" customHeight="1" x14ac:dyDescent="0.25">
      <c r="A11" s="1261" t="s">
        <v>57</v>
      </c>
      <c r="B11" s="1261" t="s">
        <v>0</v>
      </c>
      <c r="C11" s="261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1126</v>
      </c>
      <c r="J11" s="1254" t="s">
        <v>525</v>
      </c>
      <c r="K11" s="1254" t="s">
        <v>534</v>
      </c>
      <c r="L11" s="1254" t="s">
        <v>493</v>
      </c>
      <c r="M11" s="1254" t="s">
        <v>535</v>
      </c>
      <c r="N11" s="262" t="s">
        <v>529</v>
      </c>
      <c r="O11" s="1254" t="s">
        <v>492</v>
      </c>
      <c r="P11" s="267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264"/>
      <c r="V11" s="1245" t="s">
        <v>595</v>
      </c>
      <c r="W11" s="1245" t="s">
        <v>596</v>
      </c>
      <c r="X11" s="263"/>
      <c r="Y11" s="1268" t="s">
        <v>569</v>
      </c>
      <c r="Z11" s="1245" t="s">
        <v>599</v>
      </c>
      <c r="AA11" s="158" t="s">
        <v>15</v>
      </c>
      <c r="AB11" s="159" t="s">
        <v>15</v>
      </c>
      <c r="AC11" s="158" t="s">
        <v>16</v>
      </c>
      <c r="AD11" s="1245" t="s">
        <v>527</v>
      </c>
      <c r="AE11" s="1245" t="s">
        <v>536</v>
      </c>
      <c r="AF11" s="158" t="s">
        <v>8</v>
      </c>
      <c r="AG11" s="158" t="s">
        <v>9</v>
      </c>
      <c r="AH11" s="158" t="s">
        <v>10</v>
      </c>
      <c r="AI11" s="158" t="s">
        <v>11</v>
      </c>
      <c r="AJ11" s="158" t="s">
        <v>12</v>
      </c>
      <c r="AK11" s="158" t="s">
        <v>13</v>
      </c>
      <c r="AL11" s="158" t="s">
        <v>14</v>
      </c>
      <c r="AM11" s="196" t="s">
        <v>531</v>
      </c>
      <c r="AN11" s="389" t="s">
        <v>63</v>
      </c>
      <c r="AO11" s="1245" t="s">
        <v>976</v>
      </c>
      <c r="AP11" s="1245" t="s">
        <v>536</v>
      </c>
      <c r="AQ11" s="158" t="s">
        <v>3</v>
      </c>
      <c r="AR11" s="158" t="s">
        <v>4</v>
      </c>
      <c r="AS11" s="158" t="s">
        <v>5</v>
      </c>
      <c r="AT11" s="158" t="s">
        <v>6</v>
      </c>
      <c r="AU11" s="158" t="s">
        <v>7</v>
      </c>
      <c r="AV11" s="158" t="s">
        <v>15</v>
      </c>
      <c r="AW11" s="159" t="s">
        <v>15</v>
      </c>
      <c r="AX11" s="158" t="s">
        <v>16</v>
      </c>
      <c r="AY11" s="1245" t="s">
        <v>1059</v>
      </c>
      <c r="AZ11" s="1245" t="s">
        <v>536</v>
      </c>
      <c r="BA11" s="158" t="s">
        <v>8</v>
      </c>
      <c r="BB11" s="158" t="s">
        <v>9</v>
      </c>
      <c r="BC11" s="158" t="s">
        <v>10</v>
      </c>
      <c r="BD11" s="158" t="s">
        <v>11</v>
      </c>
      <c r="BE11" s="158" t="s">
        <v>12</v>
      </c>
      <c r="BF11" s="158" t="s">
        <v>13</v>
      </c>
      <c r="BG11" s="158" t="s">
        <v>14</v>
      </c>
      <c r="BH11" s="196" t="s">
        <v>989</v>
      </c>
      <c r="BI11" s="160" t="s">
        <v>63</v>
      </c>
      <c r="BJ11" s="158" t="s">
        <v>3</v>
      </c>
      <c r="BK11" s="158" t="s">
        <v>4</v>
      </c>
      <c r="BL11" s="158" t="s">
        <v>5</v>
      </c>
      <c r="BM11" s="158" t="s">
        <v>6</v>
      </c>
      <c r="BN11" s="158" t="s">
        <v>7</v>
      </c>
      <c r="BO11" s="158" t="s">
        <v>15</v>
      </c>
      <c r="BP11" s="159" t="s">
        <v>15</v>
      </c>
      <c r="BQ11" s="158" t="s">
        <v>16</v>
      </c>
      <c r="BR11" s="1245" t="s">
        <v>1004</v>
      </c>
      <c r="BS11" s="1245" t="s">
        <v>536</v>
      </c>
      <c r="BT11" s="158" t="s">
        <v>8</v>
      </c>
      <c r="BU11" s="158" t="s">
        <v>9</v>
      </c>
      <c r="BV11" s="158" t="s">
        <v>10</v>
      </c>
      <c r="BW11" s="158" t="s">
        <v>11</v>
      </c>
      <c r="BX11" s="158" t="s">
        <v>12</v>
      </c>
      <c r="BY11" s="158" t="s">
        <v>13</v>
      </c>
      <c r="BZ11" s="158" t="s">
        <v>14</v>
      </c>
      <c r="CA11" s="196" t="s">
        <v>1058</v>
      </c>
      <c r="CB11" s="160" t="s">
        <v>63</v>
      </c>
      <c r="CC11" s="158" t="s">
        <v>15</v>
      </c>
      <c r="CD11" s="159" t="s">
        <v>15</v>
      </c>
      <c r="CE11" s="158" t="s">
        <v>16</v>
      </c>
      <c r="CF11" s="1245" t="s">
        <v>1147</v>
      </c>
      <c r="CG11" s="1245" t="s">
        <v>536</v>
      </c>
      <c r="CH11" s="158" t="s">
        <v>8</v>
      </c>
      <c r="CI11" s="158" t="s">
        <v>9</v>
      </c>
      <c r="CJ11" s="158" t="s">
        <v>10</v>
      </c>
      <c r="CK11" s="158" t="s">
        <v>11</v>
      </c>
      <c r="CL11" s="158" t="s">
        <v>12</v>
      </c>
      <c r="CM11" s="158" t="s">
        <v>13</v>
      </c>
      <c r="CN11" s="158" t="s">
        <v>14</v>
      </c>
      <c r="CO11" s="732" t="s">
        <v>1058</v>
      </c>
      <c r="CP11" s="160" t="s">
        <v>63</v>
      </c>
      <c r="CQ11" s="158" t="s">
        <v>3</v>
      </c>
      <c r="CR11" s="158" t="s">
        <v>4</v>
      </c>
      <c r="CS11" s="158" t="s">
        <v>5</v>
      </c>
      <c r="CT11" s="158" t="s">
        <v>6</v>
      </c>
      <c r="CU11" s="158" t="s">
        <v>7</v>
      </c>
      <c r="CV11" s="1247" t="s">
        <v>1252</v>
      </c>
      <c r="CW11" s="1247" t="s">
        <v>1253</v>
      </c>
      <c r="CX11" s="158" t="s">
        <v>15</v>
      </c>
      <c r="CY11" s="159" t="s">
        <v>15</v>
      </c>
      <c r="CZ11" s="158" t="s">
        <v>16</v>
      </c>
      <c r="DA11" s="1245" t="s">
        <v>1262</v>
      </c>
      <c r="DB11" s="1245" t="s">
        <v>536</v>
      </c>
      <c r="DC11" s="158" t="s">
        <v>8</v>
      </c>
      <c r="DD11" s="158" t="s">
        <v>9</v>
      </c>
      <c r="DE11" s="158" t="s">
        <v>10</v>
      </c>
      <c r="DF11" s="158" t="s">
        <v>11</v>
      </c>
      <c r="DG11" s="158" t="s">
        <v>12</v>
      </c>
      <c r="DH11" s="158" t="s">
        <v>13</v>
      </c>
      <c r="DI11" s="158" t="s">
        <v>14</v>
      </c>
      <c r="DJ11" s="158" t="s">
        <v>3</v>
      </c>
      <c r="DK11" s="158" t="s">
        <v>4</v>
      </c>
      <c r="DL11" s="158" t="s">
        <v>5</v>
      </c>
      <c r="DM11" s="158" t="s">
        <v>6</v>
      </c>
      <c r="DN11" s="158" t="s">
        <v>7</v>
      </c>
      <c r="DO11" s="158" t="s">
        <v>8</v>
      </c>
      <c r="DP11" s="158" t="s">
        <v>9</v>
      </c>
      <c r="DQ11" s="158" t="s">
        <v>10</v>
      </c>
      <c r="DR11" s="158" t="s">
        <v>11</v>
      </c>
      <c r="DS11" s="158" t="s">
        <v>12</v>
      </c>
      <c r="DT11" s="158" t="s">
        <v>13</v>
      </c>
      <c r="DU11" s="1247" t="s">
        <v>1274</v>
      </c>
      <c r="DV11" s="1247" t="s">
        <v>1275</v>
      </c>
    </row>
    <row r="12" spans="1:126" ht="32.25" customHeight="1" x14ac:dyDescent="0.25">
      <c r="A12" s="1262"/>
      <c r="B12" s="1262"/>
      <c r="C12" s="161" t="s">
        <v>358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265"/>
      <c r="V12" s="1267"/>
      <c r="W12" s="1267"/>
      <c r="X12" s="266" t="s">
        <v>570</v>
      </c>
      <c r="Y12" s="1272"/>
      <c r="Z12" s="1246"/>
      <c r="AA12" s="162" t="s">
        <v>20</v>
      </c>
      <c r="AB12" s="163" t="s">
        <v>21</v>
      </c>
      <c r="AC12" s="162" t="s">
        <v>22</v>
      </c>
      <c r="AD12" s="1246"/>
      <c r="AE12" s="1246"/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390" t="s">
        <v>64</v>
      </c>
      <c r="AO12" s="1246"/>
      <c r="AP12" s="1246"/>
      <c r="AQ12" s="162">
        <v>2016</v>
      </c>
      <c r="AR12" s="162">
        <v>2016</v>
      </c>
      <c r="AS12" s="162">
        <v>2016</v>
      </c>
      <c r="AT12" s="162">
        <v>2016</v>
      </c>
      <c r="AU12" s="162">
        <v>2016</v>
      </c>
      <c r="AV12" s="162" t="s">
        <v>20</v>
      </c>
      <c r="AW12" s="163" t="s">
        <v>21</v>
      </c>
      <c r="AX12" s="162" t="s">
        <v>22</v>
      </c>
      <c r="AY12" s="1246"/>
      <c r="AZ12" s="1246"/>
      <c r="BA12" s="162">
        <v>2016</v>
      </c>
      <c r="BB12" s="162">
        <v>2016</v>
      </c>
      <c r="BC12" s="162">
        <v>2016</v>
      </c>
      <c r="BD12" s="162">
        <v>2016</v>
      </c>
      <c r="BE12" s="162">
        <v>2016</v>
      </c>
      <c r="BF12" s="162">
        <v>2016</v>
      </c>
      <c r="BG12" s="162">
        <v>2016</v>
      </c>
      <c r="BH12" s="162">
        <v>2016</v>
      </c>
      <c r="BI12" s="162" t="s">
        <v>64</v>
      </c>
      <c r="BJ12" s="162">
        <v>2017</v>
      </c>
      <c r="BK12" s="162">
        <v>2017</v>
      </c>
      <c r="BL12" s="162">
        <v>2017</v>
      </c>
      <c r="BM12" s="162">
        <v>2017</v>
      </c>
      <c r="BN12" s="162">
        <v>2017</v>
      </c>
      <c r="BO12" s="162" t="s">
        <v>20</v>
      </c>
      <c r="BP12" s="163" t="s">
        <v>21</v>
      </c>
      <c r="BQ12" s="162" t="s">
        <v>22</v>
      </c>
      <c r="BR12" s="1246"/>
      <c r="BS12" s="1246"/>
      <c r="BT12" s="162">
        <v>2017</v>
      </c>
      <c r="BU12" s="162">
        <v>2017</v>
      </c>
      <c r="BV12" s="162">
        <v>2017</v>
      </c>
      <c r="BW12" s="162">
        <v>2017</v>
      </c>
      <c r="BX12" s="162">
        <v>2017</v>
      </c>
      <c r="BY12" s="162">
        <v>2017</v>
      </c>
      <c r="BZ12" s="162">
        <v>2017</v>
      </c>
      <c r="CA12" s="162">
        <v>2017</v>
      </c>
      <c r="CB12" s="162" t="s">
        <v>64</v>
      </c>
      <c r="CC12" s="162" t="s">
        <v>20</v>
      </c>
      <c r="CD12" s="163" t="s">
        <v>21</v>
      </c>
      <c r="CE12" s="162" t="s">
        <v>22</v>
      </c>
      <c r="CF12" s="1246"/>
      <c r="CG12" s="1246"/>
      <c r="CH12" s="162">
        <v>2017</v>
      </c>
      <c r="CI12" s="162">
        <v>2017</v>
      </c>
      <c r="CJ12" s="162">
        <v>2017</v>
      </c>
      <c r="CK12" s="162">
        <v>2017</v>
      </c>
      <c r="CL12" s="162">
        <v>2017</v>
      </c>
      <c r="CM12" s="162">
        <v>2017</v>
      </c>
      <c r="CN12" s="162">
        <v>2017</v>
      </c>
      <c r="CO12" s="162">
        <v>2017</v>
      </c>
      <c r="CP12" s="162" t="s">
        <v>64</v>
      </c>
      <c r="CQ12" s="162">
        <v>2018</v>
      </c>
      <c r="CR12" s="162">
        <v>2018</v>
      </c>
      <c r="CS12" s="162">
        <v>2018</v>
      </c>
      <c r="CT12" s="162">
        <v>2018</v>
      </c>
      <c r="CU12" s="162">
        <v>2018</v>
      </c>
      <c r="CV12" s="1248"/>
      <c r="CW12" s="1248"/>
      <c r="CX12" s="162" t="s">
        <v>20</v>
      </c>
      <c r="CY12" s="163" t="s">
        <v>21</v>
      </c>
      <c r="CZ12" s="162" t="s">
        <v>22</v>
      </c>
      <c r="DA12" s="1246"/>
      <c r="DB12" s="1246"/>
      <c r="DC12" s="162">
        <v>2018</v>
      </c>
      <c r="DD12" s="162">
        <v>2018</v>
      </c>
      <c r="DE12" s="162">
        <v>2018</v>
      </c>
      <c r="DF12" s="162">
        <v>2018</v>
      </c>
      <c r="DG12" s="162">
        <v>2018</v>
      </c>
      <c r="DH12" s="162">
        <v>2018</v>
      </c>
      <c r="DI12" s="162">
        <v>2018</v>
      </c>
      <c r="DJ12" s="162">
        <v>2019</v>
      </c>
      <c r="DK12" s="162">
        <v>2019</v>
      </c>
      <c r="DL12" s="162">
        <v>2019</v>
      </c>
      <c r="DM12" s="162">
        <v>2019</v>
      </c>
      <c r="DN12" s="162">
        <v>2019</v>
      </c>
      <c r="DO12" s="162">
        <v>2019</v>
      </c>
      <c r="DP12" s="162">
        <v>2019</v>
      </c>
      <c r="DQ12" s="162">
        <v>2019</v>
      </c>
      <c r="DR12" s="162">
        <v>2019</v>
      </c>
      <c r="DS12" s="162">
        <v>2019</v>
      </c>
      <c r="DT12" s="162">
        <v>2019</v>
      </c>
      <c r="DU12" s="1248"/>
      <c r="DV12" s="1248"/>
    </row>
    <row r="13" spans="1:126" s="16" customFormat="1" x14ac:dyDescent="0.2">
      <c r="A13" s="1019" t="s">
        <v>65</v>
      </c>
      <c r="B13" s="1019" t="s">
        <v>89</v>
      </c>
      <c r="C13" s="45"/>
      <c r="D13" s="17"/>
      <c r="E13" s="25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20"/>
      <c r="S13" s="20"/>
      <c r="T13" s="14"/>
      <c r="U13" s="14"/>
      <c r="V13" s="14"/>
      <c r="W13" s="14"/>
      <c r="X13" s="14"/>
      <c r="Y13" s="108"/>
      <c r="Z13" s="66"/>
      <c r="AA13" s="66"/>
      <c r="AB13" s="81"/>
      <c r="AC13" s="66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391"/>
      <c r="AO13" s="47"/>
      <c r="AP13" s="47"/>
      <c r="AQ13" s="47"/>
      <c r="AR13" s="47"/>
      <c r="AS13" s="47"/>
      <c r="AT13" s="47"/>
      <c r="AU13" s="47"/>
      <c r="AV13" s="66"/>
      <c r="AW13" s="81"/>
      <c r="AX13" s="66"/>
      <c r="AY13" s="65"/>
      <c r="AZ13" s="65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66"/>
      <c r="BP13" s="81"/>
      <c r="BQ13" s="66"/>
      <c r="BR13" s="65"/>
      <c r="BS13" s="65"/>
      <c r="BT13" s="47"/>
      <c r="BU13" s="47"/>
      <c r="BV13" s="47"/>
      <c r="BW13" s="47"/>
      <c r="BX13" s="47"/>
      <c r="BY13" s="47"/>
      <c r="BZ13" s="47"/>
      <c r="CA13" s="47"/>
      <c r="CB13" s="47"/>
      <c r="CC13" s="66"/>
      <c r="CD13" s="81"/>
      <c r="CE13" s="66"/>
      <c r="CF13" s="65"/>
      <c r="CG13" s="65"/>
      <c r="CH13" s="47"/>
      <c r="CI13" s="47"/>
      <c r="CJ13" s="47"/>
      <c r="CK13" s="47"/>
      <c r="CL13" s="47"/>
      <c r="CM13" s="47"/>
      <c r="CN13" s="47"/>
      <c r="CO13" s="47"/>
      <c r="CP13" s="47"/>
      <c r="CQ13" s="968"/>
      <c r="CR13" s="968"/>
      <c r="CS13" s="968"/>
      <c r="CT13" s="968"/>
      <c r="CU13" s="505"/>
      <c r="CV13" s="505"/>
      <c r="CW13" s="50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</row>
    <row r="14" spans="1:126" s="16" customFormat="1" x14ac:dyDescent="0.2">
      <c r="A14" s="368" t="s">
        <v>66</v>
      </c>
      <c r="B14" s="1018"/>
      <c r="C14" s="45"/>
      <c r="D14" s="17"/>
      <c r="E14" s="25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20"/>
      <c r="S14" s="20"/>
      <c r="T14" s="14"/>
      <c r="U14" s="14"/>
      <c r="V14" s="14"/>
      <c r="W14" s="14"/>
      <c r="X14" s="14"/>
      <c r="Y14" s="108"/>
      <c r="Z14" s="66"/>
      <c r="AA14" s="66"/>
      <c r="AB14" s="112"/>
      <c r="AC14" s="66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391"/>
      <c r="AO14" s="47"/>
      <c r="AP14" s="47"/>
      <c r="AQ14" s="47"/>
      <c r="AR14" s="47"/>
      <c r="AS14" s="47"/>
      <c r="AT14" s="47"/>
      <c r="AU14" s="47"/>
      <c r="AV14" s="66"/>
      <c r="AW14" s="112"/>
      <c r="AX14" s="66"/>
      <c r="AY14" s="65"/>
      <c r="AZ14" s="65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66"/>
      <c r="BP14" s="112"/>
      <c r="BQ14" s="66"/>
      <c r="BR14" s="65"/>
      <c r="BS14" s="65"/>
      <c r="BT14" s="47"/>
      <c r="BU14" s="47"/>
      <c r="BV14" s="47"/>
      <c r="BW14" s="47"/>
      <c r="BX14" s="47"/>
      <c r="BY14" s="47"/>
      <c r="BZ14" s="47"/>
      <c r="CA14" s="47"/>
      <c r="CB14" s="47"/>
      <c r="CC14" s="66"/>
      <c r="CD14" s="112"/>
      <c r="CE14" s="66"/>
      <c r="CF14" s="65"/>
      <c r="CG14" s="65"/>
      <c r="CH14" s="47"/>
      <c r="CI14" s="47"/>
      <c r="CJ14" s="47"/>
      <c r="CK14" s="47"/>
      <c r="CL14" s="47"/>
      <c r="CM14" s="47"/>
      <c r="CN14" s="47"/>
      <c r="CO14" s="47"/>
      <c r="CP14" s="47"/>
      <c r="CQ14" s="968"/>
      <c r="CR14" s="968"/>
      <c r="CS14" s="968"/>
      <c r="CT14" s="968"/>
      <c r="CU14" s="968"/>
      <c r="CV14" s="505"/>
      <c r="CW14" s="50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</row>
    <row r="15" spans="1:126" s="16" customFormat="1" x14ac:dyDescent="0.2">
      <c r="A15" s="119" t="s">
        <v>1259</v>
      </c>
      <c r="B15" s="813" t="s">
        <v>1260</v>
      </c>
      <c r="C15" s="45" t="s">
        <v>358</v>
      </c>
      <c r="D15" s="795">
        <v>3</v>
      </c>
      <c r="E15" s="796">
        <v>0.33329999999999999</v>
      </c>
      <c r="F15" s="462">
        <v>43281</v>
      </c>
      <c r="G15" s="217">
        <v>36</v>
      </c>
      <c r="H15" s="221">
        <f>100/G15</f>
        <v>2.7777777777777777</v>
      </c>
      <c r="I15" s="222">
        <f>H15*J15</f>
        <v>8.3333333333333321</v>
      </c>
      <c r="J15" s="48">
        <f>(YEAR(F15)-YEAR(S15))*12+MONTH(F15)-MONTH(S15)</f>
        <v>3</v>
      </c>
      <c r="K15" s="222">
        <f>L15*H15</f>
        <v>91.666666666666657</v>
      </c>
      <c r="L15" s="48">
        <f>G15-J15</f>
        <v>33</v>
      </c>
      <c r="M15" s="222">
        <f>N15*H15</f>
        <v>19.444444444444443</v>
      </c>
      <c r="N15" s="48">
        <v>7</v>
      </c>
      <c r="O15" s="222">
        <f>K15-M15</f>
        <v>72.222222222222214</v>
      </c>
      <c r="P15" s="220">
        <f>L15-N15</f>
        <v>26</v>
      </c>
      <c r="Q15" s="219">
        <f>DATE(YEAR(S15),MONTH(S15)+G15,DAY(S15))</f>
        <v>44277</v>
      </c>
      <c r="R15" s="214" t="s">
        <v>1261</v>
      </c>
      <c r="S15" s="828">
        <v>43181</v>
      </c>
      <c r="T15" s="829">
        <v>6155.01</v>
      </c>
      <c r="U15" s="829"/>
      <c r="V15" s="829"/>
      <c r="W15" s="829"/>
      <c r="X15" s="829"/>
      <c r="Y15" s="830"/>
      <c r="Z15" s="831"/>
      <c r="AA15" s="831"/>
      <c r="AB15" s="1020"/>
      <c r="AC15" s="831"/>
      <c r="AD15" s="833"/>
      <c r="AE15" s="833"/>
      <c r="AF15" s="833"/>
      <c r="AG15" s="833"/>
      <c r="AH15" s="833"/>
      <c r="AI15" s="833"/>
      <c r="AJ15" s="833"/>
      <c r="AK15" s="833"/>
      <c r="AL15" s="833"/>
      <c r="AM15" s="833"/>
      <c r="AN15" s="1021"/>
      <c r="AO15" s="223"/>
      <c r="AP15" s="223"/>
      <c r="AQ15" s="223"/>
      <c r="AR15" s="223"/>
      <c r="AS15" s="223"/>
      <c r="AT15" s="223"/>
      <c r="AU15" s="223"/>
      <c r="AV15" s="831"/>
      <c r="AW15" s="1020"/>
      <c r="AX15" s="831"/>
      <c r="AY15" s="833"/>
      <c r="AZ15" s="833"/>
      <c r="BA15" s="223"/>
      <c r="BB15" s="223"/>
      <c r="BC15" s="223"/>
      <c r="BD15" s="223"/>
      <c r="BE15" s="223"/>
      <c r="BF15" s="223"/>
      <c r="BG15" s="223"/>
      <c r="BH15" s="223"/>
      <c r="BI15" s="223"/>
      <c r="BJ15" s="223"/>
      <c r="BK15" s="223"/>
      <c r="BL15" s="223"/>
      <c r="BM15" s="223"/>
      <c r="BN15" s="223"/>
      <c r="BO15" s="831"/>
      <c r="BP15" s="1020"/>
      <c r="BQ15" s="831"/>
      <c r="BR15" s="833"/>
      <c r="BS15" s="833"/>
      <c r="BT15" s="223"/>
      <c r="BU15" s="223"/>
      <c r="BV15" s="223"/>
      <c r="BW15" s="223"/>
      <c r="BX15" s="223"/>
      <c r="BY15" s="223"/>
      <c r="BZ15" s="223"/>
      <c r="CA15" s="223"/>
      <c r="CB15" s="829">
        <v>6155.01</v>
      </c>
      <c r="CC15" s="225">
        <v>126.408</v>
      </c>
      <c r="CD15" s="225">
        <v>132.43600000000001</v>
      </c>
      <c r="CE15" s="225">
        <f>CC15/CD15</f>
        <v>0.9544836751336494</v>
      </c>
      <c r="CF15" s="804">
        <f>CB15/L15</f>
        <v>186.51545454545456</v>
      </c>
      <c r="CG15" s="227">
        <f>CF15*CE15</f>
        <v>178.0259565237686</v>
      </c>
      <c r="CH15" s="805"/>
      <c r="CI15" s="805"/>
      <c r="CJ15" s="805"/>
      <c r="CK15" s="227"/>
      <c r="CL15" s="227"/>
      <c r="CM15" s="227"/>
      <c r="CN15" s="227"/>
      <c r="CO15" s="223">
        <f>SUM(CH15:CN15)</f>
        <v>0</v>
      </c>
      <c r="CP15" s="1022">
        <f>CB15-CO15</f>
        <v>6155.01</v>
      </c>
      <c r="CQ15" s="227"/>
      <c r="CR15" s="227"/>
      <c r="CS15" s="223">
        <v>326.38</v>
      </c>
      <c r="CT15" s="223">
        <v>326.38</v>
      </c>
      <c r="CU15" s="223">
        <v>326.38</v>
      </c>
      <c r="CV15" s="1023">
        <f>SUM(CQ15:CU15)</f>
        <v>979.14</v>
      </c>
      <c r="CW15" s="842">
        <f>CP15-CV15</f>
        <v>5175.87</v>
      </c>
      <c r="CX15" s="55">
        <v>132.28200000000001</v>
      </c>
      <c r="CY15" s="225">
        <v>132.43600000000001</v>
      </c>
      <c r="CZ15" s="55">
        <f>CY15/CX15</f>
        <v>1.0011641795557975</v>
      </c>
      <c r="DA15" s="55">
        <f>CW15/L15</f>
        <v>156.84454545454545</v>
      </c>
      <c r="DB15" s="55">
        <f>DA15*CZ15</f>
        <v>157.027140667802</v>
      </c>
      <c r="DC15" s="457">
        <v>157.027140667802</v>
      </c>
      <c r="DD15" s="457">
        <v>157.027140667802</v>
      </c>
      <c r="DE15" s="457">
        <v>157.027140667802</v>
      </c>
      <c r="DF15" s="457">
        <v>157.027140667802</v>
      </c>
      <c r="DG15" s="457">
        <v>157.027140667802</v>
      </c>
      <c r="DH15" s="457">
        <v>157.027140667802</v>
      </c>
      <c r="DI15" s="457">
        <v>157.027140667802</v>
      </c>
      <c r="DJ15" s="457">
        <v>157.027140667802</v>
      </c>
      <c r="DK15" s="385">
        <v>157.027140667802</v>
      </c>
      <c r="DL15" s="385">
        <v>157.027140667802</v>
      </c>
      <c r="DM15" s="385">
        <v>157.027140667802</v>
      </c>
      <c r="DN15" s="385">
        <v>157.027140667802</v>
      </c>
      <c r="DO15" s="385">
        <v>157.027140667802</v>
      </c>
      <c r="DP15" s="385">
        <v>157.027140667802</v>
      </c>
      <c r="DQ15" s="385">
        <v>157.027140667802</v>
      </c>
      <c r="DR15" s="385">
        <v>157.027140667802</v>
      </c>
      <c r="DS15" s="385">
        <v>157.027140667802</v>
      </c>
      <c r="DT15" s="385">
        <v>157.027140667802</v>
      </c>
      <c r="DU15" s="55">
        <f>SUM(DC15:DT15)</f>
        <v>2826.4885320204367</v>
      </c>
      <c r="DV15" s="55">
        <f>CW15-DU15</f>
        <v>2349.3814679795632</v>
      </c>
    </row>
    <row r="16" spans="1:126" s="16" customFormat="1" x14ac:dyDescent="0.2">
      <c r="A16" s="812" t="s">
        <v>66</v>
      </c>
      <c r="B16" s="813"/>
      <c r="C16" s="45"/>
      <c r="D16" s="17"/>
      <c r="E16" s="25"/>
      <c r="F16" s="180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20"/>
      <c r="S16" s="20"/>
      <c r="T16" s="14"/>
      <c r="U16" s="14"/>
      <c r="V16" s="14"/>
      <c r="W16" s="14"/>
      <c r="X16" s="14"/>
      <c r="Y16" s="108"/>
      <c r="Z16" s="66"/>
      <c r="AA16" s="66"/>
      <c r="AB16" s="112"/>
      <c r="AC16" s="66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391"/>
      <c r="AO16" s="47"/>
      <c r="AP16" s="47"/>
      <c r="AQ16" s="47"/>
      <c r="AR16" s="47"/>
      <c r="AS16" s="47"/>
      <c r="AT16" s="47"/>
      <c r="AU16" s="47"/>
      <c r="AV16" s="66"/>
      <c r="AW16" s="112"/>
      <c r="AX16" s="66"/>
      <c r="AY16" s="65"/>
      <c r="AZ16" s="65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66"/>
      <c r="BP16" s="112"/>
      <c r="BQ16" s="66"/>
      <c r="BR16" s="65"/>
      <c r="BS16" s="65"/>
      <c r="BT16" s="47"/>
      <c r="BU16" s="47"/>
      <c r="BV16" s="47"/>
      <c r="BW16" s="47"/>
      <c r="BX16" s="47"/>
      <c r="BY16" s="47"/>
      <c r="BZ16" s="47"/>
      <c r="CA16" s="47"/>
      <c r="CB16" s="47"/>
      <c r="CC16" s="66"/>
      <c r="CD16" s="112"/>
      <c r="CE16" s="66"/>
      <c r="CG16" s="65"/>
      <c r="CH16" s="47"/>
      <c r="CI16" s="47"/>
      <c r="CJ16" s="47"/>
      <c r="CK16" s="47"/>
      <c r="CL16" s="47"/>
      <c r="CM16" s="47"/>
      <c r="CN16" s="47"/>
      <c r="CO16" s="47"/>
      <c r="CP16" s="47"/>
      <c r="CQ16" s="968"/>
      <c r="CR16" s="968"/>
      <c r="CS16" s="968"/>
      <c r="CT16" s="968"/>
      <c r="CU16" s="968"/>
      <c r="CV16" s="505"/>
      <c r="CW16" s="505"/>
      <c r="CX16" s="55"/>
      <c r="CY16" s="112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>
        <f t="shared" ref="DU16:DU48" si="0">SUM(DC16:DT16)</f>
        <v>0</v>
      </c>
      <c r="DV16" s="55"/>
    </row>
    <row r="17" spans="1:126" s="16" customFormat="1" x14ac:dyDescent="0.2">
      <c r="A17" s="26" t="s">
        <v>65</v>
      </c>
      <c r="B17" s="813"/>
      <c r="C17" s="45"/>
      <c r="D17" s="17"/>
      <c r="E17" s="25"/>
      <c r="F17" s="180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20"/>
      <c r="S17" s="20"/>
      <c r="T17" s="14"/>
      <c r="U17" s="14"/>
      <c r="V17" s="14"/>
      <c r="W17" s="14"/>
      <c r="X17" s="14"/>
      <c r="Y17" s="108"/>
      <c r="Z17" s="66"/>
      <c r="AA17" s="66"/>
      <c r="AB17" s="112"/>
      <c r="AC17" s="66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391"/>
      <c r="AO17" s="47"/>
      <c r="AP17" s="47"/>
      <c r="AQ17" s="47"/>
      <c r="AR17" s="47"/>
      <c r="AS17" s="47"/>
      <c r="AT17" s="47"/>
      <c r="AU17" s="47"/>
      <c r="AV17" s="66"/>
      <c r="AW17" s="112"/>
      <c r="AX17" s="66"/>
      <c r="AY17" s="65"/>
      <c r="AZ17" s="65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66"/>
      <c r="BP17" s="112"/>
      <c r="BQ17" s="66"/>
      <c r="BR17" s="65"/>
      <c r="BS17" s="65"/>
      <c r="BT17" s="47"/>
      <c r="BU17" s="47"/>
      <c r="BV17" s="47"/>
      <c r="BW17" s="47"/>
      <c r="BX17" s="47"/>
      <c r="BY17" s="47"/>
      <c r="BZ17" s="47"/>
      <c r="CA17" s="47"/>
      <c r="CB17" s="47"/>
      <c r="CC17" s="66"/>
      <c r="CD17" s="112"/>
      <c r="CE17" s="66"/>
      <c r="CF17" s="65"/>
      <c r="CG17" s="65"/>
      <c r="CH17" s="47"/>
      <c r="CI17" s="47"/>
      <c r="CJ17" s="47"/>
      <c r="CK17" s="47"/>
      <c r="CL17" s="47"/>
      <c r="CM17" s="47"/>
      <c r="CN17" s="47"/>
      <c r="CO17" s="47"/>
      <c r="CP17" s="47"/>
      <c r="CQ17" s="968"/>
      <c r="CR17" s="968"/>
      <c r="CS17" s="968"/>
      <c r="CT17" s="968"/>
      <c r="CU17" s="968"/>
      <c r="CV17" s="505"/>
      <c r="CW17" s="505"/>
      <c r="CX17" s="55"/>
      <c r="CY17" s="112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>
        <f t="shared" si="0"/>
        <v>0</v>
      </c>
      <c r="DV17" s="55"/>
    </row>
    <row r="18" spans="1:126" s="16" customFormat="1" x14ac:dyDescent="0.2">
      <c r="A18" s="26" t="s">
        <v>82</v>
      </c>
      <c r="B18" s="813"/>
      <c r="C18" s="45"/>
      <c r="D18" s="17"/>
      <c r="E18" s="25"/>
      <c r="F18" s="180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20"/>
      <c r="S18" s="20"/>
      <c r="T18" s="14"/>
      <c r="U18" s="14"/>
      <c r="V18" s="14"/>
      <c r="W18" s="14"/>
      <c r="X18" s="14"/>
      <c r="Y18" s="108"/>
      <c r="Z18" s="66"/>
      <c r="AA18" s="66"/>
      <c r="AB18" s="112"/>
      <c r="AC18" s="66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391"/>
      <c r="AO18" s="47"/>
      <c r="AP18" s="47"/>
      <c r="AQ18" s="47"/>
      <c r="AR18" s="47"/>
      <c r="AS18" s="47"/>
      <c r="AT18" s="47"/>
      <c r="AU18" s="47"/>
      <c r="AV18" s="66"/>
      <c r="AW18" s="112"/>
      <c r="AX18" s="66"/>
      <c r="AY18" s="65"/>
      <c r="AZ18" s="65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66"/>
      <c r="BP18" s="112"/>
      <c r="BQ18" s="66"/>
      <c r="BR18" s="65"/>
      <c r="BS18" s="65"/>
      <c r="BT18" s="47"/>
      <c r="BU18" s="47"/>
      <c r="BV18" s="47"/>
      <c r="BW18" s="47"/>
      <c r="BX18" s="47"/>
      <c r="BY18" s="47"/>
      <c r="BZ18" s="47"/>
      <c r="CA18" s="47"/>
      <c r="CB18" s="47"/>
      <c r="CC18" s="66"/>
      <c r="CD18" s="112"/>
      <c r="CE18" s="66"/>
      <c r="CF18" s="65"/>
      <c r="CG18" s="65"/>
      <c r="CH18" s="47"/>
      <c r="CI18" s="47"/>
      <c r="CJ18" s="47"/>
      <c r="CK18" s="47"/>
      <c r="CL18" s="47"/>
      <c r="CM18" s="47"/>
      <c r="CN18" s="47"/>
      <c r="CO18" s="47"/>
      <c r="CP18" s="47"/>
      <c r="CQ18" s="968"/>
      <c r="CR18" s="968"/>
      <c r="CS18" s="968"/>
      <c r="CT18" s="968"/>
      <c r="CU18" s="968"/>
      <c r="CV18" s="505"/>
      <c r="CW18" s="505"/>
      <c r="CX18" s="55"/>
      <c r="CY18" s="112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>
        <f t="shared" si="0"/>
        <v>0</v>
      </c>
      <c r="DV18" s="55"/>
    </row>
    <row r="19" spans="1:126" s="16" customFormat="1" x14ac:dyDescent="0.2">
      <c r="A19" s="20" t="s">
        <v>139</v>
      </c>
      <c r="B19" s="9" t="s">
        <v>50</v>
      </c>
      <c r="C19" s="45" t="s">
        <v>358</v>
      </c>
      <c r="D19" s="17">
        <v>120</v>
      </c>
      <c r="E19" s="30">
        <v>0.1</v>
      </c>
      <c r="F19" s="462">
        <v>43281</v>
      </c>
      <c r="G19" s="17">
        <v>120</v>
      </c>
      <c r="H19" s="145">
        <f>100/G19</f>
        <v>0.83333333333333337</v>
      </c>
      <c r="I19" s="165">
        <f>H19*J19</f>
        <v>94.166666666666671</v>
      </c>
      <c r="J19" s="48">
        <f>(YEAR(F19)-YEAR(S19))*12+MONTH(F19)-MONTH(S19)</f>
        <v>113</v>
      </c>
      <c r="K19" s="165">
        <f>L19*H19</f>
        <v>5.8333333333333339</v>
      </c>
      <c r="L19" s="48">
        <f>G19-J19</f>
        <v>7</v>
      </c>
      <c r="M19" s="165">
        <f>N19*H19</f>
        <v>5.8333333333333339</v>
      </c>
      <c r="N19" s="48">
        <v>7</v>
      </c>
      <c r="O19" s="165">
        <f t="shared" ref="O19:P21" si="1">K19-M19</f>
        <v>0</v>
      </c>
      <c r="P19" s="48">
        <f t="shared" si="1"/>
        <v>0</v>
      </c>
      <c r="Q19" s="462">
        <f>DATE(YEAR(S19),MONTH(S19)+G19,DAY(S19))</f>
        <v>43466</v>
      </c>
      <c r="R19" s="7" t="s">
        <v>359</v>
      </c>
      <c r="S19" s="33">
        <v>39814</v>
      </c>
      <c r="T19" s="5">
        <v>1699</v>
      </c>
      <c r="U19" s="72">
        <v>225.03</v>
      </c>
      <c r="V19" s="154">
        <v>169.91</v>
      </c>
      <c r="W19" s="154">
        <v>679.59</v>
      </c>
      <c r="X19" s="47">
        <v>14.16</v>
      </c>
      <c r="Y19" s="106">
        <f>X19*5</f>
        <v>70.8</v>
      </c>
      <c r="Z19" s="258">
        <f>W19-Y19</f>
        <v>608.79000000000008</v>
      </c>
      <c r="AA19" s="57">
        <v>115.958</v>
      </c>
      <c r="AB19" s="80">
        <v>134.071</v>
      </c>
      <c r="AC19" s="57">
        <f>AA19/AB19</f>
        <v>0.8648999410759971</v>
      </c>
      <c r="AD19" s="55">
        <f>Z19*M19/100/K19*100/7</f>
        <v>86.970000000000013</v>
      </c>
      <c r="AE19" s="55">
        <f>AD19*AC19</f>
        <v>75.220347875379474</v>
      </c>
      <c r="AF19" s="55">
        <f>AE19</f>
        <v>75.220347875379474</v>
      </c>
      <c r="AG19" s="55">
        <v>12.245172909945499</v>
      </c>
      <c r="AH19" s="55">
        <v>12.245172909945499</v>
      </c>
      <c r="AI19" s="55">
        <v>12.245172909945499</v>
      </c>
      <c r="AJ19" s="55">
        <v>12.245172909945499</v>
      </c>
      <c r="AK19" s="55">
        <v>12.245172909945499</v>
      </c>
      <c r="AL19" s="55">
        <v>12.245172909945499</v>
      </c>
      <c r="AM19" s="55">
        <f>SUM(AF19:AL19)</f>
        <v>148.69138533505244</v>
      </c>
      <c r="AN19" s="392">
        <f>Z19-AM19</f>
        <v>460.0986146649476</v>
      </c>
      <c r="AO19" s="47"/>
      <c r="AP19" s="47"/>
      <c r="AQ19" s="47">
        <f>$AL19</f>
        <v>12.245172909945499</v>
      </c>
      <c r="AR19" s="47">
        <f>$AL19</f>
        <v>12.245172909945499</v>
      </c>
      <c r="AS19" s="47">
        <f>$AL19</f>
        <v>12.245172909945499</v>
      </c>
      <c r="AT19" s="47">
        <f>$AL19</f>
        <v>12.245172909945499</v>
      </c>
      <c r="AU19" s="47">
        <f>$AL19</f>
        <v>12.245172909945499</v>
      </c>
      <c r="AV19" s="57">
        <v>118.901</v>
      </c>
      <c r="AW19" s="495">
        <v>134.071</v>
      </c>
      <c r="AX19" s="496">
        <f>AV19/AW19</f>
        <v>0.88685099685987279</v>
      </c>
      <c r="AY19" s="55">
        <f>T19/(D19)</f>
        <v>14.158333333333333</v>
      </c>
      <c r="AZ19" s="55">
        <f>AY19*AX19</f>
        <v>12.556332030541032</v>
      </c>
      <c r="BA19" s="47">
        <f t="shared" ref="BA19:BG19" si="2">$AZ19</f>
        <v>12.556332030541032</v>
      </c>
      <c r="BB19" s="47">
        <f t="shared" si="2"/>
        <v>12.556332030541032</v>
      </c>
      <c r="BC19" s="47">
        <f t="shared" si="2"/>
        <v>12.556332030541032</v>
      </c>
      <c r="BD19" s="47">
        <f t="shared" si="2"/>
        <v>12.556332030541032</v>
      </c>
      <c r="BE19" s="47">
        <f t="shared" si="2"/>
        <v>12.556332030541032</v>
      </c>
      <c r="BF19" s="47">
        <f t="shared" si="2"/>
        <v>12.556332030541032</v>
      </c>
      <c r="BG19" s="47">
        <f t="shared" si="2"/>
        <v>12.556332030541032</v>
      </c>
      <c r="BH19" s="47">
        <f>SUM((AQ19:AU19),(BA19:BG19))</f>
        <v>149.1201887635147</v>
      </c>
      <c r="BI19" s="450">
        <f>(AN19-BH19)</f>
        <v>310.9784259014329</v>
      </c>
      <c r="BJ19" s="47">
        <f t="shared" ref="BJ19:BN31" si="3">$AZ19</f>
        <v>12.556332030541032</v>
      </c>
      <c r="BK19" s="47">
        <f t="shared" si="3"/>
        <v>12.556332030541032</v>
      </c>
      <c r="BL19" s="47">
        <f t="shared" si="3"/>
        <v>12.556332030541032</v>
      </c>
      <c r="BM19" s="47">
        <f t="shared" si="3"/>
        <v>12.556332030541032</v>
      </c>
      <c r="BN19" s="47">
        <f t="shared" si="3"/>
        <v>12.556332030541032</v>
      </c>
      <c r="BO19" s="57">
        <v>118.901</v>
      </c>
      <c r="BP19" s="495">
        <v>134.071</v>
      </c>
      <c r="BQ19" s="496">
        <f>BO19/BP19</f>
        <v>0.88685099685987279</v>
      </c>
      <c r="BR19" s="55">
        <f>AM19/(W19)</f>
        <v>0.21879572291389285</v>
      </c>
      <c r="BS19" s="55">
        <f>BR19*BQ19</f>
        <v>0.19403920497486238</v>
      </c>
      <c r="BT19" s="47"/>
      <c r="BU19" s="47"/>
      <c r="BV19" s="47"/>
      <c r="BW19" s="47"/>
      <c r="BX19" s="47"/>
      <c r="BY19" s="47"/>
      <c r="BZ19" s="47"/>
      <c r="CA19" s="47">
        <f>SUM((BJ19:BN19),(BT19:BZ19))</f>
        <v>62.781660152705157</v>
      </c>
      <c r="CB19" s="450">
        <f>BI19-CA19</f>
        <v>248.19676574872773</v>
      </c>
      <c r="CC19" s="57">
        <v>126.408</v>
      </c>
      <c r="CD19" s="495">
        <v>134.071</v>
      </c>
      <c r="CE19" s="496">
        <f>CC19/CD19</f>
        <v>0.94284371713495085</v>
      </c>
      <c r="CF19" s="55">
        <f>CB19/L19</f>
        <v>35.45668082124682</v>
      </c>
      <c r="CG19" s="55">
        <f>CF19*CE19</f>
        <v>33.430108742771871</v>
      </c>
      <c r="CH19" s="47">
        <v>14.673841693985434</v>
      </c>
      <c r="CI19" s="47">
        <v>14.673841693985434</v>
      </c>
      <c r="CJ19" s="47">
        <v>14.673841693985434</v>
      </c>
      <c r="CK19" s="47">
        <v>14.673841693985434</v>
      </c>
      <c r="CL19" s="47">
        <v>14.673841693985434</v>
      </c>
      <c r="CM19" s="47">
        <v>14.673841693985434</v>
      </c>
      <c r="CN19" s="47">
        <v>14.673841693985434</v>
      </c>
      <c r="CO19" s="47">
        <f>SUM(CH19:CN19)</f>
        <v>102.71689185789805</v>
      </c>
      <c r="CP19" s="450">
        <f>CB19-CO19</f>
        <v>145.47987389082968</v>
      </c>
      <c r="CQ19" s="47">
        <v>14.6738416939854</v>
      </c>
      <c r="CR19" s="47">
        <v>14.6738416939854</v>
      </c>
      <c r="CS19" s="47">
        <v>14.6738416939854</v>
      </c>
      <c r="CT19" s="47">
        <v>14.6738416939854</v>
      </c>
      <c r="CU19" s="47">
        <v>14.6738416939854</v>
      </c>
      <c r="CV19" s="505">
        <f>SUM(CQ19:CU19)</f>
        <v>73.369208469927003</v>
      </c>
      <c r="CW19" s="679">
        <f>CP19-CV19</f>
        <v>72.110665420902677</v>
      </c>
      <c r="CX19" s="55">
        <v>132.28200000000001</v>
      </c>
      <c r="CY19" s="495">
        <v>134.071</v>
      </c>
      <c r="CZ19" s="55">
        <f>CY19/CX19</f>
        <v>1.0135241378267639</v>
      </c>
      <c r="DA19" s="55">
        <f>CW19/L19</f>
        <v>10.301523631557526</v>
      </c>
      <c r="DB19" s="55">
        <f>DA19*CZ19</f>
        <v>10.440842856976374</v>
      </c>
      <c r="DC19" s="511">
        <v>10.440842856976374</v>
      </c>
      <c r="DD19" s="511">
        <v>10.440842856976374</v>
      </c>
      <c r="DE19" s="511">
        <v>10.440842856976374</v>
      </c>
      <c r="DF19" s="511">
        <v>10.440842856976374</v>
      </c>
      <c r="DG19" s="511">
        <v>10.440842856976374</v>
      </c>
      <c r="DH19" s="511">
        <v>10.440842856976374</v>
      </c>
      <c r="DI19" s="511">
        <v>8.4700000000000006</v>
      </c>
      <c r="DJ19" s="511">
        <v>0</v>
      </c>
      <c r="DK19" s="511">
        <v>0</v>
      </c>
      <c r="DL19" s="511">
        <v>0</v>
      </c>
      <c r="DM19" s="511">
        <v>0</v>
      </c>
      <c r="DN19" s="511">
        <v>0</v>
      </c>
      <c r="DO19" s="511">
        <v>0</v>
      </c>
      <c r="DP19" s="511">
        <v>0</v>
      </c>
      <c r="DQ19" s="511">
        <v>0</v>
      </c>
      <c r="DR19" s="511">
        <v>0</v>
      </c>
      <c r="DS19" s="511">
        <v>0</v>
      </c>
      <c r="DT19" s="511">
        <v>0</v>
      </c>
      <c r="DU19" s="55">
        <f t="shared" si="0"/>
        <v>71.115057141858244</v>
      </c>
      <c r="DV19" s="55">
        <f>CW19-DU19</f>
        <v>0.99560827904443272</v>
      </c>
    </row>
    <row r="20" spans="1:126" s="16" customFormat="1" x14ac:dyDescent="0.2">
      <c r="A20" s="20" t="s">
        <v>139</v>
      </c>
      <c r="B20" s="9" t="s">
        <v>45</v>
      </c>
      <c r="C20" s="45" t="s">
        <v>358</v>
      </c>
      <c r="D20" s="17">
        <v>120</v>
      </c>
      <c r="E20" s="30">
        <v>0.1</v>
      </c>
      <c r="F20" s="462">
        <v>43281</v>
      </c>
      <c r="G20" s="17">
        <v>120</v>
      </c>
      <c r="H20" s="145">
        <f>100/G20</f>
        <v>0.83333333333333337</v>
      </c>
      <c r="I20" s="165">
        <f>H20*J20</f>
        <v>94.166666666666671</v>
      </c>
      <c r="J20" s="48">
        <f>(YEAR(F20)-YEAR(S20))*12+MONTH(F20)-MONTH(S20)</f>
        <v>113</v>
      </c>
      <c r="K20" s="165">
        <f>L20*H20</f>
        <v>5.8333333333333339</v>
      </c>
      <c r="L20" s="48">
        <f>G20-J20</f>
        <v>7</v>
      </c>
      <c r="M20" s="165">
        <f>N20*H20</f>
        <v>5.8333333333333339</v>
      </c>
      <c r="N20" s="48">
        <v>7</v>
      </c>
      <c r="O20" s="165">
        <f t="shared" si="1"/>
        <v>0</v>
      </c>
      <c r="P20" s="48">
        <f t="shared" si="1"/>
        <v>0</v>
      </c>
      <c r="Q20" s="462">
        <f>DATE(YEAR(S20),MONTH(S20)+G20,DAY(S20))</f>
        <v>43466</v>
      </c>
      <c r="R20" s="7" t="s">
        <v>359</v>
      </c>
      <c r="S20" s="33">
        <v>39814</v>
      </c>
      <c r="T20" s="5">
        <v>400</v>
      </c>
      <c r="U20" s="72">
        <v>225.03</v>
      </c>
      <c r="V20" s="154">
        <v>39.973333333333322</v>
      </c>
      <c r="W20" s="154">
        <v>160.02666666666667</v>
      </c>
      <c r="X20" s="47">
        <v>3.33</v>
      </c>
      <c r="Y20" s="106">
        <f>X20*5</f>
        <v>16.649999999999999</v>
      </c>
      <c r="Z20" s="258">
        <f>W20-Y20</f>
        <v>143.37666666666667</v>
      </c>
      <c r="AA20" s="57">
        <v>115.958</v>
      </c>
      <c r="AB20" s="80">
        <v>134.071</v>
      </c>
      <c r="AC20" s="57">
        <f>AA20/AB20</f>
        <v>0.8648999410759971</v>
      </c>
      <c r="AD20" s="55">
        <f>Z20*M20/100/K20*100/7</f>
        <v>20.482380952380954</v>
      </c>
      <c r="AE20" s="55">
        <f>AD20*AC20</f>
        <v>17.715210078810411</v>
      </c>
      <c r="AF20" s="55">
        <f>AE20</f>
        <v>17.715210078810411</v>
      </c>
      <c r="AG20" s="55">
        <v>2.8838714081784396</v>
      </c>
      <c r="AH20" s="55">
        <v>2.8838714081784396</v>
      </c>
      <c r="AI20" s="55">
        <v>2.8838714081784396</v>
      </c>
      <c r="AJ20" s="55">
        <v>2.8838714081784396</v>
      </c>
      <c r="AK20" s="55">
        <v>2.8838714081784396</v>
      </c>
      <c r="AL20" s="55">
        <v>2.8838714081784396</v>
      </c>
      <c r="AM20" s="55">
        <f>SUM(AF20:AL20)</f>
        <v>35.018438527881045</v>
      </c>
      <c r="AN20" s="392">
        <f>Z20-AM20</f>
        <v>108.35822813878562</v>
      </c>
      <c r="AO20" s="47"/>
      <c r="AP20" s="47"/>
      <c r="AQ20" s="47">
        <f t="shared" ref="AQ20:AU28" si="4">$AL20</f>
        <v>2.8838714081784396</v>
      </c>
      <c r="AR20" s="47">
        <f t="shared" si="4"/>
        <v>2.8838714081784396</v>
      </c>
      <c r="AS20" s="47">
        <f t="shared" si="4"/>
        <v>2.8838714081784396</v>
      </c>
      <c r="AT20" s="47">
        <f t="shared" si="4"/>
        <v>2.8838714081784396</v>
      </c>
      <c r="AU20" s="47">
        <f t="shared" si="4"/>
        <v>2.8838714081784396</v>
      </c>
      <c r="AV20" s="57">
        <v>118.901</v>
      </c>
      <c r="AW20" s="495">
        <v>134.071</v>
      </c>
      <c r="AX20" s="496">
        <f>AV20/AW20</f>
        <v>0.88685099685987279</v>
      </c>
      <c r="AY20" s="55">
        <f>T20/(D20)</f>
        <v>3.3333333333333335</v>
      </c>
      <c r="AZ20" s="55">
        <f>AY20*AX20</f>
        <v>2.9561699895329094</v>
      </c>
      <c r="BA20" s="47">
        <f t="shared" ref="BA20:BG21" si="5">$AZ20</f>
        <v>2.9561699895329094</v>
      </c>
      <c r="BB20" s="47">
        <f t="shared" si="5"/>
        <v>2.9561699895329094</v>
      </c>
      <c r="BC20" s="47">
        <f t="shared" si="5"/>
        <v>2.9561699895329094</v>
      </c>
      <c r="BD20" s="47">
        <f t="shared" si="5"/>
        <v>2.9561699895329094</v>
      </c>
      <c r="BE20" s="47">
        <f t="shared" si="5"/>
        <v>2.9561699895329094</v>
      </c>
      <c r="BF20" s="47">
        <f t="shared" si="5"/>
        <v>2.9561699895329094</v>
      </c>
      <c r="BG20" s="47">
        <f t="shared" si="5"/>
        <v>2.9561699895329094</v>
      </c>
      <c r="BH20" s="47">
        <f>SUM((AQ20:AU20),(BA20:BG20))</f>
        <v>35.112546967622563</v>
      </c>
      <c r="BI20" s="450">
        <f>(AN20-BH20)</f>
        <v>73.245681171163056</v>
      </c>
      <c r="BJ20" s="47">
        <f t="shared" si="3"/>
        <v>2.9561699895329094</v>
      </c>
      <c r="BK20" s="47">
        <f t="shared" si="3"/>
        <v>2.9561699895329094</v>
      </c>
      <c r="BL20" s="47">
        <f t="shared" si="3"/>
        <v>2.9561699895329094</v>
      </c>
      <c r="BM20" s="47">
        <f t="shared" si="3"/>
        <v>2.9561699895329094</v>
      </c>
      <c r="BN20" s="47">
        <f t="shared" si="3"/>
        <v>2.9561699895329094</v>
      </c>
      <c r="BO20" s="57">
        <v>118.901</v>
      </c>
      <c r="BP20" s="495">
        <v>134.071</v>
      </c>
      <c r="BQ20" s="496">
        <f>BO20/BP20</f>
        <v>0.88685099685987279</v>
      </c>
      <c r="BR20" s="55">
        <f>AM20/(W20)</f>
        <v>0.21882876933770024</v>
      </c>
      <c r="BS20" s="55">
        <f>BR20*BQ20</f>
        <v>0.19406851222875862</v>
      </c>
      <c r="BT20" s="47"/>
      <c r="BU20" s="47"/>
      <c r="BV20" s="47"/>
      <c r="BW20" s="47"/>
      <c r="BX20" s="47"/>
      <c r="BY20" s="47"/>
      <c r="BZ20" s="47"/>
      <c r="CA20" s="47">
        <f>SUM((BJ20:BN20),(BT20:BZ20))</f>
        <v>14.780849947664548</v>
      </c>
      <c r="CB20" s="450">
        <f>BI20-CA20</f>
        <v>58.464831223498507</v>
      </c>
      <c r="CC20" s="57">
        <v>126.408</v>
      </c>
      <c r="CD20" s="495">
        <v>134.071</v>
      </c>
      <c r="CE20" s="496">
        <f>CC20/CD20</f>
        <v>0.94284371713495085</v>
      </c>
      <c r="CF20" s="55">
        <f>CB20/L20</f>
        <v>8.3521187462140727</v>
      </c>
      <c r="CG20" s="55">
        <f>CF20*CE20</f>
        <v>7.8747426846329818</v>
      </c>
      <c r="CH20" s="47">
        <v>3.4564345465445214</v>
      </c>
      <c r="CI20" s="47">
        <v>3.4564345465445214</v>
      </c>
      <c r="CJ20" s="47">
        <v>3.4564345465445214</v>
      </c>
      <c r="CK20" s="47">
        <v>3.4564345465445214</v>
      </c>
      <c r="CL20" s="47">
        <v>3.4564345465445214</v>
      </c>
      <c r="CM20" s="47">
        <v>3.4564345465445214</v>
      </c>
      <c r="CN20" s="47">
        <v>3.4564345465445214</v>
      </c>
      <c r="CO20" s="47">
        <f>SUM(CH20:CN20)</f>
        <v>24.19504182581165</v>
      </c>
      <c r="CP20" s="450">
        <f>CB20-CO20</f>
        <v>34.269789397686857</v>
      </c>
      <c r="CQ20" s="47">
        <v>3.4564345465445214</v>
      </c>
      <c r="CR20" s="47">
        <v>3.4564345465445214</v>
      </c>
      <c r="CS20" s="47">
        <v>3.4564345465445214</v>
      </c>
      <c r="CT20" s="47">
        <v>3.4564345465445214</v>
      </c>
      <c r="CU20" s="47">
        <v>3.4564345465445214</v>
      </c>
      <c r="CV20" s="505">
        <f>SUM(CQ20:CU20)</f>
        <v>17.282172732722607</v>
      </c>
      <c r="CW20" s="679">
        <f>CP20-CV20</f>
        <v>16.98761666496425</v>
      </c>
      <c r="CX20" s="55">
        <v>132.28200000000001</v>
      </c>
      <c r="CY20" s="495">
        <v>134.071</v>
      </c>
      <c r="CZ20" s="55">
        <f>CY20/CX20</f>
        <v>1.0135241378267639</v>
      </c>
      <c r="DA20" s="55">
        <f>CW20/L20</f>
        <v>2.4268023807091788</v>
      </c>
      <c r="DB20" s="55">
        <f>DA20*CZ20</f>
        <v>2.4596227905842083</v>
      </c>
      <c r="DC20" s="511">
        <v>2.4596227905842083</v>
      </c>
      <c r="DD20" s="511">
        <v>2.4596227905842083</v>
      </c>
      <c r="DE20" s="511">
        <v>2.4596227905842083</v>
      </c>
      <c r="DF20" s="511">
        <v>2.4596227905842083</v>
      </c>
      <c r="DG20" s="511">
        <v>2.4596227905842083</v>
      </c>
      <c r="DH20" s="511">
        <v>2.4596227905842083</v>
      </c>
      <c r="DI20" s="511">
        <v>1.23</v>
      </c>
      <c r="DJ20" s="511">
        <v>0</v>
      </c>
      <c r="DK20" s="511">
        <v>0</v>
      </c>
      <c r="DL20" s="511">
        <v>0</v>
      </c>
      <c r="DM20" s="511">
        <v>0</v>
      </c>
      <c r="DN20" s="511">
        <v>0</v>
      </c>
      <c r="DO20" s="511">
        <v>0</v>
      </c>
      <c r="DP20" s="511">
        <v>0</v>
      </c>
      <c r="DQ20" s="511">
        <v>0</v>
      </c>
      <c r="DR20" s="511">
        <v>0</v>
      </c>
      <c r="DS20" s="511">
        <v>0</v>
      </c>
      <c r="DT20" s="511">
        <v>0</v>
      </c>
      <c r="DU20" s="55">
        <f t="shared" si="0"/>
        <v>15.987736743505252</v>
      </c>
      <c r="DV20" s="55">
        <f>CW20-DU20</f>
        <v>0.99987992145899796</v>
      </c>
    </row>
    <row r="21" spans="1:126" s="16" customFormat="1" x14ac:dyDescent="0.2">
      <c r="A21" s="20" t="s">
        <v>139</v>
      </c>
      <c r="B21" s="9" t="s">
        <v>45</v>
      </c>
      <c r="C21" s="45" t="s">
        <v>358</v>
      </c>
      <c r="D21" s="17">
        <v>120</v>
      </c>
      <c r="E21" s="30">
        <v>0.1</v>
      </c>
      <c r="F21" s="462">
        <v>43281</v>
      </c>
      <c r="G21" s="17">
        <v>120</v>
      </c>
      <c r="H21" s="145">
        <f>100/G21</f>
        <v>0.83333333333333337</v>
      </c>
      <c r="I21" s="165">
        <f>H21*J21</f>
        <v>94.166666666666671</v>
      </c>
      <c r="J21" s="48">
        <f>(YEAR(F21)-YEAR(S21))*12+MONTH(F21)-MONTH(S21)</f>
        <v>113</v>
      </c>
      <c r="K21" s="165">
        <f>L21*H21</f>
        <v>5.8333333333333339</v>
      </c>
      <c r="L21" s="48">
        <f>G21-J21</f>
        <v>7</v>
      </c>
      <c r="M21" s="165">
        <f>N21*H21</f>
        <v>5.8333333333333339</v>
      </c>
      <c r="N21" s="48">
        <v>7</v>
      </c>
      <c r="O21" s="165">
        <f t="shared" si="1"/>
        <v>0</v>
      </c>
      <c r="P21" s="48">
        <f t="shared" si="1"/>
        <v>0</v>
      </c>
      <c r="Q21" s="462">
        <f>DATE(YEAR(S21),MONTH(S21)+G21,DAY(S21))</f>
        <v>43466</v>
      </c>
      <c r="R21" s="7" t="s">
        <v>359</v>
      </c>
      <c r="S21" s="33">
        <v>39814</v>
      </c>
      <c r="T21" s="5">
        <v>400</v>
      </c>
      <c r="U21" s="72">
        <v>225.03</v>
      </c>
      <c r="V21" s="154">
        <v>39.973333333333322</v>
      </c>
      <c r="W21" s="154">
        <v>160.02666666666667</v>
      </c>
      <c r="X21" s="47">
        <v>3.33</v>
      </c>
      <c r="Y21" s="106">
        <f>X21*5</f>
        <v>16.649999999999999</v>
      </c>
      <c r="Z21" s="258">
        <f>W21-Y21</f>
        <v>143.37666666666667</v>
      </c>
      <c r="AA21" s="57">
        <v>115.958</v>
      </c>
      <c r="AB21" s="80">
        <v>134.071</v>
      </c>
      <c r="AC21" s="57">
        <f>AA21/AB21</f>
        <v>0.8648999410759971</v>
      </c>
      <c r="AD21" s="55">
        <f>Z21*M21/100/K21*100/7</f>
        <v>20.482380952380954</v>
      </c>
      <c r="AE21" s="55">
        <f>AD21*AC21</f>
        <v>17.715210078810411</v>
      </c>
      <c r="AF21" s="55">
        <f>AE21</f>
        <v>17.715210078810411</v>
      </c>
      <c r="AG21" s="55">
        <v>2.8838714081784396</v>
      </c>
      <c r="AH21" s="55">
        <v>2.8838714081784396</v>
      </c>
      <c r="AI21" s="55">
        <v>2.8838714081784396</v>
      </c>
      <c r="AJ21" s="55">
        <v>2.8838714081784396</v>
      </c>
      <c r="AK21" s="55">
        <v>2.8838714081784396</v>
      </c>
      <c r="AL21" s="55">
        <v>2.8838714081784396</v>
      </c>
      <c r="AM21" s="55">
        <f>SUM(AF21:AL21)</f>
        <v>35.018438527881045</v>
      </c>
      <c r="AN21" s="392">
        <f>Z21-AM21</f>
        <v>108.35822813878562</v>
      </c>
      <c r="AO21" s="47"/>
      <c r="AP21" s="47"/>
      <c r="AQ21" s="47">
        <f t="shared" si="4"/>
        <v>2.8838714081784396</v>
      </c>
      <c r="AR21" s="47">
        <f t="shared" si="4"/>
        <v>2.8838714081784396</v>
      </c>
      <c r="AS21" s="47">
        <f t="shared" si="4"/>
        <v>2.8838714081784396</v>
      </c>
      <c r="AT21" s="47">
        <f t="shared" si="4"/>
        <v>2.8838714081784396</v>
      </c>
      <c r="AU21" s="47">
        <f t="shared" si="4"/>
        <v>2.8838714081784396</v>
      </c>
      <c r="AV21" s="57">
        <v>118.901</v>
      </c>
      <c r="AW21" s="495">
        <v>134.071</v>
      </c>
      <c r="AX21" s="496">
        <f>AV21/AW21</f>
        <v>0.88685099685987279</v>
      </c>
      <c r="AY21" s="55">
        <f>T21/(D21)</f>
        <v>3.3333333333333335</v>
      </c>
      <c r="AZ21" s="55">
        <f>AY21*AX21</f>
        <v>2.9561699895329094</v>
      </c>
      <c r="BA21" s="47">
        <f t="shared" si="5"/>
        <v>2.9561699895329094</v>
      </c>
      <c r="BB21" s="47">
        <f t="shared" si="5"/>
        <v>2.9561699895329094</v>
      </c>
      <c r="BC21" s="47">
        <f t="shared" si="5"/>
        <v>2.9561699895329094</v>
      </c>
      <c r="BD21" s="47">
        <f t="shared" si="5"/>
        <v>2.9561699895329094</v>
      </c>
      <c r="BE21" s="47">
        <f t="shared" si="5"/>
        <v>2.9561699895329094</v>
      </c>
      <c r="BF21" s="47">
        <f t="shared" si="5"/>
        <v>2.9561699895329094</v>
      </c>
      <c r="BG21" s="47">
        <f t="shared" si="5"/>
        <v>2.9561699895329094</v>
      </c>
      <c r="BH21" s="47">
        <f>SUM((AQ21:AU21),(BA21:BG21))</f>
        <v>35.112546967622563</v>
      </c>
      <c r="BI21" s="450">
        <f>(AN21-BH21)</f>
        <v>73.245681171163056</v>
      </c>
      <c r="BJ21" s="47">
        <f t="shared" si="3"/>
        <v>2.9561699895329094</v>
      </c>
      <c r="BK21" s="47">
        <f t="shared" si="3"/>
        <v>2.9561699895329094</v>
      </c>
      <c r="BL21" s="47">
        <f t="shared" si="3"/>
        <v>2.9561699895329094</v>
      </c>
      <c r="BM21" s="47">
        <f t="shared" si="3"/>
        <v>2.9561699895329094</v>
      </c>
      <c r="BN21" s="47">
        <f t="shared" si="3"/>
        <v>2.9561699895329094</v>
      </c>
      <c r="BO21" s="57">
        <v>118.901</v>
      </c>
      <c r="BP21" s="495">
        <v>134.071</v>
      </c>
      <c r="BQ21" s="496">
        <f>BO21/BP21</f>
        <v>0.88685099685987279</v>
      </c>
      <c r="BR21" s="55">
        <f>AM21/(W21)</f>
        <v>0.21882876933770024</v>
      </c>
      <c r="BS21" s="55">
        <f>BR21*BQ21</f>
        <v>0.19406851222875862</v>
      </c>
      <c r="BT21" s="47"/>
      <c r="BU21" s="47"/>
      <c r="BV21" s="47"/>
      <c r="BW21" s="47"/>
      <c r="BX21" s="47"/>
      <c r="BY21" s="47"/>
      <c r="BZ21" s="47"/>
      <c r="CA21" s="47">
        <f>SUM((BJ21:BN21),(BT21:BZ21))</f>
        <v>14.780849947664548</v>
      </c>
      <c r="CB21" s="450">
        <f>BI21-CA21</f>
        <v>58.464831223498507</v>
      </c>
      <c r="CC21" s="57">
        <v>126.408</v>
      </c>
      <c r="CD21" s="495">
        <v>134.071</v>
      </c>
      <c r="CE21" s="496">
        <f>CC21/CD21</f>
        <v>0.94284371713495085</v>
      </c>
      <c r="CF21" s="55">
        <f>CB21/L21</f>
        <v>8.3521187462140727</v>
      </c>
      <c r="CG21" s="55">
        <f>CF21*CE21</f>
        <v>7.8747426846329818</v>
      </c>
      <c r="CH21" s="47">
        <v>3.4564345465445214</v>
      </c>
      <c r="CI21" s="47">
        <v>3.4564345465445214</v>
      </c>
      <c r="CJ21" s="47">
        <v>3.4564345465445214</v>
      </c>
      <c r="CK21" s="47">
        <v>3.4564345465445214</v>
      </c>
      <c r="CL21" s="47">
        <v>3.4564345465445214</v>
      </c>
      <c r="CM21" s="47">
        <v>3.4564345465445214</v>
      </c>
      <c r="CN21" s="47">
        <v>3.4564345465445214</v>
      </c>
      <c r="CO21" s="47">
        <f>SUM(CH21:CN21)</f>
        <v>24.19504182581165</v>
      </c>
      <c r="CP21" s="450">
        <f>CB21-CO21</f>
        <v>34.269789397686857</v>
      </c>
      <c r="CQ21" s="47">
        <v>3.4564345465445214</v>
      </c>
      <c r="CR21" s="47">
        <v>3.4564345465445214</v>
      </c>
      <c r="CS21" s="47">
        <v>3.4564345465445214</v>
      </c>
      <c r="CT21" s="47">
        <v>3.4564345465445214</v>
      </c>
      <c r="CU21" s="47">
        <v>3.4564345465445214</v>
      </c>
      <c r="CV21" s="505">
        <f>SUM(CQ21:CU21)</f>
        <v>17.282172732722607</v>
      </c>
      <c r="CW21" s="679">
        <f>CP21-CV21</f>
        <v>16.98761666496425</v>
      </c>
      <c r="CX21" s="55">
        <v>132.28200000000001</v>
      </c>
      <c r="CY21" s="495">
        <v>134.071</v>
      </c>
      <c r="CZ21" s="55">
        <f>CY21/CX21</f>
        <v>1.0135241378267639</v>
      </c>
      <c r="DA21" s="55">
        <f>CW21/L21</f>
        <v>2.4268023807091788</v>
      </c>
      <c r="DB21" s="55">
        <f>DA21*CZ21</f>
        <v>2.4596227905842083</v>
      </c>
      <c r="DC21" s="511">
        <v>2.4596227905842083</v>
      </c>
      <c r="DD21" s="511">
        <v>2.4596227905842083</v>
      </c>
      <c r="DE21" s="511">
        <v>2.4596227905842083</v>
      </c>
      <c r="DF21" s="511">
        <v>2.4596227905842083</v>
      </c>
      <c r="DG21" s="511">
        <v>2.4596227905842083</v>
      </c>
      <c r="DH21" s="511">
        <v>2.4596227905842083</v>
      </c>
      <c r="DI21" s="511">
        <v>1.23</v>
      </c>
      <c r="DJ21" s="511">
        <v>0</v>
      </c>
      <c r="DK21" s="511">
        <v>0</v>
      </c>
      <c r="DL21" s="511">
        <v>0</v>
      </c>
      <c r="DM21" s="511">
        <v>0</v>
      </c>
      <c r="DN21" s="511">
        <v>0</v>
      </c>
      <c r="DO21" s="511">
        <v>0</v>
      </c>
      <c r="DP21" s="511">
        <v>0</v>
      </c>
      <c r="DQ21" s="511">
        <v>0</v>
      </c>
      <c r="DR21" s="511">
        <v>0</v>
      </c>
      <c r="DS21" s="511">
        <v>0</v>
      </c>
      <c r="DT21" s="511">
        <v>0</v>
      </c>
      <c r="DU21" s="55">
        <f t="shared" si="0"/>
        <v>15.987736743505252</v>
      </c>
      <c r="DV21" s="55">
        <f>CW21-DU21</f>
        <v>0.99987992145899796</v>
      </c>
    </row>
    <row r="22" spans="1:126" s="16" customFormat="1" x14ac:dyDescent="0.2">
      <c r="A22" s="26" t="s">
        <v>71</v>
      </c>
      <c r="B22" s="120" t="s">
        <v>1107</v>
      </c>
      <c r="C22" s="45"/>
      <c r="D22" s="17"/>
      <c r="E22" s="25"/>
      <c r="F22" s="462"/>
      <c r="G22" s="17"/>
      <c r="H22" s="145"/>
      <c r="I22" s="165"/>
      <c r="J22" s="48"/>
      <c r="K22" s="165"/>
      <c r="L22" s="48"/>
      <c r="M22" s="165"/>
      <c r="N22" s="48"/>
      <c r="O22" s="165"/>
      <c r="P22" s="48"/>
      <c r="Q22" s="48"/>
      <c r="R22" s="5"/>
      <c r="S22" s="20"/>
      <c r="T22" s="5"/>
      <c r="U22" s="72"/>
      <c r="V22" s="154"/>
      <c r="W22" s="154"/>
      <c r="X22" s="47"/>
      <c r="Y22" s="106"/>
      <c r="Z22" s="258"/>
      <c r="AA22" s="57"/>
      <c r="AB22" s="57"/>
      <c r="AC22" s="57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392"/>
      <c r="AO22" s="47"/>
      <c r="AP22" s="47"/>
      <c r="AQ22" s="47"/>
      <c r="AR22" s="47"/>
      <c r="AS22" s="47"/>
      <c r="AT22" s="47"/>
      <c r="AU22" s="47"/>
      <c r="AV22" s="57"/>
      <c r="AW22" s="496"/>
      <c r="AX22" s="496"/>
      <c r="AY22" s="55"/>
      <c r="AZ22" s="55"/>
      <c r="BA22" s="47"/>
      <c r="BB22" s="47"/>
      <c r="BC22" s="47"/>
      <c r="BD22" s="47"/>
      <c r="BE22" s="47"/>
      <c r="BF22" s="47"/>
      <c r="BG22" s="47"/>
      <c r="BH22" s="47"/>
      <c r="BI22" s="450"/>
      <c r="BJ22" s="47"/>
      <c r="BK22" s="47"/>
      <c r="BL22" s="47"/>
      <c r="BM22" s="47"/>
      <c r="BN22" s="47"/>
      <c r="BO22" s="57"/>
      <c r="BP22" s="496"/>
      <c r="BQ22" s="496"/>
      <c r="BR22" s="55"/>
      <c r="BS22" s="55"/>
      <c r="BT22" s="47"/>
      <c r="BU22" s="47"/>
      <c r="BV22" s="47"/>
      <c r="BW22" s="47"/>
      <c r="BX22" s="47"/>
      <c r="BY22" s="47"/>
      <c r="BZ22" s="47"/>
      <c r="CA22" s="47"/>
      <c r="CB22" s="450"/>
      <c r="CC22" s="57"/>
      <c r="CD22" s="496"/>
      <c r="CE22" s="496"/>
      <c r="CF22" s="55"/>
      <c r="CG22" s="55"/>
      <c r="CH22" s="47"/>
      <c r="CI22" s="47"/>
      <c r="CJ22" s="47"/>
      <c r="CK22" s="47"/>
      <c r="CL22" s="47"/>
      <c r="CM22" s="47"/>
      <c r="CN22" s="47"/>
      <c r="CO22" s="47"/>
      <c r="CP22" s="450"/>
      <c r="CQ22" s="47"/>
      <c r="CR22" s="47"/>
      <c r="CS22" s="47"/>
      <c r="CT22" s="47"/>
      <c r="CU22" s="47"/>
      <c r="CV22" s="505"/>
      <c r="CW22" s="679"/>
      <c r="CX22" s="656"/>
      <c r="CY22" s="496"/>
      <c r="CZ22" s="957"/>
      <c r="DA22" s="511"/>
      <c r="DB22" s="511"/>
      <c r="DC22" s="511"/>
      <c r="DD22" s="511"/>
      <c r="DE22" s="511"/>
      <c r="DF22" s="511"/>
      <c r="DG22" s="511"/>
      <c r="DH22" s="511"/>
      <c r="DI22" s="511"/>
      <c r="DJ22" s="511"/>
      <c r="DK22" s="511"/>
      <c r="DL22" s="511"/>
      <c r="DM22" s="511"/>
      <c r="DN22" s="511"/>
      <c r="DO22" s="511"/>
      <c r="DP22" s="511"/>
      <c r="DQ22" s="511"/>
      <c r="DR22" s="511"/>
      <c r="DS22" s="511"/>
      <c r="DT22" s="511"/>
      <c r="DU22" s="55">
        <f t="shared" si="0"/>
        <v>0</v>
      </c>
      <c r="DV22" s="511"/>
    </row>
    <row r="23" spans="1:126" s="16" customFormat="1" x14ac:dyDescent="0.2">
      <c r="A23" s="120" t="s">
        <v>1108</v>
      </c>
      <c r="B23" s="9"/>
      <c r="C23" s="45"/>
      <c r="D23" s="17"/>
      <c r="E23" s="25"/>
      <c r="F23" s="462"/>
      <c r="G23" s="17"/>
      <c r="H23" s="145"/>
      <c r="I23" s="165"/>
      <c r="J23" s="48"/>
      <c r="K23" s="165"/>
      <c r="L23" s="48"/>
      <c r="M23" s="165"/>
      <c r="N23" s="48"/>
      <c r="O23" s="165"/>
      <c r="P23" s="48"/>
      <c r="Q23" s="48"/>
      <c r="R23" s="5"/>
      <c r="S23" s="20"/>
      <c r="T23" s="5"/>
      <c r="U23" s="71"/>
      <c r="V23" s="154"/>
      <c r="W23" s="154"/>
      <c r="X23" s="47"/>
      <c r="Y23" s="106"/>
      <c r="Z23" s="258"/>
      <c r="AA23" s="57"/>
      <c r="AB23" s="57"/>
      <c r="AC23" s="57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392"/>
      <c r="AO23" s="47"/>
      <c r="AP23" s="47"/>
      <c r="AQ23" s="47"/>
      <c r="AR23" s="47"/>
      <c r="AS23" s="47"/>
      <c r="AT23" s="47"/>
      <c r="AU23" s="47"/>
      <c r="AV23" s="57"/>
      <c r="AW23" s="496"/>
      <c r="AX23" s="496"/>
      <c r="AY23" s="55"/>
      <c r="AZ23" s="55"/>
      <c r="BA23" s="47"/>
      <c r="BB23" s="47"/>
      <c r="BC23" s="47"/>
      <c r="BD23" s="47"/>
      <c r="BE23" s="47"/>
      <c r="BF23" s="47"/>
      <c r="BG23" s="47"/>
      <c r="BH23" s="47"/>
      <c r="BI23" s="450"/>
      <c r="BJ23" s="47"/>
      <c r="BK23" s="47"/>
      <c r="BL23" s="47"/>
      <c r="BM23" s="47"/>
      <c r="BN23" s="47"/>
      <c r="BO23" s="57"/>
      <c r="BP23" s="496"/>
      <c r="BQ23" s="496"/>
      <c r="BR23" s="55"/>
      <c r="BS23" s="55"/>
      <c r="BT23" s="47"/>
      <c r="BU23" s="47"/>
      <c r="BV23" s="47"/>
      <c r="BW23" s="47"/>
      <c r="BX23" s="47"/>
      <c r="BY23" s="47"/>
      <c r="BZ23" s="47"/>
      <c r="CA23" s="47"/>
      <c r="CB23" s="450"/>
      <c r="CC23" s="57"/>
      <c r="CD23" s="496"/>
      <c r="CE23" s="496"/>
      <c r="CF23" s="55"/>
      <c r="CG23" s="55"/>
      <c r="CH23" s="47"/>
      <c r="CI23" s="47"/>
      <c r="CJ23" s="47"/>
      <c r="CK23" s="47"/>
      <c r="CL23" s="47"/>
      <c r="CM23" s="47"/>
      <c r="CN23" s="47"/>
      <c r="CO23" s="47"/>
      <c r="CP23" s="450"/>
      <c r="CQ23" s="47"/>
      <c r="CR23" s="47"/>
      <c r="CS23" s="47"/>
      <c r="CT23" s="47"/>
      <c r="CU23" s="47"/>
      <c r="CV23" s="505"/>
      <c r="CW23" s="679"/>
      <c r="CX23" s="623"/>
      <c r="CY23" s="496"/>
      <c r="CZ23" s="957"/>
      <c r="DA23" s="511"/>
      <c r="DB23" s="511"/>
      <c r="DC23" s="511"/>
      <c r="DD23" s="511"/>
      <c r="DE23" s="511"/>
      <c r="DF23" s="511"/>
      <c r="DG23" s="511"/>
      <c r="DH23" s="511"/>
      <c r="DI23" s="511"/>
      <c r="DJ23" s="511"/>
      <c r="DK23" s="511"/>
      <c r="DL23" s="511"/>
      <c r="DM23" s="511"/>
      <c r="DN23" s="511"/>
      <c r="DO23" s="511"/>
      <c r="DP23" s="511"/>
      <c r="DQ23" s="511"/>
      <c r="DR23" s="511"/>
      <c r="DS23" s="511"/>
      <c r="DT23" s="511"/>
      <c r="DU23" s="55">
        <f t="shared" si="0"/>
        <v>0</v>
      </c>
      <c r="DV23" s="511"/>
    </row>
    <row r="24" spans="1:126" s="16" customFormat="1" x14ac:dyDescent="0.2">
      <c r="A24" s="119" t="s">
        <v>1109</v>
      </c>
      <c r="B24" s="100" t="s">
        <v>1107</v>
      </c>
      <c r="C24" s="45" t="s">
        <v>358</v>
      </c>
      <c r="D24" s="17">
        <v>120</v>
      </c>
      <c r="E24" s="30">
        <v>0.1</v>
      </c>
      <c r="F24" s="462">
        <v>43281</v>
      </c>
      <c r="G24" s="17">
        <v>120</v>
      </c>
      <c r="H24" s="145">
        <f>100/G24</f>
        <v>0.83333333333333337</v>
      </c>
      <c r="I24" s="165">
        <v>0</v>
      </c>
      <c r="J24" s="48">
        <f>(YEAR(F24)-YEAR(S24))*12+MONTH(F24)-MONTH(S24)</f>
        <v>16</v>
      </c>
      <c r="K24" s="165">
        <f>L24*H24</f>
        <v>86.666666666666671</v>
      </c>
      <c r="L24" s="48">
        <f>G24-J24</f>
        <v>104</v>
      </c>
      <c r="M24" s="165">
        <v>0</v>
      </c>
      <c r="N24" s="48">
        <v>0</v>
      </c>
      <c r="O24" s="165">
        <f>K24-M24</f>
        <v>86.666666666666671</v>
      </c>
      <c r="P24" s="48">
        <f>L24-N24</f>
        <v>104</v>
      </c>
      <c r="Q24" s="462">
        <f>DATE(YEAR(S24),MONTH(S24)+G24,DAY(S24))</f>
        <v>46430</v>
      </c>
      <c r="R24" s="7" t="s">
        <v>1104</v>
      </c>
      <c r="S24" s="20">
        <v>42778</v>
      </c>
      <c r="T24" s="5">
        <v>1392</v>
      </c>
      <c r="U24" s="72">
        <v>225.03</v>
      </c>
      <c r="V24" s="154">
        <v>21.967499999999994</v>
      </c>
      <c r="W24" s="154">
        <v>131.96250000000001</v>
      </c>
      <c r="X24" s="47">
        <v>1.83</v>
      </c>
      <c r="Y24" s="106">
        <f>X24*5</f>
        <v>9.15</v>
      </c>
      <c r="Z24" s="258">
        <f>W24-Y24</f>
        <v>122.8125</v>
      </c>
      <c r="AA24" s="57">
        <v>115.958</v>
      </c>
      <c r="AB24" s="80">
        <v>100.22799999999999</v>
      </c>
      <c r="AC24" s="57">
        <f>AA24/AB24</f>
        <v>1.1569421718481863</v>
      </c>
      <c r="AD24" s="55">
        <f>Z24*M24/100/K24*100/7</f>
        <v>0</v>
      </c>
      <c r="AE24" s="55">
        <f>AD24*AC24</f>
        <v>0</v>
      </c>
      <c r="AF24" s="55">
        <f>AE24</f>
        <v>0</v>
      </c>
      <c r="AG24" s="55">
        <v>2.12070090268814</v>
      </c>
      <c r="AH24" s="55">
        <v>2.12070090268814</v>
      </c>
      <c r="AI24" s="55">
        <v>2.12070090268814</v>
      </c>
      <c r="AJ24" s="55">
        <v>2.12070090268814</v>
      </c>
      <c r="AK24" s="55">
        <v>2.12070090268814</v>
      </c>
      <c r="AL24" s="55">
        <v>2.12070090268814</v>
      </c>
      <c r="AM24" s="55">
        <f>SUM(AF24:AL24)</f>
        <v>12.724205416128841</v>
      </c>
      <c r="AN24" s="392">
        <f>Z24-AM24</f>
        <v>110.08829458387116</v>
      </c>
      <c r="AO24" s="47"/>
      <c r="AP24" s="47"/>
      <c r="AQ24" s="47">
        <f t="shared" si="4"/>
        <v>2.12070090268814</v>
      </c>
      <c r="AR24" s="47">
        <f t="shared" si="4"/>
        <v>2.12070090268814</v>
      </c>
      <c r="AS24" s="47">
        <f t="shared" si="4"/>
        <v>2.12070090268814</v>
      </c>
      <c r="AT24" s="47">
        <f t="shared" si="4"/>
        <v>2.12070090268814</v>
      </c>
      <c r="AU24" s="47">
        <f t="shared" si="4"/>
        <v>2.12070090268814</v>
      </c>
      <c r="AV24" s="57">
        <v>118.901</v>
      </c>
      <c r="AW24" s="495">
        <v>125.318</v>
      </c>
      <c r="AX24" s="496">
        <f>AV24/AW24</f>
        <v>0.9487942673837757</v>
      </c>
      <c r="AY24" s="55">
        <f>T24/(D24)</f>
        <v>11.6</v>
      </c>
      <c r="AZ24" s="55">
        <f>AY24*AX24</f>
        <v>11.006013501651799</v>
      </c>
      <c r="BA24" s="47">
        <f t="shared" ref="BA24:BG24" si="6">$AZ24</f>
        <v>11.006013501651799</v>
      </c>
      <c r="BB24" s="47">
        <f t="shared" si="6"/>
        <v>11.006013501651799</v>
      </c>
      <c r="BC24" s="47">
        <f t="shared" si="6"/>
        <v>11.006013501651799</v>
      </c>
      <c r="BD24" s="47">
        <f t="shared" si="6"/>
        <v>11.006013501651799</v>
      </c>
      <c r="BE24" s="47">
        <f t="shared" si="6"/>
        <v>11.006013501651799</v>
      </c>
      <c r="BF24" s="47">
        <f t="shared" si="6"/>
        <v>11.006013501651799</v>
      </c>
      <c r="BG24" s="47">
        <f t="shared" si="6"/>
        <v>11.006013501651799</v>
      </c>
      <c r="BH24" s="47">
        <f>SUM((AQ24:AU24),(BA24:BG24))</f>
        <v>87.645599025003278</v>
      </c>
      <c r="BI24" s="450">
        <v>1392</v>
      </c>
      <c r="BJ24" s="47">
        <v>0</v>
      </c>
      <c r="BK24" s="47">
        <v>0</v>
      </c>
      <c r="BL24" s="47">
        <f t="shared" si="3"/>
        <v>11.006013501651799</v>
      </c>
      <c r="BM24" s="47">
        <f t="shared" si="3"/>
        <v>11.006013501651799</v>
      </c>
      <c r="BN24" s="47">
        <f t="shared" si="3"/>
        <v>11.006013501651799</v>
      </c>
      <c r="BO24" s="57">
        <v>118.901</v>
      </c>
      <c r="BP24" s="495">
        <v>100.22799999999999</v>
      </c>
      <c r="BQ24" s="496">
        <f>BO24/BP24</f>
        <v>1.186305224089077</v>
      </c>
      <c r="BR24" s="55">
        <f>AM24/(W24)</f>
        <v>9.6422888442768515E-2</v>
      </c>
      <c r="BS24" s="55">
        <f>BR24*BQ24</f>
        <v>0.11438697628141457</v>
      </c>
      <c r="BT24" s="47"/>
      <c r="BU24" s="47"/>
      <c r="BV24" s="47"/>
      <c r="BW24" s="47"/>
      <c r="BX24" s="47"/>
      <c r="BY24" s="47"/>
      <c r="BZ24" s="47"/>
      <c r="CA24" s="47">
        <f>SUM((BJ24:BN24),(BT24:BZ24))</f>
        <v>33.018040504955394</v>
      </c>
      <c r="CB24" s="450">
        <f>BI24-CA24</f>
        <v>1358.9819594950445</v>
      </c>
      <c r="CC24" s="57">
        <v>126.408</v>
      </c>
      <c r="CD24" s="495">
        <v>100.22799999999999</v>
      </c>
      <c r="CE24" s="496">
        <f>CC24/CD24</f>
        <v>1.2612044538452329</v>
      </c>
      <c r="CF24" s="55">
        <f>CB24/L24</f>
        <v>13.06713422591389</v>
      </c>
      <c r="CG24" s="55">
        <f>CF24*CE24</f>
        <v>16.480327884716079</v>
      </c>
      <c r="CH24" s="47">
        <v>14.282950833420601</v>
      </c>
      <c r="CI24" s="47">
        <v>14.282950833420601</v>
      </c>
      <c r="CJ24" s="47">
        <v>14.282950833420601</v>
      </c>
      <c r="CK24" s="47">
        <v>14.282950833420601</v>
      </c>
      <c r="CL24" s="47">
        <v>14.282950833420601</v>
      </c>
      <c r="CM24" s="47">
        <v>14.282950833420601</v>
      </c>
      <c r="CN24" s="47">
        <v>14.282950833420601</v>
      </c>
      <c r="CO24" s="47">
        <f>SUM(CH24:CN24)</f>
        <v>99.980655833944212</v>
      </c>
      <c r="CP24" s="450">
        <f>CB24-CO24</f>
        <v>1259.0013036611003</v>
      </c>
      <c r="CQ24" s="47">
        <v>14.282950833420601</v>
      </c>
      <c r="CR24" s="47">
        <v>14.282950833420601</v>
      </c>
      <c r="CS24" s="47">
        <v>14.282950833420601</v>
      </c>
      <c r="CT24" s="47">
        <v>14.282950833420601</v>
      </c>
      <c r="CU24" s="47">
        <v>14.282950833420601</v>
      </c>
      <c r="CV24" s="505">
        <f>SUM(CQ24:CU24)</f>
        <v>71.414754167103013</v>
      </c>
      <c r="CW24" s="679">
        <f>CP24-CV24</f>
        <v>1187.5865494939974</v>
      </c>
      <c r="CX24" s="55">
        <v>132.28200000000001</v>
      </c>
      <c r="CY24" s="495">
        <v>100.22799999999999</v>
      </c>
      <c r="CZ24" s="55">
        <f>CY24/CX24</f>
        <v>0.75768434102901372</v>
      </c>
      <c r="DA24" s="55">
        <f>CW24/L24</f>
        <v>11.419101437442283</v>
      </c>
      <c r="DB24" s="55">
        <f>DA24*CZ24</f>
        <v>8.6520743477719186</v>
      </c>
      <c r="DC24" s="55">
        <v>8.6520743477719186</v>
      </c>
      <c r="DD24" s="55">
        <v>8.6520743477719186</v>
      </c>
      <c r="DE24" s="55">
        <v>8.6520743477719186</v>
      </c>
      <c r="DF24" s="55">
        <v>8.6520743477719186</v>
      </c>
      <c r="DG24" s="55">
        <v>8.6520743477719186</v>
      </c>
      <c r="DH24" s="55">
        <v>8.6520743477719186</v>
      </c>
      <c r="DI24" s="55">
        <v>8.6520743477719186</v>
      </c>
      <c r="DJ24" s="55">
        <v>8.6520743477719186</v>
      </c>
      <c r="DK24" s="55">
        <v>8.6520743477719186</v>
      </c>
      <c r="DL24" s="55">
        <v>8.6520743477719186</v>
      </c>
      <c r="DM24" s="55">
        <v>8.6520743477719186</v>
      </c>
      <c r="DN24" s="55">
        <v>8.6520743477719186</v>
      </c>
      <c r="DO24" s="55">
        <v>8.6520743477719186</v>
      </c>
      <c r="DP24" s="55">
        <v>8.6520743477719186</v>
      </c>
      <c r="DQ24" s="55">
        <v>8.6520743477719186</v>
      </c>
      <c r="DR24" s="55">
        <v>8.6520743477719186</v>
      </c>
      <c r="DS24" s="55">
        <v>8.6520743477719186</v>
      </c>
      <c r="DT24" s="55">
        <v>8.6520743477719186</v>
      </c>
      <c r="DU24" s="55">
        <f t="shared" si="0"/>
        <v>155.73733825989453</v>
      </c>
      <c r="DV24" s="55">
        <f>CW24-DU24</f>
        <v>1031.8492112341028</v>
      </c>
    </row>
    <row r="25" spans="1:126" s="16" customFormat="1" x14ac:dyDescent="0.2">
      <c r="A25" s="26" t="s">
        <v>71</v>
      </c>
      <c r="B25" s="26" t="s">
        <v>125</v>
      </c>
      <c r="C25" s="45"/>
      <c r="D25" s="17"/>
      <c r="E25" s="25"/>
      <c r="F25" s="462"/>
      <c r="G25" s="17"/>
      <c r="H25" s="145"/>
      <c r="I25" s="165"/>
      <c r="J25" s="48"/>
      <c r="K25" s="165"/>
      <c r="L25" s="48"/>
      <c r="M25" s="165"/>
      <c r="N25" s="48"/>
      <c r="O25" s="165"/>
      <c r="P25" s="48"/>
      <c r="Q25" s="48"/>
      <c r="R25" s="5"/>
      <c r="S25" s="20"/>
      <c r="T25" s="5"/>
      <c r="U25" s="72"/>
      <c r="V25" s="154"/>
      <c r="W25" s="154"/>
      <c r="X25" s="47"/>
      <c r="Y25" s="106"/>
      <c r="Z25" s="258"/>
      <c r="AA25" s="57"/>
      <c r="AB25" s="57"/>
      <c r="AC25" s="57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392"/>
      <c r="AO25" s="47"/>
      <c r="AP25" s="47"/>
      <c r="AQ25" s="47"/>
      <c r="AR25" s="47"/>
      <c r="AS25" s="47"/>
      <c r="AT25" s="47"/>
      <c r="AU25" s="47"/>
      <c r="AV25" s="57"/>
      <c r="AW25" s="496"/>
      <c r="AX25" s="496"/>
      <c r="AY25" s="55"/>
      <c r="AZ25" s="55"/>
      <c r="BA25" s="47"/>
      <c r="BB25" s="47"/>
      <c r="BC25" s="47"/>
      <c r="BD25" s="47"/>
      <c r="BE25" s="47"/>
      <c r="BF25" s="47"/>
      <c r="BG25" s="47"/>
      <c r="BH25" s="47"/>
      <c r="BI25" s="450"/>
      <c r="BJ25" s="47"/>
      <c r="BK25" s="47"/>
      <c r="BL25" s="47"/>
      <c r="BM25" s="47"/>
      <c r="BN25" s="47"/>
      <c r="BO25" s="57"/>
      <c r="BP25" s="496"/>
      <c r="BQ25" s="496"/>
      <c r="BR25" s="55"/>
      <c r="BS25" s="55"/>
      <c r="BT25" s="47"/>
      <c r="BU25" s="47"/>
      <c r="BV25" s="47"/>
      <c r="BW25" s="47"/>
      <c r="BX25" s="47"/>
      <c r="BY25" s="47"/>
      <c r="BZ25" s="47"/>
      <c r="CA25" s="47"/>
      <c r="CB25" s="450"/>
      <c r="CC25" s="57"/>
      <c r="CD25" s="496"/>
      <c r="CE25" s="496"/>
      <c r="CF25" s="55"/>
      <c r="CG25" s="55"/>
      <c r="CH25" s="47"/>
      <c r="CI25" s="47"/>
      <c r="CJ25" s="47"/>
      <c r="CK25" s="47"/>
      <c r="CL25" s="47"/>
      <c r="CM25" s="47"/>
      <c r="CN25" s="47"/>
      <c r="CO25" s="47"/>
      <c r="CP25" s="450"/>
      <c r="CQ25" s="47"/>
      <c r="CR25" s="47"/>
      <c r="CS25" s="47"/>
      <c r="CT25" s="47"/>
      <c r="CU25" s="47"/>
      <c r="CV25" s="505"/>
      <c r="CW25" s="679"/>
      <c r="CX25" s="956"/>
      <c r="CY25" s="496"/>
      <c r="CZ25" s="957"/>
      <c r="DA25" s="511"/>
      <c r="DB25" s="511"/>
      <c r="DC25" s="511"/>
      <c r="DD25" s="511"/>
      <c r="DE25" s="511"/>
      <c r="DF25" s="511"/>
      <c r="DG25" s="511"/>
      <c r="DH25" s="511"/>
      <c r="DI25" s="511"/>
      <c r="DJ25" s="511"/>
      <c r="DK25" s="511"/>
      <c r="DL25" s="511"/>
      <c r="DM25" s="511"/>
      <c r="DN25" s="511"/>
      <c r="DO25" s="511"/>
      <c r="DP25" s="511"/>
      <c r="DQ25" s="511"/>
      <c r="DR25" s="511"/>
      <c r="DS25" s="511"/>
      <c r="DT25" s="511"/>
      <c r="DU25" s="55">
        <f t="shared" si="0"/>
        <v>0</v>
      </c>
      <c r="DV25" s="55"/>
    </row>
    <row r="26" spans="1:126" s="16" customFormat="1" x14ac:dyDescent="0.2">
      <c r="A26" s="26" t="s">
        <v>124</v>
      </c>
      <c r="B26" s="9"/>
      <c r="C26" s="45"/>
      <c r="D26" s="17"/>
      <c r="E26" s="25"/>
      <c r="F26" s="462"/>
      <c r="G26" s="17"/>
      <c r="H26" s="145"/>
      <c r="I26" s="165"/>
      <c r="J26" s="48"/>
      <c r="K26" s="165"/>
      <c r="L26" s="48"/>
      <c r="M26" s="165"/>
      <c r="N26" s="48"/>
      <c r="O26" s="165"/>
      <c r="P26" s="48"/>
      <c r="Q26" s="48"/>
      <c r="R26" s="5"/>
      <c r="S26" s="20"/>
      <c r="T26" s="5"/>
      <c r="U26" s="71"/>
      <c r="V26" s="154"/>
      <c r="W26" s="154"/>
      <c r="X26" s="47"/>
      <c r="Y26" s="106"/>
      <c r="Z26" s="258"/>
      <c r="AA26" s="57"/>
      <c r="AB26" s="57"/>
      <c r="AC26" s="57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392"/>
      <c r="AO26" s="47"/>
      <c r="AP26" s="47"/>
      <c r="AQ26" s="47"/>
      <c r="AR26" s="47"/>
      <c r="AS26" s="47"/>
      <c r="AT26" s="47"/>
      <c r="AU26" s="47"/>
      <c r="AV26" s="57"/>
      <c r="AW26" s="496"/>
      <c r="AX26" s="496"/>
      <c r="AY26" s="55"/>
      <c r="AZ26" s="55"/>
      <c r="BA26" s="47"/>
      <c r="BB26" s="47"/>
      <c r="BC26" s="47"/>
      <c r="BD26" s="47"/>
      <c r="BE26" s="47"/>
      <c r="BF26" s="47"/>
      <c r="BG26" s="47"/>
      <c r="BH26" s="47"/>
      <c r="BI26" s="450"/>
      <c r="BJ26" s="47"/>
      <c r="BK26" s="47"/>
      <c r="BL26" s="47"/>
      <c r="BM26" s="47"/>
      <c r="BN26" s="47"/>
      <c r="BO26" s="57"/>
      <c r="BP26" s="496"/>
      <c r="BQ26" s="496"/>
      <c r="BR26" s="55"/>
      <c r="BS26" s="55"/>
      <c r="BT26" s="47"/>
      <c r="BU26" s="47"/>
      <c r="BV26" s="47"/>
      <c r="BW26" s="47"/>
      <c r="BX26" s="47"/>
      <c r="BY26" s="47"/>
      <c r="BZ26" s="47"/>
      <c r="CA26" s="47"/>
      <c r="CB26" s="450"/>
      <c r="CC26" s="57"/>
      <c r="CD26" s="496"/>
      <c r="CE26" s="496"/>
      <c r="CF26" s="55"/>
      <c r="CG26" s="55"/>
      <c r="CH26" s="47"/>
      <c r="CI26" s="47"/>
      <c r="CJ26" s="47"/>
      <c r="CK26" s="47"/>
      <c r="CL26" s="47"/>
      <c r="CM26" s="47"/>
      <c r="CN26" s="47"/>
      <c r="CO26" s="47"/>
      <c r="CP26" s="450"/>
      <c r="CQ26" s="47"/>
      <c r="CR26" s="47"/>
      <c r="CS26" s="47"/>
      <c r="CT26" s="47"/>
      <c r="CU26" s="47"/>
      <c r="CV26" s="505"/>
      <c r="CW26" s="679"/>
      <c r="CX26" s="511"/>
      <c r="CY26" s="496"/>
      <c r="CZ26" s="957"/>
      <c r="DA26" s="511"/>
      <c r="DB26" s="511"/>
      <c r="DC26" s="511"/>
      <c r="DD26" s="511"/>
      <c r="DE26" s="511"/>
      <c r="DF26" s="511"/>
      <c r="DG26" s="511"/>
      <c r="DH26" s="511"/>
      <c r="DI26" s="511"/>
      <c r="DJ26" s="511"/>
      <c r="DK26" s="511"/>
      <c r="DL26" s="511"/>
      <c r="DM26" s="511"/>
      <c r="DN26" s="511"/>
      <c r="DO26" s="511"/>
      <c r="DP26" s="511"/>
      <c r="DQ26" s="511"/>
      <c r="DR26" s="511"/>
      <c r="DS26" s="511"/>
      <c r="DT26" s="511"/>
      <c r="DU26" s="55">
        <f t="shared" si="0"/>
        <v>0</v>
      </c>
      <c r="DV26" s="511"/>
    </row>
    <row r="27" spans="1:126" s="16" customFormat="1" x14ac:dyDescent="0.2">
      <c r="A27" s="20" t="s">
        <v>140</v>
      </c>
      <c r="B27" s="9" t="s">
        <v>44</v>
      </c>
      <c r="C27" s="45" t="s">
        <v>358</v>
      </c>
      <c r="D27" s="17">
        <v>120</v>
      </c>
      <c r="E27" s="30">
        <v>0.1</v>
      </c>
      <c r="F27" s="462">
        <v>43281</v>
      </c>
      <c r="G27" s="17">
        <v>120</v>
      </c>
      <c r="H27" s="145">
        <f>100/G27</f>
        <v>0.83333333333333337</v>
      </c>
      <c r="I27" s="165">
        <f>H27*J27</f>
        <v>74.166666666666671</v>
      </c>
      <c r="J27" s="48">
        <f>(YEAR(F27)-YEAR(S27))*12+MONTH(F27)-MONTH(S27)</f>
        <v>89</v>
      </c>
      <c r="K27" s="165">
        <f>L27*H27</f>
        <v>25.833333333333336</v>
      </c>
      <c r="L27" s="48">
        <f>G27-J27</f>
        <v>31</v>
      </c>
      <c r="M27" s="165">
        <f>N27*H27</f>
        <v>5.8333333333333339</v>
      </c>
      <c r="N27" s="48">
        <v>7</v>
      </c>
      <c r="O27" s="165">
        <f>K27-M27</f>
        <v>20</v>
      </c>
      <c r="P27" s="48">
        <f>L27-N27</f>
        <v>24</v>
      </c>
      <c r="Q27" s="462">
        <f>DATE(YEAR(S27),MONTH(S27)+G27,DAY(S27))</f>
        <v>44197</v>
      </c>
      <c r="R27" s="7" t="s">
        <v>359</v>
      </c>
      <c r="S27" s="20">
        <v>40544</v>
      </c>
      <c r="T27" s="5">
        <v>219.9</v>
      </c>
      <c r="U27" s="72">
        <v>225.03</v>
      </c>
      <c r="V27" s="154">
        <v>21.967499999999994</v>
      </c>
      <c r="W27" s="154">
        <v>131.96250000000001</v>
      </c>
      <c r="X27" s="47">
        <v>1.83</v>
      </c>
      <c r="Y27" s="106">
        <f>X27*5</f>
        <v>9.15</v>
      </c>
      <c r="Z27" s="258">
        <f>W27-Y27</f>
        <v>122.8125</v>
      </c>
      <c r="AA27" s="57">
        <v>115.958</v>
      </c>
      <c r="AB27" s="80">
        <v>100.22799999999999</v>
      </c>
      <c r="AC27" s="57">
        <f>AA27/AB27</f>
        <v>1.1569421718481863</v>
      </c>
      <c r="AD27" s="55">
        <f>Z27*M27/100/K27*100/7</f>
        <v>3.961693548387097</v>
      </c>
      <c r="AE27" s="55">
        <f>AD27*AC27</f>
        <v>4.5834503380679159</v>
      </c>
      <c r="AF27" s="55">
        <f>AE27</f>
        <v>4.5834503380679159</v>
      </c>
      <c r="AG27" s="55">
        <v>2.12070090268814</v>
      </c>
      <c r="AH27" s="55">
        <v>2.12070090268814</v>
      </c>
      <c r="AI27" s="55">
        <v>2.12070090268814</v>
      </c>
      <c r="AJ27" s="55">
        <v>2.12070090268814</v>
      </c>
      <c r="AK27" s="55">
        <v>2.12070090268814</v>
      </c>
      <c r="AL27" s="55">
        <v>2.12070090268814</v>
      </c>
      <c r="AM27" s="55">
        <f>SUM(AF27:AL27)</f>
        <v>17.307655754196759</v>
      </c>
      <c r="AN27" s="392">
        <f>Z27-AM27</f>
        <v>105.50484424580324</v>
      </c>
      <c r="AO27" s="47"/>
      <c r="AP27" s="47"/>
      <c r="AQ27" s="47">
        <f t="shared" si="4"/>
        <v>2.12070090268814</v>
      </c>
      <c r="AR27" s="47">
        <f t="shared" si="4"/>
        <v>2.12070090268814</v>
      </c>
      <c r="AS27" s="47">
        <f t="shared" si="4"/>
        <v>2.12070090268814</v>
      </c>
      <c r="AT27" s="47">
        <f t="shared" si="4"/>
        <v>2.12070090268814</v>
      </c>
      <c r="AU27" s="47">
        <f t="shared" si="4"/>
        <v>2.12070090268814</v>
      </c>
      <c r="AV27" s="57">
        <v>118.901</v>
      </c>
      <c r="AW27" s="495">
        <v>100.22799999999999</v>
      </c>
      <c r="AX27" s="496">
        <f>AV27/AW27</f>
        <v>1.186305224089077</v>
      </c>
      <c r="AY27" s="55">
        <f>T27/(D27)</f>
        <v>1.8325</v>
      </c>
      <c r="AZ27" s="55">
        <f>AY27*AX27</f>
        <v>2.1739043231432338</v>
      </c>
      <c r="BA27" s="47">
        <f t="shared" ref="BA27:BG28" si="7">$AZ27</f>
        <v>2.1739043231432338</v>
      </c>
      <c r="BB27" s="47">
        <f t="shared" si="7"/>
        <v>2.1739043231432338</v>
      </c>
      <c r="BC27" s="47">
        <f t="shared" si="7"/>
        <v>2.1739043231432338</v>
      </c>
      <c r="BD27" s="47">
        <f t="shared" si="7"/>
        <v>2.1739043231432338</v>
      </c>
      <c r="BE27" s="47">
        <f t="shared" si="7"/>
        <v>2.1739043231432338</v>
      </c>
      <c r="BF27" s="47">
        <f t="shared" si="7"/>
        <v>2.1739043231432338</v>
      </c>
      <c r="BG27" s="47">
        <f t="shared" si="7"/>
        <v>2.1739043231432338</v>
      </c>
      <c r="BH27" s="47">
        <f>SUM((AQ27:AU27),(BA27:BG27))</f>
        <v>25.820834775443334</v>
      </c>
      <c r="BI27" s="450">
        <f>(AN27-BH27)</f>
        <v>79.684009470359911</v>
      </c>
      <c r="BJ27" s="47">
        <f t="shared" si="3"/>
        <v>2.1739043231432338</v>
      </c>
      <c r="BK27" s="47">
        <f t="shared" si="3"/>
        <v>2.1739043231432338</v>
      </c>
      <c r="BL27" s="47">
        <f t="shared" si="3"/>
        <v>2.1739043231432338</v>
      </c>
      <c r="BM27" s="47">
        <f t="shared" si="3"/>
        <v>2.1739043231432338</v>
      </c>
      <c r="BN27" s="47">
        <f t="shared" si="3"/>
        <v>2.1739043231432338</v>
      </c>
      <c r="BO27" s="57">
        <v>118.901</v>
      </c>
      <c r="BP27" s="495">
        <v>100.22799999999999</v>
      </c>
      <c r="BQ27" s="496">
        <f>BO27/BP27</f>
        <v>1.186305224089077</v>
      </c>
      <c r="BR27" s="55">
        <f>AM27/(W27)</f>
        <v>0.13115586438720667</v>
      </c>
      <c r="BS27" s="55">
        <f>BR27*BQ27</f>
        <v>0.1555908870924618</v>
      </c>
      <c r="BT27" s="47"/>
      <c r="BU27" s="47"/>
      <c r="BV27" s="47"/>
      <c r="BW27" s="47"/>
      <c r="BX27" s="47"/>
      <c r="BY27" s="47"/>
      <c r="BZ27" s="47"/>
      <c r="CA27" s="47">
        <f>SUM((BJ27:BN27),(BT27:BZ27))</f>
        <v>10.869521615716168</v>
      </c>
      <c r="CB27" s="450">
        <f>BI27-CA27</f>
        <v>68.814487854643744</v>
      </c>
      <c r="CC27" s="57">
        <v>126.408</v>
      </c>
      <c r="CD27" s="495">
        <v>100.22799999999999</v>
      </c>
      <c r="CE27" s="496">
        <f>CC27/CD27</f>
        <v>1.2612044538452329</v>
      </c>
      <c r="CF27" s="55">
        <f>CB27/L27</f>
        <v>2.2198221888594758</v>
      </c>
      <c r="CG27" s="55">
        <f>CF27*CE27</f>
        <v>2.7996496313340447</v>
      </c>
      <c r="CH27" s="47">
        <v>2.0558685637276786</v>
      </c>
      <c r="CI27" s="47">
        <v>2.0558685637276786</v>
      </c>
      <c r="CJ27" s="47">
        <v>2.0558685637276786</v>
      </c>
      <c r="CK27" s="47">
        <v>2.0558685637276786</v>
      </c>
      <c r="CL27" s="47">
        <v>2.0558685637276786</v>
      </c>
      <c r="CM27" s="47">
        <v>2.0558685637276786</v>
      </c>
      <c r="CN27" s="47">
        <v>2.0558685637276786</v>
      </c>
      <c r="CO27" s="47">
        <f>SUM(CH27:CN27)</f>
        <v>14.391079946093749</v>
      </c>
      <c r="CP27" s="450">
        <f>CB27-CO27</f>
        <v>54.423407908549997</v>
      </c>
      <c r="CQ27" s="47">
        <v>2.0558685637276786</v>
      </c>
      <c r="CR27" s="47">
        <v>2.0558685637276786</v>
      </c>
      <c r="CS27" s="47">
        <v>2.0558685637276786</v>
      </c>
      <c r="CT27" s="47">
        <v>2.0558685637276786</v>
      </c>
      <c r="CU27" s="47">
        <v>2.0558685637276786</v>
      </c>
      <c r="CV27" s="505">
        <f>SUM(CQ27:CU27)</f>
        <v>10.279342818638392</v>
      </c>
      <c r="CW27" s="679">
        <f>CP27-CV27</f>
        <v>44.144065089911606</v>
      </c>
      <c r="CX27" s="55">
        <v>132.28200000000001</v>
      </c>
      <c r="CY27" s="495">
        <v>100.22799999999999</v>
      </c>
      <c r="CZ27" s="55">
        <f>CY27/CX27</f>
        <v>0.75768434102901372</v>
      </c>
      <c r="DA27" s="55">
        <f>CW27/L27</f>
        <v>1.4240020996745679</v>
      </c>
      <c r="DB27" s="55">
        <f>DA27*CZ27</f>
        <v>1.0789440925158569</v>
      </c>
      <c r="DC27" s="511">
        <v>1.0789440925158569</v>
      </c>
      <c r="DD27" s="511">
        <v>1.0789440925158569</v>
      </c>
      <c r="DE27" s="511">
        <v>1.0789440925158569</v>
      </c>
      <c r="DF27" s="511">
        <v>1.0789440925158569</v>
      </c>
      <c r="DG27" s="511">
        <v>1.0789440925158569</v>
      </c>
      <c r="DH27" s="511">
        <v>1.0789440925158569</v>
      </c>
      <c r="DI27" s="511">
        <v>1.0789440925158569</v>
      </c>
      <c r="DJ27" s="511">
        <v>1.0789440925158569</v>
      </c>
      <c r="DK27" s="511">
        <v>1.0789440925158569</v>
      </c>
      <c r="DL27" s="511">
        <v>1.0789440925158569</v>
      </c>
      <c r="DM27" s="511">
        <v>1.0789440925158569</v>
      </c>
      <c r="DN27" s="511">
        <v>1.0789440925158569</v>
      </c>
      <c r="DO27" s="511">
        <v>1.0789440925158569</v>
      </c>
      <c r="DP27" s="511">
        <v>1.0789440925158569</v>
      </c>
      <c r="DQ27" s="511">
        <v>1.0789440925158569</v>
      </c>
      <c r="DR27" s="511">
        <v>1.0789440925158569</v>
      </c>
      <c r="DS27" s="511">
        <v>1.0789440925158569</v>
      </c>
      <c r="DT27" s="511">
        <v>1.0789440925158569</v>
      </c>
      <c r="DU27" s="55">
        <f t="shared" si="0"/>
        <v>19.420993665285422</v>
      </c>
      <c r="DV27" s="55">
        <f>CW27-DU27</f>
        <v>24.723071424626184</v>
      </c>
    </row>
    <row r="28" spans="1:126" s="16" customFormat="1" x14ac:dyDescent="0.2">
      <c r="A28" s="20" t="s">
        <v>140</v>
      </c>
      <c r="B28" s="9" t="s">
        <v>43</v>
      </c>
      <c r="C28" s="45" t="s">
        <v>358</v>
      </c>
      <c r="D28" s="17">
        <v>120</v>
      </c>
      <c r="E28" s="30">
        <v>0.1</v>
      </c>
      <c r="F28" s="462">
        <v>43281</v>
      </c>
      <c r="G28" s="17">
        <v>120</v>
      </c>
      <c r="H28" s="145">
        <f>100/G28</f>
        <v>0.83333333333333337</v>
      </c>
      <c r="I28" s="165">
        <f>H28*J28</f>
        <v>94.166666666666671</v>
      </c>
      <c r="J28" s="48">
        <f>(YEAR(F28)-YEAR(S28))*12+MONTH(F28)-MONTH(S28)</f>
        <v>113</v>
      </c>
      <c r="K28" s="165">
        <f>L28*H28</f>
        <v>5.8333333333333339</v>
      </c>
      <c r="L28" s="48">
        <f>G28-J28</f>
        <v>7</v>
      </c>
      <c r="M28" s="165">
        <f>N28*H28</f>
        <v>5.8333333333333339</v>
      </c>
      <c r="N28" s="48">
        <v>7</v>
      </c>
      <c r="O28" s="165">
        <f>K28-M28</f>
        <v>0</v>
      </c>
      <c r="P28" s="48">
        <f>L28-N28</f>
        <v>0</v>
      </c>
      <c r="Q28" s="462">
        <f>DATE(YEAR(S28),MONTH(S28)+G28,DAY(S28))</f>
        <v>43466</v>
      </c>
      <c r="R28" s="7" t="s">
        <v>359</v>
      </c>
      <c r="S28" s="20">
        <v>39814</v>
      </c>
      <c r="T28" s="5">
        <v>369.88</v>
      </c>
      <c r="U28" s="72">
        <v>225.03</v>
      </c>
      <c r="V28" s="154">
        <v>36.966999999999992</v>
      </c>
      <c r="W28" s="154">
        <v>147.97300000000001</v>
      </c>
      <c r="X28" s="47">
        <v>3.08</v>
      </c>
      <c r="Y28" s="106">
        <f>X28*5</f>
        <v>15.4</v>
      </c>
      <c r="Z28" s="258">
        <f>W28-Y28</f>
        <v>132.57300000000001</v>
      </c>
      <c r="AA28" s="57">
        <v>115.958</v>
      </c>
      <c r="AB28" s="80">
        <v>134.071</v>
      </c>
      <c r="AC28" s="57">
        <f>AA28/AB28</f>
        <v>0.8648999410759971</v>
      </c>
      <c r="AD28" s="55">
        <f>Z28*M28/100/K28*100/7</f>
        <v>18.938999999999997</v>
      </c>
      <c r="AE28" s="55">
        <f>AD28*AC28</f>
        <v>16.380339984038304</v>
      </c>
      <c r="AF28" s="55">
        <f>AE28</f>
        <v>16.380339984038304</v>
      </c>
      <c r="AG28" s="55">
        <v>2.6665669741457712</v>
      </c>
      <c r="AH28" s="55">
        <v>2.6665669741457712</v>
      </c>
      <c r="AI28" s="55">
        <v>2.6665669741457712</v>
      </c>
      <c r="AJ28" s="55">
        <v>2.6665669741457712</v>
      </c>
      <c r="AK28" s="55">
        <v>2.6665669741457712</v>
      </c>
      <c r="AL28" s="55">
        <v>2.6665669741457712</v>
      </c>
      <c r="AM28" s="55">
        <f>SUM(AF28:AL28)</f>
        <v>32.379741828912927</v>
      </c>
      <c r="AN28" s="392">
        <f>Z28-AM28</f>
        <v>100.19325817108708</v>
      </c>
      <c r="AO28" s="47"/>
      <c r="AP28" s="47"/>
      <c r="AQ28" s="47">
        <f t="shared" si="4"/>
        <v>2.6665669741457712</v>
      </c>
      <c r="AR28" s="47">
        <f t="shared" si="4"/>
        <v>2.6665669741457712</v>
      </c>
      <c r="AS28" s="47">
        <f t="shared" si="4"/>
        <v>2.6665669741457712</v>
      </c>
      <c r="AT28" s="47">
        <f t="shared" si="4"/>
        <v>2.6665669741457712</v>
      </c>
      <c r="AU28" s="47">
        <f t="shared" si="4"/>
        <v>2.6665669741457712</v>
      </c>
      <c r="AV28" s="57">
        <v>118.901</v>
      </c>
      <c r="AW28" s="495">
        <v>134.071</v>
      </c>
      <c r="AX28" s="496">
        <f>AV28/AW28</f>
        <v>0.88685099685987279</v>
      </c>
      <c r="AY28" s="55">
        <f>T28/(D28)</f>
        <v>3.0823333333333331</v>
      </c>
      <c r="AZ28" s="55">
        <f>AY28*AX28</f>
        <v>2.733570389321081</v>
      </c>
      <c r="BA28" s="47">
        <f t="shared" si="7"/>
        <v>2.733570389321081</v>
      </c>
      <c r="BB28" s="47">
        <f t="shared" si="7"/>
        <v>2.733570389321081</v>
      </c>
      <c r="BC28" s="47">
        <f t="shared" si="7"/>
        <v>2.733570389321081</v>
      </c>
      <c r="BD28" s="47">
        <f t="shared" si="7"/>
        <v>2.733570389321081</v>
      </c>
      <c r="BE28" s="47">
        <f t="shared" si="7"/>
        <v>2.733570389321081</v>
      </c>
      <c r="BF28" s="47">
        <f t="shared" si="7"/>
        <v>2.733570389321081</v>
      </c>
      <c r="BG28" s="47">
        <f t="shared" si="7"/>
        <v>2.733570389321081</v>
      </c>
      <c r="BH28" s="47">
        <f>SUM((AQ28:AU28),(BA28:BG28))</f>
        <v>32.467827595976424</v>
      </c>
      <c r="BI28" s="450">
        <f>(AN28-BH28)</f>
        <v>67.725430575110664</v>
      </c>
      <c r="BJ28" s="47">
        <f t="shared" si="3"/>
        <v>2.733570389321081</v>
      </c>
      <c r="BK28" s="47">
        <f t="shared" si="3"/>
        <v>2.733570389321081</v>
      </c>
      <c r="BL28" s="47">
        <f t="shared" si="3"/>
        <v>2.733570389321081</v>
      </c>
      <c r="BM28" s="47">
        <f t="shared" si="3"/>
        <v>2.733570389321081</v>
      </c>
      <c r="BN28" s="47">
        <f t="shared" si="3"/>
        <v>2.733570389321081</v>
      </c>
      <c r="BO28" s="57">
        <v>118.901</v>
      </c>
      <c r="BP28" s="495">
        <v>134.071</v>
      </c>
      <c r="BQ28" s="496">
        <f>BO28/BP28</f>
        <v>0.88685099685987279</v>
      </c>
      <c r="BR28" s="55">
        <f>AM28/(W28)</f>
        <v>0.21882195960690751</v>
      </c>
      <c r="BS28" s="55">
        <f>BR28*BQ28</f>
        <v>0.19406247301221674</v>
      </c>
      <c r="BT28" s="47"/>
      <c r="BU28" s="47"/>
      <c r="BV28" s="47"/>
      <c r="BW28" s="47"/>
      <c r="BX28" s="47"/>
      <c r="BY28" s="47"/>
      <c r="BZ28" s="47"/>
      <c r="CA28" s="47">
        <f>SUM((BJ28:BN28),(BT28:BZ28))</f>
        <v>13.667851946605404</v>
      </c>
      <c r="CB28" s="450">
        <f>BI28-CA28</f>
        <v>54.057578628505262</v>
      </c>
      <c r="CC28" s="57">
        <v>126.408</v>
      </c>
      <c r="CD28" s="495">
        <v>134.071</v>
      </c>
      <c r="CE28" s="496">
        <f>CC28/CD28</f>
        <v>0.94284371713495085</v>
      </c>
      <c r="CF28" s="55">
        <f>CB28/L28</f>
        <v>7.7225112326436092</v>
      </c>
      <c r="CG28" s="55">
        <f>CF28*CE28</f>
        <v>7.2811211962021121</v>
      </c>
      <c r="CH28" s="47">
        <v>3.1958956419853179</v>
      </c>
      <c r="CI28" s="47">
        <v>3.1958956419853179</v>
      </c>
      <c r="CJ28" s="47">
        <v>3.1958956419853179</v>
      </c>
      <c r="CK28" s="47">
        <v>3.1958956419853179</v>
      </c>
      <c r="CL28" s="47">
        <v>3.1958956419853179</v>
      </c>
      <c r="CM28" s="47">
        <v>3.1958956419853179</v>
      </c>
      <c r="CN28" s="47">
        <v>3.1958956419853179</v>
      </c>
      <c r="CO28" s="47">
        <f>SUM(CH28:CN28)</f>
        <v>22.371269493897223</v>
      </c>
      <c r="CP28" s="450">
        <f>CB28-CO28</f>
        <v>31.686309134608038</v>
      </c>
      <c r="CQ28" s="47">
        <v>3.1958956419853179</v>
      </c>
      <c r="CR28" s="47">
        <v>3.1958956419853179</v>
      </c>
      <c r="CS28" s="47">
        <v>3.1958956419853179</v>
      </c>
      <c r="CT28" s="47">
        <v>3.1958956419853179</v>
      </c>
      <c r="CU28" s="47">
        <v>3.1958956419853179</v>
      </c>
      <c r="CV28" s="505">
        <f>SUM(CQ28:CU28)</f>
        <v>15.97947820992659</v>
      </c>
      <c r="CW28" s="679">
        <f>CP28-CV28</f>
        <v>15.706830924681448</v>
      </c>
      <c r="CX28" s="55">
        <v>132.28200000000001</v>
      </c>
      <c r="CY28" s="495">
        <v>134.071</v>
      </c>
      <c r="CZ28" s="55">
        <f>CY28/CX28</f>
        <v>1.0135241378267639</v>
      </c>
      <c r="DA28" s="55">
        <f>CW28/L28</f>
        <v>2.2438329892402069</v>
      </c>
      <c r="DB28" s="55">
        <f>DA28*CZ28</f>
        <v>2.2741788958469309</v>
      </c>
      <c r="DC28" s="511">
        <v>2.2741788958469309</v>
      </c>
      <c r="DD28" s="511">
        <v>2.2741788958469309</v>
      </c>
      <c r="DE28" s="511">
        <v>2.2741788958469309</v>
      </c>
      <c r="DF28" s="511">
        <v>2.2741788958469309</v>
      </c>
      <c r="DG28" s="511">
        <v>2.2741788958469309</v>
      </c>
      <c r="DH28" s="511">
        <v>2.2741788958469309</v>
      </c>
      <c r="DI28" s="511">
        <v>1.06</v>
      </c>
      <c r="DJ28" s="511">
        <v>0</v>
      </c>
      <c r="DK28" s="511">
        <v>0</v>
      </c>
      <c r="DL28" s="511">
        <v>0</v>
      </c>
      <c r="DM28" s="511">
        <v>0</v>
      </c>
      <c r="DN28" s="511">
        <v>0</v>
      </c>
      <c r="DO28" s="511">
        <v>0</v>
      </c>
      <c r="DP28" s="511">
        <v>0</v>
      </c>
      <c r="DQ28" s="511">
        <v>0</v>
      </c>
      <c r="DR28" s="511">
        <v>0</v>
      </c>
      <c r="DS28" s="511">
        <v>0</v>
      </c>
      <c r="DT28" s="511">
        <v>0</v>
      </c>
      <c r="DU28" s="55">
        <f t="shared" si="0"/>
        <v>14.705073375081584</v>
      </c>
      <c r="DV28" s="55">
        <f>CW28-DU28</f>
        <v>1.0017575495998639</v>
      </c>
    </row>
    <row r="29" spans="1:126" s="16" customFormat="1" x14ac:dyDescent="0.2">
      <c r="A29" s="26" t="s">
        <v>65</v>
      </c>
      <c r="B29" s="26" t="s">
        <v>87</v>
      </c>
      <c r="C29" s="45"/>
      <c r="D29" s="17"/>
      <c r="E29" s="30"/>
      <c r="F29" s="46"/>
      <c r="G29" s="17"/>
      <c r="H29" s="145"/>
      <c r="I29" s="165"/>
      <c r="J29" s="48"/>
      <c r="K29" s="165"/>
      <c r="L29" s="48"/>
      <c r="M29" s="165"/>
      <c r="N29" s="48"/>
      <c r="O29" s="165"/>
      <c r="P29" s="48"/>
      <c r="Q29" s="48"/>
      <c r="R29" s="5"/>
      <c r="S29" s="33"/>
      <c r="T29" s="5"/>
      <c r="U29" s="72"/>
      <c r="V29" s="154"/>
      <c r="W29" s="154"/>
      <c r="X29" s="47"/>
      <c r="Y29" s="106"/>
      <c r="Z29" s="258"/>
      <c r="AA29" s="57"/>
      <c r="AB29" s="80"/>
      <c r="AC29" s="57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392"/>
      <c r="AO29" s="47"/>
      <c r="AP29" s="47"/>
      <c r="AQ29" s="47"/>
      <c r="AR29" s="47"/>
      <c r="AS29" s="47"/>
      <c r="AT29" s="47"/>
      <c r="AU29" s="47"/>
      <c r="AV29" s="57"/>
      <c r="AW29" s="495"/>
      <c r="AX29" s="496"/>
      <c r="AY29" s="55"/>
      <c r="AZ29" s="55"/>
      <c r="BA29" s="47"/>
      <c r="BB29" s="47"/>
      <c r="BC29" s="47"/>
      <c r="BD29" s="47"/>
      <c r="BE29" s="47"/>
      <c r="BF29" s="47"/>
      <c r="BG29" s="47"/>
      <c r="BH29" s="47"/>
      <c r="BI29" s="450"/>
      <c r="BJ29" s="47"/>
      <c r="BK29" s="47"/>
      <c r="BL29" s="47"/>
      <c r="BM29" s="47"/>
      <c r="BN29" s="47"/>
      <c r="BO29" s="57"/>
      <c r="BP29" s="495"/>
      <c r="BQ29" s="496"/>
      <c r="BR29" s="55"/>
      <c r="BS29" s="55"/>
      <c r="BT29" s="47"/>
      <c r="BU29" s="47"/>
      <c r="BV29" s="47"/>
      <c r="BW29" s="47"/>
      <c r="BX29" s="47"/>
      <c r="BY29" s="47"/>
      <c r="BZ29" s="47"/>
      <c r="CA29" s="47"/>
      <c r="CB29" s="450"/>
      <c r="CC29" s="57"/>
      <c r="CD29" s="495"/>
      <c r="CE29" s="496"/>
      <c r="CF29" s="55"/>
      <c r="CG29" s="55"/>
      <c r="CH29" s="47"/>
      <c r="CI29" s="47"/>
      <c r="CJ29" s="47"/>
      <c r="CK29" s="47"/>
      <c r="CL29" s="47"/>
      <c r="CM29" s="47"/>
      <c r="CN29" s="47"/>
      <c r="CO29" s="47"/>
      <c r="CP29" s="450"/>
      <c r="CQ29" s="47"/>
      <c r="CR29" s="47"/>
      <c r="CS29" s="47"/>
      <c r="CT29" s="47"/>
      <c r="CU29" s="47"/>
      <c r="CV29" s="505"/>
      <c r="CW29" s="679"/>
      <c r="CX29" s="623"/>
      <c r="CY29" s="495"/>
      <c r="CZ29" s="957"/>
      <c r="DA29" s="511"/>
      <c r="DB29" s="511"/>
      <c r="DC29" s="511"/>
      <c r="DD29" s="511"/>
      <c r="DE29" s="511"/>
      <c r="DF29" s="511"/>
      <c r="DG29" s="511"/>
      <c r="DH29" s="511"/>
      <c r="DI29" s="511"/>
      <c r="DJ29" s="511"/>
      <c r="DK29" s="511"/>
      <c r="DL29" s="511"/>
      <c r="DM29" s="511"/>
      <c r="DN29" s="511"/>
      <c r="DO29" s="511"/>
      <c r="DP29" s="511"/>
      <c r="DQ29" s="511"/>
      <c r="DR29" s="511"/>
      <c r="DS29" s="511"/>
      <c r="DT29" s="511"/>
      <c r="DU29" s="55">
        <f t="shared" si="0"/>
        <v>0</v>
      </c>
      <c r="DV29" s="511"/>
    </row>
    <row r="30" spans="1:126" s="16" customFormat="1" x14ac:dyDescent="0.2">
      <c r="A30" s="26" t="s">
        <v>83</v>
      </c>
      <c r="B30" s="9"/>
      <c r="C30" s="45"/>
      <c r="D30" s="17"/>
      <c r="E30" s="30"/>
      <c r="F30" s="46"/>
      <c r="G30" s="17"/>
      <c r="H30" s="145"/>
      <c r="I30" s="165"/>
      <c r="J30" s="48"/>
      <c r="K30" s="165"/>
      <c r="L30" s="48"/>
      <c r="M30" s="165"/>
      <c r="N30" s="48"/>
      <c r="O30" s="165"/>
      <c r="P30" s="48"/>
      <c r="Q30" s="48"/>
      <c r="R30" s="5"/>
      <c r="S30" s="33"/>
      <c r="T30" s="5"/>
      <c r="U30" s="72"/>
      <c r="V30" s="154"/>
      <c r="W30" s="154"/>
      <c r="X30" s="47"/>
      <c r="Y30" s="106"/>
      <c r="Z30" s="258"/>
      <c r="AA30" s="57"/>
      <c r="AB30" s="80"/>
      <c r="AC30" s="57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392"/>
      <c r="AO30" s="47"/>
      <c r="AP30" s="47"/>
      <c r="AQ30" s="47"/>
      <c r="AR30" s="47"/>
      <c r="AS30" s="47"/>
      <c r="AT30" s="47"/>
      <c r="AU30" s="47"/>
      <c r="AV30" s="57"/>
      <c r="AW30" s="495"/>
      <c r="AX30" s="496"/>
      <c r="AY30" s="55"/>
      <c r="AZ30" s="55"/>
      <c r="BA30" s="47"/>
      <c r="BB30" s="47"/>
      <c r="BC30" s="47"/>
      <c r="BD30" s="47"/>
      <c r="BE30" s="47"/>
      <c r="BF30" s="47"/>
      <c r="BG30" s="47"/>
      <c r="BH30" s="47"/>
      <c r="BI30" s="450"/>
      <c r="BJ30" s="47"/>
      <c r="BK30" s="47"/>
      <c r="BL30" s="47"/>
      <c r="BM30" s="47"/>
      <c r="BN30" s="47"/>
      <c r="BO30" s="57"/>
      <c r="BP30" s="495"/>
      <c r="BQ30" s="496"/>
      <c r="BR30" s="55"/>
      <c r="BS30" s="55"/>
      <c r="BT30" s="47"/>
      <c r="BU30" s="47"/>
      <c r="BV30" s="47"/>
      <c r="BW30" s="47"/>
      <c r="BX30" s="47"/>
      <c r="BY30" s="47"/>
      <c r="BZ30" s="47"/>
      <c r="CA30" s="47"/>
      <c r="CB30" s="450"/>
      <c r="CC30" s="57"/>
      <c r="CD30" s="495"/>
      <c r="CE30" s="496"/>
      <c r="CF30" s="55"/>
      <c r="CG30" s="55"/>
      <c r="CH30" s="47"/>
      <c r="CI30" s="47"/>
      <c r="CJ30" s="47"/>
      <c r="CK30" s="47"/>
      <c r="CL30" s="47"/>
      <c r="CM30" s="47"/>
      <c r="CN30" s="47"/>
      <c r="CO30" s="47"/>
      <c r="CP30" s="450"/>
      <c r="CQ30" s="47"/>
      <c r="CR30" s="47"/>
      <c r="CS30" s="47"/>
      <c r="CT30" s="47"/>
      <c r="CU30" s="47"/>
      <c r="CV30" s="505"/>
      <c r="CW30" s="679"/>
      <c r="CX30" s="55"/>
      <c r="CY30" s="495"/>
      <c r="CZ30" s="55"/>
      <c r="DA30" s="55"/>
      <c r="DB30" s="55"/>
      <c r="DC30" s="55"/>
      <c r="DD30" s="55"/>
      <c r="DE30" s="55"/>
      <c r="DF30" s="55"/>
      <c r="DG30" s="55"/>
      <c r="DH30" s="55"/>
      <c r="DI30" s="55"/>
      <c r="DJ30" s="55"/>
      <c r="DK30" s="55"/>
      <c r="DL30" s="55"/>
      <c r="DM30" s="55"/>
      <c r="DN30" s="55"/>
      <c r="DO30" s="55"/>
      <c r="DP30" s="55"/>
      <c r="DQ30" s="55"/>
      <c r="DR30" s="55"/>
      <c r="DS30" s="55"/>
      <c r="DT30" s="55"/>
      <c r="DU30" s="55">
        <f t="shared" si="0"/>
        <v>0</v>
      </c>
      <c r="DV30" s="55"/>
    </row>
    <row r="31" spans="1:126" s="16" customFormat="1" x14ac:dyDescent="0.2">
      <c r="A31" s="8" t="s">
        <v>141</v>
      </c>
      <c r="B31" s="100" t="s">
        <v>713</v>
      </c>
      <c r="C31" s="45" t="s">
        <v>358</v>
      </c>
      <c r="D31" s="58">
        <v>120</v>
      </c>
      <c r="E31" s="53">
        <v>0.1</v>
      </c>
      <c r="F31" s="462">
        <v>43281</v>
      </c>
      <c r="G31" s="48">
        <v>120</v>
      </c>
      <c r="H31" s="145">
        <f>100/G31</f>
        <v>0.83333333333333337</v>
      </c>
      <c r="I31" s="165">
        <f>H31*J31</f>
        <v>25</v>
      </c>
      <c r="J31" s="48">
        <f>(YEAR(F31)-YEAR(S31))*12+MONTH(F31)-MONTH(S31)</f>
        <v>30</v>
      </c>
      <c r="K31" s="165">
        <f>L31*H31</f>
        <v>75</v>
      </c>
      <c r="L31" s="48">
        <f>G31-J31</f>
        <v>90</v>
      </c>
      <c r="M31" s="165">
        <f>N31*H31</f>
        <v>0.83333333333333337</v>
      </c>
      <c r="N31" s="48">
        <v>1</v>
      </c>
      <c r="O31" s="165">
        <f>P31*H31</f>
        <v>74.166666666666671</v>
      </c>
      <c r="P31" s="48">
        <f>L31-N31</f>
        <v>89</v>
      </c>
      <c r="Q31" s="46">
        <f>DATE(YEAR(S31),MONTH(S31)+G31,DAY(S31))</f>
        <v>45997</v>
      </c>
      <c r="R31" s="48">
        <v>3336</v>
      </c>
      <c r="S31" s="46">
        <v>42344</v>
      </c>
      <c r="T31" s="47">
        <v>734</v>
      </c>
      <c r="U31" s="57">
        <v>0</v>
      </c>
      <c r="V31" s="55">
        <v>0</v>
      </c>
      <c r="W31" s="55">
        <v>0</v>
      </c>
      <c r="X31" s="57">
        <v>0</v>
      </c>
      <c r="Y31" s="55">
        <v>0</v>
      </c>
      <c r="Z31" s="57">
        <v>0</v>
      </c>
      <c r="AA31" s="57">
        <v>115.958</v>
      </c>
      <c r="AB31" s="374">
        <v>118.532</v>
      </c>
      <c r="AC31" s="55">
        <f>AA31/AB31</f>
        <v>0.97828434515573859</v>
      </c>
      <c r="AD31" s="55">
        <f>H31*T31/100</f>
        <v>6.1166666666666671</v>
      </c>
      <c r="AE31" s="55">
        <f>AD31*AC31</f>
        <v>5.9838392445359352</v>
      </c>
      <c r="AF31" s="55"/>
      <c r="AG31" s="55"/>
      <c r="AH31" s="55"/>
      <c r="AI31" s="55"/>
      <c r="AJ31" s="55"/>
      <c r="AK31" s="72"/>
      <c r="AL31" s="72">
        <v>0</v>
      </c>
      <c r="AM31" s="72">
        <f>AL31</f>
        <v>0</v>
      </c>
      <c r="AN31" s="392">
        <f>T31</f>
        <v>734</v>
      </c>
      <c r="AO31" s="47"/>
      <c r="AP31" s="47"/>
      <c r="AQ31" s="47">
        <f>5.98</f>
        <v>5.98</v>
      </c>
      <c r="AR31" s="47">
        <f>5.98</f>
        <v>5.98</v>
      </c>
      <c r="AS31" s="47">
        <f>5.98</f>
        <v>5.98</v>
      </c>
      <c r="AT31" s="47">
        <f>5.98</f>
        <v>5.98</v>
      </c>
      <c r="AU31" s="47">
        <f>5.98</f>
        <v>5.98</v>
      </c>
      <c r="AV31" s="57">
        <v>118.901</v>
      </c>
      <c r="AW31" s="497">
        <v>118.532</v>
      </c>
      <c r="AX31" s="496">
        <f>AV31/AW31</f>
        <v>1.0031130833867647</v>
      </c>
      <c r="AY31" s="55">
        <f>T31/(D31)</f>
        <v>6.1166666666666663</v>
      </c>
      <c r="AZ31" s="55">
        <f>AY31*AX31</f>
        <v>6.1357083600490441</v>
      </c>
      <c r="BA31" s="47">
        <f t="shared" ref="BA31:BG31" si="8">$AZ31</f>
        <v>6.1357083600490441</v>
      </c>
      <c r="BB31" s="47">
        <f t="shared" si="8"/>
        <v>6.1357083600490441</v>
      </c>
      <c r="BC31" s="47">
        <f t="shared" si="8"/>
        <v>6.1357083600490441</v>
      </c>
      <c r="BD31" s="47">
        <f t="shared" si="8"/>
        <v>6.1357083600490441</v>
      </c>
      <c r="BE31" s="47">
        <f t="shared" si="8"/>
        <v>6.1357083600490441</v>
      </c>
      <c r="BF31" s="47">
        <f t="shared" si="8"/>
        <v>6.1357083600490441</v>
      </c>
      <c r="BG31" s="47">
        <f t="shared" si="8"/>
        <v>6.1357083600490441</v>
      </c>
      <c r="BH31" s="47">
        <f>SUM((AQ31:AU31),(BA31:BG31))</f>
        <v>72.849958520343307</v>
      </c>
      <c r="BI31" s="450">
        <f>(AN31-BH31)</f>
        <v>661.15004147965669</v>
      </c>
      <c r="BJ31" s="47">
        <f t="shared" si="3"/>
        <v>6.1357083600490441</v>
      </c>
      <c r="BK31" s="47">
        <f t="shared" si="3"/>
        <v>6.1357083600490441</v>
      </c>
      <c r="BL31" s="47">
        <f t="shared" si="3"/>
        <v>6.1357083600490441</v>
      </c>
      <c r="BM31" s="47">
        <f t="shared" si="3"/>
        <v>6.1357083600490441</v>
      </c>
      <c r="BN31" s="47">
        <f t="shared" si="3"/>
        <v>6.1357083600490441</v>
      </c>
      <c r="BO31" s="57">
        <v>118.901</v>
      </c>
      <c r="BP31" s="497">
        <v>118.532</v>
      </c>
      <c r="BQ31" s="496">
        <f>BO31/BP31</f>
        <v>1.0031130833867647</v>
      </c>
      <c r="BR31" s="55" t="e">
        <f>AM31/(W31)</f>
        <v>#DIV/0!</v>
      </c>
      <c r="BS31" s="55" t="e">
        <f>BR31*BQ31</f>
        <v>#DIV/0!</v>
      </c>
      <c r="BT31" s="47"/>
      <c r="BU31" s="47"/>
      <c r="BV31" s="47"/>
      <c r="BW31" s="47"/>
      <c r="BX31" s="47"/>
      <c r="BY31" s="47"/>
      <c r="BZ31" s="47"/>
      <c r="CA31" s="47">
        <f>SUM((BJ31:BN31),(BT31:BZ31))</f>
        <v>30.67854180024522</v>
      </c>
      <c r="CB31" s="450">
        <f>BI31-CA31</f>
        <v>630.47149967941152</v>
      </c>
      <c r="CC31" s="57">
        <v>126.408</v>
      </c>
      <c r="CD31" s="497">
        <v>118.532</v>
      </c>
      <c r="CE31" s="496">
        <f>CC31/CD31</f>
        <v>1.0664461917456889</v>
      </c>
      <c r="CF31" s="55">
        <f>CB31/L31</f>
        <v>7.0052388853267944</v>
      </c>
      <c r="CG31" s="55">
        <f>CF31*CE31</f>
        <v>7.4707103315255745</v>
      </c>
      <c r="CH31" s="47">
        <v>5.6030327486441811</v>
      </c>
      <c r="CI31" s="47">
        <v>5.6030327486441811</v>
      </c>
      <c r="CJ31" s="47">
        <v>5.6030327486441811</v>
      </c>
      <c r="CK31" s="47">
        <v>5.6030327486441811</v>
      </c>
      <c r="CL31" s="47">
        <v>5.6030327486441811</v>
      </c>
      <c r="CM31" s="47">
        <v>5.6030327486441811</v>
      </c>
      <c r="CN31" s="47">
        <v>5.6030327486441811</v>
      </c>
      <c r="CO31" s="47">
        <f>SUM(CH31:CN31)</f>
        <v>39.221229240509267</v>
      </c>
      <c r="CP31" s="450">
        <f>CB31-CO31</f>
        <v>591.25027043890225</v>
      </c>
      <c r="CQ31" s="47">
        <v>5.6030327486441811</v>
      </c>
      <c r="CR31" s="47">
        <v>5.6030327486441811</v>
      </c>
      <c r="CS31" s="47">
        <v>5.6030327486441811</v>
      </c>
      <c r="CT31" s="47">
        <v>5.6030327486441811</v>
      </c>
      <c r="CU31" s="47">
        <v>5.6030327486441811</v>
      </c>
      <c r="CV31" s="505">
        <f>SUM(CQ31:CU31)</f>
        <v>28.015163743220906</v>
      </c>
      <c r="CW31" s="679">
        <f>CP31-CV31</f>
        <v>563.23510669568134</v>
      </c>
      <c r="CX31" s="55">
        <v>132.28200000000001</v>
      </c>
      <c r="CY31" s="497">
        <v>118.532</v>
      </c>
      <c r="CZ31" s="55">
        <f>CY31/CX31</f>
        <v>0.89605539680379787</v>
      </c>
      <c r="DA31" s="55">
        <f>CW31/L31</f>
        <v>6.2581678521742372</v>
      </c>
      <c r="DB31" s="55">
        <f>DA31*CZ31</f>
        <v>5.6076650780447572</v>
      </c>
      <c r="DC31" s="511">
        <v>5.6076650780447572</v>
      </c>
      <c r="DD31" s="511">
        <v>5.6076650780447572</v>
      </c>
      <c r="DE31" s="511">
        <v>5.6076650780447572</v>
      </c>
      <c r="DF31" s="511">
        <v>5.6076650780447572</v>
      </c>
      <c r="DG31" s="511">
        <v>5.6076650780447572</v>
      </c>
      <c r="DH31" s="511">
        <v>5.6076650780447572</v>
      </c>
      <c r="DI31" s="511">
        <v>5.6076650780447572</v>
      </c>
      <c r="DJ31" s="511">
        <v>5.6076650780447572</v>
      </c>
      <c r="DK31" s="511">
        <v>5.6076650780447572</v>
      </c>
      <c r="DL31" s="511">
        <v>5.6076650780447572</v>
      </c>
      <c r="DM31" s="511">
        <v>5.6076650780447572</v>
      </c>
      <c r="DN31" s="511">
        <v>5.6076650780447572</v>
      </c>
      <c r="DO31" s="511">
        <v>5.6076650780447572</v>
      </c>
      <c r="DP31" s="511">
        <v>5.6076650780447572</v>
      </c>
      <c r="DQ31" s="511">
        <v>5.6076650780447572</v>
      </c>
      <c r="DR31" s="511">
        <v>5.6076650780447572</v>
      </c>
      <c r="DS31" s="511">
        <v>5.6076650780447572</v>
      </c>
      <c r="DT31" s="511">
        <v>5.6076650780447572</v>
      </c>
      <c r="DU31" s="55">
        <f t="shared" si="0"/>
        <v>100.93797140480567</v>
      </c>
      <c r="DV31" s="55">
        <f>CW31-DU31</f>
        <v>462.29713529087564</v>
      </c>
    </row>
    <row r="32" spans="1:126" s="16" customFormat="1" x14ac:dyDescent="0.2">
      <c r="A32" s="20" t="s">
        <v>141</v>
      </c>
      <c r="B32" s="9" t="s">
        <v>49</v>
      </c>
      <c r="C32" s="45" t="s">
        <v>358</v>
      </c>
      <c r="D32" s="17">
        <v>120</v>
      </c>
      <c r="E32" s="30">
        <v>0.1</v>
      </c>
      <c r="F32" s="462">
        <v>43281</v>
      </c>
      <c r="G32" s="17">
        <v>120</v>
      </c>
      <c r="H32" s="145">
        <f>100/G32</f>
        <v>0.83333333333333337</v>
      </c>
      <c r="I32" s="165">
        <f>H32*J32</f>
        <v>134.16666666666669</v>
      </c>
      <c r="J32" s="48">
        <f>(YEAR(F32)-YEAR(S32))*12+MONTH(F32)-MONTH(S32)</f>
        <v>161</v>
      </c>
      <c r="K32" s="165">
        <f>L32*H32</f>
        <v>0</v>
      </c>
      <c r="L32" s="48">
        <v>0</v>
      </c>
      <c r="M32" s="165">
        <f>N32*H32</f>
        <v>0</v>
      </c>
      <c r="N32" s="48">
        <v>0</v>
      </c>
      <c r="O32" s="165">
        <f>K32-M32</f>
        <v>0</v>
      </c>
      <c r="P32" s="48">
        <f>L32-N32</f>
        <v>0</v>
      </c>
      <c r="Q32" s="462">
        <f>DATE(YEAR(S32),MONTH(S32)+G32,DAY(S32))</f>
        <v>42005</v>
      </c>
      <c r="R32" s="7" t="s">
        <v>359</v>
      </c>
      <c r="S32" s="33">
        <v>38353</v>
      </c>
      <c r="T32" s="5">
        <v>399</v>
      </c>
      <c r="U32" s="72">
        <v>225.03</v>
      </c>
      <c r="V32" s="154">
        <v>39.944999999999993</v>
      </c>
      <c r="W32" s="154">
        <v>1</v>
      </c>
      <c r="X32" s="47">
        <v>0</v>
      </c>
      <c r="Y32" s="106">
        <f>X32*5</f>
        <v>0</v>
      </c>
      <c r="Z32" s="258">
        <f>W32-Y32</f>
        <v>1</v>
      </c>
      <c r="AA32" s="57">
        <v>115.958</v>
      </c>
      <c r="AB32" s="80">
        <v>112.554</v>
      </c>
      <c r="AC32" s="57">
        <f>AA32/AB32</f>
        <v>1.0302432610124916</v>
      </c>
      <c r="AD32" s="55">
        <v>0</v>
      </c>
      <c r="AE32" s="55">
        <f>AD32*AC32</f>
        <v>0</v>
      </c>
      <c r="AF32" s="55">
        <f>AE32</f>
        <v>0</v>
      </c>
      <c r="AG32" s="55">
        <v>0</v>
      </c>
      <c r="AH32" s="55">
        <v>0</v>
      </c>
      <c r="AI32" s="55">
        <v>0</v>
      </c>
      <c r="AJ32" s="55">
        <v>0</v>
      </c>
      <c r="AK32" s="55">
        <v>0</v>
      </c>
      <c r="AL32" s="55">
        <v>0</v>
      </c>
      <c r="AM32" s="55">
        <f>SUM(AF32:AL32)</f>
        <v>0</v>
      </c>
      <c r="AN32" s="392">
        <f>Z32-AM32</f>
        <v>1</v>
      </c>
      <c r="AO32" s="47"/>
      <c r="AP32" s="47"/>
      <c r="AQ32" s="47"/>
      <c r="AR32" s="47"/>
      <c r="AS32" s="47"/>
      <c r="AT32" s="47"/>
      <c r="AU32" s="47"/>
      <c r="AV32" s="57">
        <v>118.901</v>
      </c>
      <c r="AW32" s="495">
        <v>112.554</v>
      </c>
      <c r="AX32" s="496">
        <f>AV32/AW32</f>
        <v>1.0563907102368639</v>
      </c>
      <c r="AY32" s="55">
        <f>T32/(D32)</f>
        <v>3.3250000000000002</v>
      </c>
      <c r="AZ32" s="55">
        <f>AY32*AX32</f>
        <v>3.5124991115375725</v>
      </c>
      <c r="BA32" s="47"/>
      <c r="BB32" s="47"/>
      <c r="BC32" s="47"/>
      <c r="BD32" s="47"/>
      <c r="BE32" s="47"/>
      <c r="BF32" s="47"/>
      <c r="BG32" s="47"/>
      <c r="BH32" s="47">
        <f>SUM((AQ32:AU32),(BA32:BG32))</f>
        <v>0</v>
      </c>
      <c r="BI32" s="450">
        <f>(AN32-BH32)</f>
        <v>1</v>
      </c>
      <c r="BJ32" s="47"/>
      <c r="BK32" s="47"/>
      <c r="BL32" s="47"/>
      <c r="BM32" s="47"/>
      <c r="BN32" s="47"/>
      <c r="BO32" s="57">
        <v>118.901</v>
      </c>
      <c r="BP32" s="495">
        <v>112.554</v>
      </c>
      <c r="BQ32" s="496">
        <f>BO32/BP32</f>
        <v>1.0563907102368639</v>
      </c>
      <c r="BR32" s="55">
        <f>AM32/(W32)</f>
        <v>0</v>
      </c>
      <c r="BS32" s="55">
        <f>BR32*BQ32</f>
        <v>0</v>
      </c>
      <c r="BT32" s="47"/>
      <c r="BU32" s="47"/>
      <c r="BV32" s="47"/>
      <c r="BW32" s="47"/>
      <c r="BX32" s="47"/>
      <c r="BY32" s="47"/>
      <c r="BZ32" s="47"/>
      <c r="CA32" s="47">
        <f>SUM((BJ32:BN32),(BT32:BZ32))</f>
        <v>0</v>
      </c>
      <c r="CB32" s="450">
        <f>BI32-CA32</f>
        <v>1</v>
      </c>
      <c r="CC32" s="57"/>
      <c r="CD32" s="495">
        <v>112.554</v>
      </c>
      <c r="CE32" s="496">
        <f>CC32/CD32</f>
        <v>0</v>
      </c>
      <c r="CF32" s="55"/>
      <c r="CG32" s="55">
        <f>CF32*CE32</f>
        <v>0</v>
      </c>
      <c r="CH32" s="47">
        <v>0</v>
      </c>
      <c r="CI32" s="47">
        <v>0</v>
      </c>
      <c r="CJ32" s="47">
        <v>0</v>
      </c>
      <c r="CK32" s="47">
        <v>0</v>
      </c>
      <c r="CL32" s="47">
        <v>0</v>
      </c>
      <c r="CM32" s="47">
        <v>0</v>
      </c>
      <c r="CN32" s="47">
        <v>0</v>
      </c>
      <c r="CO32" s="47"/>
      <c r="CP32" s="450">
        <f>CB32-CO32</f>
        <v>1</v>
      </c>
      <c r="CQ32" s="47">
        <v>0</v>
      </c>
      <c r="CR32" s="47">
        <v>0</v>
      </c>
      <c r="CS32" s="47">
        <v>0</v>
      </c>
      <c r="CT32" s="47">
        <v>0</v>
      </c>
      <c r="CU32" s="47">
        <v>0</v>
      </c>
      <c r="CV32" s="505">
        <f>SUM(CQ32:CU32)</f>
        <v>0</v>
      </c>
      <c r="CW32" s="679">
        <f>CP32-CV32</f>
        <v>1</v>
      </c>
      <c r="CX32" s="55">
        <v>132.28200000000001</v>
      </c>
      <c r="CY32" s="495">
        <v>112.554</v>
      </c>
      <c r="CZ32" s="55">
        <f>CY32/CX32</f>
        <v>0.8508640631378418</v>
      </c>
      <c r="DA32" s="55">
        <v>0</v>
      </c>
      <c r="DB32" s="55">
        <f>DA32*CZ32</f>
        <v>0</v>
      </c>
      <c r="DC32" s="511">
        <v>0</v>
      </c>
      <c r="DD32" s="511">
        <v>0</v>
      </c>
      <c r="DE32" s="511">
        <v>0</v>
      </c>
      <c r="DF32" s="511">
        <v>0</v>
      </c>
      <c r="DG32" s="511">
        <v>0</v>
      </c>
      <c r="DH32" s="511">
        <v>0</v>
      </c>
      <c r="DI32" s="511">
        <v>0</v>
      </c>
      <c r="DJ32" s="511">
        <v>0</v>
      </c>
      <c r="DK32" s="511">
        <v>0</v>
      </c>
      <c r="DL32" s="511">
        <v>0</v>
      </c>
      <c r="DM32" s="511">
        <v>0</v>
      </c>
      <c r="DN32" s="511">
        <v>0</v>
      </c>
      <c r="DO32" s="511">
        <v>0</v>
      </c>
      <c r="DP32" s="511">
        <v>0</v>
      </c>
      <c r="DQ32" s="511">
        <v>0</v>
      </c>
      <c r="DR32" s="511">
        <v>0</v>
      </c>
      <c r="DS32" s="511">
        <v>0</v>
      </c>
      <c r="DT32" s="511">
        <v>0</v>
      </c>
      <c r="DU32" s="55">
        <f t="shared" si="0"/>
        <v>0</v>
      </c>
      <c r="DV32" s="55">
        <f>CW32-DU32</f>
        <v>1</v>
      </c>
    </row>
    <row r="33" spans="1:126" s="16" customFormat="1" x14ac:dyDescent="0.2">
      <c r="A33" s="26" t="s">
        <v>71</v>
      </c>
      <c r="B33" s="26" t="s">
        <v>86</v>
      </c>
      <c r="C33" s="45"/>
      <c r="D33" s="17"/>
      <c r="E33" s="25"/>
      <c r="F33" s="46"/>
      <c r="G33" s="17"/>
      <c r="H33" s="46"/>
      <c r="I33" s="58"/>
      <c r="J33" s="145"/>
      <c r="K33" s="165"/>
      <c r="L33" s="48"/>
      <c r="M33" s="165"/>
      <c r="N33" s="48"/>
      <c r="O33" s="165"/>
      <c r="P33" s="48"/>
      <c r="Q33" s="165"/>
      <c r="R33" s="5"/>
      <c r="S33" s="20"/>
      <c r="T33" s="5"/>
      <c r="U33" s="119"/>
      <c r="V33" s="7"/>
      <c r="W33" s="72"/>
      <c r="X33" s="154"/>
      <c r="Y33" s="154"/>
      <c r="Z33" s="47"/>
      <c r="AA33" s="106"/>
      <c r="AB33" s="80"/>
      <c r="AC33" s="57"/>
      <c r="AD33" s="84"/>
      <c r="AE33" s="57"/>
      <c r="AF33" s="55"/>
      <c r="AG33" s="55"/>
      <c r="AH33" s="55"/>
      <c r="AI33" s="55"/>
      <c r="AJ33" s="55"/>
      <c r="AK33" s="55"/>
      <c r="AL33" s="55"/>
      <c r="AM33" s="55"/>
      <c r="AN33" s="394"/>
      <c r="AO33" s="47"/>
      <c r="AP33" s="47"/>
      <c r="AQ33" s="47"/>
      <c r="AR33" s="47"/>
      <c r="AS33" s="47"/>
      <c r="AT33" s="47"/>
      <c r="AU33" s="47"/>
      <c r="AV33" s="106"/>
      <c r="AW33" s="495"/>
      <c r="AX33" s="496"/>
      <c r="AY33" s="55"/>
      <c r="AZ33" s="55"/>
      <c r="BA33" s="47"/>
      <c r="BB33" s="47"/>
      <c r="BC33" s="47"/>
      <c r="BD33" s="47"/>
      <c r="BE33" s="47"/>
      <c r="BF33" s="47"/>
      <c r="BG33" s="47"/>
      <c r="BH33" s="47"/>
      <c r="BI33" s="450"/>
      <c r="BJ33" s="47"/>
      <c r="BK33" s="47"/>
      <c r="BL33" s="47"/>
      <c r="BM33" s="47"/>
      <c r="BN33" s="47"/>
      <c r="BO33" s="106"/>
      <c r="BP33" s="495"/>
      <c r="BQ33" s="496"/>
      <c r="BR33" s="55"/>
      <c r="BS33" s="55"/>
      <c r="BT33" s="47"/>
      <c r="BU33" s="47"/>
      <c r="BV33" s="47"/>
      <c r="BW33" s="47"/>
      <c r="BX33" s="47"/>
      <c r="BY33" s="47"/>
      <c r="BZ33" s="47"/>
      <c r="CA33" s="47"/>
      <c r="CB33" s="450"/>
      <c r="CC33" s="106"/>
      <c r="CD33" s="495"/>
      <c r="CE33" s="496"/>
      <c r="CF33" s="55"/>
      <c r="CG33" s="55"/>
      <c r="CH33" s="47"/>
      <c r="CI33" s="47"/>
      <c r="CJ33" s="47"/>
      <c r="CK33" s="47"/>
      <c r="CL33" s="47"/>
      <c r="CM33" s="47"/>
      <c r="CN33" s="47"/>
      <c r="CO33" s="47"/>
      <c r="CP33" s="450"/>
      <c r="CQ33" s="47"/>
      <c r="CR33" s="47"/>
      <c r="CS33" s="47"/>
      <c r="CT33" s="47"/>
      <c r="CU33" s="47"/>
      <c r="CV33" s="505"/>
      <c r="CW33" s="679"/>
      <c r="CX33" s="623"/>
      <c r="CY33" s="495"/>
      <c r="CZ33" s="957"/>
      <c r="DA33" s="511"/>
      <c r="DB33" s="511"/>
      <c r="DC33" s="511"/>
      <c r="DD33" s="511"/>
      <c r="DE33" s="511"/>
      <c r="DF33" s="511"/>
      <c r="DG33" s="511"/>
      <c r="DH33" s="511"/>
      <c r="DI33" s="511"/>
      <c r="DJ33" s="511"/>
      <c r="DK33" s="511"/>
      <c r="DL33" s="511"/>
      <c r="DM33" s="511"/>
      <c r="DN33" s="511"/>
      <c r="DO33" s="511"/>
      <c r="DP33" s="511"/>
      <c r="DQ33" s="511"/>
      <c r="DR33" s="511"/>
      <c r="DS33" s="511"/>
      <c r="DT33" s="511"/>
      <c r="DU33" s="55">
        <f t="shared" si="0"/>
        <v>0</v>
      </c>
      <c r="DV33" s="511"/>
    </row>
    <row r="34" spans="1:126" s="16" customFormat="1" x14ac:dyDescent="0.2">
      <c r="A34" s="26" t="s">
        <v>81</v>
      </c>
      <c r="B34" s="9"/>
      <c r="C34" s="45"/>
      <c r="D34" s="143"/>
      <c r="E34" s="25"/>
      <c r="F34" s="46"/>
      <c r="G34" s="143"/>
      <c r="H34" s="145"/>
      <c r="I34" s="165"/>
      <c r="J34" s="48"/>
      <c r="K34" s="165"/>
      <c r="L34" s="48"/>
      <c r="M34" s="165"/>
      <c r="N34" s="48"/>
      <c r="O34" s="165"/>
      <c r="P34" s="48"/>
      <c r="Q34" s="48"/>
      <c r="R34" s="5"/>
      <c r="S34" s="20"/>
      <c r="T34" s="5"/>
      <c r="U34" s="72"/>
      <c r="V34" s="154"/>
      <c r="W34" s="154"/>
      <c r="X34" s="47"/>
      <c r="Y34" s="106"/>
      <c r="Z34" s="258"/>
      <c r="AA34" s="57"/>
      <c r="AB34" s="80"/>
      <c r="AC34" s="57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392"/>
      <c r="AO34" s="47"/>
      <c r="AP34" s="47"/>
      <c r="AQ34" s="47"/>
      <c r="AR34" s="47"/>
      <c r="AS34" s="47"/>
      <c r="AT34" s="47"/>
      <c r="AU34" s="47"/>
      <c r="AV34" s="57"/>
      <c r="AW34" s="495"/>
      <c r="AX34" s="496"/>
      <c r="AY34" s="55"/>
      <c r="AZ34" s="55"/>
      <c r="BA34" s="47"/>
      <c r="BB34" s="47"/>
      <c r="BC34" s="47"/>
      <c r="BD34" s="47"/>
      <c r="BE34" s="47"/>
      <c r="BF34" s="47"/>
      <c r="BG34" s="47"/>
      <c r="BH34" s="47"/>
      <c r="BI34" s="450"/>
      <c r="BJ34" s="47"/>
      <c r="BK34" s="47"/>
      <c r="BL34" s="47"/>
      <c r="BM34" s="47"/>
      <c r="BN34" s="47"/>
      <c r="BO34" s="57"/>
      <c r="BP34" s="495"/>
      <c r="BQ34" s="496"/>
      <c r="BR34" s="55"/>
      <c r="BS34" s="55"/>
      <c r="BT34" s="47"/>
      <c r="BU34" s="47"/>
      <c r="BV34" s="47"/>
      <c r="BW34" s="47"/>
      <c r="BX34" s="47"/>
      <c r="BY34" s="47"/>
      <c r="BZ34" s="47"/>
      <c r="CA34" s="47"/>
      <c r="CB34" s="450"/>
      <c r="CC34" s="57"/>
      <c r="CD34" s="495"/>
      <c r="CE34" s="496"/>
      <c r="CF34" s="55"/>
      <c r="CG34" s="55"/>
      <c r="CH34" s="47"/>
      <c r="CI34" s="47"/>
      <c r="CJ34" s="47"/>
      <c r="CK34" s="47"/>
      <c r="CL34" s="47"/>
      <c r="CM34" s="47"/>
      <c r="CN34" s="47"/>
      <c r="CO34" s="47"/>
      <c r="CP34" s="450"/>
      <c r="CQ34" s="47"/>
      <c r="CR34" s="47"/>
      <c r="CS34" s="47"/>
      <c r="CT34" s="47"/>
      <c r="CU34" s="47"/>
      <c r="CV34" s="505"/>
      <c r="CW34" s="679"/>
      <c r="CX34" s="656"/>
      <c r="CY34" s="495"/>
      <c r="CZ34" s="957"/>
      <c r="DA34" s="511"/>
      <c r="DB34" s="511"/>
      <c r="DC34" s="511"/>
      <c r="DD34" s="511"/>
      <c r="DE34" s="511"/>
      <c r="DF34" s="511"/>
      <c r="DG34" s="511"/>
      <c r="DH34" s="511"/>
      <c r="DI34" s="511"/>
      <c r="DJ34" s="511"/>
      <c r="DK34" s="511"/>
      <c r="DL34" s="511"/>
      <c r="DM34" s="511"/>
      <c r="DN34" s="511"/>
      <c r="DO34" s="511"/>
      <c r="DP34" s="511"/>
      <c r="DQ34" s="511"/>
      <c r="DR34" s="511"/>
      <c r="DS34" s="511"/>
      <c r="DT34" s="511"/>
      <c r="DU34" s="55">
        <f t="shared" si="0"/>
        <v>0</v>
      </c>
      <c r="DV34" s="511"/>
    </row>
    <row r="35" spans="1:126" s="16" customFormat="1" x14ac:dyDescent="0.2">
      <c r="A35" s="20" t="s">
        <v>142</v>
      </c>
      <c r="B35" s="9" t="s">
        <v>46</v>
      </c>
      <c r="C35" s="45" t="s">
        <v>358</v>
      </c>
      <c r="D35" s="17">
        <v>120</v>
      </c>
      <c r="E35" s="25">
        <v>0.1</v>
      </c>
      <c r="F35" s="462">
        <v>43281</v>
      </c>
      <c r="G35" s="17">
        <v>120</v>
      </c>
      <c r="H35" s="145">
        <f>100/G35</f>
        <v>0.83333333333333337</v>
      </c>
      <c r="I35" s="165">
        <f>H35*J35</f>
        <v>94.166666666666671</v>
      </c>
      <c r="J35" s="48">
        <f>(YEAR(F35)-YEAR(S35))*12+MONTH(F35)-MONTH(S35)</f>
        <v>113</v>
      </c>
      <c r="K35" s="165">
        <f>L35*H35</f>
        <v>5.8333333333333339</v>
      </c>
      <c r="L35" s="48">
        <f>G35-J35</f>
        <v>7</v>
      </c>
      <c r="M35" s="165">
        <f>N35*H35</f>
        <v>5.8333333333333339</v>
      </c>
      <c r="N35" s="48">
        <v>7</v>
      </c>
      <c r="O35" s="165">
        <f>K35-M35</f>
        <v>0</v>
      </c>
      <c r="P35" s="48">
        <f>L35-N35</f>
        <v>0</v>
      </c>
      <c r="Q35" s="462">
        <f>DATE(YEAR(S35),MONTH(S35)+G35,DAY(S35))</f>
        <v>43466</v>
      </c>
      <c r="R35" s="7" t="s">
        <v>359</v>
      </c>
      <c r="S35" s="20">
        <v>39814</v>
      </c>
      <c r="T35" s="5">
        <v>1159</v>
      </c>
      <c r="U35" s="72">
        <v>225.03</v>
      </c>
      <c r="V35" s="154">
        <v>115.91833333333331</v>
      </c>
      <c r="W35" s="154">
        <v>463.58166666666671</v>
      </c>
      <c r="X35" s="47">
        <v>9.66</v>
      </c>
      <c r="Y35" s="106">
        <f>X35*5</f>
        <v>48.3</v>
      </c>
      <c r="Z35" s="258">
        <f>W35-Y35</f>
        <v>415.28166666666669</v>
      </c>
      <c r="AA35" s="57">
        <v>115.958</v>
      </c>
      <c r="AB35" s="82">
        <v>134.071</v>
      </c>
      <c r="AC35" s="57">
        <f>AA35/AB35</f>
        <v>0.8648999410759971</v>
      </c>
      <c r="AD35" s="55">
        <f>Z35*M35/100/K35*100/7</f>
        <v>59.32595238095238</v>
      </c>
      <c r="AE35" s="55">
        <f>AD35*AC35</f>
        <v>51.31101271856312</v>
      </c>
      <c r="AF35" s="55">
        <f>AE35</f>
        <v>51.31101271856312</v>
      </c>
      <c r="AG35" s="55">
        <v>8.3529555588358573</v>
      </c>
      <c r="AH35" s="55">
        <v>8.3529555588358573</v>
      </c>
      <c r="AI35" s="55">
        <v>8.3529555588358573</v>
      </c>
      <c r="AJ35" s="55">
        <v>8.3529555588358573</v>
      </c>
      <c r="AK35" s="55">
        <v>8.3529555588358573</v>
      </c>
      <c r="AL35" s="55">
        <v>8.3529555588358573</v>
      </c>
      <c r="AM35" s="55">
        <f>SUM(AF35:AL35)</f>
        <v>101.42874607157827</v>
      </c>
      <c r="AN35" s="392">
        <f>Z35-AM35</f>
        <v>313.85292059508845</v>
      </c>
      <c r="AO35" s="47"/>
      <c r="AP35" s="47"/>
      <c r="AQ35" s="47">
        <f>$AL35</f>
        <v>8.3529555588358573</v>
      </c>
      <c r="AR35" s="47">
        <f>$AL35</f>
        <v>8.3529555588358573</v>
      </c>
      <c r="AS35" s="47">
        <f>$AL35</f>
        <v>8.3529555588358573</v>
      </c>
      <c r="AT35" s="47">
        <f>$AL35</f>
        <v>8.3529555588358573</v>
      </c>
      <c r="AU35" s="47">
        <f>$AL35</f>
        <v>8.3529555588358573</v>
      </c>
      <c r="AV35" s="57">
        <v>118.901</v>
      </c>
      <c r="AW35" s="498">
        <v>134.071</v>
      </c>
      <c r="AX35" s="496">
        <f>AV35/AW35</f>
        <v>0.88685099685987279</v>
      </c>
      <c r="AY35" s="55">
        <f>T35/(D35)</f>
        <v>9.6583333333333332</v>
      </c>
      <c r="AZ35" s="55">
        <f>AY35*AX35</f>
        <v>8.5655025446716042</v>
      </c>
      <c r="BA35" s="47">
        <f>$AZ35</f>
        <v>8.5655025446716042</v>
      </c>
      <c r="BB35" s="47">
        <f>$AZ35</f>
        <v>8.5655025446716042</v>
      </c>
      <c r="BC35" s="47">
        <f>$AZ35</f>
        <v>8.5655025446716042</v>
      </c>
      <c r="BD35" s="47">
        <f>$AZ35</f>
        <v>8.5655025446716042</v>
      </c>
      <c r="BE35" s="47">
        <v>8.57</v>
      </c>
      <c r="BF35" s="47">
        <v>8.57</v>
      </c>
      <c r="BG35" s="47">
        <v>8.57</v>
      </c>
      <c r="BH35" s="47">
        <f>SUM((AQ35:AU35),(BA35:BG35))</f>
        <v>101.7367879728657</v>
      </c>
      <c r="BI35" s="450">
        <f>(AN35-BH35)</f>
        <v>212.11613262222275</v>
      </c>
      <c r="BJ35" s="47">
        <v>8.57</v>
      </c>
      <c r="BK35" s="47">
        <v>8.57</v>
      </c>
      <c r="BL35" s="47">
        <v>8.57</v>
      </c>
      <c r="BM35" s="47">
        <v>8.57</v>
      </c>
      <c r="BN35" s="47">
        <v>8.57</v>
      </c>
      <c r="BO35" s="57">
        <v>118.901</v>
      </c>
      <c r="BP35" s="498">
        <v>134.071</v>
      </c>
      <c r="BQ35" s="496">
        <f>BO35/BP35</f>
        <v>0.88685099685987279</v>
      </c>
      <c r="BR35" s="55">
        <f>AM35/(W35)</f>
        <v>0.21879369561978276</v>
      </c>
      <c r="BS35" s="55">
        <f>BR35*BQ35</f>
        <v>0.19403740706705994</v>
      </c>
      <c r="BT35" s="47"/>
      <c r="BU35" s="47"/>
      <c r="BV35" s="47"/>
      <c r="BW35" s="47"/>
      <c r="BX35" s="47"/>
      <c r="BY35" s="47"/>
      <c r="BZ35" s="47"/>
      <c r="CA35" s="47">
        <f>SUM((BJ35:BN35),(BT35:BZ35))</f>
        <v>42.85</v>
      </c>
      <c r="CB35" s="450">
        <f>BI35-CA35</f>
        <v>169.26613262222276</v>
      </c>
      <c r="CC35" s="57">
        <v>126.408</v>
      </c>
      <c r="CD35" s="498">
        <v>134.071</v>
      </c>
      <c r="CE35" s="496">
        <f>CC35/CD35</f>
        <v>0.94284371713495085</v>
      </c>
      <c r="CF35" s="55">
        <f>CB35/L35</f>
        <v>24.180876088888965</v>
      </c>
      <c r="CG35" s="55">
        <f>CF35*CE35</f>
        <v>22.798787095227723</v>
      </c>
      <c r="CH35" s="47">
        <v>10.007694945162415</v>
      </c>
      <c r="CI35" s="47">
        <v>10.007694945162415</v>
      </c>
      <c r="CJ35" s="47">
        <v>10.007694945162415</v>
      </c>
      <c r="CK35" s="47">
        <v>10.007694945162415</v>
      </c>
      <c r="CL35" s="47">
        <v>10.007694945162415</v>
      </c>
      <c r="CM35" s="47">
        <v>10.007694945162415</v>
      </c>
      <c r="CN35" s="47">
        <v>10.007694945162415</v>
      </c>
      <c r="CO35" s="47">
        <f>SUM(CH35:CN35)</f>
        <v>70.053864616136906</v>
      </c>
      <c r="CP35" s="450">
        <f>CB35-CO35</f>
        <v>99.21226800608585</v>
      </c>
      <c r="CQ35" s="47">
        <v>10.007694945162415</v>
      </c>
      <c r="CR35" s="47">
        <v>10.007694945162415</v>
      </c>
      <c r="CS35" s="47">
        <v>10.007694945162415</v>
      </c>
      <c r="CT35" s="47">
        <v>10.007694945162415</v>
      </c>
      <c r="CU35" s="47">
        <v>10.007694945162415</v>
      </c>
      <c r="CV35" s="505">
        <f>SUM(CQ35:CU35)</f>
        <v>50.038474725812073</v>
      </c>
      <c r="CW35" s="679">
        <f>CP35-CV35</f>
        <v>49.173793280273777</v>
      </c>
      <c r="CX35" s="55">
        <v>132.28200000000001</v>
      </c>
      <c r="CY35" s="498">
        <v>134.071</v>
      </c>
      <c r="CZ35" s="55">
        <f>CY35/CX35</f>
        <v>1.0135241378267639</v>
      </c>
      <c r="DA35" s="55">
        <f>CW35/L35</f>
        <v>7.0248276114676829</v>
      </c>
      <c r="DB35" s="55">
        <f>DA35*CZ35</f>
        <v>7.1198323482944286</v>
      </c>
      <c r="DC35" s="511">
        <v>7.1198323482944286</v>
      </c>
      <c r="DD35" s="511">
        <v>7.1198323482944286</v>
      </c>
      <c r="DE35" s="511">
        <v>7.1198323482944286</v>
      </c>
      <c r="DF35" s="511">
        <v>7.1198323482944286</v>
      </c>
      <c r="DG35" s="511">
        <v>7.1198323482944286</v>
      </c>
      <c r="DH35" s="511">
        <v>7.1198323482944286</v>
      </c>
      <c r="DI35" s="511">
        <v>5.45</v>
      </c>
      <c r="DJ35" s="511">
        <v>0</v>
      </c>
      <c r="DK35" s="511">
        <v>0</v>
      </c>
      <c r="DL35" s="511">
        <v>0</v>
      </c>
      <c r="DM35" s="511">
        <v>0</v>
      </c>
      <c r="DN35" s="511">
        <v>0</v>
      </c>
      <c r="DO35" s="511">
        <v>0</v>
      </c>
      <c r="DP35" s="511">
        <v>0</v>
      </c>
      <c r="DQ35" s="511">
        <v>0</v>
      </c>
      <c r="DR35" s="511">
        <v>0</v>
      </c>
      <c r="DS35" s="511">
        <v>0</v>
      </c>
      <c r="DT35" s="511">
        <v>0</v>
      </c>
      <c r="DU35" s="55">
        <f t="shared" si="0"/>
        <v>48.168994089766578</v>
      </c>
      <c r="DV35" s="55">
        <f>CW35-DU35</f>
        <v>1.0047991905071996</v>
      </c>
    </row>
    <row r="36" spans="1:126" s="16" customFormat="1" x14ac:dyDescent="0.2">
      <c r="A36" s="26" t="s">
        <v>71</v>
      </c>
      <c r="B36" s="26" t="s">
        <v>84</v>
      </c>
      <c r="C36" s="45"/>
      <c r="D36" s="17"/>
      <c r="E36" s="30"/>
      <c r="F36" s="46"/>
      <c r="G36" s="17"/>
      <c r="H36" s="46"/>
      <c r="I36" s="58"/>
      <c r="J36" s="145"/>
      <c r="K36" s="165"/>
      <c r="L36" s="48"/>
      <c r="M36" s="165"/>
      <c r="N36" s="48"/>
      <c r="O36" s="165"/>
      <c r="P36" s="48"/>
      <c r="Q36" s="165"/>
      <c r="R36" s="5"/>
      <c r="S36" s="33"/>
      <c r="T36" s="5"/>
      <c r="U36" s="128"/>
      <c r="V36" s="7"/>
      <c r="W36" s="72"/>
      <c r="X36" s="154"/>
      <c r="Y36" s="154"/>
      <c r="Z36" s="47"/>
      <c r="AA36" s="106"/>
      <c r="AB36" s="80"/>
      <c r="AC36" s="57"/>
      <c r="AD36" s="84"/>
      <c r="AE36" s="57"/>
      <c r="AF36" s="55"/>
      <c r="AG36" s="55"/>
      <c r="AH36" s="55"/>
      <c r="AI36" s="55"/>
      <c r="AJ36" s="55"/>
      <c r="AK36" s="55"/>
      <c r="AL36" s="55"/>
      <c r="AM36" s="55"/>
      <c r="AN36" s="394"/>
      <c r="AO36" s="47"/>
      <c r="AP36" s="47"/>
      <c r="AQ36" s="47"/>
      <c r="AR36" s="47"/>
      <c r="AS36" s="47"/>
      <c r="AT36" s="47"/>
      <c r="AU36" s="47"/>
      <c r="AV36" s="106"/>
      <c r="AW36" s="495"/>
      <c r="AX36" s="496"/>
      <c r="AY36" s="55"/>
      <c r="AZ36" s="55"/>
      <c r="BA36" s="47"/>
      <c r="BB36" s="47"/>
      <c r="BC36" s="47"/>
      <c r="BD36" s="47"/>
      <c r="BE36" s="47"/>
      <c r="BF36" s="47"/>
      <c r="BG36" s="47"/>
      <c r="BH36" s="47"/>
      <c r="BI36" s="450"/>
      <c r="BJ36" s="47"/>
      <c r="BK36" s="47"/>
      <c r="BL36" s="47"/>
      <c r="BM36" s="47"/>
      <c r="BN36" s="47"/>
      <c r="BO36" s="106"/>
      <c r="BP36" s="495"/>
      <c r="BQ36" s="496"/>
      <c r="BR36" s="55"/>
      <c r="BS36" s="55"/>
      <c r="BT36" s="47"/>
      <c r="BU36" s="47"/>
      <c r="BV36" s="47"/>
      <c r="BW36" s="47"/>
      <c r="BX36" s="47"/>
      <c r="BY36" s="47"/>
      <c r="BZ36" s="47"/>
      <c r="CA36" s="47"/>
      <c r="CB36" s="450"/>
      <c r="CC36" s="106"/>
      <c r="CD36" s="495"/>
      <c r="CE36" s="496"/>
      <c r="CF36" s="55"/>
      <c r="CG36" s="55"/>
      <c r="CH36" s="47"/>
      <c r="CI36" s="47"/>
      <c r="CJ36" s="47"/>
      <c r="CK36" s="47"/>
      <c r="CL36" s="47"/>
      <c r="CM36" s="47"/>
      <c r="CN36" s="47"/>
      <c r="CO36" s="47"/>
      <c r="CP36" s="450"/>
      <c r="CQ36" s="47"/>
      <c r="CR36" s="47"/>
      <c r="CS36" s="47"/>
      <c r="CT36" s="47"/>
      <c r="CU36" s="47"/>
      <c r="CV36" s="505"/>
      <c r="CW36" s="679"/>
      <c r="CX36" s="55"/>
      <c r="CY36" s="49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  <c r="DS36" s="55"/>
      <c r="DT36" s="55"/>
      <c r="DU36" s="55">
        <f t="shared" si="0"/>
        <v>0</v>
      </c>
      <c r="DV36" s="55"/>
    </row>
    <row r="37" spans="1:126" s="16" customFormat="1" x14ac:dyDescent="0.2">
      <c r="A37" s="26" t="s">
        <v>97</v>
      </c>
      <c r="B37" s="9"/>
      <c r="C37" s="45"/>
      <c r="D37" s="143"/>
      <c r="E37" s="30"/>
      <c r="F37" s="46"/>
      <c r="G37" s="143"/>
      <c r="H37" s="46"/>
      <c r="I37" s="58"/>
      <c r="J37" s="145"/>
      <c r="K37" s="165"/>
      <c r="L37" s="48"/>
      <c r="M37" s="165"/>
      <c r="N37" s="48"/>
      <c r="O37" s="165"/>
      <c r="P37" s="48"/>
      <c r="Q37" s="165"/>
      <c r="R37" s="5"/>
      <c r="S37" s="33"/>
      <c r="T37" s="5"/>
      <c r="U37" s="119"/>
      <c r="V37" s="7"/>
      <c r="W37" s="72"/>
      <c r="X37" s="154"/>
      <c r="Y37" s="154"/>
      <c r="Z37" s="47"/>
      <c r="AA37" s="106"/>
      <c r="AB37" s="57"/>
      <c r="AC37" s="57"/>
      <c r="AD37" s="84"/>
      <c r="AE37" s="57"/>
      <c r="AF37" s="55"/>
      <c r="AG37" s="55"/>
      <c r="AH37" s="55"/>
      <c r="AI37" s="55"/>
      <c r="AJ37" s="55"/>
      <c r="AK37" s="55"/>
      <c r="AL37" s="55"/>
      <c r="AM37" s="55"/>
      <c r="AN37" s="394"/>
      <c r="AO37" s="47"/>
      <c r="AP37" s="47"/>
      <c r="AQ37" s="47"/>
      <c r="AR37" s="47"/>
      <c r="AS37" s="47"/>
      <c r="AT37" s="47"/>
      <c r="AU37" s="47"/>
      <c r="AV37" s="106"/>
      <c r="AW37" s="496"/>
      <c r="AX37" s="496"/>
      <c r="AY37" s="55"/>
      <c r="AZ37" s="55"/>
      <c r="BA37" s="47"/>
      <c r="BB37" s="47"/>
      <c r="BC37" s="47"/>
      <c r="BD37" s="47"/>
      <c r="BE37" s="47"/>
      <c r="BF37" s="47"/>
      <c r="BG37" s="47"/>
      <c r="BH37" s="47"/>
      <c r="BI37" s="450"/>
      <c r="BJ37" s="47"/>
      <c r="BK37" s="47"/>
      <c r="BL37" s="47"/>
      <c r="BM37" s="47"/>
      <c r="BN37" s="47"/>
      <c r="BO37" s="106"/>
      <c r="BP37" s="496"/>
      <c r="BQ37" s="496"/>
      <c r="BR37" s="55"/>
      <c r="BS37" s="55"/>
      <c r="BT37" s="47"/>
      <c r="BU37" s="47"/>
      <c r="BV37" s="47"/>
      <c r="BW37" s="47"/>
      <c r="BX37" s="47"/>
      <c r="BY37" s="47"/>
      <c r="BZ37" s="47"/>
      <c r="CA37" s="47"/>
      <c r="CB37" s="450"/>
      <c r="CC37" s="106"/>
      <c r="CD37" s="496"/>
      <c r="CE37" s="496"/>
      <c r="CF37" s="55"/>
      <c r="CG37" s="55"/>
      <c r="CH37" s="47"/>
      <c r="CI37" s="47"/>
      <c r="CJ37" s="47"/>
      <c r="CK37" s="47"/>
      <c r="CL37" s="47"/>
      <c r="CM37" s="47"/>
      <c r="CN37" s="47"/>
      <c r="CO37" s="47"/>
      <c r="CP37" s="450"/>
      <c r="CQ37" s="47"/>
      <c r="CR37" s="47"/>
      <c r="CS37" s="47"/>
      <c r="CT37" s="47"/>
      <c r="CU37" s="47"/>
      <c r="CV37" s="505"/>
      <c r="CW37" s="679"/>
      <c r="CX37" s="956"/>
      <c r="CY37" s="496"/>
      <c r="CZ37" s="957"/>
      <c r="DA37" s="511"/>
      <c r="DB37" s="511"/>
      <c r="DC37" s="511"/>
      <c r="DD37" s="511"/>
      <c r="DE37" s="511"/>
      <c r="DF37" s="511"/>
      <c r="DG37" s="511"/>
      <c r="DH37" s="511"/>
      <c r="DI37" s="511"/>
      <c r="DJ37" s="511"/>
      <c r="DK37" s="511"/>
      <c r="DL37" s="511"/>
      <c r="DM37" s="511"/>
      <c r="DN37" s="511"/>
      <c r="DO37" s="511"/>
      <c r="DP37" s="511"/>
      <c r="DQ37" s="511"/>
      <c r="DR37" s="511"/>
      <c r="DS37" s="511"/>
      <c r="DT37" s="511"/>
      <c r="DU37" s="55">
        <f t="shared" si="0"/>
        <v>0</v>
      </c>
      <c r="DV37" s="756"/>
    </row>
    <row r="38" spans="1:126" s="16" customFormat="1" x14ac:dyDescent="0.2">
      <c r="A38" s="20" t="s">
        <v>143</v>
      </c>
      <c r="B38" s="9" t="s">
        <v>41</v>
      </c>
      <c r="C38" s="45" t="s">
        <v>358</v>
      </c>
      <c r="D38" s="17">
        <v>120</v>
      </c>
      <c r="E38" s="30">
        <v>0.1</v>
      </c>
      <c r="F38" s="462">
        <v>43281</v>
      </c>
      <c r="G38" s="17">
        <v>120</v>
      </c>
      <c r="H38" s="145">
        <f>100/G38</f>
        <v>0.83333333333333337</v>
      </c>
      <c r="I38" s="165">
        <f>H38*J38</f>
        <v>134.16666666666669</v>
      </c>
      <c r="J38" s="48">
        <f>(YEAR(F38)-YEAR(S38))*12+MONTH(F38)-MONTH(S38)</f>
        <v>161</v>
      </c>
      <c r="K38" s="165">
        <f>L38*H38</f>
        <v>-34.166666666666671</v>
      </c>
      <c r="L38" s="48">
        <f>G38-J38</f>
        <v>-41</v>
      </c>
      <c r="M38" s="165">
        <f>N38*H38</f>
        <v>0</v>
      </c>
      <c r="N38" s="48">
        <v>0</v>
      </c>
      <c r="O38" s="165">
        <f>K38-M38</f>
        <v>-34.166666666666671</v>
      </c>
      <c r="P38" s="48">
        <v>0</v>
      </c>
      <c r="Q38" s="462">
        <f>DATE(YEAR(S38),MONTH(S38)+G38,DAY(S38))</f>
        <v>42005</v>
      </c>
      <c r="R38" s="7" t="s">
        <v>359</v>
      </c>
      <c r="S38" s="33">
        <v>38353</v>
      </c>
      <c r="T38" s="5">
        <v>2349</v>
      </c>
      <c r="U38" s="72">
        <v>225.03</v>
      </c>
      <c r="V38" s="154">
        <v>234.95499999999993</v>
      </c>
      <c r="W38" s="154">
        <v>-5.4999999999836291E-2</v>
      </c>
      <c r="X38" s="47">
        <v>0</v>
      </c>
      <c r="Y38" s="106">
        <f>X38*5</f>
        <v>0</v>
      </c>
      <c r="Z38" s="258">
        <v>1</v>
      </c>
      <c r="AA38" s="57">
        <v>115.958</v>
      </c>
      <c r="AB38" s="145">
        <v>112.554</v>
      </c>
      <c r="AC38" s="57">
        <f>AA38/AB38</f>
        <v>1.0302432610124916</v>
      </c>
      <c r="AD38" s="55">
        <f>Z38*M38/100/K38*100/7</f>
        <v>0</v>
      </c>
      <c r="AE38" s="55">
        <f>AD38*AC38</f>
        <v>0</v>
      </c>
      <c r="AF38" s="55">
        <f>AE38</f>
        <v>0</v>
      </c>
      <c r="AG38" s="55">
        <v>0</v>
      </c>
      <c r="AH38" s="55">
        <v>0</v>
      </c>
      <c r="AI38" s="55">
        <v>0</v>
      </c>
      <c r="AJ38" s="55">
        <v>0</v>
      </c>
      <c r="AK38" s="55">
        <v>0</v>
      </c>
      <c r="AL38" s="55">
        <v>0</v>
      </c>
      <c r="AM38" s="55">
        <f>SUM(AF38:AL38)</f>
        <v>0</v>
      </c>
      <c r="AN38" s="392">
        <f>Z38-AM38</f>
        <v>1</v>
      </c>
      <c r="AO38" s="47"/>
      <c r="AP38" s="47"/>
      <c r="AQ38" s="47"/>
      <c r="AR38" s="47"/>
      <c r="AS38" s="47"/>
      <c r="AT38" s="47"/>
      <c r="AU38" s="47"/>
      <c r="AV38" s="57">
        <v>118.901</v>
      </c>
      <c r="AW38" s="499">
        <v>112.554</v>
      </c>
      <c r="AX38" s="496">
        <f>AV38/AW38</f>
        <v>1.0563907102368639</v>
      </c>
      <c r="AY38" s="55">
        <f>T38/(D38)</f>
        <v>19.574999999999999</v>
      </c>
      <c r="AZ38" s="55">
        <f>AY38*AX38</f>
        <v>20.678848152886612</v>
      </c>
      <c r="BA38" s="47"/>
      <c r="BB38" s="47"/>
      <c r="BC38" s="47"/>
      <c r="BD38" s="47"/>
      <c r="BE38" s="47"/>
      <c r="BF38" s="47"/>
      <c r="BG38" s="47"/>
      <c r="BH38" s="47">
        <f>SUM((AQ38:AU38),(BA38:BG38))</f>
        <v>0</v>
      </c>
      <c r="BI38" s="450">
        <f>(AN38-BH38)</f>
        <v>1</v>
      </c>
      <c r="BJ38" s="47"/>
      <c r="BK38" s="47"/>
      <c r="BL38" s="47"/>
      <c r="BM38" s="47"/>
      <c r="BN38" s="47"/>
      <c r="BO38" s="57">
        <v>118.901</v>
      </c>
      <c r="BP38" s="499">
        <v>112.554</v>
      </c>
      <c r="BQ38" s="496">
        <f>BO38/BP38</f>
        <v>1.0563907102368639</v>
      </c>
      <c r="BR38" s="55">
        <f>AM38/(W38)</f>
        <v>0</v>
      </c>
      <c r="BS38" s="55">
        <f>BR38*BQ38</f>
        <v>0</v>
      </c>
      <c r="BT38" s="47"/>
      <c r="BU38" s="47"/>
      <c r="BV38" s="47"/>
      <c r="BW38" s="47"/>
      <c r="BX38" s="47"/>
      <c r="BY38" s="47"/>
      <c r="BZ38" s="47"/>
      <c r="CA38" s="47">
        <f>SUM((BJ38:BN38),(BT38:BZ38))</f>
        <v>0</v>
      </c>
      <c r="CB38" s="450">
        <f>BI38-CA38</f>
        <v>1</v>
      </c>
      <c r="CC38" s="57">
        <v>126.408</v>
      </c>
      <c r="CD38" s="499">
        <v>112.554</v>
      </c>
      <c r="CE38" s="496">
        <f>CC38/CD38</f>
        <v>1.1230875846260462</v>
      </c>
      <c r="CF38" s="55">
        <v>0</v>
      </c>
      <c r="CG38" s="55">
        <f>CF38*CE38</f>
        <v>0</v>
      </c>
      <c r="CH38" s="47">
        <v>0</v>
      </c>
      <c r="CI38" s="47">
        <v>0</v>
      </c>
      <c r="CJ38" s="47">
        <v>0</v>
      </c>
      <c r="CK38" s="47">
        <v>0</v>
      </c>
      <c r="CL38" s="47">
        <v>0</v>
      </c>
      <c r="CM38" s="47">
        <v>0</v>
      </c>
      <c r="CN38" s="47">
        <v>0</v>
      </c>
      <c r="CO38" s="47"/>
      <c r="CP38" s="450">
        <f>CB38-CO38</f>
        <v>1</v>
      </c>
      <c r="CQ38" s="47">
        <v>0</v>
      </c>
      <c r="CR38" s="47">
        <v>0</v>
      </c>
      <c r="CS38" s="47">
        <v>0</v>
      </c>
      <c r="CT38" s="47">
        <v>0</v>
      </c>
      <c r="CU38" s="47">
        <v>0</v>
      </c>
      <c r="CV38" s="505">
        <f>SUM(CQ38:CU38)</f>
        <v>0</v>
      </c>
      <c r="CW38" s="679">
        <f>CP38-CV38</f>
        <v>1</v>
      </c>
      <c r="CX38" s="55">
        <v>132.28200000000001</v>
      </c>
      <c r="CY38" s="499">
        <v>112.554</v>
      </c>
      <c r="CZ38" s="55">
        <f>CY38/CX38</f>
        <v>0.8508640631378418</v>
      </c>
      <c r="DA38" s="55">
        <v>0</v>
      </c>
      <c r="DB38" s="55">
        <f>DA38*CZ38</f>
        <v>0</v>
      </c>
      <c r="DC38" s="511">
        <v>0</v>
      </c>
      <c r="DD38" s="511">
        <v>0</v>
      </c>
      <c r="DE38" s="511">
        <v>0</v>
      </c>
      <c r="DF38" s="511">
        <v>0</v>
      </c>
      <c r="DG38" s="511">
        <v>0</v>
      </c>
      <c r="DH38" s="511">
        <v>0</v>
      </c>
      <c r="DI38" s="511">
        <v>0</v>
      </c>
      <c r="DJ38" s="511">
        <v>0</v>
      </c>
      <c r="DK38" s="511">
        <v>0</v>
      </c>
      <c r="DL38" s="511">
        <v>0</v>
      </c>
      <c r="DM38" s="511">
        <v>0</v>
      </c>
      <c r="DN38" s="511">
        <v>0</v>
      </c>
      <c r="DO38" s="511">
        <v>0</v>
      </c>
      <c r="DP38" s="511">
        <v>0</v>
      </c>
      <c r="DQ38" s="511">
        <v>0</v>
      </c>
      <c r="DR38" s="511">
        <v>0</v>
      </c>
      <c r="DS38" s="511">
        <v>0</v>
      </c>
      <c r="DT38" s="511">
        <v>0</v>
      </c>
      <c r="DU38" s="55">
        <f t="shared" si="0"/>
        <v>0</v>
      </c>
      <c r="DV38" s="55">
        <f>CW38-DU38</f>
        <v>1</v>
      </c>
    </row>
    <row r="39" spans="1:126" s="16" customFormat="1" x14ac:dyDescent="0.2">
      <c r="A39" s="20" t="s">
        <v>143</v>
      </c>
      <c r="B39" s="9" t="s">
        <v>42</v>
      </c>
      <c r="C39" s="45" t="s">
        <v>358</v>
      </c>
      <c r="D39" s="17">
        <v>120</v>
      </c>
      <c r="E39" s="30">
        <v>0.1</v>
      </c>
      <c r="F39" s="462">
        <v>43281</v>
      </c>
      <c r="G39" s="17">
        <v>120</v>
      </c>
      <c r="H39" s="145">
        <f>100/G39</f>
        <v>0.83333333333333337</v>
      </c>
      <c r="I39" s="165">
        <f>H39*J39</f>
        <v>134.16666666666669</v>
      </c>
      <c r="J39" s="48">
        <f>(YEAR(F39)-YEAR(S39))*12+MONTH(F39)-MONTH(S39)</f>
        <v>161</v>
      </c>
      <c r="K39" s="165">
        <f>L39*H39</f>
        <v>-34.166666666666671</v>
      </c>
      <c r="L39" s="48">
        <f>G39-J39</f>
        <v>-41</v>
      </c>
      <c r="M39" s="165">
        <f>N39*H39</f>
        <v>0</v>
      </c>
      <c r="N39" s="48">
        <v>0</v>
      </c>
      <c r="O39" s="165">
        <f>K39-M39</f>
        <v>-34.166666666666671</v>
      </c>
      <c r="P39" s="48">
        <v>0</v>
      </c>
      <c r="Q39" s="462">
        <f>DATE(YEAR(S39),MONTH(S39)+G39,DAY(S39))</f>
        <v>42005</v>
      </c>
      <c r="R39" s="7" t="s">
        <v>359</v>
      </c>
      <c r="S39" s="33">
        <v>38353</v>
      </c>
      <c r="T39" s="5">
        <v>4708</v>
      </c>
      <c r="U39" s="72">
        <v>225.03</v>
      </c>
      <c r="V39" s="154">
        <v>470.76333333333338</v>
      </c>
      <c r="W39" s="154">
        <v>3.6666666666803849E-2</v>
      </c>
      <c r="X39" s="47">
        <v>0</v>
      </c>
      <c r="Y39" s="106">
        <f>X39*5</f>
        <v>0</v>
      </c>
      <c r="Z39" s="258">
        <v>1</v>
      </c>
      <c r="AA39" s="57">
        <v>115.958</v>
      </c>
      <c r="AB39" s="145">
        <v>112.554</v>
      </c>
      <c r="AC39" s="57">
        <f>AA39/AB39</f>
        <v>1.0302432610124916</v>
      </c>
      <c r="AD39" s="55">
        <f>Z39*M39/100/K39*100/7</f>
        <v>0</v>
      </c>
      <c r="AE39" s="55">
        <f>AD39*AC39</f>
        <v>0</v>
      </c>
      <c r="AF39" s="55">
        <f>AE39</f>
        <v>0</v>
      </c>
      <c r="AG39" s="55">
        <v>0</v>
      </c>
      <c r="AH39" s="55">
        <v>0</v>
      </c>
      <c r="AI39" s="55">
        <v>0</v>
      </c>
      <c r="AJ39" s="55">
        <v>0</v>
      </c>
      <c r="AK39" s="55">
        <v>0</v>
      </c>
      <c r="AL39" s="55">
        <v>0</v>
      </c>
      <c r="AM39" s="55">
        <f>SUM(AF39:AL39)</f>
        <v>0</v>
      </c>
      <c r="AN39" s="392">
        <f>Z39-AM39</f>
        <v>1</v>
      </c>
      <c r="AO39" s="47"/>
      <c r="AP39" s="47"/>
      <c r="AQ39" s="47"/>
      <c r="AR39" s="47"/>
      <c r="AS39" s="47"/>
      <c r="AT39" s="47"/>
      <c r="AU39" s="47"/>
      <c r="AV39" s="57">
        <v>118.901</v>
      </c>
      <c r="AW39" s="499">
        <v>112.554</v>
      </c>
      <c r="AX39" s="496">
        <f>AV39/AW39</f>
        <v>1.0563907102368639</v>
      </c>
      <c r="AY39" s="55">
        <f>T39/(D39)</f>
        <v>39.233333333333334</v>
      </c>
      <c r="AZ39" s="55">
        <f>AY39*AX39</f>
        <v>41.445728864959626</v>
      </c>
      <c r="BA39" s="47"/>
      <c r="BB39" s="47"/>
      <c r="BC39" s="47"/>
      <c r="BD39" s="47"/>
      <c r="BE39" s="47"/>
      <c r="BF39" s="47"/>
      <c r="BG39" s="47"/>
      <c r="BH39" s="47">
        <f>SUM((AQ39:AU39),(BA39:BG39))</f>
        <v>0</v>
      </c>
      <c r="BI39" s="450">
        <f>(AN39-BH39)</f>
        <v>1</v>
      </c>
      <c r="BJ39" s="47"/>
      <c r="BK39" s="47"/>
      <c r="BL39" s="47"/>
      <c r="BM39" s="47"/>
      <c r="BN39" s="47"/>
      <c r="BO39" s="57">
        <v>118.901</v>
      </c>
      <c r="BP39" s="499">
        <v>112.554</v>
      </c>
      <c r="BQ39" s="496">
        <f>BO39/BP39</f>
        <v>1.0563907102368639</v>
      </c>
      <c r="BR39" s="55">
        <f>AM39/(W39)</f>
        <v>0</v>
      </c>
      <c r="BS39" s="55">
        <f>BR39*BQ39</f>
        <v>0</v>
      </c>
      <c r="BT39" s="47"/>
      <c r="BU39" s="47"/>
      <c r="BV39" s="47"/>
      <c r="BW39" s="47"/>
      <c r="BX39" s="47"/>
      <c r="BY39" s="47"/>
      <c r="BZ39" s="47"/>
      <c r="CA39" s="47">
        <f>SUM((BJ39:BN39),(BT39:BZ39))</f>
        <v>0</v>
      </c>
      <c r="CB39" s="450">
        <f>BI39-CA39</f>
        <v>1</v>
      </c>
      <c r="CC39" s="57">
        <v>126.408</v>
      </c>
      <c r="CD39" s="499">
        <v>112.554</v>
      </c>
      <c r="CE39" s="496">
        <f>CC39/CD39</f>
        <v>1.1230875846260462</v>
      </c>
      <c r="CF39" s="55">
        <v>0</v>
      </c>
      <c r="CG39" s="55">
        <f>CF39*CE39</f>
        <v>0</v>
      </c>
      <c r="CH39" s="47">
        <v>0</v>
      </c>
      <c r="CI39" s="47">
        <v>0</v>
      </c>
      <c r="CJ39" s="47">
        <v>0</v>
      </c>
      <c r="CK39" s="47">
        <v>0</v>
      </c>
      <c r="CL39" s="47">
        <v>0</v>
      </c>
      <c r="CM39" s="47">
        <v>0</v>
      </c>
      <c r="CN39" s="47">
        <v>0</v>
      </c>
      <c r="CO39" s="47"/>
      <c r="CP39" s="450">
        <f>CB39-CO39</f>
        <v>1</v>
      </c>
      <c r="CQ39" s="47">
        <v>0</v>
      </c>
      <c r="CR39" s="47">
        <v>0</v>
      </c>
      <c r="CS39" s="47">
        <v>0</v>
      </c>
      <c r="CT39" s="47">
        <v>0</v>
      </c>
      <c r="CU39" s="47">
        <v>0</v>
      </c>
      <c r="CV39" s="505">
        <f>SUM(CQ39:CU39)</f>
        <v>0</v>
      </c>
      <c r="CW39" s="679">
        <f>CP39-CV39</f>
        <v>1</v>
      </c>
      <c r="CX39" s="55">
        <v>132.28200000000001</v>
      </c>
      <c r="CY39" s="499">
        <v>112.554</v>
      </c>
      <c r="CZ39" s="55">
        <f>CY39/CX39</f>
        <v>0.8508640631378418</v>
      </c>
      <c r="DA39" s="55">
        <v>0</v>
      </c>
      <c r="DB39" s="55">
        <f>DA39*CZ39</f>
        <v>0</v>
      </c>
      <c r="DC39" s="511">
        <v>0</v>
      </c>
      <c r="DD39" s="511">
        <v>0</v>
      </c>
      <c r="DE39" s="511">
        <v>0</v>
      </c>
      <c r="DF39" s="511">
        <v>0</v>
      </c>
      <c r="DG39" s="511">
        <v>0</v>
      </c>
      <c r="DH39" s="511">
        <v>0</v>
      </c>
      <c r="DI39" s="511">
        <v>0</v>
      </c>
      <c r="DJ39" s="511">
        <v>0</v>
      </c>
      <c r="DK39" s="511">
        <v>0</v>
      </c>
      <c r="DL39" s="511">
        <v>0</v>
      </c>
      <c r="DM39" s="511">
        <v>0</v>
      </c>
      <c r="DN39" s="511">
        <v>0</v>
      </c>
      <c r="DO39" s="511">
        <v>0</v>
      </c>
      <c r="DP39" s="511">
        <v>0</v>
      </c>
      <c r="DQ39" s="511">
        <v>0</v>
      </c>
      <c r="DR39" s="511">
        <v>0</v>
      </c>
      <c r="DS39" s="511">
        <v>0</v>
      </c>
      <c r="DT39" s="511">
        <v>0</v>
      </c>
      <c r="DU39" s="55">
        <f t="shared" si="0"/>
        <v>0</v>
      </c>
      <c r="DV39" s="55">
        <f>CW39-DU39</f>
        <v>1</v>
      </c>
    </row>
    <row r="40" spans="1:126" s="16" customFormat="1" x14ac:dyDescent="0.2">
      <c r="A40" s="26" t="s">
        <v>71</v>
      </c>
      <c r="B40" s="26" t="s">
        <v>85</v>
      </c>
      <c r="C40" s="124"/>
      <c r="D40" s="143"/>
      <c r="E40" s="30"/>
      <c r="F40" s="17"/>
      <c r="G40" s="143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5"/>
      <c r="S40" s="33"/>
      <c r="T40" s="5"/>
      <c r="U40" s="72"/>
      <c r="V40" s="14"/>
      <c r="W40" s="14"/>
      <c r="X40" s="14"/>
      <c r="Y40" s="108"/>
      <c r="Z40" s="257"/>
      <c r="AA40" s="66"/>
      <c r="AB40" s="146"/>
      <c r="AC40" s="66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391"/>
      <c r="AO40" s="47"/>
      <c r="AP40" s="47"/>
      <c r="AQ40" s="47"/>
      <c r="AR40" s="47"/>
      <c r="AS40" s="47"/>
      <c r="AT40" s="47"/>
      <c r="AU40" s="47"/>
      <c r="AV40" s="66"/>
      <c r="AW40" s="500"/>
      <c r="AX40" s="496"/>
      <c r="AY40" s="55"/>
      <c r="AZ40" s="55"/>
      <c r="BA40" s="47"/>
      <c r="BB40" s="47"/>
      <c r="BC40" s="47"/>
      <c r="BD40" s="47"/>
      <c r="BE40" s="47"/>
      <c r="BF40" s="47"/>
      <c r="BG40" s="47"/>
      <c r="BH40" s="47"/>
      <c r="BI40" s="450"/>
      <c r="BJ40" s="47"/>
      <c r="BK40" s="47"/>
      <c r="BL40" s="47"/>
      <c r="BM40" s="47"/>
      <c r="BN40" s="47"/>
      <c r="BO40" s="66"/>
      <c r="BP40" s="500"/>
      <c r="BQ40" s="496"/>
      <c r="BR40" s="55"/>
      <c r="BS40" s="55"/>
      <c r="BT40" s="47"/>
      <c r="BU40" s="47"/>
      <c r="BV40" s="47"/>
      <c r="BW40" s="47"/>
      <c r="BX40" s="47"/>
      <c r="BY40" s="47"/>
      <c r="BZ40" s="47"/>
      <c r="CA40" s="47"/>
      <c r="CB40" s="450"/>
      <c r="CC40" s="66"/>
      <c r="CD40" s="500"/>
      <c r="CE40" s="496"/>
      <c r="CF40" s="55"/>
      <c r="CG40" s="55"/>
      <c r="CH40" s="47"/>
      <c r="CI40" s="47"/>
      <c r="CJ40" s="47"/>
      <c r="CK40" s="47"/>
      <c r="CL40" s="47"/>
      <c r="CM40" s="47"/>
      <c r="CN40" s="47"/>
      <c r="CO40" s="47"/>
      <c r="CP40" s="450"/>
      <c r="CQ40" s="47"/>
      <c r="CR40" s="47"/>
      <c r="CS40" s="47"/>
      <c r="CT40" s="47"/>
      <c r="CU40" s="47"/>
      <c r="CV40" s="505"/>
      <c r="CW40" s="679"/>
      <c r="CX40" s="656"/>
      <c r="CY40" s="500"/>
      <c r="CZ40" s="957"/>
      <c r="DA40" s="511"/>
      <c r="DB40" s="511"/>
      <c r="DC40" s="511"/>
      <c r="DD40" s="511"/>
      <c r="DE40" s="511"/>
      <c r="DF40" s="511"/>
      <c r="DG40" s="511"/>
      <c r="DH40" s="511"/>
      <c r="DI40" s="511"/>
      <c r="DJ40" s="511"/>
      <c r="DK40" s="511"/>
      <c r="DL40" s="511"/>
      <c r="DM40" s="511"/>
      <c r="DN40" s="511"/>
      <c r="DO40" s="511"/>
      <c r="DP40" s="511"/>
      <c r="DQ40" s="511"/>
      <c r="DR40" s="511"/>
      <c r="DS40" s="511"/>
      <c r="DT40" s="511"/>
      <c r="DU40" s="55">
        <f t="shared" si="0"/>
        <v>0</v>
      </c>
      <c r="DV40" s="511"/>
    </row>
    <row r="41" spans="1:126" s="16" customFormat="1" x14ac:dyDescent="0.2">
      <c r="A41" s="26" t="s">
        <v>105</v>
      </c>
      <c r="B41" s="9"/>
      <c r="C41" s="45"/>
      <c r="D41" s="143"/>
      <c r="E41" s="30"/>
      <c r="F41" s="46"/>
      <c r="G41" s="143"/>
      <c r="H41" s="145"/>
      <c r="I41" s="165"/>
      <c r="J41" s="48"/>
      <c r="K41" s="165"/>
      <c r="L41" s="48"/>
      <c r="M41" s="165"/>
      <c r="N41" s="48"/>
      <c r="O41" s="165"/>
      <c r="P41" s="48"/>
      <c r="Q41" s="46"/>
      <c r="R41" s="5"/>
      <c r="S41" s="33"/>
      <c r="T41" s="5"/>
      <c r="U41" s="72"/>
      <c r="V41" s="154"/>
      <c r="W41" s="154"/>
      <c r="X41" s="47"/>
      <c r="Y41" s="106"/>
      <c r="Z41" s="258"/>
      <c r="AA41" s="57"/>
      <c r="AB41" s="145"/>
      <c r="AC41" s="57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392"/>
      <c r="AO41" s="47"/>
      <c r="AP41" s="47"/>
      <c r="AQ41" s="47"/>
      <c r="AR41" s="47"/>
      <c r="AS41" s="47"/>
      <c r="AT41" s="47"/>
      <c r="AU41" s="47"/>
      <c r="AV41" s="57"/>
      <c r="AW41" s="499"/>
      <c r="AX41" s="496"/>
      <c r="AY41" s="55"/>
      <c r="AZ41" s="55"/>
      <c r="BA41" s="47"/>
      <c r="BB41" s="47"/>
      <c r="BC41" s="47"/>
      <c r="BD41" s="47"/>
      <c r="BE41" s="47"/>
      <c r="BF41" s="47"/>
      <c r="BG41" s="47"/>
      <c r="BH41" s="47"/>
      <c r="BI41" s="450"/>
      <c r="BJ41" s="47"/>
      <c r="BK41" s="47"/>
      <c r="BL41" s="47"/>
      <c r="BM41" s="47"/>
      <c r="BN41" s="47"/>
      <c r="BO41" s="57"/>
      <c r="BP41" s="499"/>
      <c r="BQ41" s="496"/>
      <c r="BR41" s="55"/>
      <c r="BS41" s="55"/>
      <c r="BT41" s="47"/>
      <c r="BU41" s="47"/>
      <c r="BV41" s="47"/>
      <c r="BW41" s="47"/>
      <c r="BX41" s="47"/>
      <c r="BY41" s="47"/>
      <c r="BZ41" s="47"/>
      <c r="CA41" s="47"/>
      <c r="CB41" s="450"/>
      <c r="CC41" s="57"/>
      <c r="CD41" s="499"/>
      <c r="CE41" s="496"/>
      <c r="CF41" s="55"/>
      <c r="CG41" s="55"/>
      <c r="CH41" s="47"/>
      <c r="CI41" s="47"/>
      <c r="CJ41" s="47"/>
      <c r="CK41" s="47"/>
      <c r="CL41" s="47"/>
      <c r="CM41" s="47"/>
      <c r="CN41" s="47"/>
      <c r="CO41" s="47"/>
      <c r="CP41" s="450"/>
      <c r="CQ41" s="47"/>
      <c r="CR41" s="47"/>
      <c r="CS41" s="47"/>
      <c r="CT41" s="47"/>
      <c r="CU41" s="47"/>
      <c r="CV41" s="505"/>
      <c r="CW41" s="679"/>
      <c r="CX41" s="623"/>
      <c r="CY41" s="499"/>
      <c r="CZ41" s="957"/>
      <c r="DA41" s="511"/>
      <c r="DB41" s="511"/>
      <c r="DC41" s="511"/>
      <c r="DD41" s="511"/>
      <c r="DE41" s="511"/>
      <c r="DF41" s="511"/>
      <c r="DG41" s="511"/>
      <c r="DH41" s="511"/>
      <c r="DI41" s="511"/>
      <c r="DJ41" s="511"/>
      <c r="DK41" s="511"/>
      <c r="DL41" s="511"/>
      <c r="DM41" s="511"/>
      <c r="DN41" s="511"/>
      <c r="DO41" s="511"/>
      <c r="DP41" s="511"/>
      <c r="DQ41" s="511"/>
      <c r="DR41" s="511"/>
      <c r="DS41" s="511"/>
      <c r="DT41" s="511"/>
      <c r="DU41" s="55">
        <f t="shared" si="0"/>
        <v>0</v>
      </c>
      <c r="DV41" s="511"/>
    </row>
    <row r="42" spans="1:126" s="35" customFormat="1" x14ac:dyDescent="0.2">
      <c r="A42" s="119" t="s">
        <v>144</v>
      </c>
      <c r="B42" s="100" t="s">
        <v>47</v>
      </c>
      <c r="C42" s="100" t="s">
        <v>358</v>
      </c>
      <c r="D42" s="125">
        <v>120</v>
      </c>
      <c r="E42" s="127">
        <v>0.1</v>
      </c>
      <c r="F42" s="367">
        <v>43281</v>
      </c>
      <c r="G42" s="125">
        <v>120</v>
      </c>
      <c r="H42" s="146">
        <f>100/G42</f>
        <v>0.83333333333333337</v>
      </c>
      <c r="I42" s="1167">
        <f>H42*J42</f>
        <v>114.16666666666667</v>
      </c>
      <c r="J42" s="125">
        <f>(YEAR(F42)-YEAR(S42))*12+MONTH(F42)-MONTH(S42)</f>
        <v>137</v>
      </c>
      <c r="K42" s="1167">
        <f>L42*H42</f>
        <v>-14.166666666666668</v>
      </c>
      <c r="L42" s="125">
        <f>G42-J42</f>
        <v>-17</v>
      </c>
      <c r="M42" s="1167">
        <f>N42*H42</f>
        <v>5.8333333333333339</v>
      </c>
      <c r="N42" s="125">
        <v>7</v>
      </c>
      <c r="O42" s="1167">
        <f>K42-M42</f>
        <v>-20</v>
      </c>
      <c r="P42" s="125">
        <f>L42-N42</f>
        <v>-24</v>
      </c>
      <c r="Q42" s="367">
        <f>DATE(YEAR(S42),MONTH(S42)+G42,DAY(S42))</f>
        <v>42736</v>
      </c>
      <c r="R42" s="7" t="s">
        <v>359</v>
      </c>
      <c r="S42" s="128">
        <v>39083</v>
      </c>
      <c r="T42" s="7">
        <v>604.5</v>
      </c>
      <c r="U42" s="1169">
        <v>225.03</v>
      </c>
      <c r="V42" s="776">
        <v>60.477499999999992</v>
      </c>
      <c r="W42" s="776">
        <v>120.87249999999997</v>
      </c>
      <c r="X42" s="134">
        <v>5.04</v>
      </c>
      <c r="Y42" s="7">
        <f>X42*5</f>
        <v>25.2</v>
      </c>
      <c r="Z42" s="129">
        <f>W42-Y42</f>
        <v>95.672499999999971</v>
      </c>
      <c r="AA42" s="64">
        <v>115.958</v>
      </c>
      <c r="AB42" s="146">
        <v>121.64</v>
      </c>
      <c r="AC42" s="64">
        <f>AA42/AB42</f>
        <v>0.95328839197632353</v>
      </c>
      <c r="AD42" s="62">
        <f>Z42*M42/100/K42*100/7</f>
        <v>-5.6277941176470572</v>
      </c>
      <c r="AE42" s="62">
        <f>AD42*AC42</f>
        <v>-5.364910804785576</v>
      </c>
      <c r="AF42" s="62">
        <f>AE42</f>
        <v>-5.364910804785576</v>
      </c>
      <c r="AG42" s="62">
        <v>4.8001833516502526</v>
      </c>
      <c r="AH42" s="62">
        <v>4.8001833516502526</v>
      </c>
      <c r="AI42" s="62">
        <v>4.8001833516502526</v>
      </c>
      <c r="AJ42" s="62">
        <v>4.8001833516502526</v>
      </c>
      <c r="AK42" s="62">
        <v>4.8001833516502526</v>
      </c>
      <c r="AL42" s="62">
        <v>4.8001833516502526</v>
      </c>
      <c r="AM42" s="62">
        <f>SUM(AF42:AL42)</f>
        <v>23.436189305115938</v>
      </c>
      <c r="AN42" s="1172">
        <f>Z42-AM42</f>
        <v>72.236310694884025</v>
      </c>
      <c r="AO42" s="134"/>
      <c r="AP42" s="134"/>
      <c r="AQ42" s="134">
        <f>$AL42</f>
        <v>4.8001833516502526</v>
      </c>
      <c r="AR42" s="134">
        <f>$AL42</f>
        <v>4.8001833516502526</v>
      </c>
      <c r="AS42" s="134">
        <f>$AL42</f>
        <v>4.8001833516502526</v>
      </c>
      <c r="AT42" s="134">
        <f>$AL42</f>
        <v>4.8001833516502526</v>
      </c>
      <c r="AU42" s="134">
        <f>$AL42</f>
        <v>4.8001833516502526</v>
      </c>
      <c r="AV42" s="64">
        <v>118.901</v>
      </c>
      <c r="AW42" s="500">
        <v>121.64</v>
      </c>
      <c r="AX42" s="1211">
        <f>AV42/AW42</f>
        <v>0.97748273594212431</v>
      </c>
      <c r="AY42" s="62">
        <f>T42/(D42)</f>
        <v>5.0374999999999996</v>
      </c>
      <c r="AZ42" s="62">
        <f>AY42*AX42</f>
        <v>4.9240692823084506</v>
      </c>
      <c r="BA42" s="134">
        <f>$AZ42</f>
        <v>4.9240692823084506</v>
      </c>
      <c r="BB42" s="134">
        <f>$AZ42</f>
        <v>4.9240692823084506</v>
      </c>
      <c r="BC42" s="134">
        <f>$AZ42</f>
        <v>4.9240692823084506</v>
      </c>
      <c r="BD42" s="134">
        <f>$AZ42</f>
        <v>4.9240692823084506</v>
      </c>
      <c r="BE42" s="134">
        <v>4.92</v>
      </c>
      <c r="BF42" s="134">
        <v>4.92</v>
      </c>
      <c r="BG42" s="134">
        <v>4.92</v>
      </c>
      <c r="BH42" s="134">
        <f>SUM((AQ42:AU42),(BA42:BG42))</f>
        <v>58.457193887485076</v>
      </c>
      <c r="BI42" s="1212">
        <f>(AN42-BH42)</f>
        <v>13.77911680739895</v>
      </c>
      <c r="BJ42" s="134">
        <v>2.61</v>
      </c>
      <c r="BK42" s="134"/>
      <c r="BL42" s="134"/>
      <c r="BM42" s="134"/>
      <c r="BN42" s="134"/>
      <c r="BO42" s="64">
        <v>118.901</v>
      </c>
      <c r="BP42" s="500">
        <v>121.64</v>
      </c>
      <c r="BQ42" s="1211">
        <f>BO42/BP42</f>
        <v>0.97748273594212431</v>
      </c>
      <c r="BR42" s="62">
        <f>AM42/(W42)</f>
        <v>0.19389182241714156</v>
      </c>
      <c r="BS42" s="62">
        <f>BR42*BQ42</f>
        <v>0.18952590905311203</v>
      </c>
      <c r="BT42" s="134"/>
      <c r="BU42" s="134"/>
      <c r="BV42" s="134"/>
      <c r="BW42" s="134"/>
      <c r="BX42" s="134"/>
      <c r="BY42" s="134"/>
      <c r="BZ42" s="134"/>
      <c r="CA42" s="134">
        <f>SUM((BJ42:BN42),(BT42:BZ42))</f>
        <v>2.61</v>
      </c>
      <c r="CB42" s="1212">
        <f>BI42-CA42</f>
        <v>11.16911680739895</v>
      </c>
      <c r="CC42" s="64">
        <v>126.408</v>
      </c>
      <c r="CD42" s="500">
        <v>121.64</v>
      </c>
      <c r="CE42" s="1211">
        <f>CC42/CD42</f>
        <v>1.039197632357777</v>
      </c>
      <c r="CF42" s="62">
        <v>0</v>
      </c>
      <c r="CG42" s="62">
        <f>CF42*CE42</f>
        <v>0</v>
      </c>
      <c r="CH42" s="134">
        <v>0</v>
      </c>
      <c r="CI42" s="134">
        <v>0</v>
      </c>
      <c r="CJ42" s="134">
        <v>0</v>
      </c>
      <c r="CK42" s="134">
        <v>0</v>
      </c>
      <c r="CL42" s="134">
        <v>0</v>
      </c>
      <c r="CM42" s="134">
        <v>11.52</v>
      </c>
      <c r="CN42" s="134">
        <v>11.52</v>
      </c>
      <c r="CO42" s="134">
        <f>SUM(CH42:CN42)</f>
        <v>23.04</v>
      </c>
      <c r="CP42" s="1212">
        <f>CB42-CO42</f>
        <v>-11.870883192601049</v>
      </c>
      <c r="CQ42" s="134">
        <v>0</v>
      </c>
      <c r="CR42" s="134">
        <v>0</v>
      </c>
      <c r="CS42" s="134">
        <v>0</v>
      </c>
      <c r="CT42" s="134">
        <v>0</v>
      </c>
      <c r="CU42" s="134">
        <v>0</v>
      </c>
      <c r="CV42" s="1170">
        <f>SUM(CQ42:CU42)</f>
        <v>0</v>
      </c>
      <c r="CW42" s="679">
        <v>1</v>
      </c>
      <c r="CX42" s="62">
        <v>132.28200000000001</v>
      </c>
      <c r="CY42" s="500">
        <v>121.64</v>
      </c>
      <c r="CZ42" s="62">
        <f>CY42/CX42</f>
        <v>0.91955065692989213</v>
      </c>
      <c r="DA42" s="62">
        <v>0</v>
      </c>
      <c r="DB42" s="62">
        <f>DA42*CZ42</f>
        <v>0</v>
      </c>
      <c r="DC42" s="62">
        <v>0</v>
      </c>
      <c r="DD42" s="62">
        <v>0</v>
      </c>
      <c r="DE42" s="62">
        <v>0</v>
      </c>
      <c r="DF42" s="62">
        <v>0</v>
      </c>
      <c r="DG42" s="62">
        <v>0</v>
      </c>
      <c r="DH42" s="62">
        <v>0</v>
      </c>
      <c r="DI42" s="62">
        <v>0</v>
      </c>
      <c r="DJ42" s="62">
        <v>0</v>
      </c>
      <c r="DK42" s="62">
        <v>0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62">
        <v>0</v>
      </c>
      <c r="DU42" s="62">
        <f t="shared" si="0"/>
        <v>0</v>
      </c>
      <c r="DV42" s="62">
        <f>CW42-DU42</f>
        <v>1</v>
      </c>
    </row>
    <row r="43" spans="1:126" s="16" customFormat="1" x14ac:dyDescent="0.2">
      <c r="A43" s="26" t="s">
        <v>126</v>
      </c>
      <c r="B43" s="26" t="s">
        <v>145</v>
      </c>
      <c r="C43" s="45"/>
      <c r="D43" s="17"/>
      <c r="E43" s="30"/>
      <c r="F43" s="46"/>
      <c r="G43" s="17"/>
      <c r="H43" s="145"/>
      <c r="I43" s="165"/>
      <c r="J43" s="48"/>
      <c r="K43" s="165"/>
      <c r="L43" s="48"/>
      <c r="M43" s="165"/>
      <c r="N43" s="48"/>
      <c r="O43" s="165"/>
      <c r="P43" s="48"/>
      <c r="Q43" s="48"/>
      <c r="R43" s="5"/>
      <c r="S43" s="33"/>
      <c r="T43" s="5"/>
      <c r="U43" s="72"/>
      <c r="V43" s="154"/>
      <c r="W43" s="154"/>
      <c r="X43" s="47"/>
      <c r="Y43" s="106"/>
      <c r="Z43" s="257"/>
      <c r="AA43" s="57"/>
      <c r="AB43" s="145"/>
      <c r="AC43" s="57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392"/>
      <c r="AO43" s="47"/>
      <c r="AP43" s="47"/>
      <c r="AQ43" s="47"/>
      <c r="AR43" s="47"/>
      <c r="AS43" s="47"/>
      <c r="AT43" s="47"/>
      <c r="AU43" s="47"/>
      <c r="AV43" s="57"/>
      <c r="AW43" s="499"/>
      <c r="AX43" s="496"/>
      <c r="AY43" s="55"/>
      <c r="AZ43" s="55"/>
      <c r="BA43" s="47"/>
      <c r="BB43" s="47"/>
      <c r="BC43" s="47"/>
      <c r="BD43" s="47"/>
      <c r="BE43" s="47"/>
      <c r="BF43" s="47"/>
      <c r="BG43" s="47"/>
      <c r="BH43" s="47"/>
      <c r="BI43" s="450"/>
      <c r="BJ43" s="47"/>
      <c r="BK43" s="47"/>
      <c r="BL43" s="47"/>
      <c r="BM43" s="47"/>
      <c r="BN43" s="47"/>
      <c r="BO43" s="57"/>
      <c r="BP43" s="499"/>
      <c r="BQ43" s="496"/>
      <c r="BR43" s="55"/>
      <c r="BS43" s="55"/>
      <c r="BT43" s="47"/>
      <c r="BU43" s="47"/>
      <c r="BV43" s="47"/>
      <c r="BW43" s="47"/>
      <c r="BX43" s="47"/>
      <c r="BY43" s="47"/>
      <c r="BZ43" s="47"/>
      <c r="CA43" s="47"/>
      <c r="CB43" s="450"/>
      <c r="CC43" s="57"/>
      <c r="CD43" s="499"/>
      <c r="CE43" s="496"/>
      <c r="CF43" s="55"/>
      <c r="CG43" s="55"/>
      <c r="CH43" s="47"/>
      <c r="CI43" s="47"/>
      <c r="CJ43" s="47"/>
      <c r="CK43" s="47"/>
      <c r="CL43" s="47"/>
      <c r="CM43" s="47"/>
      <c r="CN43" s="47"/>
      <c r="CO43" s="47"/>
      <c r="CP43" s="450"/>
      <c r="CQ43" s="47"/>
      <c r="CR43" s="47"/>
      <c r="CS43" s="47"/>
      <c r="CT43" s="47"/>
      <c r="CU43" s="47"/>
      <c r="CV43" s="505"/>
      <c r="CW43" s="679"/>
      <c r="CX43" s="956"/>
      <c r="CY43" s="499"/>
      <c r="CZ43" s="957"/>
      <c r="DA43" s="511"/>
      <c r="DB43" s="511"/>
      <c r="DC43" s="511"/>
      <c r="DD43" s="511"/>
      <c r="DE43" s="511"/>
      <c r="DF43" s="511"/>
      <c r="DG43" s="511"/>
      <c r="DH43" s="511"/>
      <c r="DI43" s="511"/>
      <c r="DJ43" s="511"/>
      <c r="DK43" s="511"/>
      <c r="DL43" s="511"/>
      <c r="DM43" s="511"/>
      <c r="DN43" s="511"/>
      <c r="DO43" s="511"/>
      <c r="DP43" s="511"/>
      <c r="DQ43" s="511"/>
      <c r="DR43" s="511"/>
      <c r="DS43" s="511"/>
      <c r="DT43" s="511"/>
      <c r="DU43" s="55">
        <f t="shared" si="0"/>
        <v>0</v>
      </c>
      <c r="DV43" s="756"/>
    </row>
    <row r="44" spans="1:126" s="16" customFormat="1" x14ac:dyDescent="0.2">
      <c r="A44" s="26" t="s">
        <v>272</v>
      </c>
      <c r="B44" s="9"/>
      <c r="C44" s="45"/>
      <c r="D44" s="17"/>
      <c r="E44" s="30"/>
      <c r="F44" s="46"/>
      <c r="G44" s="17"/>
      <c r="H44" s="145"/>
      <c r="I44" s="165"/>
      <c r="J44" s="48"/>
      <c r="K44" s="165"/>
      <c r="L44" s="48"/>
      <c r="M44" s="165"/>
      <c r="N44" s="48"/>
      <c r="O44" s="165"/>
      <c r="P44" s="48"/>
      <c r="Q44" s="48"/>
      <c r="R44" s="5"/>
      <c r="S44" s="33"/>
      <c r="T44" s="5"/>
      <c r="U44" s="113"/>
      <c r="V44" s="154"/>
      <c r="W44" s="154"/>
      <c r="X44" s="47"/>
      <c r="Y44" s="106"/>
      <c r="Z44" s="258"/>
      <c r="AA44" s="57"/>
      <c r="AB44" s="145"/>
      <c r="AC44" s="57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392"/>
      <c r="AO44" s="47"/>
      <c r="AP44" s="47"/>
      <c r="AQ44" s="47"/>
      <c r="AR44" s="47"/>
      <c r="AS44" s="47"/>
      <c r="AT44" s="47"/>
      <c r="AU44" s="47"/>
      <c r="AV44" s="57"/>
      <c r="AW44" s="499"/>
      <c r="AX44" s="496"/>
      <c r="AY44" s="55"/>
      <c r="AZ44" s="55"/>
      <c r="BA44" s="47"/>
      <c r="BB44" s="47"/>
      <c r="BC44" s="47"/>
      <c r="BD44" s="47"/>
      <c r="BE44" s="47"/>
      <c r="BF44" s="47"/>
      <c r="BG44" s="47"/>
      <c r="BH44" s="47"/>
      <c r="BI44" s="450"/>
      <c r="BJ44" s="47"/>
      <c r="BK44" s="47"/>
      <c r="BL44" s="47"/>
      <c r="BM44" s="47"/>
      <c r="BN44" s="47"/>
      <c r="BO44" s="57"/>
      <c r="BP44" s="499"/>
      <c r="BQ44" s="496"/>
      <c r="BR44" s="55"/>
      <c r="BS44" s="55"/>
      <c r="BT44" s="47"/>
      <c r="BU44" s="47"/>
      <c r="BV44" s="47"/>
      <c r="BW44" s="47"/>
      <c r="BX44" s="47"/>
      <c r="BY44" s="47"/>
      <c r="BZ44" s="47"/>
      <c r="CA44" s="47"/>
      <c r="CB44" s="450"/>
      <c r="CC44" s="57"/>
      <c r="CD44" s="499"/>
      <c r="CE44" s="496"/>
      <c r="CF44" s="55"/>
      <c r="CG44" s="55"/>
      <c r="CH44" s="47"/>
      <c r="CI44" s="47"/>
      <c r="CJ44" s="47"/>
      <c r="CK44" s="47"/>
      <c r="CL44" s="47"/>
      <c r="CM44" s="47"/>
      <c r="CN44" s="47"/>
      <c r="CO44" s="47"/>
      <c r="CP44" s="450"/>
      <c r="CQ44" s="47"/>
      <c r="CR44" s="47"/>
      <c r="CS44" s="47"/>
      <c r="CT44" s="47"/>
      <c r="CU44" s="47"/>
      <c r="CV44" s="505"/>
      <c r="CW44" s="679"/>
      <c r="CX44" s="511"/>
      <c r="CY44" s="499"/>
      <c r="CZ44" s="957"/>
      <c r="DA44" s="511"/>
      <c r="DB44" s="511"/>
      <c r="DC44" s="511"/>
      <c r="DD44" s="511"/>
      <c r="DE44" s="511"/>
      <c r="DF44" s="511"/>
      <c r="DG44" s="511"/>
      <c r="DH44" s="511"/>
      <c r="DI44" s="511"/>
      <c r="DJ44" s="511"/>
      <c r="DK44" s="511"/>
      <c r="DL44" s="511"/>
      <c r="DM44" s="511"/>
      <c r="DN44" s="511"/>
      <c r="DO44" s="511"/>
      <c r="DP44" s="511"/>
      <c r="DQ44" s="511"/>
      <c r="DR44" s="511"/>
      <c r="DS44" s="511"/>
      <c r="DT44" s="511"/>
      <c r="DU44" s="55">
        <f t="shared" si="0"/>
        <v>0</v>
      </c>
      <c r="DV44" s="511"/>
    </row>
    <row r="45" spans="1:126" s="16" customFormat="1" x14ac:dyDescent="0.2">
      <c r="A45" s="20" t="s">
        <v>273</v>
      </c>
      <c r="B45" s="9" t="s">
        <v>48</v>
      </c>
      <c r="C45" s="45" t="s">
        <v>358</v>
      </c>
      <c r="D45" s="17">
        <v>120</v>
      </c>
      <c r="E45" s="30">
        <v>0.1</v>
      </c>
      <c r="F45" s="462">
        <v>43281</v>
      </c>
      <c r="G45" s="17">
        <v>120</v>
      </c>
      <c r="H45" s="145">
        <f>100/G45</f>
        <v>0.83333333333333337</v>
      </c>
      <c r="I45" s="165">
        <f>H45*J45</f>
        <v>114.16666666666667</v>
      </c>
      <c r="J45" s="48">
        <f>(YEAR(F45)-YEAR(S45))*12+MONTH(F45)-MONTH(S45)</f>
        <v>137</v>
      </c>
      <c r="K45" s="165">
        <f>L45*H45</f>
        <v>-14.166666666666668</v>
      </c>
      <c r="L45" s="48">
        <f>G45-J45</f>
        <v>-17</v>
      </c>
      <c r="M45" s="165">
        <f>N45*H45</f>
        <v>5.8333333333333339</v>
      </c>
      <c r="N45" s="48">
        <v>7</v>
      </c>
      <c r="O45" s="165">
        <f>K45-M45</f>
        <v>-20</v>
      </c>
      <c r="P45" s="48">
        <f>L45-N45</f>
        <v>-24</v>
      </c>
      <c r="Q45" s="462">
        <f>DATE(YEAR(S45),MONTH(S45)+G45,DAY(S45))</f>
        <v>42736</v>
      </c>
      <c r="R45" s="7" t="s">
        <v>359</v>
      </c>
      <c r="S45" s="33">
        <v>39083</v>
      </c>
      <c r="T45" s="5">
        <v>441.39</v>
      </c>
      <c r="U45" s="72">
        <v>225.03</v>
      </c>
      <c r="V45" s="154">
        <v>44.158250000000002</v>
      </c>
      <c r="W45" s="154">
        <v>88.258749999999964</v>
      </c>
      <c r="X45" s="47">
        <v>3.68</v>
      </c>
      <c r="Y45" s="106">
        <f>X45*5</f>
        <v>18.400000000000002</v>
      </c>
      <c r="Z45" s="258">
        <f>W45-Y45</f>
        <v>69.858749999999958</v>
      </c>
      <c r="AA45" s="57">
        <v>115.958</v>
      </c>
      <c r="AB45" s="145">
        <v>121.64</v>
      </c>
      <c r="AC45" s="57">
        <f>AA45/AB45</f>
        <v>0.95328839197632353</v>
      </c>
      <c r="AD45" s="55">
        <f>Z45*M45/100/K45*100/7</f>
        <v>-4.1093382352941159</v>
      </c>
      <c r="AE45" s="55">
        <f>AD45*AC45</f>
        <v>-3.9173844384103509</v>
      </c>
      <c r="AF45" s="55">
        <f>AE45</f>
        <v>-3.9173844384103509</v>
      </c>
      <c r="AG45" s="55">
        <v>3.5050281817355762</v>
      </c>
      <c r="AH45" s="55">
        <v>3.5050281817355762</v>
      </c>
      <c r="AI45" s="55">
        <v>3.5050281817355762</v>
      </c>
      <c r="AJ45" s="55">
        <v>3.5050281817355762</v>
      </c>
      <c r="AK45" s="55">
        <v>3.5050281817355762</v>
      </c>
      <c r="AL45" s="55">
        <v>3.5050281817355762</v>
      </c>
      <c r="AM45" s="55">
        <f>SUM(AF45:AL45)</f>
        <v>17.112784652003104</v>
      </c>
      <c r="AN45" s="392">
        <f>Z45-AM45</f>
        <v>52.745965347996858</v>
      </c>
      <c r="AO45" s="47"/>
      <c r="AP45" s="47"/>
      <c r="AQ45" s="47">
        <f>$AL45</f>
        <v>3.5050281817355762</v>
      </c>
      <c r="AR45" s="47">
        <f>$AL45</f>
        <v>3.5050281817355762</v>
      </c>
      <c r="AS45" s="47">
        <f>$AL45</f>
        <v>3.5050281817355762</v>
      </c>
      <c r="AT45" s="47">
        <f>$AL45</f>
        <v>3.5050281817355762</v>
      </c>
      <c r="AU45" s="47">
        <f>$AL45</f>
        <v>3.5050281817355762</v>
      </c>
      <c r="AV45" s="57">
        <v>118.901</v>
      </c>
      <c r="AW45" s="499">
        <v>121.64</v>
      </c>
      <c r="AX45" s="496">
        <f>AV45/AW45</f>
        <v>0.97748273594212431</v>
      </c>
      <c r="AY45" s="55">
        <f>T45/(D45)</f>
        <v>3.6782499999999998</v>
      </c>
      <c r="AZ45" s="55">
        <f>AY45*AX45</f>
        <v>3.5954258734791185</v>
      </c>
      <c r="BA45" s="47">
        <f>$AZ45</f>
        <v>3.5954258734791185</v>
      </c>
      <c r="BB45" s="47">
        <f>$AZ45</f>
        <v>3.5954258734791185</v>
      </c>
      <c r="BC45" s="47">
        <f>$AZ45</f>
        <v>3.5954258734791185</v>
      </c>
      <c r="BD45" s="47">
        <f>$AZ45</f>
        <v>3.5954258734791185</v>
      </c>
      <c r="BE45" s="47">
        <v>3.6</v>
      </c>
      <c r="BF45" s="47">
        <v>3.6</v>
      </c>
      <c r="BG45" s="47">
        <v>3.6</v>
      </c>
      <c r="BH45" s="47">
        <f>SUM((AQ45:AU45),(BA45:BG45))</f>
        <v>42.706844402594356</v>
      </c>
      <c r="BI45" s="450">
        <f>(AN45-BH45)</f>
        <v>10.039120945402502</v>
      </c>
      <c r="BJ45" s="47">
        <v>1.62</v>
      </c>
      <c r="BK45" s="47"/>
      <c r="BL45" s="47"/>
      <c r="BM45" s="47"/>
      <c r="BN45" s="47"/>
      <c r="BO45" s="57">
        <v>118.901</v>
      </c>
      <c r="BP45" s="499">
        <v>121.64</v>
      </c>
      <c r="BQ45" s="496">
        <f>BO45/BP45</f>
        <v>0.97748273594212431</v>
      </c>
      <c r="BR45" s="55">
        <f>AM45/(W45)</f>
        <v>0.19389334940731781</v>
      </c>
      <c r="BS45" s="55">
        <f>BR45*BQ45</f>
        <v>0.18952740165964729</v>
      </c>
      <c r="BT45" s="47"/>
      <c r="BU45" s="47"/>
      <c r="BV45" s="47"/>
      <c r="BW45" s="47"/>
      <c r="BX45" s="47"/>
      <c r="BY45" s="47"/>
      <c r="BZ45" s="47"/>
      <c r="CA45" s="47">
        <f>SUM((BJ45:BN45),(BT45:BZ45))</f>
        <v>1.62</v>
      </c>
      <c r="CB45" s="450">
        <f>BI45-CA45</f>
        <v>8.4191209454025007</v>
      </c>
      <c r="CC45" s="57">
        <v>126.408</v>
      </c>
      <c r="CD45" s="499">
        <v>121.64</v>
      </c>
      <c r="CE45" s="496">
        <f>CC45/CD45</f>
        <v>1.039197632357777</v>
      </c>
      <c r="CF45" s="55">
        <v>0</v>
      </c>
      <c r="CG45" s="55">
        <f>CF45*CE45</f>
        <v>0</v>
      </c>
      <c r="CH45" s="47">
        <v>0</v>
      </c>
      <c r="CI45" s="47">
        <v>0</v>
      </c>
      <c r="CJ45" s="47">
        <v>0</v>
      </c>
      <c r="CK45" s="47">
        <v>0</v>
      </c>
      <c r="CL45" s="47">
        <v>0</v>
      </c>
      <c r="CM45" s="47">
        <v>8.41</v>
      </c>
      <c r="CN45" s="47">
        <v>8.41</v>
      </c>
      <c r="CO45" s="47">
        <f>SUM(CH45:CN45)</f>
        <v>16.82</v>
      </c>
      <c r="CP45" s="450">
        <f>CB45-CO45</f>
        <v>-8.4008790545974996</v>
      </c>
      <c r="CQ45" s="47">
        <v>0</v>
      </c>
      <c r="CR45" s="47">
        <v>0</v>
      </c>
      <c r="CS45" s="47">
        <v>0</v>
      </c>
      <c r="CT45" s="47">
        <v>0</v>
      </c>
      <c r="CU45" s="47">
        <v>0</v>
      </c>
      <c r="CV45" s="505">
        <f>SUM(CQ45:CU45)</f>
        <v>0</v>
      </c>
      <c r="CW45" s="679">
        <v>1</v>
      </c>
      <c r="CX45" s="55">
        <v>132.28200000000001</v>
      </c>
      <c r="CY45" s="499">
        <v>121.64</v>
      </c>
      <c r="CZ45" s="55">
        <f>CY45/CX45</f>
        <v>0.91955065692989213</v>
      </c>
      <c r="DA45" s="511">
        <v>0</v>
      </c>
      <c r="DB45" s="55">
        <f>DA45*CZ45</f>
        <v>0</v>
      </c>
      <c r="DC45" s="511">
        <v>0</v>
      </c>
      <c r="DD45" s="511">
        <v>0</v>
      </c>
      <c r="DE45" s="511">
        <v>0</v>
      </c>
      <c r="DF45" s="511">
        <v>0</v>
      </c>
      <c r="DG45" s="511">
        <v>0</v>
      </c>
      <c r="DH45" s="511">
        <v>0</v>
      </c>
      <c r="DI45" s="511">
        <v>0</v>
      </c>
      <c r="DJ45" s="511">
        <v>0</v>
      </c>
      <c r="DK45" s="511">
        <v>0</v>
      </c>
      <c r="DL45" s="511">
        <v>0</v>
      </c>
      <c r="DM45" s="511">
        <v>0</v>
      </c>
      <c r="DN45" s="511">
        <v>0</v>
      </c>
      <c r="DO45" s="511">
        <v>0</v>
      </c>
      <c r="DP45" s="511">
        <v>0</v>
      </c>
      <c r="DQ45" s="511">
        <v>0</v>
      </c>
      <c r="DR45" s="511">
        <v>0</v>
      </c>
      <c r="DS45" s="511">
        <v>0</v>
      </c>
      <c r="DT45" s="511">
        <v>0</v>
      </c>
      <c r="DU45" s="55">
        <f t="shared" si="0"/>
        <v>0</v>
      </c>
      <c r="DV45" s="55">
        <f>CW45-DU45</f>
        <v>1</v>
      </c>
    </row>
    <row r="46" spans="1:126" s="16" customFormat="1" ht="13.5" x14ac:dyDescent="0.25">
      <c r="A46" s="26" t="s">
        <v>146</v>
      </c>
      <c r="B46" s="26" t="s">
        <v>88</v>
      </c>
      <c r="C46" s="45"/>
      <c r="D46" s="17"/>
      <c r="E46" s="28"/>
      <c r="F46" s="46"/>
      <c r="G46" s="17"/>
      <c r="H46" s="145"/>
      <c r="I46" s="165"/>
      <c r="J46" s="48"/>
      <c r="K46" s="165"/>
      <c r="L46" s="48"/>
      <c r="M46" s="165"/>
      <c r="N46" s="48"/>
      <c r="O46" s="165"/>
      <c r="P46" s="48"/>
      <c r="Q46" s="48"/>
      <c r="R46" s="123"/>
      <c r="S46" s="11"/>
      <c r="T46" s="123"/>
      <c r="U46" s="72"/>
      <c r="V46" s="154"/>
      <c r="W46" s="154"/>
      <c r="X46" s="47"/>
      <c r="Y46" s="106"/>
      <c r="Z46" s="258"/>
      <c r="AA46" s="57"/>
      <c r="AB46" s="145"/>
      <c r="AC46" s="57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392"/>
      <c r="AO46" s="47"/>
      <c r="AP46" s="47"/>
      <c r="AQ46" s="47"/>
      <c r="AR46" s="47"/>
      <c r="AS46" s="47"/>
      <c r="AT46" s="47"/>
      <c r="AU46" s="47"/>
      <c r="AV46" s="57"/>
      <c r="AW46" s="499"/>
      <c r="AX46" s="496"/>
      <c r="AY46" s="55"/>
      <c r="AZ46" s="55"/>
      <c r="BA46" s="47"/>
      <c r="BB46" s="47"/>
      <c r="BC46" s="47"/>
      <c r="BD46" s="47"/>
      <c r="BE46" s="47"/>
      <c r="BF46" s="47"/>
      <c r="BG46" s="47"/>
      <c r="BH46" s="47"/>
      <c r="BI46" s="450"/>
      <c r="BJ46" s="47"/>
      <c r="BK46" s="47"/>
      <c r="BL46" s="47"/>
      <c r="BM46" s="47"/>
      <c r="BN46" s="47"/>
      <c r="BO46" s="57"/>
      <c r="BP46" s="499"/>
      <c r="BQ46" s="496"/>
      <c r="BR46" s="55"/>
      <c r="BS46" s="55"/>
      <c r="BT46" s="47"/>
      <c r="BU46" s="47"/>
      <c r="BV46" s="47"/>
      <c r="BW46" s="47"/>
      <c r="BX46" s="47"/>
      <c r="BY46" s="47"/>
      <c r="BZ46" s="47"/>
      <c r="CA46" s="47"/>
      <c r="CB46" s="450"/>
      <c r="CC46" s="57"/>
      <c r="CD46" s="499"/>
      <c r="CE46" s="496"/>
      <c r="CF46" s="55"/>
      <c r="CG46" s="55"/>
      <c r="CH46" s="47"/>
      <c r="CI46" s="47"/>
      <c r="CJ46" s="47"/>
      <c r="CK46" s="47"/>
      <c r="CL46" s="47"/>
      <c r="CM46" s="47"/>
      <c r="CN46" s="47"/>
      <c r="CO46" s="47"/>
      <c r="CP46" s="450"/>
      <c r="CQ46" s="47"/>
      <c r="CR46" s="47"/>
      <c r="CS46" s="47"/>
      <c r="CT46" s="47"/>
      <c r="CU46" s="47"/>
      <c r="CV46" s="505"/>
      <c r="CW46" s="679"/>
      <c r="CX46" s="656"/>
      <c r="CY46" s="499"/>
      <c r="CZ46" s="957"/>
      <c r="DA46" s="511"/>
      <c r="DB46" s="511"/>
      <c r="DC46" s="511"/>
      <c r="DD46" s="511"/>
      <c r="DE46" s="511"/>
      <c r="DF46" s="511"/>
      <c r="DG46" s="511"/>
      <c r="DH46" s="511"/>
      <c r="DI46" s="511"/>
      <c r="DJ46" s="511"/>
      <c r="DK46" s="511"/>
      <c r="DL46" s="511"/>
      <c r="DM46" s="511"/>
      <c r="DN46" s="511"/>
      <c r="DO46" s="511"/>
      <c r="DP46" s="511"/>
      <c r="DQ46" s="511"/>
      <c r="DR46" s="511"/>
      <c r="DS46" s="511"/>
      <c r="DT46" s="511"/>
      <c r="DU46" s="55">
        <f t="shared" si="0"/>
        <v>0</v>
      </c>
      <c r="DV46" s="511"/>
    </row>
    <row r="47" spans="1:126" s="16" customFormat="1" ht="13.5" x14ac:dyDescent="0.25">
      <c r="A47" s="26" t="s">
        <v>148</v>
      </c>
      <c r="B47" s="34"/>
      <c r="C47" s="45"/>
      <c r="D47" s="17"/>
      <c r="E47" s="28"/>
      <c r="F47" s="46"/>
      <c r="G47" s="17"/>
      <c r="H47" s="145"/>
      <c r="I47" s="165"/>
      <c r="J47" s="48"/>
      <c r="K47" s="165"/>
      <c r="L47" s="48"/>
      <c r="M47" s="165"/>
      <c r="N47" s="48"/>
      <c r="O47" s="165"/>
      <c r="P47" s="48"/>
      <c r="Q47" s="48"/>
      <c r="R47" s="123"/>
      <c r="S47" s="11"/>
      <c r="T47" s="123"/>
      <c r="U47" s="113"/>
      <c r="V47" s="154"/>
      <c r="W47" s="154"/>
      <c r="X47" s="47"/>
      <c r="Y47" s="106"/>
      <c r="Z47" s="258"/>
      <c r="AA47" s="57"/>
      <c r="AB47" s="145"/>
      <c r="AC47" s="57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392"/>
      <c r="AO47" s="47"/>
      <c r="AP47" s="47"/>
      <c r="AQ47" s="47"/>
      <c r="AR47" s="47"/>
      <c r="AS47" s="47"/>
      <c r="AT47" s="47"/>
      <c r="AU47" s="47"/>
      <c r="AV47" s="57"/>
      <c r="AW47" s="499"/>
      <c r="AX47" s="496"/>
      <c r="AY47" s="55"/>
      <c r="AZ47" s="55"/>
      <c r="BA47" s="47"/>
      <c r="BB47" s="47"/>
      <c r="BC47" s="47"/>
      <c r="BD47" s="47"/>
      <c r="BE47" s="47"/>
      <c r="BF47" s="47"/>
      <c r="BG47" s="47"/>
      <c r="BH47" s="47"/>
      <c r="BI47" s="450"/>
      <c r="BJ47" s="47"/>
      <c r="BK47" s="47"/>
      <c r="BL47" s="47"/>
      <c r="BM47" s="47"/>
      <c r="BN47" s="47"/>
      <c r="BO47" s="57"/>
      <c r="BP47" s="499"/>
      <c r="BQ47" s="496"/>
      <c r="BR47" s="55"/>
      <c r="BS47" s="55"/>
      <c r="BT47" s="47"/>
      <c r="BU47" s="47"/>
      <c r="BV47" s="47"/>
      <c r="BW47" s="47"/>
      <c r="BX47" s="47"/>
      <c r="BY47" s="47"/>
      <c r="BZ47" s="47"/>
      <c r="CA47" s="47"/>
      <c r="CB47" s="450"/>
      <c r="CC47" s="57"/>
      <c r="CD47" s="499"/>
      <c r="CE47" s="496"/>
      <c r="CF47" s="55"/>
      <c r="CG47" s="55"/>
      <c r="CH47" s="47"/>
      <c r="CI47" s="47"/>
      <c r="CJ47" s="47"/>
      <c r="CK47" s="47"/>
      <c r="CL47" s="47"/>
      <c r="CM47" s="47"/>
      <c r="CN47" s="47"/>
      <c r="CO47" s="47"/>
      <c r="CP47" s="450"/>
      <c r="CQ47" s="47"/>
      <c r="CR47" s="47"/>
      <c r="CS47" s="47"/>
      <c r="CT47" s="47"/>
      <c r="CU47" s="47"/>
      <c r="CV47" s="505"/>
      <c r="CW47" s="679"/>
      <c r="CX47" s="623"/>
      <c r="CY47" s="499"/>
      <c r="CZ47" s="957"/>
      <c r="DA47" s="511"/>
      <c r="DB47" s="511"/>
      <c r="DC47" s="511"/>
      <c r="DD47" s="511"/>
      <c r="DE47" s="511"/>
      <c r="DF47" s="511"/>
      <c r="DG47" s="511"/>
      <c r="DH47" s="511"/>
      <c r="DI47" s="511"/>
      <c r="DJ47" s="511"/>
      <c r="DK47" s="511"/>
      <c r="DL47" s="511"/>
      <c r="DM47" s="511"/>
      <c r="DN47" s="511"/>
      <c r="DO47" s="511"/>
      <c r="DP47" s="511"/>
      <c r="DQ47" s="511"/>
      <c r="DR47" s="511"/>
      <c r="DS47" s="511"/>
      <c r="DT47" s="511"/>
      <c r="DU47" s="55">
        <f t="shared" si="0"/>
        <v>0</v>
      </c>
      <c r="DV47" s="511"/>
    </row>
    <row r="48" spans="1:126" s="16" customFormat="1" x14ac:dyDescent="0.2">
      <c r="A48" s="20" t="s">
        <v>149</v>
      </c>
      <c r="B48" s="9" t="s">
        <v>150</v>
      </c>
      <c r="C48" s="45" t="s">
        <v>358</v>
      </c>
      <c r="D48" s="17">
        <v>36</v>
      </c>
      <c r="E48" s="30">
        <v>0.33329999999999999</v>
      </c>
      <c r="F48" s="462">
        <v>43281</v>
      </c>
      <c r="G48" s="17">
        <v>36</v>
      </c>
      <c r="H48" s="145">
        <f>100/G48</f>
        <v>2.7777777777777777</v>
      </c>
      <c r="I48" s="165">
        <f>H48*J48</f>
        <v>780.55555555555554</v>
      </c>
      <c r="J48" s="48">
        <f>(YEAR(F48)-YEAR(S48))*12+MONTH(F48)-MONTH(S48)</f>
        <v>281</v>
      </c>
      <c r="K48" s="165">
        <f>L48*H48</f>
        <v>-680.55555555555554</v>
      </c>
      <c r="L48" s="48">
        <f>G48-J48</f>
        <v>-245</v>
      </c>
      <c r="M48" s="165">
        <f>N48*H48</f>
        <v>0</v>
      </c>
      <c r="N48" s="48">
        <v>0</v>
      </c>
      <c r="O48" s="165">
        <f>K48-M48</f>
        <v>-680.55555555555554</v>
      </c>
      <c r="P48" s="48">
        <v>0</v>
      </c>
      <c r="Q48" s="462">
        <f>DATE(YEAR(S48),MONTH(S48)+G48,DAY(S48))</f>
        <v>35796</v>
      </c>
      <c r="R48" s="7" t="s">
        <v>360</v>
      </c>
      <c r="S48" s="33">
        <v>34700</v>
      </c>
      <c r="T48" s="5">
        <v>5990</v>
      </c>
      <c r="U48" s="72">
        <v>225.03</v>
      </c>
      <c r="V48" s="154">
        <v>1996.4422499999996</v>
      </c>
      <c r="W48" s="154">
        <v>832.48500000000058</v>
      </c>
      <c r="X48" s="47">
        <v>166.37</v>
      </c>
      <c r="Y48" s="106">
        <f>X48*5-0.36</f>
        <v>831.49</v>
      </c>
      <c r="Z48" s="258">
        <f>W48-Y48</f>
        <v>0.99500000000057298</v>
      </c>
      <c r="AA48" s="57">
        <v>115.958</v>
      </c>
      <c r="AB48" s="146">
        <v>29.681999999999999</v>
      </c>
      <c r="AC48" s="57">
        <f>AA48/AB48</f>
        <v>3.9066774476113473</v>
      </c>
      <c r="AD48" s="55">
        <f>Z48*M48/100/K48*100/7</f>
        <v>0</v>
      </c>
      <c r="AE48" s="55">
        <f>AD48*AC48</f>
        <v>0</v>
      </c>
      <c r="AF48" s="55">
        <f>AE48</f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>
        <v>0</v>
      </c>
      <c r="AM48" s="55">
        <f>SUM(AF48:AL48)</f>
        <v>0</v>
      </c>
      <c r="AN48" s="392">
        <f>Z48-AM48</f>
        <v>0.99500000000057298</v>
      </c>
      <c r="AO48" s="47"/>
      <c r="AP48" s="47"/>
      <c r="AQ48" s="47">
        <f>$AL48</f>
        <v>0</v>
      </c>
      <c r="AR48" s="47">
        <f>$AL48</f>
        <v>0</v>
      </c>
      <c r="AS48" s="47">
        <f>$AL48</f>
        <v>0</v>
      </c>
      <c r="AT48" s="47">
        <f>$AL48</f>
        <v>0</v>
      </c>
      <c r="AU48" s="47">
        <f>$AL48</f>
        <v>0</v>
      </c>
      <c r="AV48" s="57">
        <v>118.901</v>
      </c>
      <c r="AW48" s="500">
        <v>29.681999999999999</v>
      </c>
      <c r="AX48" s="496">
        <f>AV48/AW48</f>
        <v>4.0058284482177751</v>
      </c>
      <c r="AY48" s="55">
        <f>T48/(D48)</f>
        <v>166.38888888888889</v>
      </c>
      <c r="AZ48" s="55">
        <f>AY48*AX48</f>
        <v>666.52534457845752</v>
      </c>
      <c r="BA48" s="47"/>
      <c r="BB48" s="47"/>
      <c r="BC48" s="47"/>
      <c r="BD48" s="47"/>
      <c r="BE48" s="47"/>
      <c r="BF48" s="47"/>
      <c r="BG48" s="47"/>
      <c r="BH48" s="47">
        <f>SUM((AQ48:AU48),(BA48:BG48))</f>
        <v>0</v>
      </c>
      <c r="BI48" s="450">
        <f>(AN48-BH48)</f>
        <v>0.99500000000057298</v>
      </c>
      <c r="BJ48" s="47"/>
      <c r="BK48" s="47"/>
      <c r="BL48" s="47"/>
      <c r="BM48" s="47"/>
      <c r="BN48" s="47"/>
      <c r="BO48" s="57">
        <v>118.901</v>
      </c>
      <c r="BP48" s="500">
        <v>29.681999999999999</v>
      </c>
      <c r="BQ48" s="496">
        <f>BO48/BP48</f>
        <v>4.0058284482177751</v>
      </c>
      <c r="BR48" s="55">
        <f>AM48/(W48)</f>
        <v>0</v>
      </c>
      <c r="BS48" s="55">
        <f>BR48*BQ48</f>
        <v>0</v>
      </c>
      <c r="BT48" s="47"/>
      <c r="BU48" s="47"/>
      <c r="BV48" s="47"/>
      <c r="BW48" s="47"/>
      <c r="BX48" s="47"/>
      <c r="BY48" s="47"/>
      <c r="BZ48" s="47"/>
      <c r="CA48" s="47">
        <f>SUM((BJ48:BN48),(BT48:BZ48))</f>
        <v>0</v>
      </c>
      <c r="CB48" s="450">
        <f>BI48-CA48</f>
        <v>0.99500000000057298</v>
      </c>
      <c r="CC48" s="57">
        <v>126.408</v>
      </c>
      <c r="CD48" s="500">
        <v>29.681999999999999</v>
      </c>
      <c r="CE48" s="496">
        <f>CC48/CD48</f>
        <v>4.2587426723266626</v>
      </c>
      <c r="CF48" s="55">
        <v>0</v>
      </c>
      <c r="CG48" s="55"/>
      <c r="CH48" s="47"/>
      <c r="CI48" s="47"/>
      <c r="CJ48" s="47"/>
      <c r="CK48" s="47"/>
      <c r="CL48" s="47"/>
      <c r="CM48" s="47"/>
      <c r="CN48" s="47"/>
      <c r="CO48" s="47"/>
      <c r="CP48" s="450">
        <f>CB48-CO48</f>
        <v>0.99500000000057298</v>
      </c>
      <c r="CQ48" s="47">
        <v>0</v>
      </c>
      <c r="CR48" s="47">
        <v>0</v>
      </c>
      <c r="CS48" s="47">
        <v>0</v>
      </c>
      <c r="CT48" s="47">
        <v>0</v>
      </c>
      <c r="CU48" s="47">
        <v>0</v>
      </c>
      <c r="CV48" s="505">
        <f>SUM(CQ48:CU48)</f>
        <v>0</v>
      </c>
      <c r="CW48" s="679">
        <f>CP48-CV48</f>
        <v>0.99500000000057298</v>
      </c>
      <c r="CX48" s="55">
        <v>132.28200000000001</v>
      </c>
      <c r="CY48" s="500">
        <v>29.681999999999999</v>
      </c>
      <c r="CZ48" s="55">
        <f>CY48/CX48</f>
        <v>0.2243842699687032</v>
      </c>
      <c r="DA48" s="511">
        <v>0</v>
      </c>
      <c r="DB48" s="55">
        <f>DA48*CZ48</f>
        <v>0</v>
      </c>
      <c r="DC48" s="511">
        <v>0</v>
      </c>
      <c r="DD48" s="511">
        <v>0</v>
      </c>
      <c r="DE48" s="511">
        <v>0</v>
      </c>
      <c r="DF48" s="511">
        <v>0</v>
      </c>
      <c r="DG48" s="511">
        <v>0</v>
      </c>
      <c r="DH48" s="511">
        <v>0</v>
      </c>
      <c r="DI48" s="511">
        <v>0</v>
      </c>
      <c r="DJ48" s="511">
        <v>0</v>
      </c>
      <c r="DK48" s="511">
        <v>0</v>
      </c>
      <c r="DL48" s="511">
        <v>0</v>
      </c>
      <c r="DM48" s="511">
        <v>0</v>
      </c>
      <c r="DN48" s="511">
        <v>0</v>
      </c>
      <c r="DO48" s="511">
        <v>0</v>
      </c>
      <c r="DP48" s="511">
        <v>0</v>
      </c>
      <c r="DQ48" s="511">
        <v>0</v>
      </c>
      <c r="DR48" s="511">
        <v>0</v>
      </c>
      <c r="DS48" s="511">
        <v>0</v>
      </c>
      <c r="DT48" s="511">
        <v>0</v>
      </c>
      <c r="DU48" s="55">
        <f t="shared" si="0"/>
        <v>0</v>
      </c>
      <c r="DV48" s="55">
        <f>CW48-DU48</f>
        <v>0.99500000000057298</v>
      </c>
    </row>
    <row r="49" spans="1:126" ht="15" x14ac:dyDescent="0.2">
      <c r="R49" s="175"/>
      <c r="V49" s="254"/>
      <c r="W49" s="254"/>
      <c r="Y49" s="237"/>
      <c r="AD49" s="195"/>
      <c r="AE49" s="195"/>
      <c r="AF49" s="195">
        <f>SUM(AF19:AF48)</f>
        <v>173.64327583047373</v>
      </c>
      <c r="AG49" s="195"/>
      <c r="AH49" s="195"/>
      <c r="AI49" s="195"/>
      <c r="AJ49" s="195"/>
      <c r="AK49" s="195"/>
      <c r="AL49" s="195">
        <f>SUM(AL19:AL48)</f>
        <v>41.579051598046114</v>
      </c>
      <c r="AM49" s="195">
        <f>SUM(AM19:AM48)</f>
        <v>423.11758541875037</v>
      </c>
      <c r="AN49" s="195">
        <f>SUM(AN19:AN48)</f>
        <v>2169.4316645812505</v>
      </c>
      <c r="AQ49" s="456">
        <f>SUM(AQ14:AQ48)</f>
        <v>47.559051598046111</v>
      </c>
      <c r="AR49" s="456">
        <f>SUM(AR14:AR48)</f>
        <v>47.559051598046111</v>
      </c>
      <c r="AS49" s="456">
        <f>SUM(AS14:AS48)</f>
        <v>47.559051598046111</v>
      </c>
      <c r="AT49" s="480">
        <f>SUM(AT19:AT48)</f>
        <v>47.559051598046111</v>
      </c>
      <c r="AU49" s="480">
        <f>SUM(AU19:AU48)</f>
        <v>47.559051598046111</v>
      </c>
      <c r="AY49" s="195"/>
      <c r="AZ49" s="195"/>
      <c r="BA49" s="480">
        <f>SUM(BA19:BA48)</f>
        <v>57.602866284231176</v>
      </c>
      <c r="BB49" s="480">
        <f t="shared" ref="BB49:BM49" si="9">SUM(BB14:BB48)</f>
        <v>57.602866284231176</v>
      </c>
      <c r="BC49" s="480">
        <f t="shared" si="9"/>
        <v>57.602866284231176</v>
      </c>
      <c r="BD49" s="480">
        <f t="shared" si="9"/>
        <v>57.602866284231176</v>
      </c>
      <c r="BE49" s="480">
        <f t="shared" si="9"/>
        <v>57.60786858377201</v>
      </c>
      <c r="BF49" s="480">
        <f t="shared" si="9"/>
        <v>57.60786858377201</v>
      </c>
      <c r="BG49" s="480">
        <f t="shared" si="9"/>
        <v>57.60786858377201</v>
      </c>
      <c r="BH49" s="480">
        <f t="shared" si="9"/>
        <v>641.03032887847132</v>
      </c>
      <c r="BI49" s="480">
        <f t="shared" si="9"/>
        <v>2897.958640143911</v>
      </c>
      <c r="BJ49" s="456">
        <f t="shared" si="9"/>
        <v>42.311855082120211</v>
      </c>
      <c r="BK49" s="456">
        <f t="shared" si="9"/>
        <v>38.081855082120214</v>
      </c>
      <c r="BL49" s="456">
        <f t="shared" si="9"/>
        <v>49.087868583772007</v>
      </c>
      <c r="BM49" s="456">
        <f t="shared" si="9"/>
        <v>49.087868583772007</v>
      </c>
      <c r="BN49" s="480">
        <f>SUM(BN19:BN48)</f>
        <v>49.087868583772007</v>
      </c>
      <c r="BR49" s="195"/>
      <c r="BS49" s="195"/>
      <c r="BT49" s="480">
        <f>SUM(BT19:BT48)</f>
        <v>0</v>
      </c>
      <c r="BU49" s="480">
        <f t="shared" ref="BU49:CA49" si="10">SUM(BU14:BU48)</f>
        <v>0</v>
      </c>
      <c r="BV49" s="480">
        <f t="shared" si="10"/>
        <v>0</v>
      </c>
      <c r="BW49" s="480">
        <f t="shared" si="10"/>
        <v>0</v>
      </c>
      <c r="BX49" s="480">
        <f t="shared" si="10"/>
        <v>0</v>
      </c>
      <c r="BY49" s="480">
        <f t="shared" si="10"/>
        <v>0</v>
      </c>
      <c r="BZ49" s="480">
        <f t="shared" si="10"/>
        <v>0</v>
      </c>
      <c r="CA49" s="480">
        <f t="shared" si="10"/>
        <v>227.65731591555647</v>
      </c>
      <c r="CB49" s="480">
        <f>SUM(CB19:CB48)</f>
        <v>2670.3013242283541</v>
      </c>
      <c r="CC49" s="480"/>
      <c r="CF49" s="195"/>
      <c r="CG49" s="480">
        <f t="shared" ref="CG49:CN49" si="11">SUM(CG14:CG48)</f>
        <v>284.03614677481198</v>
      </c>
      <c r="CH49" s="480">
        <f t="shared" si="11"/>
        <v>56.73215352001467</v>
      </c>
      <c r="CI49" s="480">
        <f t="shared" si="11"/>
        <v>56.73215352001467</v>
      </c>
      <c r="CJ49" s="480">
        <f t="shared" si="11"/>
        <v>56.73215352001467</v>
      </c>
      <c r="CK49" s="480">
        <f t="shared" si="11"/>
        <v>56.73215352001467</v>
      </c>
      <c r="CL49" s="480">
        <f t="shared" si="11"/>
        <v>56.73215352001467</v>
      </c>
      <c r="CM49" s="480">
        <f t="shared" si="11"/>
        <v>76.66215352001467</v>
      </c>
      <c r="CN49" s="480">
        <f t="shared" si="11"/>
        <v>76.66215352001467</v>
      </c>
      <c r="CO49" s="480">
        <f>SUM(CO14:CO48)</f>
        <v>436.98507464010265</v>
      </c>
      <c r="CP49" s="480">
        <f>SUM(CP19:CP48)</f>
        <v>2233.3162495882516</v>
      </c>
      <c r="CQ49" s="931">
        <f t="shared" ref="CQ49:CV49" si="12">SUM(CQ13:CQ48)</f>
        <v>56.732153520014634</v>
      </c>
      <c r="CR49" s="931">
        <f t="shared" si="12"/>
        <v>56.732153520014634</v>
      </c>
      <c r="CS49" s="931">
        <f t="shared" si="12"/>
        <v>383.11215352001472</v>
      </c>
      <c r="CT49" s="931">
        <f t="shared" si="12"/>
        <v>383.11215352001472</v>
      </c>
      <c r="CU49" s="931">
        <f t="shared" si="12"/>
        <v>383.11215352001472</v>
      </c>
      <c r="CV49" s="13">
        <f t="shared" si="12"/>
        <v>1262.800767600073</v>
      </c>
      <c r="CW49" s="13">
        <f>SUM(CW13:CW48)</f>
        <v>7147.7972442353775</v>
      </c>
      <c r="DB49" s="13">
        <f>SUM(DB13:DB48)</f>
        <v>197.11992386842073</v>
      </c>
      <c r="DC49" s="13">
        <v>197.11992386842073</v>
      </c>
      <c r="DD49" s="13">
        <v>197.11992386842073</v>
      </c>
      <c r="DE49" s="13">
        <v>197.11992386842073</v>
      </c>
      <c r="DF49" s="13">
        <v>197.11992386842073</v>
      </c>
      <c r="DG49" s="13">
        <v>197.11992386842073</v>
      </c>
      <c r="DH49" s="524">
        <v>197.11992386842073</v>
      </c>
      <c r="DI49" s="524">
        <v>197.11992386842073</v>
      </c>
      <c r="DJ49" s="524">
        <f>SUM(DJ14:DJ48)</f>
        <v>172.36582418613455</v>
      </c>
      <c r="DK49" s="524">
        <f t="shared" ref="DK49:DT49" si="13">SUM(DK14:DK48)</f>
        <v>172.36582418613455</v>
      </c>
      <c r="DL49" s="524">
        <f t="shared" si="13"/>
        <v>172.36582418613455</v>
      </c>
      <c r="DM49" s="524">
        <f t="shared" si="13"/>
        <v>172.36582418613455</v>
      </c>
      <c r="DN49" s="524">
        <f t="shared" ref="DN49:DS49" si="14">SUM(DN14:DN48)</f>
        <v>172.36582418613455</v>
      </c>
      <c r="DO49" s="524">
        <f t="shared" si="14"/>
        <v>172.36582418613455</v>
      </c>
      <c r="DP49" s="524">
        <f t="shared" si="14"/>
        <v>172.36582418613455</v>
      </c>
      <c r="DQ49" s="524">
        <f t="shared" si="14"/>
        <v>172.36582418613455</v>
      </c>
      <c r="DR49" s="524">
        <f t="shared" si="14"/>
        <v>172.36582418613455</v>
      </c>
      <c r="DS49" s="524">
        <f t="shared" si="14"/>
        <v>172.36582418613455</v>
      </c>
      <c r="DT49" s="524">
        <f t="shared" si="13"/>
        <v>172.36582418613455</v>
      </c>
      <c r="DU49" s="13">
        <f>SUM(DU13:DU48)</f>
        <v>3268.5494334441391</v>
      </c>
      <c r="DV49" s="13">
        <f>SUM(DV13:DV48)</f>
        <v>3879.2478107912384</v>
      </c>
    </row>
    <row r="50" spans="1:126" s="104" customFormat="1" x14ac:dyDescent="0.2">
      <c r="A50" s="110" t="s">
        <v>315</v>
      </c>
      <c r="B50" s="87"/>
      <c r="C50" s="87"/>
      <c r="D50" s="88"/>
      <c r="E50" s="88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9"/>
      <c r="S50" s="89"/>
      <c r="T50" s="90"/>
      <c r="U50" s="90"/>
      <c r="V50" s="90"/>
      <c r="W50" s="90"/>
      <c r="X50" s="90"/>
      <c r="Z50"/>
      <c r="AA50"/>
      <c r="AB50" s="77"/>
      <c r="AC50"/>
      <c r="AD50"/>
      <c r="AE50"/>
      <c r="AF50"/>
      <c r="AG50"/>
      <c r="AH50"/>
      <c r="AI50"/>
      <c r="AJ50"/>
      <c r="AK50"/>
      <c r="AL50"/>
      <c r="AM50"/>
      <c r="AN50" s="69"/>
      <c r="AO50" s="395"/>
      <c r="AP50" s="395"/>
      <c r="AQ50" s="395"/>
      <c r="AR50" s="395"/>
      <c r="AS50" s="395"/>
      <c r="AV50"/>
      <c r="AW50" s="77"/>
      <c r="AX50"/>
      <c r="AY50"/>
      <c r="AZ50"/>
      <c r="BI50" s="104">
        <f>BI49-BJ49-BK49</f>
        <v>2817.564929979671</v>
      </c>
      <c r="BJ50" s="395"/>
      <c r="BK50" s="395"/>
      <c r="BL50" s="395"/>
      <c r="BM50" s="395"/>
      <c r="BO50"/>
      <c r="BP50" s="77"/>
      <c r="BQ50"/>
      <c r="BR50"/>
      <c r="BS50"/>
      <c r="CC50"/>
      <c r="CD50" s="77"/>
      <c r="CE50"/>
      <c r="CF50"/>
      <c r="CG50"/>
      <c r="DV50" s="104">
        <f>CW49-DU49</f>
        <v>3879.2478107912384</v>
      </c>
    </row>
    <row r="51" spans="1:126" s="104" customFormat="1" x14ac:dyDescent="0.2">
      <c r="A51" s="238" t="s">
        <v>568</v>
      </c>
      <c r="B51" s="239"/>
      <c r="C51" s="239"/>
      <c r="D51" s="240"/>
      <c r="E51" s="240"/>
      <c r="F51"/>
      <c r="G51"/>
      <c r="H51"/>
      <c r="I51"/>
      <c r="J51"/>
      <c r="K51"/>
      <c r="L51"/>
      <c r="M51"/>
      <c r="N51"/>
      <c r="O51"/>
      <c r="P51"/>
      <c r="Q51"/>
      <c r="R51" s="19"/>
      <c r="S51" s="19"/>
      <c r="T51" s="12"/>
      <c r="U51" s="12"/>
      <c r="V51" s="12"/>
      <c r="W51" s="12"/>
      <c r="X51" s="12"/>
      <c r="Z51"/>
      <c r="AA51"/>
      <c r="AB51" s="85"/>
      <c r="AC51"/>
      <c r="AD51"/>
      <c r="AE51" s="12"/>
      <c r="AF51"/>
      <c r="AG51"/>
      <c r="AH51"/>
      <c r="AI51"/>
      <c r="AJ51"/>
      <c r="AK51"/>
      <c r="AL51"/>
      <c r="AM51" s="255"/>
      <c r="AN51" s="69"/>
      <c r="AO51" s="395"/>
      <c r="AP51" s="395"/>
      <c r="AQ51" s="395"/>
      <c r="AR51" s="395"/>
      <c r="AS51" s="395"/>
      <c r="AV51"/>
      <c r="AW51" s="85"/>
      <c r="AX51"/>
      <c r="AY51"/>
      <c r="AZ51" s="12"/>
      <c r="BJ51" s="395"/>
      <c r="BK51" s="395"/>
      <c r="BL51" s="395"/>
      <c r="BM51" s="395"/>
      <c r="BO51"/>
      <c r="BP51" s="85"/>
      <c r="BQ51"/>
      <c r="BR51"/>
      <c r="BS51" s="12"/>
      <c r="CC51"/>
      <c r="CD51" s="85"/>
      <c r="CE51"/>
      <c r="CF51"/>
      <c r="CG51" s="12"/>
      <c r="CP51" s="104">
        <f>CB49-CO49</f>
        <v>2233.3162495882516</v>
      </c>
    </row>
    <row r="52" spans="1:126" ht="30.75" hidden="1" customHeight="1" x14ac:dyDescent="0.2">
      <c r="A52" s="1271" t="s">
        <v>462</v>
      </c>
      <c r="B52" s="1271"/>
      <c r="C52" s="1271"/>
      <c r="D52" s="1271"/>
      <c r="E52" s="1271"/>
      <c r="F52" s="1271"/>
      <c r="G52" s="1271"/>
      <c r="H52" s="1271"/>
      <c r="I52" s="1271"/>
      <c r="J52" s="1271"/>
      <c r="K52" s="1271"/>
      <c r="L52" s="1271"/>
      <c r="M52" s="1271"/>
      <c r="N52" s="1271"/>
      <c r="O52" s="1271"/>
      <c r="P52" s="1271"/>
      <c r="Q52" s="1271"/>
      <c r="R52" s="1271"/>
      <c r="S52" s="1271"/>
      <c r="T52" s="1271"/>
      <c r="U52" s="1271"/>
      <c r="V52" s="1271"/>
      <c r="W52" s="1271"/>
      <c r="X52" s="1271"/>
      <c r="Y52" s="1271"/>
      <c r="Z52" s="1271"/>
      <c r="AA52" s="1271"/>
      <c r="AB52" s="171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W52" s="171"/>
      <c r="AX52" s="170"/>
      <c r="AY52" s="170"/>
      <c r="AZ52" s="170"/>
      <c r="BP52" s="171"/>
      <c r="BQ52" s="170"/>
      <c r="BR52" s="170"/>
      <c r="BS52" s="170"/>
      <c r="CD52" s="171"/>
      <c r="CE52" s="170"/>
      <c r="CF52" s="170"/>
      <c r="CG52" s="170"/>
    </row>
    <row r="53" spans="1:126" hidden="1" x14ac:dyDescent="0.2">
      <c r="A53" s="1271"/>
      <c r="B53" s="1271"/>
      <c r="C53" s="1271"/>
      <c r="D53" s="1271"/>
      <c r="E53" s="1271"/>
      <c r="F53" s="1271"/>
      <c r="G53" s="1271"/>
      <c r="H53" s="1271"/>
      <c r="I53" s="1271"/>
      <c r="J53" s="1271"/>
      <c r="K53" s="1271"/>
      <c r="L53" s="1271"/>
      <c r="M53" s="1271"/>
      <c r="N53" s="1271"/>
      <c r="O53" s="1271"/>
      <c r="P53" s="1271"/>
      <c r="Q53" s="1271"/>
      <c r="R53" s="1271"/>
      <c r="S53" s="1271"/>
      <c r="T53" s="1271"/>
      <c r="U53" s="1271"/>
      <c r="V53" s="1271"/>
      <c r="W53" s="1271"/>
      <c r="X53" s="1271"/>
      <c r="Y53" s="1271"/>
      <c r="Z53" s="1271"/>
      <c r="AA53" s="1271"/>
    </row>
    <row r="144" spans="107:107" x14ac:dyDescent="0.2">
      <c r="DC144" s="55"/>
    </row>
  </sheetData>
  <mergeCells count="40">
    <mergeCell ref="A52:AA53"/>
    <mergeCell ref="R11:R12"/>
    <mergeCell ref="S11:S12"/>
    <mergeCell ref="T11:T12"/>
    <mergeCell ref="V11:V12"/>
    <mergeCell ref="W11:W12"/>
    <mergeCell ref="Y11:Y12"/>
    <mergeCell ref="J11:J12"/>
    <mergeCell ref="K11:K12"/>
    <mergeCell ref="L11:L12"/>
    <mergeCell ref="M11:M12"/>
    <mergeCell ref="O11:O12"/>
    <mergeCell ref="Q11:Q12"/>
    <mergeCell ref="A11:A12"/>
    <mergeCell ref="B11:B12"/>
    <mergeCell ref="CF11:CF12"/>
    <mergeCell ref="CG11:CG12"/>
    <mergeCell ref="AZ11:AZ12"/>
    <mergeCell ref="BR11:BR12"/>
    <mergeCell ref="BS11:BS12"/>
    <mergeCell ref="D10:P10"/>
    <mergeCell ref="R10:T10"/>
    <mergeCell ref="H11:H12"/>
    <mergeCell ref="I11:I12"/>
    <mergeCell ref="Z11:Z12"/>
    <mergeCell ref="W10:AY10"/>
    <mergeCell ref="AY11:AY12"/>
    <mergeCell ref="E11:E12"/>
    <mergeCell ref="F11:F12"/>
    <mergeCell ref="G11:G12"/>
    <mergeCell ref="AO11:AO12"/>
    <mergeCell ref="AP11:AP12"/>
    <mergeCell ref="AD11:AD12"/>
    <mergeCell ref="AE11:AE12"/>
    <mergeCell ref="DV11:DV12"/>
    <mergeCell ref="CV11:CV12"/>
    <mergeCell ref="CW11:CW12"/>
    <mergeCell ref="DA11:DA12"/>
    <mergeCell ref="DB11:DB12"/>
    <mergeCell ref="DU11:DU12"/>
  </mergeCells>
  <printOptions horizontalCentered="1"/>
  <pageMargins left="0.19685039370078741" right="0.19685039370078741" top="0.39370078740157483" bottom="0.39370078740157483" header="0" footer="0"/>
  <pageSetup scale="45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ES91"/>
  <sheetViews>
    <sheetView topLeftCell="BS41" zoomScaleNormal="100" workbookViewId="0">
      <selection activeCell="EB70" sqref="EB70"/>
    </sheetView>
  </sheetViews>
  <sheetFormatPr baseColWidth="10" defaultRowHeight="12.75" x14ac:dyDescent="0.2"/>
  <cols>
    <col min="1" max="1" width="19.28515625" customWidth="1"/>
    <col min="2" max="2" width="26.42578125" customWidth="1"/>
    <col min="3" max="3" width="16.140625" customWidth="1"/>
    <col min="4" max="4" width="6.7109375" style="18" hidden="1" customWidth="1"/>
    <col min="5" max="5" width="7.42578125" style="18" hidden="1" customWidth="1"/>
    <col min="6" max="6" width="9.7109375" hidden="1" customWidth="1"/>
    <col min="7" max="14" width="8.5703125" hidden="1" customWidth="1"/>
    <col min="15" max="15" width="8.42578125" hidden="1" customWidth="1"/>
    <col min="16" max="16" width="8.5703125" hidden="1" customWidth="1"/>
    <col min="17" max="17" width="11" hidden="1" customWidth="1"/>
    <col min="18" max="18" width="10" style="19" hidden="1" customWidth="1"/>
    <col min="19" max="19" width="9.5703125" style="19" hidden="1" customWidth="1"/>
    <col min="20" max="21" width="8.42578125" style="12" hidden="1" customWidth="1"/>
    <col min="22" max="22" width="10.140625" style="104" hidden="1" customWidth="1"/>
    <col min="23" max="24" width="8.7109375" hidden="1" customWidth="1"/>
    <col min="25" max="25" width="8.7109375" style="77" hidden="1" customWidth="1"/>
    <col min="26" max="26" width="7.42578125" hidden="1" customWidth="1"/>
    <col min="27" max="28" width="9.7109375" hidden="1" customWidth="1"/>
    <col min="29" max="33" width="7.7109375" hidden="1" customWidth="1"/>
    <col min="34" max="34" width="11.28515625" hidden="1" customWidth="1"/>
    <col min="35" max="36" width="7.7109375" hidden="1" customWidth="1"/>
    <col min="37" max="37" width="8.85546875" hidden="1" customWidth="1"/>
    <col min="38" max="40" width="7.7109375" hidden="1" customWidth="1"/>
    <col min="41" max="41" width="9.28515625" hidden="1" customWidth="1"/>
    <col min="42" max="42" width="10" style="69" hidden="1" customWidth="1"/>
    <col min="43" max="43" width="1.7109375" style="16" hidden="1" customWidth="1"/>
    <col min="44" max="44" width="1.42578125" style="16" hidden="1" customWidth="1"/>
    <col min="45" max="45" width="7.7109375" hidden="1" customWidth="1"/>
    <col min="46" max="46" width="9.28515625" hidden="1" customWidth="1"/>
    <col min="47" max="48" width="11.42578125" hidden="1" customWidth="1"/>
    <col min="49" max="49" width="9.85546875" hidden="1" customWidth="1"/>
    <col min="50" max="50" width="7.5703125" hidden="1" customWidth="1"/>
    <col min="51" max="51" width="7.42578125" style="77" hidden="1" customWidth="1"/>
    <col min="52" max="52" width="6.7109375" hidden="1" customWidth="1"/>
    <col min="53" max="53" width="8.28515625" hidden="1" customWidth="1"/>
    <col min="54" max="54" width="7.28515625" hidden="1" customWidth="1"/>
    <col min="55" max="55" width="8.85546875" hidden="1" customWidth="1"/>
    <col min="56" max="56" width="9.140625" hidden="1" customWidth="1"/>
    <col min="57" max="57" width="8" hidden="1" customWidth="1"/>
    <col min="58" max="58" width="9" hidden="1" customWidth="1"/>
    <col min="59" max="59" width="8.42578125" hidden="1" customWidth="1"/>
    <col min="60" max="60" width="8.140625" hidden="1" customWidth="1"/>
    <col min="61" max="61" width="7.42578125" hidden="1" customWidth="1"/>
    <col min="62" max="62" width="9.7109375" hidden="1" customWidth="1"/>
    <col min="63" max="63" width="9.28515625" style="436" hidden="1" customWidth="1"/>
    <col min="64" max="64" width="11.140625" hidden="1" customWidth="1"/>
    <col min="65" max="65" width="11" hidden="1" customWidth="1"/>
    <col min="66" max="67" width="11.42578125" hidden="1" customWidth="1"/>
    <col min="68" max="68" width="9.85546875" hidden="1" customWidth="1"/>
    <col min="69" max="70" width="14.42578125" hidden="1" customWidth="1"/>
    <col min="71" max="72" width="6.7109375" style="18" customWidth="1"/>
    <col min="73" max="73" width="9.42578125" customWidth="1"/>
    <col min="74" max="74" width="6.85546875" customWidth="1"/>
    <col min="75" max="75" width="5" hidden="1" customWidth="1"/>
    <col min="76" max="76" width="6.28515625" hidden="1" customWidth="1"/>
    <col min="77" max="77" width="7.140625" hidden="1" customWidth="1"/>
    <col min="78" max="80" width="8.5703125" hidden="1" customWidth="1"/>
    <col min="81" max="81" width="8.5703125" customWidth="1"/>
    <col min="82" max="82" width="8.42578125" hidden="1" customWidth="1"/>
    <col min="83" max="83" width="8.5703125" hidden="1" customWidth="1"/>
    <col min="84" max="84" width="11" customWidth="1"/>
    <col min="85" max="85" width="10" style="19" customWidth="1"/>
    <col min="86" max="86" width="9.5703125" style="19" customWidth="1"/>
    <col min="87" max="87" width="8.42578125" style="12" customWidth="1"/>
    <col min="88" max="88" width="12.28515625" hidden="1" customWidth="1"/>
    <col min="89" max="89" width="8.7109375" hidden="1" customWidth="1"/>
    <col min="90" max="90" width="10.85546875" style="77" hidden="1" customWidth="1"/>
    <col min="91" max="91" width="7.42578125" hidden="1" customWidth="1"/>
    <col min="92" max="92" width="7.7109375" hidden="1" customWidth="1"/>
    <col min="93" max="93" width="10.85546875" hidden="1" customWidth="1"/>
    <col min="94" max="94" width="10.140625" hidden="1" customWidth="1"/>
    <col min="95" max="95" width="9.85546875" hidden="1" customWidth="1"/>
    <col min="96" max="96" width="10.85546875" hidden="1" customWidth="1"/>
    <col min="97" max="97" width="13.5703125" hidden="1" customWidth="1"/>
    <col min="98" max="98" width="12.42578125" hidden="1" customWidth="1"/>
    <col min="99" max="99" width="12" hidden="1" customWidth="1"/>
    <col min="100" max="100" width="11.42578125" hidden="1" customWidth="1"/>
    <col min="101" max="101" width="10" hidden="1" customWidth="1"/>
    <col min="102" max="102" width="10.140625" style="436" hidden="1" customWidth="1"/>
    <col min="103" max="103" width="7.5703125" style="453" hidden="1" customWidth="1"/>
    <col min="104" max="104" width="7.7109375" style="453" hidden="1" customWidth="1"/>
    <col min="105" max="105" width="10" style="453" hidden="1" customWidth="1"/>
    <col min="106" max="107" width="11.42578125" style="453" hidden="1" customWidth="1"/>
    <col min="108" max="108" width="12.28515625" style="453" hidden="1" customWidth="1"/>
    <col min="109" max="109" width="11.42578125" style="453"/>
    <col min="110" max="114" width="11.42578125" style="453" customWidth="1"/>
    <col min="115" max="131" width="11.42578125" style="453" hidden="1" customWidth="1"/>
    <col min="132" max="134" width="11.42578125" style="453" customWidth="1"/>
    <col min="135" max="138" width="11.42578125" style="453"/>
  </cols>
  <sheetData>
    <row r="1" spans="1:138" x14ac:dyDescent="0.2">
      <c r="A1" s="92"/>
      <c r="B1" s="97" t="s">
        <v>27</v>
      </c>
      <c r="C1" s="92"/>
      <c r="D1" s="93"/>
      <c r="E1" s="93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1"/>
      <c r="S1" s="91"/>
      <c r="T1" s="92"/>
      <c r="U1" s="92"/>
      <c r="V1" s="101"/>
      <c r="W1" s="94"/>
      <c r="X1" s="94"/>
      <c r="Y1" s="95"/>
      <c r="Z1" s="94"/>
      <c r="AA1" s="94"/>
      <c r="AB1" s="94"/>
      <c r="AC1" s="94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4"/>
      <c r="AO1" s="92"/>
      <c r="AP1" s="96"/>
      <c r="AX1" s="94"/>
      <c r="AY1" s="95"/>
      <c r="AZ1" s="94"/>
      <c r="BA1" s="94"/>
      <c r="BB1" s="94"/>
      <c r="BS1" s="93"/>
      <c r="BT1" s="93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1"/>
      <c r="CH1" s="91"/>
      <c r="CI1" s="92"/>
      <c r="CK1" s="541"/>
      <c r="CL1" s="542"/>
      <c r="CM1" s="541"/>
      <c r="CN1" s="541"/>
      <c r="CO1" s="541"/>
    </row>
    <row r="2" spans="1:138" x14ac:dyDescent="0.2">
      <c r="A2" s="92"/>
      <c r="B2" s="97" t="s">
        <v>1273</v>
      </c>
      <c r="C2" s="92"/>
      <c r="D2" s="93"/>
      <c r="E2" s="93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1"/>
      <c r="S2" s="91"/>
      <c r="T2" s="92"/>
      <c r="U2" s="92"/>
      <c r="V2" s="101"/>
      <c r="W2" s="94"/>
      <c r="X2" s="94"/>
      <c r="Y2" s="95"/>
      <c r="Z2" s="94"/>
      <c r="AA2" s="94"/>
      <c r="AB2" s="94"/>
      <c r="AC2" s="94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6"/>
      <c r="AX2" s="94"/>
      <c r="AY2" s="95"/>
      <c r="AZ2" s="94"/>
      <c r="BA2" s="94"/>
      <c r="BB2" s="94"/>
      <c r="BS2" s="93"/>
      <c r="BT2" s="93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1"/>
      <c r="CH2" s="91"/>
      <c r="CI2" s="92"/>
      <c r="CK2" s="541"/>
      <c r="CL2" s="542"/>
      <c r="CM2" s="541"/>
      <c r="CN2" s="541"/>
      <c r="CO2" s="541"/>
    </row>
    <row r="3" spans="1:138" x14ac:dyDescent="0.2">
      <c r="A3" s="92"/>
      <c r="B3" s="92"/>
      <c r="C3" s="97"/>
      <c r="D3" s="98"/>
      <c r="E3" s="93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7"/>
      <c r="S3" s="97"/>
      <c r="T3" s="99"/>
      <c r="U3" s="99"/>
      <c r="V3" s="102"/>
      <c r="W3" s="94"/>
      <c r="X3" s="94"/>
      <c r="Y3" s="95"/>
      <c r="Z3" s="94"/>
      <c r="AA3" s="94"/>
      <c r="AB3" s="94"/>
      <c r="AC3" s="94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6"/>
      <c r="AX3" s="94"/>
      <c r="AY3" s="95"/>
      <c r="AZ3" s="94"/>
      <c r="BA3" s="94"/>
      <c r="BB3" s="94"/>
      <c r="BS3" s="98"/>
      <c r="BT3" s="93"/>
      <c r="BU3" s="99"/>
      <c r="BV3" s="99"/>
      <c r="BW3" s="99"/>
      <c r="BX3" s="99"/>
      <c r="BY3" s="99"/>
      <c r="BZ3" s="99"/>
      <c r="CA3" s="99"/>
      <c r="CB3" s="99"/>
      <c r="CC3" s="99"/>
      <c r="CD3" s="99"/>
      <c r="CE3" s="99"/>
      <c r="CF3" s="99"/>
      <c r="CG3" s="97"/>
      <c r="CH3" s="97"/>
      <c r="CI3" s="99"/>
      <c r="CK3" s="541"/>
      <c r="CL3" s="542"/>
      <c r="CM3" s="541"/>
      <c r="CN3" s="541"/>
      <c r="CO3" s="541"/>
    </row>
    <row r="4" spans="1:138" x14ac:dyDescent="0.2">
      <c r="A4" s="92"/>
      <c r="B4" s="92" t="s">
        <v>309</v>
      </c>
      <c r="C4" s="97"/>
      <c r="D4" s="98"/>
      <c r="E4" s="93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7"/>
      <c r="S4" s="97"/>
      <c r="T4" s="99"/>
      <c r="U4" s="99"/>
      <c r="V4" s="102"/>
      <c r="W4" s="94"/>
      <c r="X4" s="94"/>
      <c r="Y4" s="95"/>
      <c r="Z4" s="94"/>
      <c r="AA4" s="94"/>
      <c r="AB4" s="94"/>
      <c r="AC4" s="94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6"/>
      <c r="AX4" s="94"/>
      <c r="AY4" s="95"/>
      <c r="AZ4" s="94"/>
      <c r="BA4" s="94"/>
      <c r="BB4" s="94"/>
      <c r="BS4" s="98"/>
      <c r="BT4" s="93"/>
      <c r="BU4" s="99"/>
      <c r="BV4" s="99"/>
      <c r="BW4" s="99"/>
      <c r="BX4" s="99"/>
      <c r="BY4" s="99"/>
      <c r="BZ4" s="99"/>
      <c r="CA4" s="99"/>
      <c r="CB4" s="99"/>
      <c r="CC4" s="99"/>
      <c r="CD4" s="99"/>
      <c r="CE4" s="99"/>
      <c r="CF4" s="99"/>
      <c r="CG4" s="97"/>
      <c r="CH4" s="97"/>
      <c r="CI4" s="99"/>
      <c r="CK4" s="541"/>
      <c r="CL4" s="542"/>
      <c r="CM4" s="541"/>
      <c r="CN4" s="541"/>
      <c r="CO4" s="541"/>
    </row>
    <row r="5" spans="1:138" x14ac:dyDescent="0.2">
      <c r="A5" s="92"/>
      <c r="B5" s="99" t="s">
        <v>537</v>
      </c>
      <c r="C5" s="92"/>
      <c r="D5" s="93"/>
      <c r="E5" s="93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1"/>
      <c r="S5" s="91"/>
      <c r="T5" s="92"/>
      <c r="U5" s="92"/>
      <c r="V5" s="101"/>
      <c r="W5" s="94"/>
      <c r="X5" s="94"/>
      <c r="Y5" s="95"/>
      <c r="Z5" s="94"/>
      <c r="AA5" s="94"/>
      <c r="AB5" s="94"/>
      <c r="AC5" s="94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6"/>
      <c r="AX5" s="94"/>
      <c r="AY5" s="95"/>
      <c r="AZ5" s="94"/>
      <c r="BA5" s="94"/>
      <c r="BB5" s="94"/>
      <c r="BS5" s="93"/>
      <c r="BT5" s="93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1"/>
      <c r="CH5" s="91"/>
      <c r="CI5" s="92"/>
      <c r="CK5" s="541"/>
      <c r="CL5" s="542"/>
      <c r="CM5" s="541"/>
      <c r="CN5" s="541"/>
      <c r="CO5" s="541"/>
    </row>
    <row r="6" spans="1:138" x14ac:dyDescent="0.2">
      <c r="A6" s="92"/>
      <c r="B6" s="92" t="s">
        <v>1272</v>
      </c>
      <c r="C6" s="92"/>
      <c r="D6" s="93"/>
      <c r="E6" s="93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1"/>
      <c r="S6" s="91"/>
      <c r="T6" s="92"/>
      <c r="U6" s="92"/>
      <c r="V6" s="101"/>
      <c r="W6" s="94"/>
      <c r="X6" s="94"/>
      <c r="Y6" s="95"/>
      <c r="Z6" s="94"/>
      <c r="AA6" s="94"/>
      <c r="AB6" s="94"/>
      <c r="AC6" s="94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6"/>
      <c r="AX6" s="94"/>
      <c r="AY6" s="95"/>
      <c r="AZ6" s="94"/>
      <c r="BA6" s="94"/>
      <c r="BB6" s="94"/>
      <c r="BS6" s="93"/>
      <c r="BT6" s="93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1"/>
      <c r="CH6" s="91"/>
      <c r="CI6" s="92"/>
      <c r="CK6" s="541"/>
      <c r="CL6" s="542"/>
      <c r="CM6" s="541"/>
      <c r="CN6" s="541"/>
      <c r="CO6" s="541"/>
    </row>
    <row r="7" spans="1:138" x14ac:dyDescent="0.2">
      <c r="A7" s="92"/>
      <c r="B7" s="92"/>
      <c r="C7" s="92"/>
      <c r="D7" s="93"/>
      <c r="E7" s="93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1"/>
      <c r="S7" s="91"/>
      <c r="T7" s="92"/>
      <c r="U7" s="92"/>
      <c r="V7" s="101"/>
      <c r="W7" s="94"/>
      <c r="X7" s="94"/>
      <c r="Y7" s="95"/>
      <c r="Z7" s="94"/>
      <c r="AA7" s="94"/>
      <c r="AB7" s="94"/>
      <c r="AC7" s="94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6"/>
      <c r="AX7" s="94"/>
      <c r="AY7" s="95"/>
      <c r="AZ7" s="94"/>
      <c r="BA7" s="94"/>
      <c r="BB7" s="94"/>
      <c r="BS7" s="93"/>
      <c r="BT7" s="93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1"/>
      <c r="CH7" s="91"/>
      <c r="CI7" s="92"/>
      <c r="CK7" s="541"/>
      <c r="CL7" s="542"/>
      <c r="CM7" s="541"/>
      <c r="CN7" s="541"/>
      <c r="CO7" s="541"/>
    </row>
    <row r="8" spans="1:138" s="16" customFormat="1" x14ac:dyDescent="0.2">
      <c r="D8" s="38"/>
      <c r="E8" s="38"/>
      <c r="R8" s="37"/>
      <c r="S8" s="37"/>
      <c r="T8" s="35"/>
      <c r="U8" s="35"/>
      <c r="V8" s="103"/>
      <c r="W8" s="39"/>
      <c r="X8" s="39"/>
      <c r="Y8" s="76"/>
      <c r="Z8" s="39"/>
      <c r="AA8" s="39"/>
      <c r="AB8" s="39"/>
      <c r="AC8" s="39"/>
      <c r="AP8" s="68"/>
      <c r="AX8" s="39"/>
      <c r="AY8" s="76"/>
      <c r="AZ8" s="39"/>
      <c r="BA8" s="39"/>
      <c r="BB8" s="39"/>
      <c r="BK8" s="437"/>
      <c r="BS8" s="38"/>
      <c r="BT8" s="38"/>
      <c r="CG8" s="37"/>
      <c r="CH8" s="37"/>
      <c r="CI8" s="35"/>
      <c r="CK8" s="39"/>
      <c r="CL8" s="76"/>
      <c r="CM8" s="39"/>
      <c r="CN8" s="39"/>
      <c r="CO8" s="39"/>
      <c r="CX8" s="437"/>
      <c r="CY8" s="453"/>
      <c r="CZ8" s="453"/>
      <c r="DA8" s="453"/>
      <c r="DB8" s="453"/>
      <c r="DC8" s="453"/>
      <c r="DD8" s="453"/>
      <c r="DE8" s="453"/>
      <c r="DF8" s="453"/>
      <c r="DG8" s="453"/>
      <c r="DH8" s="453"/>
      <c r="DI8" s="453"/>
      <c r="DJ8" s="453"/>
      <c r="DK8" s="453"/>
      <c r="DL8" s="453"/>
      <c r="DM8" s="453"/>
      <c r="DN8" s="453"/>
      <c r="DO8" s="453"/>
      <c r="DP8" s="453"/>
      <c r="DQ8" s="453"/>
      <c r="DR8" s="453"/>
      <c r="DS8" s="453"/>
      <c r="DT8" s="453"/>
      <c r="DU8" s="453"/>
      <c r="DV8" s="453"/>
      <c r="DW8" s="453"/>
      <c r="DX8" s="453"/>
      <c r="DY8" s="453"/>
      <c r="DZ8" s="453"/>
      <c r="EA8" s="453"/>
      <c r="EB8" s="453"/>
      <c r="EC8" s="453"/>
      <c r="ED8" s="453"/>
      <c r="EE8" s="453"/>
      <c r="EF8" s="453"/>
      <c r="EG8" s="453"/>
      <c r="EH8" s="453"/>
    </row>
    <row r="9" spans="1:138" s="16" customFormat="1" ht="20.25" customHeight="1" x14ac:dyDescent="0.2">
      <c r="D9" s="38"/>
      <c r="E9" s="38"/>
      <c r="R9" s="37"/>
      <c r="S9" s="37"/>
      <c r="T9" s="35"/>
      <c r="U9" s="35"/>
      <c r="V9" s="103"/>
      <c r="W9" s="39"/>
      <c r="X9" s="39"/>
      <c r="Y9" s="76"/>
      <c r="Z9" s="39"/>
      <c r="AA9" s="39"/>
      <c r="AB9" s="39"/>
      <c r="AC9" s="39"/>
      <c r="AP9" s="68"/>
      <c r="AX9" s="39"/>
      <c r="AY9" s="76"/>
      <c r="AZ9" s="39"/>
      <c r="BA9" s="39"/>
      <c r="BB9" s="39"/>
      <c r="BK9" s="437"/>
      <c r="BS9" s="38"/>
      <c r="BT9" s="38"/>
      <c r="CG9" s="37"/>
      <c r="CH9" s="37"/>
      <c r="CI9" s="35"/>
      <c r="CK9" s="39"/>
      <c r="CL9" s="76"/>
      <c r="CM9" s="39"/>
      <c r="CN9" s="39"/>
      <c r="CO9" s="39"/>
      <c r="CX9" s="437"/>
      <c r="CY9" s="453"/>
      <c r="CZ9" s="453"/>
      <c r="DA9" s="453"/>
      <c r="DB9" s="453"/>
      <c r="DC9" s="453"/>
      <c r="DD9" s="453"/>
      <c r="DE9" s="453"/>
      <c r="DF9" s="453"/>
      <c r="DG9" s="453"/>
      <c r="DH9" s="453"/>
      <c r="DI9" s="453"/>
      <c r="DJ9" s="453"/>
      <c r="DK9" s="453"/>
      <c r="DL9" s="453"/>
      <c r="DM9" s="453"/>
      <c r="DN9" s="453"/>
      <c r="DO9" s="453"/>
      <c r="DP9" s="453"/>
      <c r="DQ9" s="453"/>
      <c r="DR9" s="453"/>
      <c r="DS9" s="453"/>
      <c r="DT9" s="453"/>
      <c r="DU9" s="453"/>
      <c r="DV9" s="453"/>
      <c r="DW9" s="453"/>
      <c r="DX9" s="453"/>
      <c r="DY9" s="453"/>
      <c r="DZ9" s="453"/>
      <c r="EA9" s="453"/>
      <c r="EB9" s="453"/>
      <c r="EC9" s="453"/>
      <c r="ED9" s="453"/>
      <c r="EE9" s="453"/>
      <c r="EF9" s="453"/>
      <c r="EG9" s="453"/>
      <c r="EH9" s="453"/>
    </row>
    <row r="10" spans="1:138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87"/>
      <c r="R10" s="1259" t="s">
        <v>448</v>
      </c>
      <c r="S10" s="1259"/>
      <c r="T10" s="1259"/>
      <c r="U10" s="1260" t="s">
        <v>450</v>
      </c>
      <c r="V10" s="1260"/>
      <c r="W10" s="1260"/>
      <c r="X10" s="1260"/>
      <c r="Y10" s="1260"/>
      <c r="Z10" s="1260"/>
      <c r="AA10" s="1260"/>
      <c r="AB10" s="1260"/>
      <c r="AC10" s="1260"/>
      <c r="AD10" s="1260"/>
      <c r="AE10" s="1260"/>
      <c r="AF10" s="1260"/>
      <c r="AG10" s="1260"/>
      <c r="AH10" s="1260"/>
      <c r="AI10" s="1260"/>
      <c r="AJ10" s="1260"/>
      <c r="AK10" s="1260"/>
      <c r="AL10" s="1260"/>
      <c r="AM10" s="1260"/>
      <c r="AN10" s="1260"/>
      <c r="AO10" s="1260"/>
      <c r="AP10" s="1260"/>
      <c r="AY10"/>
      <c r="BS10" s="1258" t="s">
        <v>532</v>
      </c>
      <c r="BT10" s="1258"/>
      <c r="BU10" s="1258"/>
      <c r="BV10" s="1258"/>
      <c r="BW10" s="1258"/>
      <c r="BX10" s="1258"/>
      <c r="BY10" s="1258"/>
      <c r="BZ10" s="1258"/>
      <c r="CA10" s="1258"/>
      <c r="CB10" s="1258"/>
      <c r="CC10" s="1258"/>
      <c r="CD10" s="1258"/>
      <c r="CE10" s="1258"/>
      <c r="CF10" s="191"/>
      <c r="CG10" s="1259" t="s">
        <v>448</v>
      </c>
      <c r="CH10" s="1259"/>
      <c r="CI10" s="1259"/>
      <c r="CL10"/>
    </row>
    <row r="11" spans="1:138" ht="54" customHeight="1" x14ac:dyDescent="0.25">
      <c r="A11" s="1261" t="s">
        <v>57</v>
      </c>
      <c r="B11" s="1261" t="s">
        <v>0</v>
      </c>
      <c r="C11" s="185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526</v>
      </c>
      <c r="J11" s="1254" t="s">
        <v>525</v>
      </c>
      <c r="K11" s="1254" t="s">
        <v>534</v>
      </c>
      <c r="L11" s="1254" t="s">
        <v>493</v>
      </c>
      <c r="M11" s="1254" t="s">
        <v>535</v>
      </c>
      <c r="N11" s="186" t="s">
        <v>529</v>
      </c>
      <c r="O11" s="1254" t="s">
        <v>492</v>
      </c>
      <c r="P11" s="192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1245" t="s">
        <v>447</v>
      </c>
      <c r="V11" s="1268" t="s">
        <v>597</v>
      </c>
      <c r="W11" s="1245" t="s">
        <v>439</v>
      </c>
      <c r="X11" s="158" t="s">
        <v>15</v>
      </c>
      <c r="Y11" s="159" t="s">
        <v>15</v>
      </c>
      <c r="Z11" s="158" t="s">
        <v>16</v>
      </c>
      <c r="AA11" s="1245" t="s">
        <v>527</v>
      </c>
      <c r="AB11" s="1245" t="s">
        <v>536</v>
      </c>
      <c r="AC11" s="158" t="s">
        <v>3</v>
      </c>
      <c r="AD11" s="158" t="s">
        <v>4</v>
      </c>
      <c r="AE11" s="158" t="s">
        <v>5</v>
      </c>
      <c r="AF11" s="158" t="s">
        <v>6</v>
      </c>
      <c r="AG11" s="158" t="s">
        <v>7</v>
      </c>
      <c r="AH11" s="158" t="s">
        <v>8</v>
      </c>
      <c r="AI11" s="158" t="s">
        <v>9</v>
      </c>
      <c r="AJ11" s="158" t="s">
        <v>10</v>
      </c>
      <c r="AK11" s="158" t="s">
        <v>11</v>
      </c>
      <c r="AL11" s="158" t="s">
        <v>12</v>
      </c>
      <c r="AM11" s="158" t="s">
        <v>13</v>
      </c>
      <c r="AN11" s="158" t="s">
        <v>14</v>
      </c>
      <c r="AO11" s="196" t="s">
        <v>531</v>
      </c>
      <c r="AP11" s="160" t="s">
        <v>63</v>
      </c>
      <c r="AQ11" s="1245" t="s">
        <v>976</v>
      </c>
      <c r="AR11" s="1245" t="s">
        <v>536</v>
      </c>
      <c r="AS11" s="158" t="s">
        <v>3</v>
      </c>
      <c r="AT11" s="158" t="s">
        <v>4</v>
      </c>
      <c r="AU11" s="158" t="s">
        <v>5</v>
      </c>
      <c r="AV11" s="158" t="s">
        <v>6</v>
      </c>
      <c r="AW11" s="158" t="s">
        <v>7</v>
      </c>
      <c r="AX11" s="158" t="s">
        <v>15</v>
      </c>
      <c r="AY11" s="159" t="s">
        <v>15</v>
      </c>
      <c r="AZ11" s="158" t="s">
        <v>16</v>
      </c>
      <c r="BA11" s="1245" t="s">
        <v>1059</v>
      </c>
      <c r="BB11" s="1245" t="s">
        <v>536</v>
      </c>
      <c r="BC11" s="158" t="s">
        <v>8</v>
      </c>
      <c r="BD11" s="158" t="s">
        <v>9</v>
      </c>
      <c r="BE11" s="158" t="s">
        <v>10</v>
      </c>
      <c r="BF11" s="158" t="s">
        <v>11</v>
      </c>
      <c r="BG11" s="158" t="s">
        <v>12</v>
      </c>
      <c r="BH11" s="158" t="s">
        <v>13</v>
      </c>
      <c r="BI11" s="158" t="s">
        <v>14</v>
      </c>
      <c r="BJ11" s="196" t="s">
        <v>1042</v>
      </c>
      <c r="BK11" s="389" t="s">
        <v>63</v>
      </c>
      <c r="BL11" s="158" t="s">
        <v>3</v>
      </c>
      <c r="BM11" s="158" t="s">
        <v>4</v>
      </c>
      <c r="BN11" s="158" t="s">
        <v>5</v>
      </c>
      <c r="BO11" s="158" t="s">
        <v>6</v>
      </c>
      <c r="BP11" s="158" t="s">
        <v>7</v>
      </c>
      <c r="BQ11" s="1247" t="s">
        <v>1133</v>
      </c>
      <c r="BR11" s="1245" t="s">
        <v>1132</v>
      </c>
      <c r="BS11" s="166" t="s">
        <v>306</v>
      </c>
      <c r="BT11" s="1263" t="s">
        <v>55</v>
      </c>
      <c r="BU11" s="1254" t="s">
        <v>564</v>
      </c>
      <c r="BV11" s="1254" t="s">
        <v>446</v>
      </c>
      <c r="BW11" s="1254" t="s">
        <v>533</v>
      </c>
      <c r="BX11" s="1254" t="s">
        <v>1126</v>
      </c>
      <c r="BY11" s="1254" t="s">
        <v>1127</v>
      </c>
      <c r="BZ11" s="1254" t="s">
        <v>534</v>
      </c>
      <c r="CA11" s="1254" t="s">
        <v>493</v>
      </c>
      <c r="CB11" s="1254" t="s">
        <v>1148</v>
      </c>
      <c r="CC11" s="715" t="s">
        <v>529</v>
      </c>
      <c r="CD11" s="1254" t="s">
        <v>492</v>
      </c>
      <c r="CE11" s="716" t="s">
        <v>530</v>
      </c>
      <c r="CF11" s="1256" t="s">
        <v>528</v>
      </c>
      <c r="CG11" s="1250" t="s">
        <v>437</v>
      </c>
      <c r="CH11" s="1250" t="s">
        <v>56</v>
      </c>
      <c r="CI11" s="1252" t="s">
        <v>449</v>
      </c>
      <c r="CJ11" s="1245" t="s">
        <v>1132</v>
      </c>
      <c r="CK11" s="158" t="s">
        <v>15</v>
      </c>
      <c r="CL11" s="159" t="s">
        <v>15</v>
      </c>
      <c r="CM11" s="158" t="s">
        <v>16</v>
      </c>
      <c r="CN11" s="1245" t="s">
        <v>1124</v>
      </c>
      <c r="CO11" s="1245" t="s">
        <v>536</v>
      </c>
      <c r="CP11" s="158" t="s">
        <v>8</v>
      </c>
      <c r="CQ11" s="158" t="s">
        <v>9</v>
      </c>
      <c r="CR11" s="158" t="s">
        <v>10</v>
      </c>
      <c r="CS11" s="158" t="s">
        <v>11</v>
      </c>
      <c r="CT11" s="158" t="s">
        <v>12</v>
      </c>
      <c r="CU11" s="158" t="s">
        <v>13</v>
      </c>
      <c r="CV11" s="158" t="s">
        <v>14</v>
      </c>
      <c r="CW11" s="196" t="s">
        <v>1131</v>
      </c>
      <c r="CX11" s="160" t="s">
        <v>63</v>
      </c>
      <c r="CY11" s="158" t="s">
        <v>3</v>
      </c>
      <c r="CZ11" s="158" t="s">
        <v>4</v>
      </c>
      <c r="DA11" s="158" t="s">
        <v>5</v>
      </c>
      <c r="DB11" s="158" t="s">
        <v>6</v>
      </c>
      <c r="DC11" s="158" t="s">
        <v>7</v>
      </c>
      <c r="DD11" s="1247" t="s">
        <v>1252</v>
      </c>
      <c r="DE11" s="1247" t="s">
        <v>1253</v>
      </c>
      <c r="DF11" s="158" t="s">
        <v>15</v>
      </c>
      <c r="DG11" s="159" t="s">
        <v>15</v>
      </c>
      <c r="DH11" s="158" t="s">
        <v>16</v>
      </c>
      <c r="DI11" s="1245" t="s">
        <v>1262</v>
      </c>
      <c r="DJ11" s="1245" t="s">
        <v>536</v>
      </c>
      <c r="DK11" s="158" t="s">
        <v>8</v>
      </c>
      <c r="DL11" s="158" t="s">
        <v>9</v>
      </c>
      <c r="DM11" s="158" t="s">
        <v>10</v>
      </c>
      <c r="DN11" s="158" t="s">
        <v>11</v>
      </c>
      <c r="DO11" s="158" t="s">
        <v>12</v>
      </c>
      <c r="DP11" s="158" t="s">
        <v>13</v>
      </c>
      <c r="DQ11" s="158" t="s">
        <v>14</v>
      </c>
      <c r="DR11" s="158" t="s">
        <v>3</v>
      </c>
      <c r="DS11" s="158" t="s">
        <v>4</v>
      </c>
      <c r="DT11" s="158" t="s">
        <v>5</v>
      </c>
      <c r="DU11" s="158" t="s">
        <v>6</v>
      </c>
      <c r="DV11" s="158" t="s">
        <v>7</v>
      </c>
      <c r="DW11" s="158" t="s">
        <v>8</v>
      </c>
      <c r="DX11" s="158" t="s">
        <v>9</v>
      </c>
      <c r="DY11" s="158" t="s">
        <v>10</v>
      </c>
      <c r="DZ11" s="158" t="s">
        <v>11</v>
      </c>
      <c r="EA11" s="158" t="s">
        <v>12</v>
      </c>
      <c r="EB11" s="158" t="s">
        <v>13</v>
      </c>
      <c r="EC11" s="1247" t="s">
        <v>1274</v>
      </c>
      <c r="ED11" s="1247" t="s">
        <v>1263</v>
      </c>
    </row>
    <row r="12" spans="1:138" ht="32.25" customHeight="1" x14ac:dyDescent="0.25">
      <c r="A12" s="1262"/>
      <c r="B12" s="1262"/>
      <c r="C12" s="161" t="s">
        <v>537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/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1267"/>
      <c r="V12" s="1269">
        <v>41639</v>
      </c>
      <c r="W12" s="1246"/>
      <c r="X12" s="162" t="s">
        <v>20</v>
      </c>
      <c r="Y12" s="163" t="s">
        <v>21</v>
      </c>
      <c r="Z12" s="162" t="s">
        <v>22</v>
      </c>
      <c r="AA12" s="1246"/>
      <c r="AB12" s="1246"/>
      <c r="AC12" s="162">
        <v>2015</v>
      </c>
      <c r="AD12" s="162">
        <v>2015</v>
      </c>
      <c r="AE12" s="162">
        <v>2015</v>
      </c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 t="s">
        <v>64</v>
      </c>
      <c r="AQ12" s="1265"/>
      <c r="AR12" s="1265"/>
      <c r="AS12" s="430">
        <v>2016</v>
      </c>
      <c r="AT12" s="430">
        <v>2016</v>
      </c>
      <c r="AU12" s="430">
        <v>2016</v>
      </c>
      <c r="AV12" s="430">
        <v>2016</v>
      </c>
      <c r="AW12" s="430">
        <v>2016</v>
      </c>
      <c r="AX12" s="162" t="s">
        <v>20</v>
      </c>
      <c r="AY12" s="163" t="s">
        <v>21</v>
      </c>
      <c r="AZ12" s="162" t="s">
        <v>22</v>
      </c>
      <c r="BA12" s="1246"/>
      <c r="BB12" s="1246"/>
      <c r="BC12" s="430">
        <v>2016</v>
      </c>
      <c r="BD12" s="430">
        <v>2016</v>
      </c>
      <c r="BE12" s="430">
        <v>2016</v>
      </c>
      <c r="BF12" s="430">
        <v>2016</v>
      </c>
      <c r="BG12" s="430">
        <v>2016</v>
      </c>
      <c r="BH12" s="430">
        <v>2016</v>
      </c>
      <c r="BI12" s="430">
        <v>2016</v>
      </c>
      <c r="BJ12" s="162">
        <v>2016</v>
      </c>
      <c r="BK12" s="390" t="s">
        <v>64</v>
      </c>
      <c r="BL12" s="430">
        <v>2017</v>
      </c>
      <c r="BM12" s="430">
        <v>2017</v>
      </c>
      <c r="BN12" s="430">
        <v>2017</v>
      </c>
      <c r="BO12" s="430">
        <v>2017</v>
      </c>
      <c r="BP12" s="430">
        <v>2017</v>
      </c>
      <c r="BQ12" s="1248"/>
      <c r="BR12" s="1246"/>
      <c r="BS12" s="167"/>
      <c r="BT12" s="1264"/>
      <c r="BU12" s="1255"/>
      <c r="BV12" s="1255"/>
      <c r="BW12" s="1255"/>
      <c r="BX12" s="1255"/>
      <c r="BY12" s="1255"/>
      <c r="BZ12" s="1255"/>
      <c r="CA12" s="1255"/>
      <c r="CB12" s="1255"/>
      <c r="CC12" s="194"/>
      <c r="CD12" s="1255"/>
      <c r="CE12" s="193">
        <v>42370</v>
      </c>
      <c r="CF12" s="1257"/>
      <c r="CG12" s="1251" t="s">
        <v>18</v>
      </c>
      <c r="CH12" s="1251" t="s">
        <v>18</v>
      </c>
      <c r="CI12" s="1253"/>
      <c r="CJ12" s="1246"/>
      <c r="CK12" s="162" t="s">
        <v>20</v>
      </c>
      <c r="CL12" s="163" t="s">
        <v>21</v>
      </c>
      <c r="CM12" s="162" t="s">
        <v>22</v>
      </c>
      <c r="CN12" s="1246"/>
      <c r="CO12" s="1246"/>
      <c r="CP12" s="430">
        <v>2017</v>
      </c>
      <c r="CQ12" s="430">
        <v>2017</v>
      </c>
      <c r="CR12" s="430">
        <v>2017</v>
      </c>
      <c r="CS12" s="430">
        <v>2017</v>
      </c>
      <c r="CT12" s="430">
        <v>2017</v>
      </c>
      <c r="CU12" s="430">
        <v>2017</v>
      </c>
      <c r="CV12" s="430">
        <v>2017</v>
      </c>
      <c r="CW12" s="162">
        <v>2017</v>
      </c>
      <c r="CX12" s="162" t="s">
        <v>64</v>
      </c>
      <c r="CY12" s="162">
        <v>2018</v>
      </c>
      <c r="CZ12" s="162">
        <v>2018</v>
      </c>
      <c r="DA12" s="162">
        <v>2018</v>
      </c>
      <c r="DB12" s="162">
        <v>2018</v>
      </c>
      <c r="DC12" s="162">
        <v>2018</v>
      </c>
      <c r="DD12" s="1248"/>
      <c r="DE12" s="1248"/>
      <c r="DF12" s="162" t="s">
        <v>20</v>
      </c>
      <c r="DG12" s="163" t="s">
        <v>21</v>
      </c>
      <c r="DH12" s="162" t="s">
        <v>22</v>
      </c>
      <c r="DI12" s="1246"/>
      <c r="DJ12" s="1246"/>
      <c r="DK12" s="162">
        <v>2018</v>
      </c>
      <c r="DL12" s="162">
        <v>2018</v>
      </c>
      <c r="DM12" s="162">
        <v>2018</v>
      </c>
      <c r="DN12" s="162">
        <v>2018</v>
      </c>
      <c r="DO12" s="162">
        <v>2018</v>
      </c>
      <c r="DP12" s="162">
        <v>2018</v>
      </c>
      <c r="DQ12" s="162">
        <v>2018</v>
      </c>
      <c r="DR12" s="162">
        <v>2019</v>
      </c>
      <c r="DS12" s="162">
        <v>2019</v>
      </c>
      <c r="DT12" s="162">
        <v>2019</v>
      </c>
      <c r="DU12" s="162">
        <v>2019</v>
      </c>
      <c r="DV12" s="162">
        <v>2019</v>
      </c>
      <c r="DW12" s="162">
        <v>2019</v>
      </c>
      <c r="DX12" s="162">
        <v>2019</v>
      </c>
      <c r="DY12" s="162">
        <v>2019</v>
      </c>
      <c r="DZ12" s="162">
        <v>2019</v>
      </c>
      <c r="EA12" s="162">
        <v>2019</v>
      </c>
      <c r="EB12" s="162">
        <v>2019</v>
      </c>
      <c r="EC12" s="1248"/>
      <c r="ED12" s="1248"/>
    </row>
    <row r="13" spans="1:138" s="16" customFormat="1" x14ac:dyDescent="0.2">
      <c r="A13" s="120" t="s">
        <v>65</v>
      </c>
      <c r="B13" s="120"/>
      <c r="C13" s="124"/>
      <c r="D13" s="27"/>
      <c r="E13" s="25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20"/>
      <c r="S13" s="20"/>
      <c r="T13" s="14"/>
      <c r="U13" s="14"/>
      <c r="V13" s="14"/>
      <c r="W13" s="14"/>
      <c r="X13" s="14"/>
      <c r="Y13" s="108"/>
      <c r="Z13" s="66"/>
      <c r="AA13" s="66"/>
      <c r="AB13" s="81"/>
      <c r="AC13" s="66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432"/>
      <c r="AQ13" s="65"/>
      <c r="AR13" s="65"/>
      <c r="AS13" s="73"/>
      <c r="AT13" s="32"/>
      <c r="AU13" s="32"/>
      <c r="AV13" s="32"/>
      <c r="AW13" s="32"/>
      <c r="AX13" s="14"/>
      <c r="AY13" s="108"/>
      <c r="AZ13" s="66"/>
      <c r="BA13" s="66"/>
      <c r="BB13" s="81"/>
      <c r="BC13" s="32"/>
      <c r="BD13" s="32"/>
      <c r="BE13" s="32"/>
      <c r="BF13" s="32"/>
      <c r="BG13" s="32"/>
      <c r="BH13" s="32"/>
      <c r="BI13" s="32"/>
      <c r="BJ13" s="32"/>
      <c r="BK13" s="451"/>
      <c r="BL13" s="73"/>
      <c r="BM13" s="32"/>
      <c r="BN13" s="32"/>
      <c r="BO13" s="32"/>
      <c r="BP13" s="32"/>
      <c r="BQ13" s="32"/>
      <c r="BR13" s="32"/>
      <c r="BS13" s="27"/>
      <c r="BT13" s="25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20"/>
      <c r="CH13" s="20"/>
      <c r="CI13" s="14"/>
      <c r="CJ13" s="32"/>
      <c r="CK13" s="14"/>
      <c r="CL13" s="108"/>
      <c r="CM13" s="66"/>
      <c r="CN13" s="66"/>
      <c r="CO13" s="81"/>
      <c r="CP13" s="32"/>
      <c r="CQ13" s="32"/>
      <c r="CR13" s="32"/>
      <c r="CS13" s="32"/>
      <c r="CT13" s="32"/>
      <c r="CU13" s="32"/>
      <c r="CV13" s="32"/>
      <c r="CW13" s="32"/>
      <c r="CX13" s="438"/>
      <c r="CY13" s="355"/>
      <c r="CZ13" s="3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6"/>
      <c r="EE13" s="453"/>
      <c r="EF13" s="453"/>
      <c r="EG13" s="453"/>
      <c r="EH13" s="453"/>
    </row>
    <row r="14" spans="1:138" s="16" customFormat="1" x14ac:dyDescent="0.2">
      <c r="A14" s="120" t="s">
        <v>66</v>
      </c>
      <c r="B14" s="9"/>
      <c r="C14" s="45"/>
      <c r="D14" s="150"/>
      <c r="E14" s="25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20"/>
      <c r="S14" s="20"/>
      <c r="T14" s="14"/>
      <c r="U14" s="14"/>
      <c r="V14" s="14"/>
      <c r="W14" s="14"/>
      <c r="X14" s="14"/>
      <c r="Y14" s="108"/>
      <c r="Z14" s="66"/>
      <c r="AA14" s="66"/>
      <c r="AB14" s="112"/>
      <c r="AC14" s="66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432"/>
      <c r="AQ14" s="65"/>
      <c r="AR14" s="65"/>
      <c r="AS14" s="73"/>
      <c r="AT14" s="32"/>
      <c r="AU14" s="32"/>
      <c r="AV14" s="32"/>
      <c r="AW14" s="32"/>
      <c r="AX14" s="14"/>
      <c r="AY14" s="108"/>
      <c r="AZ14" s="66"/>
      <c r="BA14" s="66"/>
      <c r="BB14" s="112"/>
      <c r="BC14" s="32"/>
      <c r="BD14" s="32"/>
      <c r="BE14" s="32"/>
      <c r="BF14" s="32"/>
      <c r="BG14" s="32"/>
      <c r="BH14" s="32"/>
      <c r="BI14" s="32"/>
      <c r="BJ14" s="32"/>
      <c r="BK14" s="451"/>
      <c r="BL14" s="73"/>
      <c r="BM14" s="32"/>
      <c r="BN14" s="32"/>
      <c r="BO14" s="32"/>
      <c r="BP14" s="32"/>
      <c r="BQ14" s="32"/>
      <c r="BR14" s="32"/>
      <c r="BS14" s="150"/>
      <c r="BT14" s="25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20"/>
      <c r="CH14" s="20"/>
      <c r="CI14" s="14"/>
      <c r="CJ14" s="32"/>
      <c r="CK14" s="14"/>
      <c r="CL14" s="108"/>
      <c r="CM14" s="66"/>
      <c r="CN14" s="66"/>
      <c r="CO14" s="112"/>
      <c r="CP14" s="32"/>
      <c r="CQ14" s="32"/>
      <c r="CR14" s="32"/>
      <c r="CS14" s="32"/>
      <c r="CT14" s="32"/>
      <c r="CU14" s="32"/>
      <c r="CV14" s="32"/>
      <c r="CW14" s="509"/>
      <c r="CX14" s="438"/>
      <c r="CY14" s="355"/>
      <c r="CZ14" s="355"/>
      <c r="DA14" s="355"/>
      <c r="DB14" s="355"/>
      <c r="DC14" s="3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6"/>
      <c r="EE14" s="453"/>
      <c r="EF14" s="453"/>
      <c r="EG14" s="453"/>
      <c r="EH14" s="453"/>
    </row>
    <row r="15" spans="1:138" s="16" customFormat="1" ht="15" x14ac:dyDescent="0.2">
      <c r="A15" s="119" t="s">
        <v>698</v>
      </c>
      <c r="B15" s="100" t="s">
        <v>699</v>
      </c>
      <c r="C15" s="45" t="s">
        <v>314</v>
      </c>
      <c r="D15" s="58">
        <v>3</v>
      </c>
      <c r="E15" s="30">
        <v>0.33329999999999999</v>
      </c>
      <c r="F15" s="46">
        <v>42185</v>
      </c>
      <c r="G15" s="125">
        <v>36</v>
      </c>
      <c r="H15" s="145">
        <f>100/G15</f>
        <v>2.7777777777777777</v>
      </c>
      <c r="I15" s="165">
        <f>H15*J15</f>
        <v>0</v>
      </c>
      <c r="J15" s="48">
        <v>0</v>
      </c>
      <c r="K15" s="165">
        <f>L15*H15</f>
        <v>100</v>
      </c>
      <c r="L15" s="48">
        <f>G15-J15</f>
        <v>36</v>
      </c>
      <c r="M15" s="165">
        <f>N15*H15</f>
        <v>2.7777777777777777</v>
      </c>
      <c r="N15" s="48">
        <v>1</v>
      </c>
      <c r="O15" s="165">
        <f>K15-M15</f>
        <v>97.222222222222229</v>
      </c>
      <c r="P15" s="48">
        <f>L15-N15</f>
        <v>35</v>
      </c>
      <c r="Q15" s="48">
        <f>M15-O15</f>
        <v>-94.444444444444457</v>
      </c>
      <c r="R15" s="125" t="s">
        <v>700</v>
      </c>
      <c r="S15" s="33">
        <v>42339</v>
      </c>
      <c r="T15" s="5">
        <v>9499</v>
      </c>
      <c r="U15" s="154">
        <v>0</v>
      </c>
      <c r="V15" s="154">
        <v>0</v>
      </c>
      <c r="W15" s="55">
        <v>0</v>
      </c>
      <c r="X15" s="57">
        <v>115.958</v>
      </c>
      <c r="Y15" s="57">
        <v>118.532</v>
      </c>
      <c r="Z15" s="57">
        <f>X15/Y15</f>
        <v>0.97828434515573859</v>
      </c>
      <c r="AA15" s="55">
        <f>T15*M15/100/K15*100/1</f>
        <v>263.86111111111109</v>
      </c>
      <c r="AB15" s="55">
        <f>AA15*Z15</f>
        <v>258.13119429539887</v>
      </c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>
        <v>258.13</v>
      </c>
      <c r="AO15" s="55">
        <f>SUM(AC15:AN15)</f>
        <v>258.13</v>
      </c>
      <c r="AP15" s="392">
        <f>T15-AO15</f>
        <v>9240.8700000000008</v>
      </c>
      <c r="AQ15" s="32"/>
      <c r="AR15" s="32"/>
      <c r="AS15" s="429">
        <f>$AN15</f>
        <v>258.13</v>
      </c>
      <c r="AT15" s="429">
        <f>$AN15</f>
        <v>258.13</v>
      </c>
      <c r="AU15" s="429">
        <f>$AN15</f>
        <v>258.13</v>
      </c>
      <c r="AV15" s="429">
        <f>$AN15</f>
        <v>258.13</v>
      </c>
      <c r="AW15" s="429">
        <f>$AN15</f>
        <v>258.13</v>
      </c>
      <c r="AX15" s="57">
        <v>126.408</v>
      </c>
      <c r="AY15" s="57">
        <v>118.532</v>
      </c>
      <c r="AZ15" s="57">
        <f>AX15/AY15</f>
        <v>1.0664461917456889</v>
      </c>
      <c r="BA15" s="55">
        <f>AW15</f>
        <v>258.13</v>
      </c>
      <c r="BB15" s="55">
        <f>BA15*AZ15</f>
        <v>275.28175547531464</v>
      </c>
      <c r="BC15" s="429">
        <f t="shared" ref="BC15:BI15" si="0">$BB15</f>
        <v>275.28175547531464</v>
      </c>
      <c r="BD15" s="429">
        <f t="shared" si="0"/>
        <v>275.28175547531464</v>
      </c>
      <c r="BE15" s="429">
        <f t="shared" si="0"/>
        <v>275.28175547531464</v>
      </c>
      <c r="BF15" s="429">
        <f t="shared" si="0"/>
        <v>275.28175547531464</v>
      </c>
      <c r="BG15" s="429">
        <f t="shared" si="0"/>
        <v>275.28175547531464</v>
      </c>
      <c r="BH15" s="429">
        <f t="shared" si="0"/>
        <v>275.28175547531464</v>
      </c>
      <c r="BI15" s="429">
        <f t="shared" si="0"/>
        <v>275.28175547531464</v>
      </c>
      <c r="BJ15" s="429">
        <f>SUM((AS15:AW15),(BC15:BI15))</f>
        <v>3217.6222883272026</v>
      </c>
      <c r="BK15" s="452">
        <f>(AP15-BJ15)</f>
        <v>6023.2477116727987</v>
      </c>
      <c r="BL15" s="538">
        <f>$BB15</f>
        <v>275.28175547531464</v>
      </c>
      <c r="BM15" s="538">
        <f>$BB15</f>
        <v>275.28175547531464</v>
      </c>
      <c r="BN15" s="538">
        <f>$BB15</f>
        <v>275.28175547531464</v>
      </c>
      <c r="BO15" s="538">
        <f>$BB15</f>
        <v>275.28175547531464</v>
      </c>
      <c r="BP15" s="538">
        <f>$BB15</f>
        <v>275.28175547531464</v>
      </c>
      <c r="BQ15" s="538">
        <f>SUM(BL15:BP15)</f>
        <v>1376.4087773765732</v>
      </c>
      <c r="BR15" s="538">
        <f>BK15-BQ15</f>
        <v>4646.8389342962255</v>
      </c>
      <c r="BS15" s="58">
        <v>3</v>
      </c>
      <c r="BT15" s="30">
        <v>0.33329999999999999</v>
      </c>
      <c r="BU15" s="46">
        <v>43281</v>
      </c>
      <c r="BV15" s="125">
        <v>36</v>
      </c>
      <c r="BW15" s="145">
        <f>CI15/BV15/100</f>
        <v>2.638611111111111</v>
      </c>
      <c r="BX15" s="165">
        <f>BW15*BY15</f>
        <v>79.158333333333331</v>
      </c>
      <c r="BY15" s="48">
        <f>(YEAR(BU15)-YEAR(CH15))*12+MONTH(BU15)-MONTH(CH15)</f>
        <v>30</v>
      </c>
      <c r="BZ15" s="165">
        <f>CA15*BW15</f>
        <v>15.831666666666667</v>
      </c>
      <c r="CA15" s="48">
        <f>BV15-BY15</f>
        <v>6</v>
      </c>
      <c r="CB15" s="165">
        <f>CC15*BW15</f>
        <v>15.831666666666667</v>
      </c>
      <c r="CC15" s="48">
        <f>BV15-BY15</f>
        <v>6</v>
      </c>
      <c r="CD15" s="165">
        <f>BZ15-CB15</f>
        <v>0</v>
      </c>
      <c r="CE15" s="48">
        <f>CA15-CC15</f>
        <v>0</v>
      </c>
      <c r="CF15" s="462">
        <f>DATE(YEAR(CH15),MONTH(CH15)+BV15,DAY(CH15))</f>
        <v>43435</v>
      </c>
      <c r="CG15" s="125" t="s">
        <v>700</v>
      </c>
      <c r="CH15" s="33">
        <v>42339</v>
      </c>
      <c r="CI15" s="5">
        <v>9499</v>
      </c>
      <c r="CJ15" s="510">
        <v>4646.8389342962255</v>
      </c>
      <c r="CK15" s="656">
        <v>126.408</v>
      </c>
      <c r="CL15" s="656">
        <v>118.532</v>
      </c>
      <c r="CM15" s="656">
        <f>CK15/CL15</f>
        <v>1.0664461917456889</v>
      </c>
      <c r="CN15" s="511">
        <f>CJ15/CC15</f>
        <v>774.47315571603758</v>
      </c>
      <c r="CO15" s="511">
        <f>CN15*CM15</f>
        <v>825.93394752263418</v>
      </c>
      <c r="CP15" s="511">
        <v>275.31131584087808</v>
      </c>
      <c r="CQ15" s="511">
        <v>275.31131584087808</v>
      </c>
      <c r="CR15" s="511">
        <v>275.31131584087808</v>
      </c>
      <c r="CS15" s="511">
        <v>275.31131584087808</v>
      </c>
      <c r="CT15" s="511">
        <v>275.31131584087808</v>
      </c>
      <c r="CU15" s="511">
        <v>275.31131584087808</v>
      </c>
      <c r="CV15" s="511">
        <v>275.31131584087808</v>
      </c>
      <c r="CW15" s="510">
        <f>SUM(CP15:CV15)</f>
        <v>1927.1792108861464</v>
      </c>
      <c r="CX15" s="439">
        <f>CJ15-CW15</f>
        <v>2719.6597234100791</v>
      </c>
      <c r="CY15" s="511">
        <v>275.31131584087808</v>
      </c>
      <c r="CZ15" s="511">
        <v>275.31131584087808</v>
      </c>
      <c r="DA15" s="511">
        <v>275.31131584087808</v>
      </c>
      <c r="DB15" s="511">
        <v>275.31131584087808</v>
      </c>
      <c r="DC15" s="511">
        <v>275.31131584087808</v>
      </c>
      <c r="DD15" s="511">
        <f>SUM(CY15:DC15)</f>
        <v>1376.5565792043903</v>
      </c>
      <c r="DE15" s="960">
        <f>CX15-DD15</f>
        <v>1343.1031442056887</v>
      </c>
      <c r="DF15" s="656">
        <v>132.28200000000001</v>
      </c>
      <c r="DG15" s="656">
        <v>118.532</v>
      </c>
      <c r="DH15" s="656">
        <f>DF15/DG15</f>
        <v>1.1160024297236191</v>
      </c>
      <c r="DI15" s="511">
        <f>DE15/CC15</f>
        <v>223.85052403428145</v>
      </c>
      <c r="DJ15" s="511">
        <f>DI15*DH15</f>
        <v>249.81772871716348</v>
      </c>
      <c r="DK15" s="511">
        <v>249.82</v>
      </c>
      <c r="DL15" s="511">
        <v>249.82</v>
      </c>
      <c r="DM15" s="511">
        <v>249.82</v>
      </c>
      <c r="DN15" s="511">
        <v>249.82</v>
      </c>
      <c r="DO15" s="511">
        <v>249.82</v>
      </c>
      <c r="DP15" s="511">
        <v>93</v>
      </c>
      <c r="DQ15" s="511">
        <v>0</v>
      </c>
      <c r="DR15" s="511">
        <v>0</v>
      </c>
      <c r="DS15" s="511">
        <v>0</v>
      </c>
      <c r="DT15" s="511">
        <v>0</v>
      </c>
      <c r="DU15" s="511">
        <v>0</v>
      </c>
      <c r="DV15" s="511">
        <v>0</v>
      </c>
      <c r="DW15" s="511">
        <v>0</v>
      </c>
      <c r="DX15" s="511">
        <v>0</v>
      </c>
      <c r="DY15" s="511">
        <v>0</v>
      </c>
      <c r="DZ15" s="511">
        <v>0</v>
      </c>
      <c r="EA15" s="511">
        <v>0</v>
      </c>
      <c r="EB15" s="511">
        <v>0</v>
      </c>
      <c r="EC15" s="511">
        <f>SUM(DK15:EB15)</f>
        <v>1342.1</v>
      </c>
      <c r="ED15" s="960">
        <f>DE15-EC15</f>
        <v>1.0031442056888409</v>
      </c>
      <c r="EE15" s="36"/>
      <c r="EF15" s="36"/>
      <c r="EG15" s="36"/>
      <c r="EH15" s="36"/>
    </row>
    <row r="16" spans="1:138" s="16" customFormat="1" ht="15" x14ac:dyDescent="0.2">
      <c r="A16" s="119" t="s">
        <v>698</v>
      </c>
      <c r="B16" s="100" t="s">
        <v>1171</v>
      </c>
      <c r="C16" s="45"/>
      <c r="D16" s="58"/>
      <c r="E16" s="30"/>
      <c r="F16" s="46"/>
      <c r="G16" s="125"/>
      <c r="H16" s="145"/>
      <c r="I16" s="165"/>
      <c r="J16" s="48"/>
      <c r="K16" s="165"/>
      <c r="L16" s="48"/>
      <c r="M16" s="165"/>
      <c r="N16" s="48"/>
      <c r="O16" s="165"/>
      <c r="P16" s="48"/>
      <c r="Q16" s="48"/>
      <c r="R16" s="125"/>
      <c r="S16" s="33"/>
      <c r="T16" s="5"/>
      <c r="U16" s="154"/>
      <c r="V16" s="154"/>
      <c r="W16" s="55"/>
      <c r="X16" s="57"/>
      <c r="Y16" s="57"/>
      <c r="Z16" s="57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392"/>
      <c r="AQ16" s="32"/>
      <c r="AR16" s="32"/>
      <c r="AS16" s="429"/>
      <c r="AT16" s="429"/>
      <c r="AU16" s="429"/>
      <c r="AV16" s="429"/>
      <c r="AW16" s="429"/>
      <c r="AX16" s="57"/>
      <c r="AY16" s="57"/>
      <c r="AZ16" s="57"/>
      <c r="BA16" s="55"/>
      <c r="BB16" s="55"/>
      <c r="BC16" s="429"/>
      <c r="BD16" s="429"/>
      <c r="BE16" s="429"/>
      <c r="BF16" s="429"/>
      <c r="BG16" s="429"/>
      <c r="BH16" s="429"/>
      <c r="BI16" s="429"/>
      <c r="BJ16" s="429"/>
      <c r="BK16" s="452"/>
      <c r="BL16" s="538"/>
      <c r="BM16" s="538"/>
      <c r="BN16" s="538"/>
      <c r="BO16" s="538"/>
      <c r="BP16" s="538"/>
      <c r="BQ16" s="538"/>
      <c r="BR16" s="538"/>
      <c r="BS16" s="58">
        <v>3</v>
      </c>
      <c r="BT16" s="30">
        <v>0.33329999999999999</v>
      </c>
      <c r="BU16" s="46">
        <v>43281</v>
      </c>
      <c r="BV16" s="125">
        <v>36</v>
      </c>
      <c r="BW16" s="145">
        <f>CI16/BV16/100</f>
        <v>5.2774999999999999</v>
      </c>
      <c r="BX16" s="165">
        <f>BW16*BY16</f>
        <v>94.995000000000005</v>
      </c>
      <c r="BY16" s="48">
        <f>(YEAR(BU16)-YEAR(CH16))*12+MONTH(BU16)-MONTH(CH16)</f>
        <v>18</v>
      </c>
      <c r="BZ16" s="165">
        <f>CA16*BW16</f>
        <v>94.995000000000005</v>
      </c>
      <c r="CA16" s="48">
        <f>BV16-BY16</f>
        <v>18</v>
      </c>
      <c r="CB16" s="165">
        <f>CC16*BW16</f>
        <v>94.995000000000005</v>
      </c>
      <c r="CC16" s="48">
        <f>BV16-BY16</f>
        <v>18</v>
      </c>
      <c r="CD16" s="165">
        <f>BZ16-CB16</f>
        <v>0</v>
      </c>
      <c r="CE16" s="48">
        <f>CA16-CC16</f>
        <v>0</v>
      </c>
      <c r="CF16" s="462">
        <f>DATE(YEAR(CH16),MONTH(CH16)+BV16,DAY(CH16))</f>
        <v>43826</v>
      </c>
      <c r="CG16" s="125" t="s">
        <v>1172</v>
      </c>
      <c r="CH16" s="33">
        <v>42731</v>
      </c>
      <c r="CI16" s="5">
        <v>18999</v>
      </c>
      <c r="CJ16" s="510">
        <v>18999</v>
      </c>
      <c r="CK16" s="656">
        <v>126.408</v>
      </c>
      <c r="CL16" s="656">
        <v>122.515</v>
      </c>
      <c r="CM16" s="656">
        <f>CK16/CL16</f>
        <v>1.0317757009345794</v>
      </c>
      <c r="CN16" s="511">
        <f>CJ16/BV16</f>
        <v>527.75</v>
      </c>
      <c r="CO16" s="511">
        <f>CN16*CM16</f>
        <v>544.51962616822425</v>
      </c>
      <c r="CP16" s="511"/>
      <c r="CQ16" s="511"/>
      <c r="CR16" s="511"/>
      <c r="CS16" s="511">
        <v>4900.68</v>
      </c>
      <c r="CT16" s="511">
        <v>4900.68</v>
      </c>
      <c r="CU16" s="511">
        <v>544.52</v>
      </c>
      <c r="CV16" s="511">
        <v>544.52</v>
      </c>
      <c r="CW16" s="510">
        <f>SUM(CP16:CV16)</f>
        <v>10890.400000000001</v>
      </c>
      <c r="CX16" s="439">
        <f>CJ16-CW16</f>
        <v>8108.5999999999985</v>
      </c>
      <c r="CY16" s="511">
        <v>544.52</v>
      </c>
      <c r="CZ16" s="511">
        <v>544.52</v>
      </c>
      <c r="DA16" s="511">
        <v>544.52</v>
      </c>
      <c r="DB16" s="511">
        <v>544.52</v>
      </c>
      <c r="DC16" s="511">
        <v>544.52</v>
      </c>
      <c r="DD16" s="511">
        <f t="shared" ref="DD16:DD63" si="1">SUM(CY16:DC16)</f>
        <v>2722.6</v>
      </c>
      <c r="DE16" s="960">
        <f>CX16-DD16</f>
        <v>5385.9999999999982</v>
      </c>
      <c r="DF16" s="656">
        <v>132.28200000000001</v>
      </c>
      <c r="DG16" s="656">
        <v>122.515</v>
      </c>
      <c r="DH16" s="656">
        <f>DF16/DG16</f>
        <v>1.0797208505081011</v>
      </c>
      <c r="DI16" s="511">
        <f>DE16/CC16</f>
        <v>299.22222222222211</v>
      </c>
      <c r="DJ16" s="511">
        <f>DI16*DH16</f>
        <v>323.07647226870171</v>
      </c>
      <c r="DK16" s="511">
        <v>323.08</v>
      </c>
      <c r="DL16" s="511">
        <v>323.08</v>
      </c>
      <c r="DM16" s="511">
        <v>323.08</v>
      </c>
      <c r="DN16" s="511">
        <v>323.08</v>
      </c>
      <c r="DO16" s="511">
        <v>323.08</v>
      </c>
      <c r="DP16" s="511">
        <v>323.08</v>
      </c>
      <c r="DQ16" s="511">
        <v>323.08</v>
      </c>
      <c r="DR16" s="511">
        <v>323.08</v>
      </c>
      <c r="DS16" s="511">
        <v>323.08</v>
      </c>
      <c r="DT16" s="511">
        <v>323.08</v>
      </c>
      <c r="DU16" s="511">
        <v>323.08</v>
      </c>
      <c r="DV16" s="511">
        <v>323.08</v>
      </c>
      <c r="DW16" s="511">
        <v>323.08</v>
      </c>
      <c r="DX16" s="511">
        <v>323.08</v>
      </c>
      <c r="DY16" s="511">
        <v>323.08</v>
      </c>
      <c r="DZ16" s="511">
        <v>323.08</v>
      </c>
      <c r="EA16" s="511">
        <v>215.72</v>
      </c>
      <c r="EB16" s="511">
        <v>0</v>
      </c>
      <c r="EC16" s="511">
        <f>SUM(DK16:EB16)</f>
        <v>5385</v>
      </c>
      <c r="ED16" s="960">
        <f>DE16-EC16</f>
        <v>0.99999999999818101</v>
      </c>
      <c r="EE16" s="36"/>
      <c r="EF16" s="36"/>
      <c r="EG16" s="36"/>
      <c r="EH16" s="36"/>
    </row>
    <row r="17" spans="1:138" s="16" customFormat="1" ht="15" x14ac:dyDescent="0.2">
      <c r="A17" s="26" t="s">
        <v>71</v>
      </c>
      <c r="B17" s="26"/>
      <c r="C17" s="26"/>
      <c r="D17" s="74"/>
      <c r="E17" s="25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20"/>
      <c r="S17" s="20"/>
      <c r="T17" s="14"/>
      <c r="U17" s="14"/>
      <c r="V17" s="108"/>
      <c r="W17" s="66"/>
      <c r="X17" s="66"/>
      <c r="Y17" s="81"/>
      <c r="Z17" s="66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391"/>
      <c r="AQ17" s="32"/>
      <c r="AR17" s="32"/>
      <c r="AS17" s="429">
        <f>$AN17</f>
        <v>0</v>
      </c>
      <c r="AT17" s="32"/>
      <c r="AU17" s="32"/>
      <c r="AV17" s="32"/>
      <c r="AW17" s="32"/>
      <c r="AX17" s="66"/>
      <c r="AY17" s="81"/>
      <c r="AZ17" s="66"/>
      <c r="BA17" s="65"/>
      <c r="BB17" s="65"/>
      <c r="BC17" s="429"/>
      <c r="BD17" s="429"/>
      <c r="BE17" s="429"/>
      <c r="BF17" s="429"/>
      <c r="BG17" s="429"/>
      <c r="BH17" s="429"/>
      <c r="BI17" s="429"/>
      <c r="BJ17" s="429"/>
      <c r="BK17" s="452"/>
      <c r="BL17" s="538"/>
      <c r="BM17" s="538"/>
      <c r="BN17" s="538"/>
      <c r="BO17" s="538"/>
      <c r="BP17" s="538"/>
      <c r="BQ17" s="538"/>
      <c r="BR17" s="538"/>
      <c r="BS17" s="27"/>
      <c r="BT17" s="25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20"/>
      <c r="CH17" s="20"/>
      <c r="CI17" s="14"/>
      <c r="CJ17" s="510"/>
      <c r="CK17" s="621"/>
      <c r="CL17" s="768"/>
      <c r="CM17" s="621"/>
      <c r="CN17" s="623"/>
      <c r="CO17" s="623"/>
      <c r="CP17" s="623"/>
      <c r="CQ17" s="623"/>
      <c r="CR17" s="623"/>
      <c r="CS17" s="623"/>
      <c r="CT17" s="623"/>
      <c r="CU17" s="623"/>
      <c r="CV17" s="623"/>
      <c r="CW17" s="510"/>
      <c r="CX17" s="439"/>
      <c r="CY17" s="623"/>
      <c r="CZ17" s="623"/>
      <c r="DA17" s="623"/>
      <c r="DB17" s="623"/>
      <c r="DC17" s="623"/>
      <c r="DD17" s="511"/>
      <c r="DE17" s="960"/>
      <c r="DF17" s="621"/>
      <c r="DG17" s="768"/>
      <c r="DH17" s="621"/>
      <c r="DI17" s="511"/>
      <c r="DJ17" s="511"/>
      <c r="DK17" s="511"/>
      <c r="DL17" s="511"/>
      <c r="DM17" s="511"/>
      <c r="DN17" s="511"/>
      <c r="DO17" s="511"/>
      <c r="DP17" s="511"/>
      <c r="DQ17" s="511"/>
      <c r="DR17" s="511"/>
      <c r="DS17" s="511"/>
      <c r="DT17" s="511"/>
      <c r="DU17" s="511"/>
      <c r="DV17" s="511"/>
      <c r="DW17" s="511"/>
      <c r="DX17" s="511"/>
      <c r="DY17" s="511"/>
      <c r="DZ17" s="511"/>
      <c r="EA17" s="511"/>
      <c r="EB17" s="511"/>
      <c r="EC17" s="511">
        <f t="shared" ref="EC17:EC63" si="2">SUM(DK17:EB17)</f>
        <v>0</v>
      </c>
      <c r="ED17" s="960"/>
      <c r="EE17" s="453"/>
      <c r="EF17" s="453"/>
      <c r="EG17" s="453"/>
      <c r="EH17" s="453"/>
    </row>
    <row r="18" spans="1:138" s="16" customFormat="1" ht="15" x14ac:dyDescent="0.2">
      <c r="A18" s="120" t="s">
        <v>441</v>
      </c>
      <c r="B18" s="9"/>
      <c r="C18" s="9"/>
      <c r="D18" s="4"/>
      <c r="E18" s="25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20"/>
      <c r="S18" s="20"/>
      <c r="T18" s="14"/>
      <c r="U18" s="14"/>
      <c r="V18" s="108"/>
      <c r="W18" s="66"/>
      <c r="X18" s="66"/>
      <c r="Y18" s="112"/>
      <c r="Z18" s="66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391"/>
      <c r="AQ18" s="32"/>
      <c r="AR18" s="32"/>
      <c r="AS18" s="429">
        <f>$AN18</f>
        <v>0</v>
      </c>
      <c r="AT18" s="32"/>
      <c r="AU18" s="32"/>
      <c r="AV18" s="32"/>
      <c r="AW18" s="32"/>
      <c r="AX18" s="66"/>
      <c r="AY18" s="112"/>
      <c r="AZ18" s="66"/>
      <c r="BA18" s="65"/>
      <c r="BB18" s="65"/>
      <c r="BC18" s="429"/>
      <c r="BD18" s="429"/>
      <c r="BE18" s="429"/>
      <c r="BF18" s="429"/>
      <c r="BG18" s="429"/>
      <c r="BH18" s="429"/>
      <c r="BI18" s="429"/>
      <c r="BJ18" s="429"/>
      <c r="BK18" s="452"/>
      <c r="BL18" s="538"/>
      <c r="BM18" s="538"/>
      <c r="BN18" s="538"/>
      <c r="BO18" s="538"/>
      <c r="BP18" s="538"/>
      <c r="BQ18" s="538"/>
      <c r="BR18" s="538"/>
      <c r="BS18" s="4"/>
      <c r="BT18" s="25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20"/>
      <c r="CH18" s="20"/>
      <c r="CI18" s="14"/>
      <c r="CJ18" s="510"/>
      <c r="CK18" s="621"/>
      <c r="CL18" s="952"/>
      <c r="CM18" s="621"/>
      <c r="CN18" s="623"/>
      <c r="CO18" s="623"/>
      <c r="CP18" s="623"/>
      <c r="CQ18" s="623"/>
      <c r="CR18" s="623"/>
      <c r="CS18" s="623"/>
      <c r="CT18" s="623"/>
      <c r="CU18" s="623"/>
      <c r="CV18" s="623"/>
      <c r="CW18" s="510"/>
      <c r="CX18" s="439"/>
      <c r="CY18" s="623"/>
      <c r="CZ18" s="623"/>
      <c r="DA18" s="623"/>
      <c r="DB18" s="623"/>
      <c r="DC18" s="623"/>
      <c r="DD18" s="511"/>
      <c r="DE18" s="960"/>
      <c r="DF18" s="621"/>
      <c r="DG18" s="952"/>
      <c r="DH18" s="621"/>
      <c r="DI18" s="511"/>
      <c r="DJ18" s="511"/>
      <c r="DK18" s="511"/>
      <c r="DL18" s="511"/>
      <c r="DM18" s="511"/>
      <c r="DN18" s="511"/>
      <c r="DO18" s="511"/>
      <c r="DP18" s="511"/>
      <c r="DQ18" s="511"/>
      <c r="DR18" s="511"/>
      <c r="DS18" s="511"/>
      <c r="DT18" s="511"/>
      <c r="DU18" s="511"/>
      <c r="DV18" s="511"/>
      <c r="DW18" s="511"/>
      <c r="DX18" s="511"/>
      <c r="DY18" s="511"/>
      <c r="DZ18" s="511"/>
      <c r="EA18" s="511"/>
      <c r="EB18" s="511"/>
      <c r="EC18" s="511">
        <f t="shared" si="2"/>
        <v>0</v>
      </c>
      <c r="ED18" s="960"/>
      <c r="EE18" s="453"/>
      <c r="EF18" s="453"/>
      <c r="EG18" s="453"/>
      <c r="EH18" s="453"/>
    </row>
    <row r="19" spans="1:138" s="16" customFormat="1" ht="15" x14ac:dyDescent="0.2">
      <c r="A19" s="411" t="s">
        <v>106</v>
      </c>
      <c r="B19" s="411" t="s">
        <v>977</v>
      </c>
      <c r="C19" s="423" t="s">
        <v>314</v>
      </c>
      <c r="D19" s="424">
        <v>10</v>
      </c>
      <c r="E19" s="425">
        <v>0.1</v>
      </c>
      <c r="F19" s="415">
        <v>42404</v>
      </c>
      <c r="G19" s="424">
        <f>D19*12</f>
        <v>120</v>
      </c>
      <c r="H19" s="413">
        <f>100/G19</f>
        <v>0.83333333333333337</v>
      </c>
      <c r="I19" s="414">
        <v>0</v>
      </c>
      <c r="J19" s="412">
        <v>0</v>
      </c>
      <c r="K19" s="414">
        <f>L19*H19</f>
        <v>100</v>
      </c>
      <c r="L19" s="412">
        <f>G19-J19</f>
        <v>120</v>
      </c>
      <c r="M19" s="414">
        <v>0</v>
      </c>
      <c r="N19" s="412">
        <v>0</v>
      </c>
      <c r="O19" s="414">
        <f>P19*H19</f>
        <v>100</v>
      </c>
      <c r="P19" s="412">
        <f>L19-N19</f>
        <v>120</v>
      </c>
      <c r="Q19" s="412"/>
      <c r="R19" s="426">
        <v>1021189</v>
      </c>
      <c r="S19" s="415">
        <v>42404</v>
      </c>
      <c r="T19" s="416">
        <v>5625.48</v>
      </c>
      <c r="U19" s="427">
        <v>0</v>
      </c>
      <c r="V19" s="417">
        <v>0</v>
      </c>
      <c r="W19" s="428"/>
      <c r="X19" s="418">
        <v>115.958</v>
      </c>
      <c r="Y19" s="419">
        <v>119.505</v>
      </c>
      <c r="Z19" s="418">
        <f>X19/Y19</f>
        <v>0.97031923350487426</v>
      </c>
      <c r="AA19" s="420">
        <v>0</v>
      </c>
      <c r="AB19" s="420">
        <f>AA19*Z19</f>
        <v>0</v>
      </c>
      <c r="AC19" s="420"/>
      <c r="AD19" s="420"/>
      <c r="AE19" s="420"/>
      <c r="AF19" s="420"/>
      <c r="AG19" s="420"/>
      <c r="AH19" s="420"/>
      <c r="AI19" s="420"/>
      <c r="AJ19" s="420"/>
      <c r="AK19" s="420"/>
      <c r="AL19" s="420"/>
      <c r="AM19" s="420"/>
      <c r="AN19" s="420">
        <v>0</v>
      </c>
      <c r="AO19" s="420">
        <f>SUM(AC19:AN19)</f>
        <v>0</v>
      </c>
      <c r="AP19" s="433">
        <f>T19-AO19</f>
        <v>5625.48</v>
      </c>
      <c r="AQ19" s="420">
        <f>(AP19*E19)/12</f>
        <v>46.878999999999998</v>
      </c>
      <c r="AR19" s="420">
        <f>AQ19*Z19</f>
        <v>45.487595347475001</v>
      </c>
      <c r="AS19" s="429">
        <f>$AN19</f>
        <v>0</v>
      </c>
      <c r="AT19" s="420">
        <f>AR19</f>
        <v>45.487595347475001</v>
      </c>
      <c r="AU19" s="420">
        <f>AT19</f>
        <v>45.487595347475001</v>
      </c>
      <c r="AV19" s="481">
        <f>AU19</f>
        <v>45.487595347475001</v>
      </c>
      <c r="AW19" s="420">
        <f>AV19</f>
        <v>45.487595347475001</v>
      </c>
      <c r="AX19" s="419">
        <v>118.901</v>
      </c>
      <c r="AY19" s="419">
        <v>119.505</v>
      </c>
      <c r="AZ19" s="418">
        <f>AX19/AY19</f>
        <v>0.99494581816660388</v>
      </c>
      <c r="BA19" s="420">
        <f>T19/(D19*12)</f>
        <v>46.878999999999998</v>
      </c>
      <c r="BB19" s="420">
        <f>BA19*AZ19</f>
        <v>46.642065009832223</v>
      </c>
      <c r="BC19" s="429">
        <f t="shared" ref="BC19:BI20" si="3">$BB19</f>
        <v>46.642065009832223</v>
      </c>
      <c r="BD19" s="429">
        <f t="shared" si="3"/>
        <v>46.642065009832223</v>
      </c>
      <c r="BE19" s="429">
        <f t="shared" si="3"/>
        <v>46.642065009832223</v>
      </c>
      <c r="BF19" s="429">
        <f t="shared" si="3"/>
        <v>46.642065009832223</v>
      </c>
      <c r="BG19" s="429">
        <f t="shared" si="3"/>
        <v>46.642065009832223</v>
      </c>
      <c r="BH19" s="429">
        <f t="shared" si="3"/>
        <v>46.642065009832223</v>
      </c>
      <c r="BI19" s="429">
        <f t="shared" si="3"/>
        <v>46.642065009832223</v>
      </c>
      <c r="BJ19" s="429">
        <f>SUM((AS19:AW19),(BC19:BI19))</f>
        <v>508.44483645872549</v>
      </c>
      <c r="BK19" s="452">
        <f>(AP19-BJ19)</f>
        <v>5117.0351635412744</v>
      </c>
      <c r="BL19" s="538">
        <f>$BB19</f>
        <v>46.642065009832223</v>
      </c>
      <c r="BM19" s="538">
        <f>$BB19</f>
        <v>46.642065009832223</v>
      </c>
      <c r="BN19" s="538">
        <f>$BB19</f>
        <v>46.642065009832223</v>
      </c>
      <c r="BO19" s="538">
        <f>$BB19</f>
        <v>46.642065009832223</v>
      </c>
      <c r="BP19" s="538">
        <f>$BB19</f>
        <v>46.642065009832223</v>
      </c>
      <c r="BQ19" s="538">
        <f>SUM(BL19:BP19)</f>
        <v>233.2103250491611</v>
      </c>
      <c r="BR19" s="538">
        <f>BK19-BQ19</f>
        <v>4883.8248384921135</v>
      </c>
      <c r="BS19" s="58">
        <v>10</v>
      </c>
      <c r="BT19" s="25">
        <v>0.1</v>
      </c>
      <c r="BU19" s="46">
        <v>43281</v>
      </c>
      <c r="BV19" s="58">
        <f>BS19*12</f>
        <v>120</v>
      </c>
      <c r="BW19" s="145">
        <f>CI19/BV19/100</f>
        <v>0.46878999999999998</v>
      </c>
      <c r="BX19" s="165">
        <f>BW19*BY19</f>
        <v>13.12612</v>
      </c>
      <c r="BY19" s="48">
        <f>(YEAR(BU19)-YEAR(CH19))*12+MONTH(BU19)-MONTH(CH19)</f>
        <v>28</v>
      </c>
      <c r="BZ19" s="165">
        <f>CA19*BW19</f>
        <v>43.128679999999996</v>
      </c>
      <c r="CA19" s="48">
        <f>BV19-BY19</f>
        <v>92</v>
      </c>
      <c r="CB19" s="165">
        <v>0</v>
      </c>
      <c r="CC19" s="48">
        <f>BV19-BY19</f>
        <v>92</v>
      </c>
      <c r="CD19" s="165">
        <f>CE19*BW19</f>
        <v>0</v>
      </c>
      <c r="CE19" s="48">
        <f>CA19-CC19</f>
        <v>0</v>
      </c>
      <c r="CF19" s="462">
        <f>DATE(YEAR(CH19),MONTH(CH19)+BV19,DAY(CH19))</f>
        <v>46057</v>
      </c>
      <c r="CG19" s="125">
        <v>1021189</v>
      </c>
      <c r="CH19" s="119">
        <v>42404</v>
      </c>
      <c r="CI19" s="134">
        <v>5625.48</v>
      </c>
      <c r="CJ19" s="510">
        <v>4883.8248384921135</v>
      </c>
      <c r="CK19" s="656">
        <v>126.408</v>
      </c>
      <c r="CL19" s="688">
        <v>119.505</v>
      </c>
      <c r="CM19" s="656">
        <f>CK19/CL19</f>
        <v>1.0577632735032008</v>
      </c>
      <c r="CN19" s="511">
        <f>CJ19/CC19</f>
        <v>53.08505259230558</v>
      </c>
      <c r="CO19" s="511">
        <f>CN19*CM19</f>
        <v>56.151419004126723</v>
      </c>
      <c r="CP19" s="511">
        <v>49.67240911903518</v>
      </c>
      <c r="CQ19" s="511">
        <v>49.67240911903518</v>
      </c>
      <c r="CR19" s="511">
        <v>49.67240911903518</v>
      </c>
      <c r="CS19" s="511">
        <v>49.67240911903518</v>
      </c>
      <c r="CT19" s="511">
        <v>49.67240911903518</v>
      </c>
      <c r="CU19" s="511">
        <v>49.67240911903518</v>
      </c>
      <c r="CV19" s="511">
        <v>49.67240911903518</v>
      </c>
      <c r="CW19" s="510">
        <f>SUM(CP19:CV19)</f>
        <v>347.7068638332463</v>
      </c>
      <c r="CX19" s="439">
        <f>CJ19-CW19</f>
        <v>4536.1179746588668</v>
      </c>
      <c r="CY19" s="511">
        <v>49.67240911903518</v>
      </c>
      <c r="CZ19" s="511">
        <v>49.67240911903518</v>
      </c>
      <c r="DA19" s="511">
        <v>49.67240911903518</v>
      </c>
      <c r="DB19" s="511">
        <v>49.67240911903518</v>
      </c>
      <c r="DC19" s="511">
        <v>49.67240911903518</v>
      </c>
      <c r="DD19" s="511">
        <f t="shared" si="1"/>
        <v>248.36204559517591</v>
      </c>
      <c r="DE19" s="960">
        <f t="shared" ref="DE19:DE63" si="4">CX19-DD19</f>
        <v>4287.7559290636909</v>
      </c>
      <c r="DF19" s="656">
        <v>132.28200000000001</v>
      </c>
      <c r="DG19" s="688">
        <v>119.505</v>
      </c>
      <c r="DH19" s="656">
        <f>DF19/DG19</f>
        <v>1.1069160286180495</v>
      </c>
      <c r="DI19" s="511">
        <f>DE19/CC19</f>
        <v>46.60604270721403</v>
      </c>
      <c r="DJ19" s="511">
        <f t="shared" ref="DJ19:DJ63" si="5">DI19*DH19</f>
        <v>51.588975703072563</v>
      </c>
      <c r="DK19" s="511">
        <v>51.59</v>
      </c>
      <c r="DL19" s="511">
        <v>51.59</v>
      </c>
      <c r="DM19" s="511">
        <v>51.59</v>
      </c>
      <c r="DN19" s="511">
        <v>51.59</v>
      </c>
      <c r="DO19" s="511">
        <v>51.59</v>
      </c>
      <c r="DP19" s="511">
        <v>51.59</v>
      </c>
      <c r="DQ19" s="511">
        <v>51.59</v>
      </c>
      <c r="DR19" s="511">
        <v>51.59</v>
      </c>
      <c r="DS19" s="511">
        <v>51.59</v>
      </c>
      <c r="DT19" s="511">
        <v>51.59</v>
      </c>
      <c r="DU19" s="511">
        <v>51.59</v>
      </c>
      <c r="DV19" s="511">
        <v>51.59</v>
      </c>
      <c r="DW19" s="511">
        <v>51.59</v>
      </c>
      <c r="DX19" s="511">
        <v>51.59</v>
      </c>
      <c r="DY19" s="511">
        <v>51.59</v>
      </c>
      <c r="DZ19" s="511">
        <v>51.59</v>
      </c>
      <c r="EA19" s="511">
        <v>51.59</v>
      </c>
      <c r="EB19" s="511">
        <v>51.59</v>
      </c>
      <c r="EC19" s="511">
        <f t="shared" si="2"/>
        <v>928.62000000000046</v>
      </c>
      <c r="ED19" s="960">
        <f>DE19-EC19</f>
        <v>3359.1359290636906</v>
      </c>
      <c r="EE19" s="453"/>
      <c r="EF19" s="453"/>
      <c r="EG19" s="453"/>
      <c r="EH19" s="453"/>
    </row>
    <row r="20" spans="1:138" s="16" customFormat="1" ht="15" x14ac:dyDescent="0.2">
      <c r="A20" s="100" t="s">
        <v>106</v>
      </c>
      <c r="B20" s="100" t="s">
        <v>440</v>
      </c>
      <c r="C20" s="45" t="s">
        <v>322</v>
      </c>
      <c r="D20" s="58">
        <v>10</v>
      </c>
      <c r="E20" s="53">
        <v>0.1</v>
      </c>
      <c r="F20" s="46">
        <v>42185</v>
      </c>
      <c r="G20" s="48">
        <v>120</v>
      </c>
      <c r="H20" s="145">
        <f>100/G20</f>
        <v>0.83333333333333337</v>
      </c>
      <c r="I20" s="165">
        <f>H20*J20</f>
        <v>74.166666666666671</v>
      </c>
      <c r="J20" s="48">
        <f>(YEAR(F20)-YEAR(S20))*12+MONTH(F20)-MONTH(S20)</f>
        <v>89</v>
      </c>
      <c r="K20" s="165">
        <f>L20*H20</f>
        <v>25.833333333333336</v>
      </c>
      <c r="L20" s="48">
        <f>G20-J20</f>
        <v>31</v>
      </c>
      <c r="M20" s="165">
        <f>N20*H20</f>
        <v>5.8333333333333339</v>
      </c>
      <c r="N20" s="48">
        <v>7</v>
      </c>
      <c r="O20" s="165">
        <f>P20*H20</f>
        <v>20</v>
      </c>
      <c r="P20" s="48">
        <f>L20-N20</f>
        <v>24</v>
      </c>
      <c r="Q20" s="46">
        <v>42428</v>
      </c>
      <c r="R20" s="46" t="s">
        <v>445</v>
      </c>
      <c r="S20" s="46">
        <v>39448</v>
      </c>
      <c r="T20" s="47">
        <v>650</v>
      </c>
      <c r="U20" s="47">
        <v>129.97999999999999</v>
      </c>
      <c r="V20" s="106">
        <v>27.1</v>
      </c>
      <c r="W20" s="165">
        <v>0</v>
      </c>
      <c r="X20" s="57">
        <v>115.958</v>
      </c>
      <c r="Y20" s="168">
        <v>126.146</v>
      </c>
      <c r="Z20" s="57">
        <f>X20/Y20</f>
        <v>0.91923644031519036</v>
      </c>
      <c r="AA20" s="55">
        <f>U20*M20/100/K20*100/7</f>
        <v>4.192903225806452</v>
      </c>
      <c r="AB20" s="55">
        <f>AA20*Z20</f>
        <v>3.8542694358764016</v>
      </c>
      <c r="AC20" s="55"/>
      <c r="AD20" s="55"/>
      <c r="AE20" s="55"/>
      <c r="AF20" s="55"/>
      <c r="AG20" s="55"/>
      <c r="AH20" s="55">
        <f>AB20</f>
        <v>3.8542694358764016</v>
      </c>
      <c r="AI20" s="55">
        <v>3.8542694358764016</v>
      </c>
      <c r="AJ20" s="55">
        <v>3.8542694358764016</v>
      </c>
      <c r="AK20" s="55">
        <v>3.8542694358764016</v>
      </c>
      <c r="AL20" s="55">
        <v>3.8542694358764016</v>
      </c>
      <c r="AM20" s="55">
        <v>3.8542694358764016</v>
      </c>
      <c r="AN20" s="55">
        <v>3.8542694358763998</v>
      </c>
      <c r="AO20" s="55">
        <f>SUM(AC20:AN20)+V20</f>
        <v>54.079886051134807</v>
      </c>
      <c r="AP20" s="392">
        <f>U20-AO20</f>
        <v>75.900113948865183</v>
      </c>
      <c r="AQ20" s="431"/>
      <c r="AR20" s="32"/>
      <c r="AS20" s="429">
        <f>$AN20</f>
        <v>3.8542694358763998</v>
      </c>
      <c r="AT20" s="429">
        <f>$AN20</f>
        <v>3.8542694358763998</v>
      </c>
      <c r="AU20" s="429">
        <f>$AN20</f>
        <v>3.8542694358763998</v>
      </c>
      <c r="AV20" s="429">
        <f>$AN20</f>
        <v>3.8542694358763998</v>
      </c>
      <c r="AW20" s="429">
        <f>$AN20</f>
        <v>3.8542694358763998</v>
      </c>
      <c r="AX20" s="168">
        <v>118.901</v>
      </c>
      <c r="AY20" s="168">
        <v>126.146</v>
      </c>
      <c r="AZ20" s="57">
        <f>AX20/AY20</f>
        <v>0.94256654987078459</v>
      </c>
      <c r="BA20" s="55">
        <f>T20/(D20*12)</f>
        <v>5.416666666666667</v>
      </c>
      <c r="BB20" s="55">
        <f>BA20*AZ20</f>
        <v>5.105568811800083</v>
      </c>
      <c r="BC20" s="429">
        <f t="shared" si="3"/>
        <v>5.105568811800083</v>
      </c>
      <c r="BD20" s="429">
        <f t="shared" si="3"/>
        <v>5.105568811800083</v>
      </c>
      <c r="BE20" s="429">
        <f t="shared" si="3"/>
        <v>5.105568811800083</v>
      </c>
      <c r="BF20" s="429">
        <f t="shared" si="3"/>
        <v>5.105568811800083</v>
      </c>
      <c r="BG20" s="429">
        <f t="shared" si="3"/>
        <v>5.105568811800083</v>
      </c>
      <c r="BH20" s="429">
        <f t="shared" si="3"/>
        <v>5.105568811800083</v>
      </c>
      <c r="BI20" s="429">
        <f t="shared" si="3"/>
        <v>5.105568811800083</v>
      </c>
      <c r="BJ20" s="429">
        <f>SUM((AS20:AW20),(BC20:BI20))</f>
        <v>55.010328861982579</v>
      </c>
      <c r="BK20" s="452">
        <f>(AP20-BJ20)</f>
        <v>20.889785086882604</v>
      </c>
      <c r="BL20" s="538">
        <f>$BB20</f>
        <v>5.105568811800083</v>
      </c>
      <c r="BM20" s="538">
        <f>$BB20</f>
        <v>5.105568811800083</v>
      </c>
      <c r="BN20" s="538">
        <f>$BB20</f>
        <v>5.105568811800083</v>
      </c>
      <c r="BO20" s="538">
        <v>4.57</v>
      </c>
      <c r="BP20" s="538">
        <v>0</v>
      </c>
      <c r="BQ20" s="538">
        <f>SUM(BL20:BP20)</f>
        <v>19.886706435400249</v>
      </c>
      <c r="BR20" s="538">
        <f>BK20-BQ20</f>
        <v>1.0030786514823546</v>
      </c>
      <c r="BS20" s="58">
        <v>10</v>
      </c>
      <c r="BT20" s="53">
        <v>0.1</v>
      </c>
      <c r="BU20" s="46">
        <v>43281</v>
      </c>
      <c r="BV20" s="48">
        <v>120</v>
      </c>
      <c r="BW20" s="145">
        <f>CI20/BV20/100</f>
        <v>5.4166666666666669E-2</v>
      </c>
      <c r="BX20" s="165">
        <f>BW20*BY20</f>
        <v>6.7708333333333339</v>
      </c>
      <c r="BY20" s="48">
        <f>(YEAR(BU20)-YEAR(CH20))*12+MONTH(BU20)-MONTH(CH20)</f>
        <v>125</v>
      </c>
      <c r="BZ20" s="165">
        <f>CA20*BW20</f>
        <v>-0.27083333333333337</v>
      </c>
      <c r="CA20" s="48">
        <f>BV20-BY20</f>
        <v>-5</v>
      </c>
      <c r="CB20" s="165">
        <f>CC20*BW20</f>
        <v>-0.27083333333333337</v>
      </c>
      <c r="CC20" s="48">
        <f>BV20-BY20</f>
        <v>-5</v>
      </c>
      <c r="CD20" s="165">
        <f>CE20*BW20</f>
        <v>0</v>
      </c>
      <c r="CE20" s="48">
        <f>CA20-CC20</f>
        <v>0</v>
      </c>
      <c r="CF20" s="462">
        <f>DATE(YEAR(CH20),MONTH(CH20)+BV20,DAY(CH20))</f>
        <v>43101</v>
      </c>
      <c r="CG20" s="46" t="s">
        <v>445</v>
      </c>
      <c r="CH20" s="46">
        <v>39448</v>
      </c>
      <c r="CI20" s="47">
        <v>650</v>
      </c>
      <c r="CJ20" s="510">
        <v>1.0030786514823546</v>
      </c>
      <c r="CK20" s="656">
        <v>126.408</v>
      </c>
      <c r="CL20" s="953">
        <v>126.146</v>
      </c>
      <c r="CM20" s="656">
        <f>CK20/CL20</f>
        <v>1.0020769584449765</v>
      </c>
      <c r="CN20" s="511">
        <v>0</v>
      </c>
      <c r="CO20" s="511">
        <f>CN20*CM20</f>
        <v>0</v>
      </c>
      <c r="CP20" s="511">
        <v>0</v>
      </c>
      <c r="CQ20" s="511">
        <v>0</v>
      </c>
      <c r="CR20" s="511">
        <v>0</v>
      </c>
      <c r="CS20" s="511">
        <v>0</v>
      </c>
      <c r="CT20" s="511">
        <v>0</v>
      </c>
      <c r="CU20" s="511">
        <v>0</v>
      </c>
      <c r="CV20" s="511">
        <v>0</v>
      </c>
      <c r="CW20" s="510">
        <f>SUM(CP20:CV20)</f>
        <v>0</v>
      </c>
      <c r="CX20" s="439">
        <f>CJ20-CW20</f>
        <v>1.0030786514823546</v>
      </c>
      <c r="CY20" s="511">
        <v>0</v>
      </c>
      <c r="CZ20" s="511">
        <v>0</v>
      </c>
      <c r="DA20" s="511">
        <v>0</v>
      </c>
      <c r="DB20" s="511">
        <v>0</v>
      </c>
      <c r="DC20" s="511">
        <v>0</v>
      </c>
      <c r="DD20" s="511">
        <f t="shared" si="1"/>
        <v>0</v>
      </c>
      <c r="DE20" s="960">
        <f t="shared" si="4"/>
        <v>1.0030786514823546</v>
      </c>
      <c r="DF20" s="656">
        <v>132.28200000000001</v>
      </c>
      <c r="DG20" s="953">
        <v>126.146</v>
      </c>
      <c r="DH20" s="656">
        <f>DF20/DG20</f>
        <v>1.0486420496884563</v>
      </c>
      <c r="DI20" s="511">
        <v>0</v>
      </c>
      <c r="DJ20" s="511">
        <v>0</v>
      </c>
      <c r="DK20" s="511">
        <v>0</v>
      </c>
      <c r="DL20" s="511">
        <v>0</v>
      </c>
      <c r="DM20" s="511">
        <v>0</v>
      </c>
      <c r="DN20" s="511">
        <v>0</v>
      </c>
      <c r="DO20" s="511">
        <v>0</v>
      </c>
      <c r="DP20" s="511">
        <v>0</v>
      </c>
      <c r="DQ20" s="511">
        <v>0</v>
      </c>
      <c r="DR20" s="511">
        <v>0</v>
      </c>
      <c r="DS20" s="511">
        <v>0</v>
      </c>
      <c r="DT20" s="511">
        <v>0</v>
      </c>
      <c r="DU20" s="511">
        <v>0</v>
      </c>
      <c r="DV20" s="511">
        <v>0</v>
      </c>
      <c r="DW20" s="511">
        <v>0</v>
      </c>
      <c r="DX20" s="511">
        <v>0</v>
      </c>
      <c r="DY20" s="511">
        <v>0</v>
      </c>
      <c r="DZ20" s="511">
        <v>0</v>
      </c>
      <c r="EA20" s="511">
        <v>0</v>
      </c>
      <c r="EB20" s="511">
        <v>0</v>
      </c>
      <c r="EC20" s="511">
        <f t="shared" si="2"/>
        <v>0</v>
      </c>
      <c r="ED20" s="960">
        <f>DE20-EC20</f>
        <v>1.0030786514823546</v>
      </c>
      <c r="EE20" s="453"/>
      <c r="EF20" s="453"/>
      <c r="EG20" s="453"/>
      <c r="EH20" s="453"/>
    </row>
    <row r="21" spans="1:138" s="16" customFormat="1" ht="15" x14ac:dyDescent="0.2">
      <c r="A21" s="120" t="s">
        <v>71</v>
      </c>
      <c r="B21" s="120"/>
      <c r="C21" s="45"/>
      <c r="D21" s="27"/>
      <c r="E21" s="25"/>
      <c r="F21" s="46"/>
      <c r="G21" s="17"/>
      <c r="H21" s="145"/>
      <c r="I21" s="165"/>
      <c r="J21" s="48"/>
      <c r="K21" s="165"/>
      <c r="L21" s="48"/>
      <c r="M21" s="165"/>
      <c r="N21" s="48"/>
      <c r="O21" s="165"/>
      <c r="P21" s="48"/>
      <c r="Q21" s="48"/>
      <c r="R21" s="20"/>
      <c r="S21" s="20"/>
      <c r="T21" s="14"/>
      <c r="U21" s="14"/>
      <c r="V21" s="108"/>
      <c r="W21" s="66"/>
      <c r="X21" s="66"/>
      <c r="Y21" s="169"/>
      <c r="Z21" s="57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392"/>
      <c r="AQ21" s="32"/>
      <c r="AR21" s="32"/>
      <c r="AS21" s="32"/>
      <c r="AT21" s="32"/>
      <c r="AU21" s="32"/>
      <c r="AV21" s="32"/>
      <c r="AW21" s="32"/>
      <c r="AX21" s="168"/>
      <c r="AY21" s="169"/>
      <c r="AZ21" s="57"/>
      <c r="BA21" s="55"/>
      <c r="BB21" s="55"/>
      <c r="BC21" s="429"/>
      <c r="BD21" s="429"/>
      <c r="BE21" s="429"/>
      <c r="BF21" s="429"/>
      <c r="BG21" s="429"/>
      <c r="BH21" s="429"/>
      <c r="BI21" s="429"/>
      <c r="BJ21" s="429"/>
      <c r="BK21" s="452"/>
      <c r="BL21" s="538"/>
      <c r="BM21" s="538"/>
      <c r="BN21" s="538"/>
      <c r="BO21" s="538"/>
      <c r="BP21" s="538"/>
      <c r="BQ21" s="538"/>
      <c r="BR21" s="538"/>
      <c r="BS21" s="27"/>
      <c r="BT21" s="25"/>
      <c r="BU21" s="46"/>
      <c r="BV21" s="17"/>
      <c r="BW21" s="145"/>
      <c r="BX21" s="165"/>
      <c r="BY21" s="48"/>
      <c r="BZ21" s="165"/>
      <c r="CA21" s="48"/>
      <c r="CB21" s="165"/>
      <c r="CC21" s="48"/>
      <c r="CD21" s="165"/>
      <c r="CE21" s="48"/>
      <c r="CF21" s="48"/>
      <c r="CG21" s="20"/>
      <c r="CH21" s="20"/>
      <c r="CI21" s="14"/>
      <c r="CJ21" s="510"/>
      <c r="CK21" s="953"/>
      <c r="CL21" s="954"/>
      <c r="CM21" s="656"/>
      <c r="CN21" s="511"/>
      <c r="CO21" s="511"/>
      <c r="CP21" s="511"/>
      <c r="CQ21" s="511"/>
      <c r="CR21" s="511"/>
      <c r="CS21" s="511"/>
      <c r="CT21" s="511"/>
      <c r="CU21" s="511"/>
      <c r="CV21" s="511"/>
      <c r="CW21" s="510"/>
      <c r="CX21" s="439"/>
      <c r="CY21" s="511"/>
      <c r="CZ21" s="511"/>
      <c r="DA21" s="511"/>
      <c r="DB21" s="511"/>
      <c r="DC21" s="511"/>
      <c r="DD21" s="511"/>
      <c r="DE21" s="960"/>
      <c r="DF21" s="953"/>
      <c r="DG21" s="954"/>
      <c r="DH21" s="656"/>
      <c r="DI21" s="511"/>
      <c r="DJ21" s="511"/>
      <c r="DK21" s="511"/>
      <c r="DL21" s="511"/>
      <c r="DM21" s="511"/>
      <c r="DN21" s="511"/>
      <c r="DO21" s="511"/>
      <c r="DP21" s="511"/>
      <c r="DQ21" s="511"/>
      <c r="DR21" s="511"/>
      <c r="DS21" s="511"/>
      <c r="DT21" s="511"/>
      <c r="DU21" s="511"/>
      <c r="DV21" s="511"/>
      <c r="DW21" s="511"/>
      <c r="DX21" s="511"/>
      <c r="DY21" s="511"/>
      <c r="DZ21" s="511"/>
      <c r="EA21" s="511"/>
      <c r="EB21" s="511"/>
      <c r="EC21" s="511">
        <f t="shared" si="2"/>
        <v>0</v>
      </c>
      <c r="ED21" s="960"/>
      <c r="EE21" s="453"/>
      <c r="EF21" s="453"/>
      <c r="EG21" s="453"/>
      <c r="EH21" s="453"/>
    </row>
    <row r="22" spans="1:138" s="16" customFormat="1" ht="15" x14ac:dyDescent="0.2">
      <c r="A22" s="120" t="s">
        <v>76</v>
      </c>
      <c r="B22" s="28"/>
      <c r="C22" s="45"/>
      <c r="D22" s="4"/>
      <c r="E22" s="25"/>
      <c r="F22" s="46"/>
      <c r="G22" s="17"/>
      <c r="H22" s="145"/>
      <c r="I22" s="165"/>
      <c r="J22" s="48"/>
      <c r="K22" s="165"/>
      <c r="L22" s="48"/>
      <c r="M22" s="165"/>
      <c r="N22" s="48"/>
      <c r="O22" s="165"/>
      <c r="P22" s="48"/>
      <c r="Q22" s="48"/>
      <c r="R22" s="20"/>
      <c r="S22" s="20"/>
      <c r="T22" s="14"/>
      <c r="U22" s="14"/>
      <c r="V22" s="108"/>
      <c r="W22" s="66"/>
      <c r="X22" s="66"/>
      <c r="Y22" s="169"/>
      <c r="Z22" s="57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392"/>
      <c r="AQ22" s="32"/>
      <c r="AR22" s="32"/>
      <c r="AS22" s="32"/>
      <c r="AT22" s="32"/>
      <c r="AU22" s="32"/>
      <c r="AV22" s="32"/>
      <c r="AW22" s="32"/>
      <c r="AX22" s="168"/>
      <c r="AY22" s="169"/>
      <c r="AZ22" s="57"/>
      <c r="BA22" s="55"/>
      <c r="BB22" s="55"/>
      <c r="BC22" s="429"/>
      <c r="BD22" s="429"/>
      <c r="BE22" s="429"/>
      <c r="BF22" s="429"/>
      <c r="BG22" s="429"/>
      <c r="BH22" s="429"/>
      <c r="BI22" s="429"/>
      <c r="BJ22" s="429"/>
      <c r="BK22" s="452"/>
      <c r="BL22" s="538"/>
      <c r="BM22" s="538"/>
      <c r="BN22" s="538"/>
      <c r="BO22" s="538"/>
      <c r="BP22" s="538"/>
      <c r="BQ22" s="538"/>
      <c r="BR22" s="538"/>
      <c r="BS22" s="4"/>
      <c r="BT22" s="25"/>
      <c r="BU22" s="46"/>
      <c r="BV22" s="17"/>
      <c r="BW22" s="145"/>
      <c r="BX22" s="165"/>
      <c r="BY22" s="48"/>
      <c r="BZ22" s="165"/>
      <c r="CA22" s="48"/>
      <c r="CB22" s="165"/>
      <c r="CC22" s="48"/>
      <c r="CD22" s="165"/>
      <c r="CE22" s="48"/>
      <c r="CF22" s="48"/>
      <c r="CG22" s="20"/>
      <c r="CH22" s="20"/>
      <c r="CI22" s="14"/>
      <c r="CJ22" s="510"/>
      <c r="CK22" s="953"/>
      <c r="CL22" s="954"/>
      <c r="CM22" s="656"/>
      <c r="CN22" s="511"/>
      <c r="CO22" s="511"/>
      <c r="CP22" s="511"/>
      <c r="CQ22" s="511"/>
      <c r="CR22" s="511"/>
      <c r="CS22" s="511"/>
      <c r="CT22" s="511"/>
      <c r="CU22" s="511"/>
      <c r="CV22" s="511"/>
      <c r="CW22" s="510"/>
      <c r="CX22" s="439"/>
      <c r="CY22" s="511"/>
      <c r="CZ22" s="511"/>
      <c r="DA22" s="511"/>
      <c r="DB22" s="511"/>
      <c r="DC22" s="511"/>
      <c r="DD22" s="511"/>
      <c r="DE22" s="960"/>
      <c r="DF22" s="953"/>
      <c r="DG22" s="954"/>
      <c r="DH22" s="656"/>
      <c r="DI22" s="511"/>
      <c r="DJ22" s="511"/>
      <c r="DK22" s="511"/>
      <c r="DL22" s="511"/>
      <c r="DM22" s="511"/>
      <c r="DN22" s="511"/>
      <c r="DO22" s="511"/>
      <c r="DP22" s="511"/>
      <c r="DQ22" s="511"/>
      <c r="DR22" s="511"/>
      <c r="DS22" s="511"/>
      <c r="DT22" s="511"/>
      <c r="DU22" s="511"/>
      <c r="DV22" s="511"/>
      <c r="DW22" s="511"/>
      <c r="DX22" s="511"/>
      <c r="DY22" s="511"/>
      <c r="DZ22" s="511"/>
      <c r="EA22" s="511"/>
      <c r="EB22" s="511"/>
      <c r="EC22" s="511">
        <f t="shared" si="2"/>
        <v>0</v>
      </c>
      <c r="ED22" s="960"/>
      <c r="EE22" s="453"/>
      <c r="EF22" s="453"/>
      <c r="EG22" s="453"/>
      <c r="EH22" s="453"/>
    </row>
    <row r="23" spans="1:138" s="35" customFormat="1" ht="15" x14ac:dyDescent="0.2">
      <c r="A23" s="100" t="s">
        <v>107</v>
      </c>
      <c r="B23" s="100" t="s">
        <v>442</v>
      </c>
      <c r="C23" s="100" t="s">
        <v>322</v>
      </c>
      <c r="D23" s="8">
        <v>10</v>
      </c>
      <c r="E23" s="130">
        <v>0.1</v>
      </c>
      <c r="F23" s="119">
        <v>42185</v>
      </c>
      <c r="G23" s="125">
        <v>120</v>
      </c>
      <c r="H23" s="146">
        <f t="shared" ref="H23:H28" si="6">100/G23</f>
        <v>0.83333333333333337</v>
      </c>
      <c r="I23" s="1167">
        <f t="shared" ref="I23:I28" si="7">H23*J23</f>
        <v>74.166666666666671</v>
      </c>
      <c r="J23" s="125">
        <f>(YEAR(F23)-YEAR(S23))*12+MONTH(F23)-MONTH(S23)</f>
        <v>89</v>
      </c>
      <c r="K23" s="1167">
        <f t="shared" ref="K23:K28" si="8">L23*H23</f>
        <v>25.833333333333336</v>
      </c>
      <c r="L23" s="125">
        <f t="shared" ref="L23:L28" si="9">G23-J23</f>
        <v>31</v>
      </c>
      <c r="M23" s="1167">
        <f t="shared" ref="M23:M28" si="10">N23*H23</f>
        <v>5.8333333333333339</v>
      </c>
      <c r="N23" s="125">
        <v>7</v>
      </c>
      <c r="O23" s="1167">
        <f t="shared" ref="O23:O28" si="11">P23*H23</f>
        <v>20</v>
      </c>
      <c r="P23" s="125">
        <f t="shared" ref="P23:P28" si="12">L23-N23</f>
        <v>24</v>
      </c>
      <c r="Q23" s="125"/>
      <c r="R23" s="119" t="s">
        <v>445</v>
      </c>
      <c r="S23" s="119">
        <v>39448</v>
      </c>
      <c r="T23" s="134">
        <v>650</v>
      </c>
      <c r="U23" s="134">
        <v>129.97999999999999</v>
      </c>
      <c r="V23" s="7">
        <v>27.1</v>
      </c>
      <c r="W23" s="1167">
        <v>0</v>
      </c>
      <c r="X23" s="64">
        <v>115.958</v>
      </c>
      <c r="Y23" s="1168">
        <v>126.146</v>
      </c>
      <c r="Z23" s="64">
        <f t="shared" ref="Z23:Z28" si="13">X23/Y23</f>
        <v>0.91923644031519036</v>
      </c>
      <c r="AA23" s="62">
        <f>U23*M23/100/K23*100/7</f>
        <v>4.192903225806452</v>
      </c>
      <c r="AB23" s="62">
        <f t="shared" ref="AB23:AB28" si="14">AA23*Z23</f>
        <v>3.8542694358764016</v>
      </c>
      <c r="AC23" s="62"/>
      <c r="AD23" s="62"/>
      <c r="AE23" s="62"/>
      <c r="AF23" s="62"/>
      <c r="AG23" s="62"/>
      <c r="AH23" s="62">
        <f>AB23</f>
        <v>3.8542694358764016</v>
      </c>
      <c r="AI23" s="62">
        <v>3.8542694358764016</v>
      </c>
      <c r="AJ23" s="62">
        <v>3.8542694358764016</v>
      </c>
      <c r="AK23" s="62">
        <v>3.8542694358764016</v>
      </c>
      <c r="AL23" s="62">
        <v>3.8542694358764016</v>
      </c>
      <c r="AM23" s="62">
        <v>3.8542694358764016</v>
      </c>
      <c r="AN23" s="62">
        <v>3.8542694358764016</v>
      </c>
      <c r="AO23" s="62">
        <f t="shared" ref="AO23:AO28" si="15">SUM(AC23:AN23)+V23</f>
        <v>54.079886051134807</v>
      </c>
      <c r="AP23" s="1172">
        <f>U23-AO23</f>
        <v>75.900113948865183</v>
      </c>
      <c r="AQ23" s="509"/>
      <c r="AR23" s="509"/>
      <c r="AS23" s="510">
        <f>$AN23</f>
        <v>3.8542694358764016</v>
      </c>
      <c r="AT23" s="510">
        <f>$AN23</f>
        <v>3.8542694358764016</v>
      </c>
      <c r="AU23" s="510">
        <f>$AN23</f>
        <v>3.8542694358764016</v>
      </c>
      <c r="AV23" s="510">
        <f>$AN23</f>
        <v>3.8542694358764016</v>
      </c>
      <c r="AW23" s="510">
        <f>$AN23</f>
        <v>3.8542694358764016</v>
      </c>
      <c r="AX23" s="1168">
        <v>118.901</v>
      </c>
      <c r="AY23" s="1168">
        <v>126.146</v>
      </c>
      <c r="AZ23" s="64">
        <f t="shared" ref="AZ23:AZ28" si="16">AX23/AY23</f>
        <v>0.94256654987078459</v>
      </c>
      <c r="BA23" s="62">
        <f t="shared" ref="BA23:BA28" si="17">T23/(D23*12)</f>
        <v>5.416666666666667</v>
      </c>
      <c r="BB23" s="62">
        <f t="shared" ref="BB23:BB57" si="18">BA23*AZ23</f>
        <v>5.105568811800083</v>
      </c>
      <c r="BC23" s="510">
        <f t="shared" ref="BC23:BI28" si="19">$BB23</f>
        <v>5.105568811800083</v>
      </c>
      <c r="BD23" s="510">
        <f t="shared" si="19"/>
        <v>5.105568811800083</v>
      </c>
      <c r="BE23" s="510">
        <f t="shared" si="19"/>
        <v>5.105568811800083</v>
      </c>
      <c r="BF23" s="510">
        <f t="shared" si="19"/>
        <v>5.105568811800083</v>
      </c>
      <c r="BG23" s="510">
        <f t="shared" si="19"/>
        <v>5.105568811800083</v>
      </c>
      <c r="BH23" s="510">
        <f t="shared" si="19"/>
        <v>5.105568811800083</v>
      </c>
      <c r="BI23" s="510">
        <f t="shared" si="19"/>
        <v>5.105568811800083</v>
      </c>
      <c r="BJ23" s="510">
        <f t="shared" ref="BJ23:BJ28" si="20">SUM((AS23:AW23),(BC23:BI23))</f>
        <v>55.010328861982586</v>
      </c>
      <c r="BK23" s="452">
        <f t="shared" ref="BK23:BK51" si="21">(AP23-BJ23)</f>
        <v>20.889785086882597</v>
      </c>
      <c r="BL23" s="538">
        <f t="shared" ref="BL23:BN28" si="22">$BB23</f>
        <v>5.105568811800083</v>
      </c>
      <c r="BM23" s="538">
        <f t="shared" si="22"/>
        <v>5.105568811800083</v>
      </c>
      <c r="BN23" s="538">
        <f t="shared" si="22"/>
        <v>5.105568811800083</v>
      </c>
      <c r="BO23" s="538">
        <v>4.57</v>
      </c>
      <c r="BP23" s="538">
        <v>0</v>
      </c>
      <c r="BQ23" s="538">
        <f t="shared" ref="BQ23:BQ28" si="23">SUM(BL23:BP23)</f>
        <v>19.886706435400249</v>
      </c>
      <c r="BR23" s="538">
        <f t="shared" ref="BR23:BR28" si="24">BK23-BQ23</f>
        <v>1.0030786514823475</v>
      </c>
      <c r="BS23" s="8">
        <v>10</v>
      </c>
      <c r="BT23" s="130">
        <v>0.1</v>
      </c>
      <c r="BU23" s="119">
        <v>43281</v>
      </c>
      <c r="BV23" s="125">
        <v>120</v>
      </c>
      <c r="BW23" s="146">
        <f t="shared" ref="BW23:BW28" si="25">CI23/BV23/100</f>
        <v>5.4166666666666669E-2</v>
      </c>
      <c r="BX23" s="1167">
        <f t="shared" ref="BX23:BX28" si="26">BW23*BY23</f>
        <v>6.7708333333333339</v>
      </c>
      <c r="BY23" s="125">
        <f t="shared" ref="BY23:BY28" si="27">(YEAR(BU23)-YEAR(CH23))*12+MONTH(BU23)-MONTH(CH23)</f>
        <v>125</v>
      </c>
      <c r="BZ23" s="1167">
        <f t="shared" ref="BZ23:BZ28" si="28">CA23*BW23</f>
        <v>-0.27083333333333337</v>
      </c>
      <c r="CA23" s="125">
        <f t="shared" ref="CA23:CA28" si="29">BV23-BY23</f>
        <v>-5</v>
      </c>
      <c r="CB23" s="1167">
        <f t="shared" ref="CB23:CB28" si="30">CC23*BW23</f>
        <v>-0.27083333333333337</v>
      </c>
      <c r="CC23" s="125">
        <f t="shared" ref="CC23:CC28" si="31">BV23-BY23</f>
        <v>-5</v>
      </c>
      <c r="CD23" s="1167">
        <f t="shared" ref="CD23:CD28" si="32">CE23*BW23</f>
        <v>0</v>
      </c>
      <c r="CE23" s="125">
        <f t="shared" ref="CE23:CE28" si="33">CA23-CC23</f>
        <v>0</v>
      </c>
      <c r="CF23" s="367">
        <f t="shared" ref="CF23:CF28" si="34">DATE(YEAR(CH23),MONTH(CH23)+BV23,DAY(CH23))</f>
        <v>43101</v>
      </c>
      <c r="CG23" s="119" t="s">
        <v>445</v>
      </c>
      <c r="CH23" s="119">
        <v>39448</v>
      </c>
      <c r="CI23" s="134">
        <v>650</v>
      </c>
      <c r="CJ23" s="510">
        <v>1.0030786514823475</v>
      </c>
      <c r="CK23" s="1174">
        <v>126.408</v>
      </c>
      <c r="CL23" s="1175">
        <v>126.146</v>
      </c>
      <c r="CM23" s="1174">
        <f t="shared" ref="CM23:CM28" si="35">CK23/CL23</f>
        <v>1.0020769584449765</v>
      </c>
      <c r="CN23" s="510">
        <v>0</v>
      </c>
      <c r="CO23" s="510">
        <f t="shared" ref="CO23:CO28" si="36">CN23*CM23</f>
        <v>0</v>
      </c>
      <c r="CP23" s="510">
        <v>0</v>
      </c>
      <c r="CQ23" s="510">
        <v>0</v>
      </c>
      <c r="CR23" s="510">
        <v>0</v>
      </c>
      <c r="CS23" s="510">
        <v>0</v>
      </c>
      <c r="CT23" s="510">
        <v>0</v>
      </c>
      <c r="CU23" s="510">
        <v>0</v>
      </c>
      <c r="CV23" s="510">
        <v>0</v>
      </c>
      <c r="CW23" s="510">
        <f t="shared" ref="CW23:CW28" si="37">SUM(CP23:CV23)</f>
        <v>0</v>
      </c>
      <c r="CX23" s="439">
        <f t="shared" ref="CX23:CX28" si="38">CJ23-CW23</f>
        <v>1.0030786514823475</v>
      </c>
      <c r="CY23" s="510">
        <v>0</v>
      </c>
      <c r="CZ23" s="510">
        <v>0</v>
      </c>
      <c r="DA23" s="510">
        <v>0</v>
      </c>
      <c r="DB23" s="510">
        <v>0</v>
      </c>
      <c r="DC23" s="510">
        <v>0</v>
      </c>
      <c r="DD23" s="510">
        <f t="shared" si="1"/>
        <v>0</v>
      </c>
      <c r="DE23" s="960">
        <f t="shared" si="4"/>
        <v>1.0030786514823475</v>
      </c>
      <c r="DF23" s="1174">
        <v>132.28200000000001</v>
      </c>
      <c r="DG23" s="1175">
        <v>126.146</v>
      </c>
      <c r="DH23" s="1174">
        <f t="shared" ref="DH23:DH28" si="39">DF23/DG23</f>
        <v>1.0486420496884563</v>
      </c>
      <c r="DI23" s="510">
        <v>0</v>
      </c>
      <c r="DJ23" s="510">
        <f t="shared" si="5"/>
        <v>0</v>
      </c>
      <c r="DK23" s="510">
        <v>0</v>
      </c>
      <c r="DL23" s="510">
        <v>0</v>
      </c>
      <c r="DM23" s="510">
        <v>0</v>
      </c>
      <c r="DN23" s="510">
        <v>0</v>
      </c>
      <c r="DO23" s="510">
        <v>0</v>
      </c>
      <c r="DP23" s="510">
        <v>0</v>
      </c>
      <c r="DQ23" s="510">
        <v>0</v>
      </c>
      <c r="DR23" s="510">
        <v>0</v>
      </c>
      <c r="DS23" s="510">
        <v>0</v>
      </c>
      <c r="DT23" s="510">
        <v>0</v>
      </c>
      <c r="DU23" s="510">
        <v>0</v>
      </c>
      <c r="DV23" s="510">
        <v>0</v>
      </c>
      <c r="DW23" s="510">
        <v>0</v>
      </c>
      <c r="DX23" s="510">
        <v>0</v>
      </c>
      <c r="DY23" s="510">
        <v>0</v>
      </c>
      <c r="DZ23" s="510">
        <v>0</v>
      </c>
      <c r="EA23" s="510">
        <v>0</v>
      </c>
      <c r="EB23" s="510">
        <v>0</v>
      </c>
      <c r="EC23" s="511">
        <f t="shared" si="2"/>
        <v>0</v>
      </c>
      <c r="ED23" s="960">
        <f t="shared" ref="ED23:ED28" si="40">DE23-EC23</f>
        <v>1.0030786514823475</v>
      </c>
      <c r="EE23" s="579"/>
      <c r="EF23" s="579"/>
      <c r="EG23" s="579"/>
      <c r="EH23" s="579"/>
    </row>
    <row r="24" spans="1:138" s="16" customFormat="1" ht="15" x14ac:dyDescent="0.2">
      <c r="A24" s="100" t="s">
        <v>107</v>
      </c>
      <c r="B24" s="100" t="s">
        <v>443</v>
      </c>
      <c r="C24" s="45" t="s">
        <v>314</v>
      </c>
      <c r="D24" s="58">
        <v>10</v>
      </c>
      <c r="E24" s="53">
        <v>0.1</v>
      </c>
      <c r="F24" s="46">
        <v>42185</v>
      </c>
      <c r="G24" s="48">
        <v>120</v>
      </c>
      <c r="H24" s="145">
        <f t="shared" si="6"/>
        <v>0.83333333333333337</v>
      </c>
      <c r="I24" s="165">
        <f t="shared" si="7"/>
        <v>25.833333333333336</v>
      </c>
      <c r="J24" s="48">
        <f>(YEAR(F24)-YEAR(S24))*12+MONTH(F24)-MONTH(S24)</f>
        <v>31</v>
      </c>
      <c r="K24" s="165">
        <f t="shared" si="8"/>
        <v>74.166666666666671</v>
      </c>
      <c r="L24" s="48">
        <f t="shared" si="9"/>
        <v>89</v>
      </c>
      <c r="M24" s="165">
        <f t="shared" si="10"/>
        <v>5.8333333333333339</v>
      </c>
      <c r="N24" s="48">
        <v>7</v>
      </c>
      <c r="O24" s="165">
        <f t="shared" si="11"/>
        <v>68.333333333333343</v>
      </c>
      <c r="P24" s="48">
        <f t="shared" si="12"/>
        <v>82</v>
      </c>
      <c r="Q24" s="48"/>
      <c r="R24" s="46" t="s">
        <v>451</v>
      </c>
      <c r="S24" s="46">
        <v>41240</v>
      </c>
      <c r="T24" s="47">
        <v>2146</v>
      </c>
      <c r="U24" s="47">
        <v>1698.94</v>
      </c>
      <c r="V24" s="106">
        <v>89.4</v>
      </c>
      <c r="W24" s="165">
        <v>0</v>
      </c>
      <c r="X24" s="57">
        <v>115.958</v>
      </c>
      <c r="Y24" s="168">
        <v>107</v>
      </c>
      <c r="Z24" s="57">
        <f t="shared" si="13"/>
        <v>1.0837196261682243</v>
      </c>
      <c r="AA24" s="55">
        <f>U24*M24/100/K24*100/7</f>
        <v>19.089213483146072</v>
      </c>
      <c r="AB24" s="55">
        <f t="shared" si="14"/>
        <v>20.687355299800487</v>
      </c>
      <c r="AC24" s="55"/>
      <c r="AD24" s="55"/>
      <c r="AE24" s="55"/>
      <c r="AF24" s="55"/>
      <c r="AG24" s="55"/>
      <c r="AH24" s="55">
        <f>AB24</f>
        <v>20.687355299800487</v>
      </c>
      <c r="AI24" s="55">
        <v>20.687355299800487</v>
      </c>
      <c r="AJ24" s="55">
        <v>20.687355299800487</v>
      </c>
      <c r="AK24" s="55">
        <v>20.687355299800487</v>
      </c>
      <c r="AL24" s="55">
        <v>20.687355299800487</v>
      </c>
      <c r="AM24" s="55">
        <v>20.687355299800487</v>
      </c>
      <c r="AN24" s="55">
        <v>20.687355299800487</v>
      </c>
      <c r="AO24" s="55">
        <f t="shared" si="15"/>
        <v>234.21148709860341</v>
      </c>
      <c r="AP24" s="392">
        <f>U24-AO24</f>
        <v>1464.7285129013967</v>
      </c>
      <c r="AQ24" s="32"/>
      <c r="AR24" s="32"/>
      <c r="AS24" s="429">
        <f t="shared" ref="AS24:AW32" si="41">$AN24</f>
        <v>20.687355299800487</v>
      </c>
      <c r="AT24" s="429">
        <f t="shared" si="41"/>
        <v>20.687355299800487</v>
      </c>
      <c r="AU24" s="429">
        <f t="shared" si="41"/>
        <v>20.687355299800487</v>
      </c>
      <c r="AV24" s="429">
        <f t="shared" si="41"/>
        <v>20.687355299800487</v>
      </c>
      <c r="AW24" s="429">
        <f t="shared" si="41"/>
        <v>20.687355299800487</v>
      </c>
      <c r="AX24" s="168">
        <v>118.901</v>
      </c>
      <c r="AY24" s="168">
        <v>107</v>
      </c>
      <c r="AZ24" s="57">
        <f t="shared" si="16"/>
        <v>1.1112242990654204</v>
      </c>
      <c r="BA24" s="55">
        <f t="shared" si="17"/>
        <v>17.883333333333333</v>
      </c>
      <c r="BB24" s="55">
        <f t="shared" si="18"/>
        <v>19.8723945482866</v>
      </c>
      <c r="BC24" s="429">
        <f t="shared" si="19"/>
        <v>19.8723945482866</v>
      </c>
      <c r="BD24" s="429">
        <f t="shared" si="19"/>
        <v>19.8723945482866</v>
      </c>
      <c r="BE24" s="429">
        <f t="shared" si="19"/>
        <v>19.8723945482866</v>
      </c>
      <c r="BF24" s="429">
        <f t="shared" si="19"/>
        <v>19.8723945482866</v>
      </c>
      <c r="BG24" s="429">
        <f t="shared" si="19"/>
        <v>19.8723945482866</v>
      </c>
      <c r="BH24" s="429">
        <f t="shared" si="19"/>
        <v>19.8723945482866</v>
      </c>
      <c r="BI24" s="429">
        <f t="shared" si="19"/>
        <v>19.8723945482866</v>
      </c>
      <c r="BJ24" s="429">
        <f t="shared" si="20"/>
        <v>242.54353833700858</v>
      </c>
      <c r="BK24" s="452">
        <f t="shared" si="21"/>
        <v>1222.1849745643881</v>
      </c>
      <c r="BL24" s="538">
        <f t="shared" si="22"/>
        <v>19.8723945482866</v>
      </c>
      <c r="BM24" s="538">
        <f t="shared" si="22"/>
        <v>19.8723945482866</v>
      </c>
      <c r="BN24" s="538">
        <f t="shared" si="22"/>
        <v>19.8723945482866</v>
      </c>
      <c r="BO24" s="538">
        <f t="shared" ref="BO24:BP28" si="42">$BB24</f>
        <v>19.8723945482866</v>
      </c>
      <c r="BP24" s="538">
        <f t="shared" si="42"/>
        <v>19.8723945482866</v>
      </c>
      <c r="BQ24" s="538">
        <f t="shared" si="23"/>
        <v>99.361972741432993</v>
      </c>
      <c r="BR24" s="538">
        <f t="shared" si="24"/>
        <v>1122.8230018229551</v>
      </c>
      <c r="BS24" s="58">
        <v>10</v>
      </c>
      <c r="BT24" s="53">
        <v>0.1</v>
      </c>
      <c r="BU24" s="46">
        <v>43281</v>
      </c>
      <c r="BV24" s="48">
        <v>120</v>
      </c>
      <c r="BW24" s="145">
        <f t="shared" si="25"/>
        <v>0.17883333333333332</v>
      </c>
      <c r="BX24" s="165">
        <f t="shared" si="26"/>
        <v>11.981833333333332</v>
      </c>
      <c r="BY24" s="48">
        <f t="shared" si="27"/>
        <v>67</v>
      </c>
      <c r="BZ24" s="165">
        <f t="shared" si="28"/>
        <v>9.4781666666666666</v>
      </c>
      <c r="CA24" s="48">
        <f t="shared" si="29"/>
        <v>53</v>
      </c>
      <c r="CB24" s="165">
        <f t="shared" si="30"/>
        <v>9.4781666666666666</v>
      </c>
      <c r="CC24" s="48">
        <f t="shared" si="31"/>
        <v>53</v>
      </c>
      <c r="CD24" s="165">
        <f t="shared" si="32"/>
        <v>0</v>
      </c>
      <c r="CE24" s="48">
        <f t="shared" si="33"/>
        <v>0</v>
      </c>
      <c r="CF24" s="462">
        <f t="shared" si="34"/>
        <v>44892</v>
      </c>
      <c r="CG24" s="46" t="s">
        <v>451</v>
      </c>
      <c r="CH24" s="46">
        <v>41240</v>
      </c>
      <c r="CI24" s="47">
        <v>2146</v>
      </c>
      <c r="CJ24" s="510">
        <v>1122.8230018229551</v>
      </c>
      <c r="CK24" s="656">
        <v>126.408</v>
      </c>
      <c r="CL24" s="953">
        <v>107</v>
      </c>
      <c r="CM24" s="656">
        <f t="shared" si="35"/>
        <v>1.1813831775700934</v>
      </c>
      <c r="CN24" s="511">
        <f>CJ24/CA24</f>
        <v>21.185339657036888</v>
      </c>
      <c r="CO24" s="511">
        <f t="shared" si="36"/>
        <v>25.028003881931951</v>
      </c>
      <c r="CP24" s="511">
        <v>20.407449319113745</v>
      </c>
      <c r="CQ24" s="511">
        <v>20.407449319113745</v>
      </c>
      <c r="CR24" s="511">
        <v>20.407449319113745</v>
      </c>
      <c r="CS24" s="511">
        <v>20.407449319113745</v>
      </c>
      <c r="CT24" s="511">
        <v>20.407449319113745</v>
      </c>
      <c r="CU24" s="511">
        <v>20.407449319113745</v>
      </c>
      <c r="CV24" s="511">
        <v>20.407449319113745</v>
      </c>
      <c r="CW24" s="510">
        <f t="shared" si="37"/>
        <v>142.85214523379619</v>
      </c>
      <c r="CX24" s="439">
        <f t="shared" si="38"/>
        <v>979.97085658915898</v>
      </c>
      <c r="CY24" s="511">
        <v>20.407449319113745</v>
      </c>
      <c r="CZ24" s="511">
        <v>20.407449319113745</v>
      </c>
      <c r="DA24" s="511">
        <v>20.407449319113745</v>
      </c>
      <c r="DB24" s="511">
        <v>20.407449319113745</v>
      </c>
      <c r="DC24" s="511">
        <v>20.407449319113745</v>
      </c>
      <c r="DD24" s="511">
        <f t="shared" si="1"/>
        <v>102.03724659556872</v>
      </c>
      <c r="DE24" s="960">
        <f t="shared" si="4"/>
        <v>877.93360999359027</v>
      </c>
      <c r="DF24" s="656">
        <v>132.28200000000001</v>
      </c>
      <c r="DG24" s="953">
        <v>107</v>
      </c>
      <c r="DH24" s="656">
        <f t="shared" si="39"/>
        <v>1.2362803738317758</v>
      </c>
      <c r="DI24" s="511">
        <f>DE24/CC24</f>
        <v>16.564785094218685</v>
      </c>
      <c r="DJ24" s="511">
        <f t="shared" si="5"/>
        <v>20.478718708723704</v>
      </c>
      <c r="DK24" s="511">
        <v>20.48</v>
      </c>
      <c r="DL24" s="511">
        <v>20.48</v>
      </c>
      <c r="DM24" s="511">
        <v>20.48</v>
      </c>
      <c r="DN24" s="511">
        <v>20.48</v>
      </c>
      <c r="DO24" s="511">
        <v>20.48</v>
      </c>
      <c r="DP24" s="511">
        <v>20.48</v>
      </c>
      <c r="DQ24" s="511">
        <v>20.48</v>
      </c>
      <c r="DR24" s="511">
        <v>20.48</v>
      </c>
      <c r="DS24" s="511">
        <v>20.48</v>
      </c>
      <c r="DT24" s="511">
        <v>20.48</v>
      </c>
      <c r="DU24" s="511">
        <v>20.48</v>
      </c>
      <c r="DV24" s="511">
        <v>20.48</v>
      </c>
      <c r="DW24" s="511">
        <v>20.48</v>
      </c>
      <c r="DX24" s="511">
        <v>20.48</v>
      </c>
      <c r="DY24" s="511">
        <v>20.48</v>
      </c>
      <c r="DZ24" s="511">
        <v>20.48</v>
      </c>
      <c r="EA24" s="511">
        <v>20.48</v>
      </c>
      <c r="EB24" s="511">
        <v>20.48</v>
      </c>
      <c r="EC24" s="511">
        <f t="shared" si="2"/>
        <v>368.64000000000004</v>
      </c>
      <c r="ED24" s="960">
        <f t="shared" si="40"/>
        <v>509.29360999359022</v>
      </c>
      <c r="EE24" s="36"/>
      <c r="EF24" s="36"/>
      <c r="EG24" s="36"/>
      <c r="EH24" s="36"/>
    </row>
    <row r="25" spans="1:138" s="35" customFormat="1" ht="15" x14ac:dyDescent="0.2">
      <c r="A25" s="100" t="s">
        <v>107</v>
      </c>
      <c r="B25" s="100" t="s">
        <v>428</v>
      </c>
      <c r="C25" s="100" t="s">
        <v>314</v>
      </c>
      <c r="D25" s="8">
        <v>10</v>
      </c>
      <c r="E25" s="130">
        <v>0.1</v>
      </c>
      <c r="F25" s="119">
        <v>42185</v>
      </c>
      <c r="G25" s="125">
        <v>120</v>
      </c>
      <c r="H25" s="146">
        <f t="shared" si="6"/>
        <v>0.83333333333333337</v>
      </c>
      <c r="I25" s="1167">
        <f t="shared" si="7"/>
        <v>4.166666666666667</v>
      </c>
      <c r="J25" s="125">
        <f>(YEAR(F25)-YEAR(S25))*12+MONTH(F25)-MONTH(S25)</f>
        <v>5</v>
      </c>
      <c r="K25" s="1167">
        <f t="shared" si="8"/>
        <v>95.833333333333343</v>
      </c>
      <c r="L25" s="125">
        <f t="shared" si="9"/>
        <v>115</v>
      </c>
      <c r="M25" s="1167">
        <f t="shared" si="10"/>
        <v>5.8333333333333339</v>
      </c>
      <c r="N25" s="125">
        <v>7</v>
      </c>
      <c r="O25" s="1167">
        <f t="shared" si="11"/>
        <v>90</v>
      </c>
      <c r="P25" s="125">
        <f t="shared" si="12"/>
        <v>108</v>
      </c>
      <c r="Q25" s="125"/>
      <c r="R25" s="119" t="s">
        <v>453</v>
      </c>
      <c r="S25" s="119">
        <v>42025</v>
      </c>
      <c r="T25" s="134">
        <v>1450</v>
      </c>
      <c r="U25" s="134">
        <v>1450</v>
      </c>
      <c r="V25" s="7">
        <v>0</v>
      </c>
      <c r="W25" s="1167">
        <v>0</v>
      </c>
      <c r="X25" s="64">
        <v>115.958</v>
      </c>
      <c r="Y25" s="1168">
        <v>115.95399999999999</v>
      </c>
      <c r="Z25" s="64">
        <f t="shared" si="13"/>
        <v>1.0000344964382428</v>
      </c>
      <c r="AA25" s="62">
        <f>U25*M25/100/K25*100/7</f>
        <v>12.608695652173912</v>
      </c>
      <c r="AB25" s="62">
        <f t="shared" si="14"/>
        <v>12.609130607264801</v>
      </c>
      <c r="AC25" s="62"/>
      <c r="AD25" s="62"/>
      <c r="AE25" s="62"/>
      <c r="AF25" s="62"/>
      <c r="AG25" s="62"/>
      <c r="AH25" s="62">
        <f>AB25</f>
        <v>12.609130607264801</v>
      </c>
      <c r="AI25" s="62">
        <v>12.609130607264801</v>
      </c>
      <c r="AJ25" s="62">
        <v>12.609130607264801</v>
      </c>
      <c r="AK25" s="62">
        <v>12.609130607264801</v>
      </c>
      <c r="AL25" s="62">
        <v>12.609130607264801</v>
      </c>
      <c r="AM25" s="62">
        <v>12.609130607264801</v>
      </c>
      <c r="AN25" s="62">
        <v>12.609130607264801</v>
      </c>
      <c r="AO25" s="62">
        <f t="shared" si="15"/>
        <v>88.263914250853603</v>
      </c>
      <c r="AP25" s="1172">
        <f>U25-AO25</f>
        <v>1361.7360857491465</v>
      </c>
      <c r="AQ25" s="509"/>
      <c r="AR25" s="509"/>
      <c r="AS25" s="510">
        <f t="shared" si="41"/>
        <v>12.609130607264801</v>
      </c>
      <c r="AT25" s="510">
        <f t="shared" si="41"/>
        <v>12.609130607264801</v>
      </c>
      <c r="AU25" s="510">
        <f t="shared" si="41"/>
        <v>12.609130607264801</v>
      </c>
      <c r="AV25" s="510">
        <f t="shared" si="41"/>
        <v>12.609130607264801</v>
      </c>
      <c r="AW25" s="510">
        <f t="shared" si="41"/>
        <v>12.609130607264801</v>
      </c>
      <c r="AX25" s="1168">
        <v>118.901</v>
      </c>
      <c r="AY25" s="1168">
        <v>115.95399999999999</v>
      </c>
      <c r="AZ25" s="64">
        <f t="shared" si="16"/>
        <v>1.0254152508753471</v>
      </c>
      <c r="BA25" s="62">
        <f t="shared" si="17"/>
        <v>12.083333333333334</v>
      </c>
      <c r="BB25" s="62">
        <f t="shared" si="18"/>
        <v>12.390434281410444</v>
      </c>
      <c r="BC25" s="510">
        <f t="shared" si="19"/>
        <v>12.390434281410444</v>
      </c>
      <c r="BD25" s="510">
        <f t="shared" si="19"/>
        <v>12.390434281410444</v>
      </c>
      <c r="BE25" s="510">
        <f t="shared" si="19"/>
        <v>12.390434281410444</v>
      </c>
      <c r="BF25" s="510">
        <f t="shared" si="19"/>
        <v>12.390434281410444</v>
      </c>
      <c r="BG25" s="510">
        <f t="shared" si="19"/>
        <v>12.390434281410444</v>
      </c>
      <c r="BH25" s="510">
        <f t="shared" si="19"/>
        <v>12.390434281410444</v>
      </c>
      <c r="BI25" s="510">
        <f t="shared" si="19"/>
        <v>12.390434281410444</v>
      </c>
      <c r="BJ25" s="510">
        <f t="shared" si="20"/>
        <v>149.77869300619713</v>
      </c>
      <c r="BK25" s="452">
        <f t="shared" si="21"/>
        <v>1211.9573927429494</v>
      </c>
      <c r="BL25" s="538">
        <f t="shared" si="22"/>
        <v>12.390434281410444</v>
      </c>
      <c r="BM25" s="538">
        <f t="shared" si="22"/>
        <v>12.390434281410444</v>
      </c>
      <c r="BN25" s="538">
        <f t="shared" si="22"/>
        <v>12.390434281410444</v>
      </c>
      <c r="BO25" s="538">
        <f t="shared" si="42"/>
        <v>12.390434281410444</v>
      </c>
      <c r="BP25" s="538">
        <f t="shared" si="42"/>
        <v>12.390434281410444</v>
      </c>
      <c r="BQ25" s="538">
        <f t="shared" si="23"/>
        <v>61.952171407052219</v>
      </c>
      <c r="BR25" s="538">
        <f t="shared" si="24"/>
        <v>1150.0052213358972</v>
      </c>
      <c r="BS25" s="8">
        <v>10</v>
      </c>
      <c r="BT25" s="130">
        <v>0.1</v>
      </c>
      <c r="BU25" s="119">
        <v>43281</v>
      </c>
      <c r="BV25" s="125">
        <v>120</v>
      </c>
      <c r="BW25" s="146">
        <f t="shared" si="25"/>
        <v>0.12083333333333333</v>
      </c>
      <c r="BX25" s="1167">
        <f t="shared" si="26"/>
        <v>4.9541666666666666</v>
      </c>
      <c r="BY25" s="125">
        <f t="shared" si="27"/>
        <v>41</v>
      </c>
      <c r="BZ25" s="1167">
        <f t="shared" si="28"/>
        <v>9.5458333333333343</v>
      </c>
      <c r="CA25" s="125">
        <f t="shared" si="29"/>
        <v>79</v>
      </c>
      <c r="CB25" s="1167">
        <f t="shared" si="30"/>
        <v>9.5458333333333343</v>
      </c>
      <c r="CC25" s="125">
        <f t="shared" si="31"/>
        <v>79</v>
      </c>
      <c r="CD25" s="1167">
        <f t="shared" si="32"/>
        <v>0</v>
      </c>
      <c r="CE25" s="125">
        <f t="shared" si="33"/>
        <v>0</v>
      </c>
      <c r="CF25" s="367">
        <f t="shared" si="34"/>
        <v>45678</v>
      </c>
      <c r="CG25" s="119" t="s">
        <v>453</v>
      </c>
      <c r="CH25" s="119">
        <v>42025</v>
      </c>
      <c r="CI25" s="134">
        <v>1450</v>
      </c>
      <c r="CJ25" s="510">
        <v>1150.0052213358972</v>
      </c>
      <c r="CK25" s="1174">
        <v>126.408</v>
      </c>
      <c r="CL25" s="1175">
        <v>115.95399999999999</v>
      </c>
      <c r="CM25" s="1174">
        <f t="shared" si="35"/>
        <v>1.0901564413474309</v>
      </c>
      <c r="CN25" s="510">
        <f>CJ25/CA25</f>
        <v>14.557028118175914</v>
      </c>
      <c r="CO25" s="510">
        <f t="shared" si="36"/>
        <v>15.869437969905144</v>
      </c>
      <c r="CP25" s="510">
        <v>13.776764831016553</v>
      </c>
      <c r="CQ25" s="510">
        <v>13.776764831016553</v>
      </c>
      <c r="CR25" s="510">
        <v>13.776764831016553</v>
      </c>
      <c r="CS25" s="510">
        <v>13.776764831016553</v>
      </c>
      <c r="CT25" s="510">
        <v>13.776764831016553</v>
      </c>
      <c r="CU25" s="510">
        <v>13.776764831016553</v>
      </c>
      <c r="CV25" s="510">
        <v>13.776764831016553</v>
      </c>
      <c r="CW25" s="510">
        <f t="shared" si="37"/>
        <v>96.437353817115863</v>
      </c>
      <c r="CX25" s="439">
        <f t="shared" si="38"/>
        <v>1053.5678675187814</v>
      </c>
      <c r="CY25" s="510">
        <v>13.776764831016553</v>
      </c>
      <c r="CZ25" s="510">
        <v>13.776764831016553</v>
      </c>
      <c r="DA25" s="510">
        <v>13.776764831016553</v>
      </c>
      <c r="DB25" s="510">
        <v>13.776764831016553</v>
      </c>
      <c r="DC25" s="510">
        <v>13.776764831016553</v>
      </c>
      <c r="DD25" s="510">
        <f t="shared" si="1"/>
        <v>68.883824155082763</v>
      </c>
      <c r="DE25" s="960">
        <f t="shared" si="4"/>
        <v>984.68404336369872</v>
      </c>
      <c r="DF25" s="1174">
        <v>132.28200000000001</v>
      </c>
      <c r="DG25" s="1175">
        <v>115.95399999999999</v>
      </c>
      <c r="DH25" s="1174">
        <f t="shared" si="39"/>
        <v>1.1408144609069115</v>
      </c>
      <c r="DI25" s="510">
        <f>DE25/CC25</f>
        <v>12.464354979287325</v>
      </c>
      <c r="DJ25" s="510">
        <f t="shared" si="5"/>
        <v>14.219516406248049</v>
      </c>
      <c r="DK25" s="510">
        <v>14.22</v>
      </c>
      <c r="DL25" s="510">
        <v>14.22</v>
      </c>
      <c r="DM25" s="510">
        <v>14.22</v>
      </c>
      <c r="DN25" s="510">
        <v>14.22</v>
      </c>
      <c r="DO25" s="510">
        <v>14.22</v>
      </c>
      <c r="DP25" s="510">
        <v>14.22</v>
      </c>
      <c r="DQ25" s="510">
        <v>14.22</v>
      </c>
      <c r="DR25" s="510">
        <v>14.22</v>
      </c>
      <c r="DS25" s="510">
        <v>14.22</v>
      </c>
      <c r="DT25" s="510">
        <v>14.22</v>
      </c>
      <c r="DU25" s="510">
        <v>14.22</v>
      </c>
      <c r="DV25" s="510">
        <v>14.22</v>
      </c>
      <c r="DW25" s="510">
        <v>14.22</v>
      </c>
      <c r="DX25" s="510">
        <v>14.22</v>
      </c>
      <c r="DY25" s="510">
        <v>14.22</v>
      </c>
      <c r="DZ25" s="510">
        <v>14.22</v>
      </c>
      <c r="EA25" s="510">
        <v>14.22</v>
      </c>
      <c r="EB25" s="510">
        <v>14.22</v>
      </c>
      <c r="EC25" s="511">
        <f t="shared" si="2"/>
        <v>255.96</v>
      </c>
      <c r="ED25" s="960">
        <f t="shared" si="40"/>
        <v>728.72404336369868</v>
      </c>
      <c r="EE25" s="579"/>
      <c r="EF25" s="579"/>
      <c r="EG25" s="579"/>
      <c r="EH25" s="579"/>
    </row>
    <row r="26" spans="1:138" s="35" customFormat="1" ht="15" x14ac:dyDescent="0.2">
      <c r="A26" s="100" t="s">
        <v>107</v>
      </c>
      <c r="B26" s="100" t="s">
        <v>429</v>
      </c>
      <c r="C26" s="100" t="s">
        <v>314</v>
      </c>
      <c r="D26" s="8">
        <v>10</v>
      </c>
      <c r="E26" s="130">
        <v>0.1</v>
      </c>
      <c r="F26" s="119">
        <v>42185</v>
      </c>
      <c r="G26" s="125">
        <v>120</v>
      </c>
      <c r="H26" s="146">
        <f t="shared" si="6"/>
        <v>0.83333333333333337</v>
      </c>
      <c r="I26" s="1167">
        <f t="shared" si="7"/>
        <v>4.166666666666667</v>
      </c>
      <c r="J26" s="125">
        <f>(YEAR(F26)-YEAR(S26))*12+MONTH(F26)-MONTH(S26)</f>
        <v>5</v>
      </c>
      <c r="K26" s="1167">
        <f t="shared" si="8"/>
        <v>95.833333333333343</v>
      </c>
      <c r="L26" s="125">
        <f t="shared" si="9"/>
        <v>115</v>
      </c>
      <c r="M26" s="1167">
        <f t="shared" si="10"/>
        <v>5.8333333333333339</v>
      </c>
      <c r="N26" s="125">
        <v>7</v>
      </c>
      <c r="O26" s="1167">
        <f t="shared" si="11"/>
        <v>90</v>
      </c>
      <c r="P26" s="125">
        <f t="shared" si="12"/>
        <v>108</v>
      </c>
      <c r="Q26" s="125"/>
      <c r="R26" s="119" t="s">
        <v>454</v>
      </c>
      <c r="S26" s="119">
        <v>42016</v>
      </c>
      <c r="T26" s="134">
        <v>1276</v>
      </c>
      <c r="U26" s="134">
        <v>1276</v>
      </c>
      <c r="V26" s="7">
        <v>0</v>
      </c>
      <c r="W26" s="1167">
        <v>0</v>
      </c>
      <c r="X26" s="64">
        <v>115.958</v>
      </c>
      <c r="Y26" s="1168">
        <v>115.95399999999999</v>
      </c>
      <c r="Z26" s="64">
        <f t="shared" si="13"/>
        <v>1.0000344964382428</v>
      </c>
      <c r="AA26" s="62">
        <f>U26*M26/100/K26*100/7</f>
        <v>11.095652173913042</v>
      </c>
      <c r="AB26" s="62">
        <f t="shared" si="14"/>
        <v>11.096034934393023</v>
      </c>
      <c r="AC26" s="62"/>
      <c r="AD26" s="62"/>
      <c r="AE26" s="62"/>
      <c r="AF26" s="62"/>
      <c r="AG26" s="62"/>
      <c r="AH26" s="62">
        <f>AB26</f>
        <v>11.096034934393023</v>
      </c>
      <c r="AI26" s="62">
        <v>11.096034934393023</v>
      </c>
      <c r="AJ26" s="62">
        <v>11.096034934393023</v>
      </c>
      <c r="AK26" s="62">
        <v>11.096034934393023</v>
      </c>
      <c r="AL26" s="62">
        <v>11.096034934393023</v>
      </c>
      <c r="AM26" s="62">
        <v>11.096034934393023</v>
      </c>
      <c r="AN26" s="62">
        <v>11.096034934393023</v>
      </c>
      <c r="AO26" s="62">
        <f t="shared" si="15"/>
        <v>77.672244540751151</v>
      </c>
      <c r="AP26" s="1172">
        <f>U26-AO26</f>
        <v>1198.3277554592489</v>
      </c>
      <c r="AQ26" s="509"/>
      <c r="AR26" s="509"/>
      <c r="AS26" s="510">
        <f t="shared" si="41"/>
        <v>11.096034934393023</v>
      </c>
      <c r="AT26" s="510">
        <f t="shared" si="41"/>
        <v>11.096034934393023</v>
      </c>
      <c r="AU26" s="510">
        <f t="shared" si="41"/>
        <v>11.096034934393023</v>
      </c>
      <c r="AV26" s="510">
        <f t="shared" si="41"/>
        <v>11.096034934393023</v>
      </c>
      <c r="AW26" s="510">
        <f t="shared" si="41"/>
        <v>11.096034934393023</v>
      </c>
      <c r="AX26" s="1168">
        <v>118.901</v>
      </c>
      <c r="AY26" s="1168">
        <v>115.95399999999999</v>
      </c>
      <c r="AZ26" s="64">
        <f t="shared" si="16"/>
        <v>1.0254152508753471</v>
      </c>
      <c r="BA26" s="62">
        <f t="shared" si="17"/>
        <v>10.633333333333333</v>
      </c>
      <c r="BB26" s="62">
        <f t="shared" si="18"/>
        <v>10.90358216764119</v>
      </c>
      <c r="BC26" s="510">
        <f t="shared" si="19"/>
        <v>10.90358216764119</v>
      </c>
      <c r="BD26" s="510">
        <f t="shared" si="19"/>
        <v>10.90358216764119</v>
      </c>
      <c r="BE26" s="510">
        <f t="shared" si="19"/>
        <v>10.90358216764119</v>
      </c>
      <c r="BF26" s="510">
        <f t="shared" si="19"/>
        <v>10.90358216764119</v>
      </c>
      <c r="BG26" s="510">
        <f t="shared" si="19"/>
        <v>10.90358216764119</v>
      </c>
      <c r="BH26" s="510">
        <f t="shared" si="19"/>
        <v>10.90358216764119</v>
      </c>
      <c r="BI26" s="510">
        <f t="shared" si="19"/>
        <v>10.90358216764119</v>
      </c>
      <c r="BJ26" s="510">
        <f t="shared" si="20"/>
        <v>131.80524984545343</v>
      </c>
      <c r="BK26" s="452">
        <f t="shared" si="21"/>
        <v>1066.5225056137956</v>
      </c>
      <c r="BL26" s="538">
        <f t="shared" si="22"/>
        <v>10.90358216764119</v>
      </c>
      <c r="BM26" s="538">
        <f t="shared" si="22"/>
        <v>10.90358216764119</v>
      </c>
      <c r="BN26" s="538">
        <f t="shared" si="22"/>
        <v>10.90358216764119</v>
      </c>
      <c r="BO26" s="538">
        <f t="shared" si="42"/>
        <v>10.90358216764119</v>
      </c>
      <c r="BP26" s="538">
        <f t="shared" si="42"/>
        <v>10.90358216764119</v>
      </c>
      <c r="BQ26" s="538">
        <f t="shared" si="23"/>
        <v>54.51791083820595</v>
      </c>
      <c r="BR26" s="538">
        <f t="shared" si="24"/>
        <v>1012.0045947755897</v>
      </c>
      <c r="BS26" s="8">
        <v>10</v>
      </c>
      <c r="BT26" s="130">
        <v>0.1</v>
      </c>
      <c r="BU26" s="119">
        <v>43281</v>
      </c>
      <c r="BV26" s="125">
        <v>120</v>
      </c>
      <c r="BW26" s="146">
        <f t="shared" si="25"/>
        <v>0.10633333333333334</v>
      </c>
      <c r="BX26" s="1167">
        <f t="shared" si="26"/>
        <v>4.3596666666666666</v>
      </c>
      <c r="BY26" s="125">
        <f t="shared" si="27"/>
        <v>41</v>
      </c>
      <c r="BZ26" s="1167">
        <f t="shared" si="28"/>
        <v>8.4003333333333341</v>
      </c>
      <c r="CA26" s="125">
        <f t="shared" si="29"/>
        <v>79</v>
      </c>
      <c r="CB26" s="1167">
        <f t="shared" si="30"/>
        <v>8.4003333333333341</v>
      </c>
      <c r="CC26" s="125">
        <f t="shared" si="31"/>
        <v>79</v>
      </c>
      <c r="CD26" s="1167">
        <f t="shared" si="32"/>
        <v>0</v>
      </c>
      <c r="CE26" s="125">
        <f t="shared" si="33"/>
        <v>0</v>
      </c>
      <c r="CF26" s="367">
        <f t="shared" si="34"/>
        <v>45669</v>
      </c>
      <c r="CG26" s="119" t="s">
        <v>454</v>
      </c>
      <c r="CH26" s="119">
        <v>42016</v>
      </c>
      <c r="CI26" s="134">
        <v>1276</v>
      </c>
      <c r="CJ26" s="510">
        <v>1012.0045947755897</v>
      </c>
      <c r="CK26" s="1174">
        <v>126.408</v>
      </c>
      <c r="CL26" s="1175">
        <v>115.95399999999999</v>
      </c>
      <c r="CM26" s="1174">
        <f t="shared" si="35"/>
        <v>1.0901564413474309</v>
      </c>
      <c r="CN26" s="510">
        <f>CJ26/CA26</f>
        <v>12.810184743994807</v>
      </c>
      <c r="CO26" s="510">
        <f t="shared" si="36"/>
        <v>13.965105413516529</v>
      </c>
      <c r="CP26" s="510">
        <v>12.123553051294568</v>
      </c>
      <c r="CQ26" s="510">
        <v>12.123553051294568</v>
      </c>
      <c r="CR26" s="510">
        <v>12.123553051294568</v>
      </c>
      <c r="CS26" s="510">
        <v>12.123553051294568</v>
      </c>
      <c r="CT26" s="510">
        <v>12.123553051294568</v>
      </c>
      <c r="CU26" s="510">
        <v>12.123553051294568</v>
      </c>
      <c r="CV26" s="510">
        <v>12.123553051294568</v>
      </c>
      <c r="CW26" s="510">
        <f t="shared" si="37"/>
        <v>84.864871359061965</v>
      </c>
      <c r="CX26" s="439">
        <f t="shared" si="38"/>
        <v>927.13972341652766</v>
      </c>
      <c r="CY26" s="510">
        <v>12.123553051294568</v>
      </c>
      <c r="CZ26" s="510">
        <v>12.123553051294568</v>
      </c>
      <c r="DA26" s="510">
        <v>12.123553051294568</v>
      </c>
      <c r="DB26" s="510">
        <v>12.123553051294568</v>
      </c>
      <c r="DC26" s="510">
        <v>12.123553051294568</v>
      </c>
      <c r="DD26" s="510">
        <f t="shared" si="1"/>
        <v>60.617765256472836</v>
      </c>
      <c r="DE26" s="960">
        <f t="shared" si="4"/>
        <v>866.52195816005485</v>
      </c>
      <c r="DF26" s="1174">
        <v>132.28200000000001</v>
      </c>
      <c r="DG26" s="1175">
        <v>115.95399999999999</v>
      </c>
      <c r="DH26" s="1174">
        <f t="shared" si="39"/>
        <v>1.1408144609069115</v>
      </c>
      <c r="DI26" s="510">
        <f>DE26/CC26</f>
        <v>10.968632381772846</v>
      </c>
      <c r="DJ26" s="510">
        <f t="shared" si="5"/>
        <v>12.513174437498282</v>
      </c>
      <c r="DK26" s="510">
        <v>12.51</v>
      </c>
      <c r="DL26" s="510">
        <v>12.51</v>
      </c>
      <c r="DM26" s="510">
        <v>12.51</v>
      </c>
      <c r="DN26" s="510">
        <v>12.51</v>
      </c>
      <c r="DO26" s="510">
        <v>12.51</v>
      </c>
      <c r="DP26" s="510">
        <v>12.51</v>
      </c>
      <c r="DQ26" s="510">
        <v>12.51</v>
      </c>
      <c r="DR26" s="510">
        <v>12.51</v>
      </c>
      <c r="DS26" s="510">
        <v>12.51</v>
      </c>
      <c r="DT26" s="510">
        <v>12.51</v>
      </c>
      <c r="DU26" s="510">
        <v>12.51</v>
      </c>
      <c r="DV26" s="510">
        <v>12.51</v>
      </c>
      <c r="DW26" s="510">
        <v>12.51</v>
      </c>
      <c r="DX26" s="510">
        <v>12.51</v>
      </c>
      <c r="DY26" s="510">
        <v>12.51</v>
      </c>
      <c r="DZ26" s="510">
        <v>12.51</v>
      </c>
      <c r="EA26" s="510">
        <v>12.51</v>
      </c>
      <c r="EB26" s="510">
        <v>12.51</v>
      </c>
      <c r="EC26" s="511">
        <f t="shared" si="2"/>
        <v>225.17999999999995</v>
      </c>
      <c r="ED26" s="960">
        <f t="shared" si="40"/>
        <v>641.3419581600549</v>
      </c>
      <c r="EE26" s="579"/>
      <c r="EF26" s="579"/>
      <c r="EG26" s="579"/>
      <c r="EH26" s="579"/>
    </row>
    <row r="27" spans="1:138" s="35" customFormat="1" ht="15" x14ac:dyDescent="0.2">
      <c r="A27" s="100" t="s">
        <v>107</v>
      </c>
      <c r="B27" s="100" t="s">
        <v>455</v>
      </c>
      <c r="C27" s="100" t="s">
        <v>314</v>
      </c>
      <c r="D27" s="8">
        <v>10</v>
      </c>
      <c r="E27" s="130">
        <v>0.1</v>
      </c>
      <c r="F27" s="119">
        <v>42185</v>
      </c>
      <c r="G27" s="125">
        <v>120</v>
      </c>
      <c r="H27" s="146">
        <f>100/G27</f>
        <v>0.83333333333333337</v>
      </c>
      <c r="I27" s="1167">
        <f t="shared" si="7"/>
        <v>4.166666666666667</v>
      </c>
      <c r="J27" s="125">
        <f>(YEAR(F27)-YEAR(S27))*12+MONTH(F27)-MONTH(S27)</f>
        <v>5</v>
      </c>
      <c r="K27" s="1167">
        <f t="shared" si="8"/>
        <v>95.833333333333343</v>
      </c>
      <c r="L27" s="125">
        <f t="shared" si="9"/>
        <v>115</v>
      </c>
      <c r="M27" s="1167">
        <f t="shared" si="10"/>
        <v>5.8333333333333339</v>
      </c>
      <c r="N27" s="125">
        <v>7</v>
      </c>
      <c r="O27" s="1167">
        <f t="shared" si="11"/>
        <v>90</v>
      </c>
      <c r="P27" s="125">
        <f>L27-N27</f>
        <v>108</v>
      </c>
      <c r="Q27" s="125">
        <f>M27-O27</f>
        <v>-84.166666666666671</v>
      </c>
      <c r="R27" s="119" t="s">
        <v>454</v>
      </c>
      <c r="S27" s="119">
        <v>42025</v>
      </c>
      <c r="T27" s="134">
        <v>835.2</v>
      </c>
      <c r="U27" s="134">
        <v>835.2</v>
      </c>
      <c r="V27" s="7">
        <v>0</v>
      </c>
      <c r="W27" s="1167">
        <v>0</v>
      </c>
      <c r="X27" s="64">
        <v>115.958</v>
      </c>
      <c r="Y27" s="1168">
        <v>115.95399999999999</v>
      </c>
      <c r="Z27" s="64">
        <f t="shared" si="13"/>
        <v>1.0000344964382428</v>
      </c>
      <c r="AA27" s="62">
        <f>U27*M27/100/K27*100/7</f>
        <v>7.2626086956521743</v>
      </c>
      <c r="AB27" s="62">
        <f t="shared" si="14"/>
        <v>7.2628592297845254</v>
      </c>
      <c r="AC27" s="62"/>
      <c r="AD27" s="62"/>
      <c r="AE27" s="62"/>
      <c r="AF27" s="62"/>
      <c r="AG27" s="62"/>
      <c r="AH27" s="62">
        <f>AB27</f>
        <v>7.2628592297845254</v>
      </c>
      <c r="AI27" s="62">
        <v>7.2628592297845254</v>
      </c>
      <c r="AJ27" s="62">
        <v>7.2628592297845254</v>
      </c>
      <c r="AK27" s="62">
        <v>7.2628592297845254</v>
      </c>
      <c r="AL27" s="62">
        <v>7.2628592297845254</v>
      </c>
      <c r="AM27" s="62">
        <v>7.2628592297845254</v>
      </c>
      <c r="AN27" s="62">
        <v>7.2628592297845254</v>
      </c>
      <c r="AO27" s="62">
        <f t="shared" si="15"/>
        <v>50.840014608491678</v>
      </c>
      <c r="AP27" s="1172">
        <f>U27-AO27</f>
        <v>784.35998539150842</v>
      </c>
      <c r="AQ27" s="509"/>
      <c r="AR27" s="509"/>
      <c r="AS27" s="510">
        <f t="shared" si="41"/>
        <v>7.2628592297845254</v>
      </c>
      <c r="AT27" s="510">
        <f t="shared" si="41"/>
        <v>7.2628592297845254</v>
      </c>
      <c r="AU27" s="510">
        <f t="shared" si="41"/>
        <v>7.2628592297845254</v>
      </c>
      <c r="AV27" s="510">
        <f t="shared" si="41"/>
        <v>7.2628592297845254</v>
      </c>
      <c r="AW27" s="510">
        <f t="shared" si="41"/>
        <v>7.2628592297845254</v>
      </c>
      <c r="AX27" s="1168">
        <v>118.901</v>
      </c>
      <c r="AY27" s="1168">
        <v>115.95399999999999</v>
      </c>
      <c r="AZ27" s="64">
        <f t="shared" si="16"/>
        <v>1.0254152508753471</v>
      </c>
      <c r="BA27" s="62">
        <f t="shared" si="17"/>
        <v>6.96</v>
      </c>
      <c r="BB27" s="62">
        <f t="shared" si="18"/>
        <v>7.1368901460924157</v>
      </c>
      <c r="BC27" s="510">
        <f t="shared" si="19"/>
        <v>7.1368901460924157</v>
      </c>
      <c r="BD27" s="510">
        <f t="shared" si="19"/>
        <v>7.1368901460924157</v>
      </c>
      <c r="BE27" s="510">
        <f t="shared" si="19"/>
        <v>7.1368901460924157</v>
      </c>
      <c r="BF27" s="510">
        <f t="shared" si="19"/>
        <v>7.1368901460924157</v>
      </c>
      <c r="BG27" s="510">
        <f t="shared" si="19"/>
        <v>7.1368901460924157</v>
      </c>
      <c r="BH27" s="510">
        <f t="shared" si="19"/>
        <v>7.1368901460924157</v>
      </c>
      <c r="BI27" s="510">
        <f t="shared" si="19"/>
        <v>7.1368901460924157</v>
      </c>
      <c r="BJ27" s="510">
        <f t="shared" si="20"/>
        <v>86.272527171569521</v>
      </c>
      <c r="BK27" s="452">
        <f t="shared" si="21"/>
        <v>698.08745821993887</v>
      </c>
      <c r="BL27" s="538">
        <f t="shared" si="22"/>
        <v>7.1368901460924157</v>
      </c>
      <c r="BM27" s="538">
        <f t="shared" si="22"/>
        <v>7.1368901460924157</v>
      </c>
      <c r="BN27" s="538">
        <f t="shared" si="22"/>
        <v>7.1368901460924157</v>
      </c>
      <c r="BO27" s="538">
        <f t="shared" si="42"/>
        <v>7.1368901460924157</v>
      </c>
      <c r="BP27" s="538">
        <f t="shared" si="42"/>
        <v>7.1368901460924157</v>
      </c>
      <c r="BQ27" s="538">
        <f t="shared" si="23"/>
        <v>35.684450730462075</v>
      </c>
      <c r="BR27" s="538">
        <f t="shared" si="24"/>
        <v>662.40300748947675</v>
      </c>
      <c r="BS27" s="8">
        <v>10</v>
      </c>
      <c r="BT27" s="130">
        <v>0.1</v>
      </c>
      <c r="BU27" s="119">
        <v>43281</v>
      </c>
      <c r="BV27" s="125">
        <v>120</v>
      </c>
      <c r="BW27" s="146">
        <f t="shared" si="25"/>
        <v>6.9599999999999995E-2</v>
      </c>
      <c r="BX27" s="1167">
        <f t="shared" si="26"/>
        <v>2.8535999999999997</v>
      </c>
      <c r="BY27" s="125">
        <f t="shared" si="27"/>
        <v>41</v>
      </c>
      <c r="BZ27" s="1167">
        <f t="shared" si="28"/>
        <v>5.4983999999999993</v>
      </c>
      <c r="CA27" s="125">
        <f t="shared" si="29"/>
        <v>79</v>
      </c>
      <c r="CB27" s="1167">
        <f t="shared" si="30"/>
        <v>5.4983999999999993</v>
      </c>
      <c r="CC27" s="125">
        <f t="shared" si="31"/>
        <v>79</v>
      </c>
      <c r="CD27" s="1167">
        <f t="shared" si="32"/>
        <v>0</v>
      </c>
      <c r="CE27" s="125">
        <f t="shared" si="33"/>
        <v>0</v>
      </c>
      <c r="CF27" s="367">
        <f t="shared" si="34"/>
        <v>45678</v>
      </c>
      <c r="CG27" s="119" t="s">
        <v>454</v>
      </c>
      <c r="CH27" s="119">
        <v>42025</v>
      </c>
      <c r="CI27" s="134">
        <v>835.2</v>
      </c>
      <c r="CJ27" s="510">
        <v>662.40300748947675</v>
      </c>
      <c r="CK27" s="1174">
        <v>126.408</v>
      </c>
      <c r="CL27" s="1175">
        <v>115.95399999999999</v>
      </c>
      <c r="CM27" s="1174">
        <f t="shared" si="35"/>
        <v>1.0901564413474309</v>
      </c>
      <c r="CN27" s="510">
        <f>CJ27/CA27</f>
        <v>8.384848196069326</v>
      </c>
      <c r="CO27" s="510">
        <f t="shared" si="36"/>
        <v>9.140796270665362</v>
      </c>
      <c r="CP27" s="510">
        <v>7.9354165426655348</v>
      </c>
      <c r="CQ27" s="510">
        <v>7.9354165426655348</v>
      </c>
      <c r="CR27" s="510">
        <v>7.9354165426655348</v>
      </c>
      <c r="CS27" s="510">
        <v>7.9354165426655348</v>
      </c>
      <c r="CT27" s="510">
        <v>7.9354165426655348</v>
      </c>
      <c r="CU27" s="510">
        <v>7.9354165426655348</v>
      </c>
      <c r="CV27" s="510">
        <v>7.9354165426655348</v>
      </c>
      <c r="CW27" s="510">
        <f t="shared" si="37"/>
        <v>55.547915798658742</v>
      </c>
      <c r="CX27" s="439">
        <f t="shared" si="38"/>
        <v>606.85509169081797</v>
      </c>
      <c r="CY27" s="510">
        <v>7.9354165426655348</v>
      </c>
      <c r="CZ27" s="510">
        <v>7.9354165426655348</v>
      </c>
      <c r="DA27" s="510">
        <v>7.9354165426655348</v>
      </c>
      <c r="DB27" s="510">
        <v>7.9354165426655348</v>
      </c>
      <c r="DC27" s="510">
        <v>7.9354165426655348</v>
      </c>
      <c r="DD27" s="510">
        <f t="shared" si="1"/>
        <v>39.677082713327671</v>
      </c>
      <c r="DE27" s="960">
        <f t="shared" si="4"/>
        <v>567.17800897749032</v>
      </c>
      <c r="DF27" s="1174">
        <v>132.28200000000001</v>
      </c>
      <c r="DG27" s="1175">
        <v>115.95399999999999</v>
      </c>
      <c r="DH27" s="1174">
        <f t="shared" si="39"/>
        <v>1.1408144609069115</v>
      </c>
      <c r="DI27" s="510">
        <f>DE27/CC27</f>
        <v>7.1794684680694978</v>
      </c>
      <c r="DJ27" s="510">
        <f t="shared" si="5"/>
        <v>8.1904414499988736</v>
      </c>
      <c r="DK27" s="510">
        <v>8.19</v>
      </c>
      <c r="DL27" s="510">
        <v>8.19</v>
      </c>
      <c r="DM27" s="510">
        <v>8.19</v>
      </c>
      <c r="DN27" s="510">
        <v>8.19</v>
      </c>
      <c r="DO27" s="510">
        <v>8.19</v>
      </c>
      <c r="DP27" s="510">
        <v>8.19</v>
      </c>
      <c r="DQ27" s="510">
        <v>8.19</v>
      </c>
      <c r="DR27" s="510">
        <v>8.19</v>
      </c>
      <c r="DS27" s="510">
        <v>8.19</v>
      </c>
      <c r="DT27" s="510">
        <v>8.19</v>
      </c>
      <c r="DU27" s="510">
        <v>8.19</v>
      </c>
      <c r="DV27" s="510">
        <v>8.19</v>
      </c>
      <c r="DW27" s="510">
        <v>8.19</v>
      </c>
      <c r="DX27" s="510">
        <v>8.19</v>
      </c>
      <c r="DY27" s="510">
        <v>8.19</v>
      </c>
      <c r="DZ27" s="510">
        <v>8.19</v>
      </c>
      <c r="EA27" s="510">
        <v>8.19</v>
      </c>
      <c r="EB27" s="510">
        <v>8.19</v>
      </c>
      <c r="EC27" s="511">
        <f t="shared" si="2"/>
        <v>147.41999999999999</v>
      </c>
      <c r="ED27" s="960">
        <f t="shared" si="40"/>
        <v>419.75800897749036</v>
      </c>
      <c r="EE27" s="579"/>
      <c r="EF27" s="579"/>
      <c r="EG27" s="579"/>
      <c r="EH27" s="579"/>
    </row>
    <row r="28" spans="1:138" s="16" customFormat="1" ht="15" x14ac:dyDescent="0.2">
      <c r="A28" s="100" t="s">
        <v>107</v>
      </c>
      <c r="B28" s="100" t="s">
        <v>696</v>
      </c>
      <c r="C28" s="45" t="s">
        <v>314</v>
      </c>
      <c r="D28" s="58">
        <v>10</v>
      </c>
      <c r="E28" s="53">
        <v>0.1</v>
      </c>
      <c r="F28" s="46">
        <v>42185</v>
      </c>
      <c r="G28" s="48">
        <v>120</v>
      </c>
      <c r="H28" s="145">
        <f t="shared" si="6"/>
        <v>0.83333333333333337</v>
      </c>
      <c r="I28" s="165">
        <f t="shared" si="7"/>
        <v>0</v>
      </c>
      <c r="J28" s="48">
        <v>0</v>
      </c>
      <c r="K28" s="165">
        <f t="shared" si="8"/>
        <v>100</v>
      </c>
      <c r="L28" s="48">
        <f t="shared" si="9"/>
        <v>120</v>
      </c>
      <c r="M28" s="165">
        <f t="shared" si="10"/>
        <v>0.83333333333333337</v>
      </c>
      <c r="N28" s="48">
        <v>1</v>
      </c>
      <c r="O28" s="165">
        <f t="shared" si="11"/>
        <v>99.166666666666671</v>
      </c>
      <c r="P28" s="48">
        <f t="shared" si="12"/>
        <v>119</v>
      </c>
      <c r="Q28" s="48">
        <f>M28-O28</f>
        <v>-98.333333333333343</v>
      </c>
      <c r="R28" s="46" t="s">
        <v>697</v>
      </c>
      <c r="S28" s="46">
        <v>42338</v>
      </c>
      <c r="T28" s="47">
        <v>349</v>
      </c>
      <c r="U28" s="47">
        <v>0</v>
      </c>
      <c r="V28" s="106">
        <v>0</v>
      </c>
      <c r="W28" s="165">
        <v>0</v>
      </c>
      <c r="X28" s="57">
        <v>115.958</v>
      </c>
      <c r="Y28" s="168">
        <v>118.051</v>
      </c>
      <c r="Z28" s="57">
        <f t="shared" si="13"/>
        <v>0.98227037466857536</v>
      </c>
      <c r="AA28" s="55">
        <f>H28*T28/100</f>
        <v>2.9083333333333337</v>
      </c>
      <c r="AB28" s="55">
        <f t="shared" si="14"/>
        <v>2.8567696729944405</v>
      </c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>
        <f>2.86</f>
        <v>2.86</v>
      </c>
      <c r="AO28" s="55">
        <f t="shared" si="15"/>
        <v>2.86</v>
      </c>
      <c r="AP28" s="392">
        <f>T28-AO28</f>
        <v>346.14</v>
      </c>
      <c r="AQ28" s="32"/>
      <c r="AR28" s="32"/>
      <c r="AS28" s="429">
        <f t="shared" si="41"/>
        <v>2.86</v>
      </c>
      <c r="AT28" s="429">
        <f t="shared" si="41"/>
        <v>2.86</v>
      </c>
      <c r="AU28" s="429">
        <f t="shared" si="41"/>
        <v>2.86</v>
      </c>
      <c r="AV28" s="429">
        <f t="shared" si="41"/>
        <v>2.86</v>
      </c>
      <c r="AW28" s="429">
        <f t="shared" si="41"/>
        <v>2.86</v>
      </c>
      <c r="AX28" s="57">
        <v>118.901</v>
      </c>
      <c r="AY28" s="168">
        <v>118.051</v>
      </c>
      <c r="AZ28" s="57">
        <f t="shared" si="16"/>
        <v>1.0072002778460156</v>
      </c>
      <c r="BA28" s="57">
        <f t="shared" si="17"/>
        <v>2.9083333333333332</v>
      </c>
      <c r="BB28" s="57">
        <f t="shared" si="18"/>
        <v>2.9292741414021619</v>
      </c>
      <c r="BC28" s="429">
        <f t="shared" si="19"/>
        <v>2.9292741414021619</v>
      </c>
      <c r="BD28" s="429">
        <f t="shared" si="19"/>
        <v>2.9292741414021619</v>
      </c>
      <c r="BE28" s="429">
        <f t="shared" si="19"/>
        <v>2.9292741414021619</v>
      </c>
      <c r="BF28" s="429">
        <f t="shared" si="19"/>
        <v>2.9292741414021619</v>
      </c>
      <c r="BG28" s="429">
        <f t="shared" si="19"/>
        <v>2.9292741414021619</v>
      </c>
      <c r="BH28" s="429">
        <f t="shared" si="19"/>
        <v>2.9292741414021619</v>
      </c>
      <c r="BI28" s="429">
        <f t="shared" si="19"/>
        <v>2.9292741414021619</v>
      </c>
      <c r="BJ28" s="429">
        <f t="shared" si="20"/>
        <v>34.804918989815128</v>
      </c>
      <c r="BK28" s="452">
        <f t="shared" si="21"/>
        <v>311.33508101018487</v>
      </c>
      <c r="BL28" s="538">
        <f t="shared" si="22"/>
        <v>2.9292741414021619</v>
      </c>
      <c r="BM28" s="538">
        <f t="shared" si="22"/>
        <v>2.9292741414021619</v>
      </c>
      <c r="BN28" s="538">
        <f t="shared" si="22"/>
        <v>2.9292741414021619</v>
      </c>
      <c r="BO28" s="538">
        <f t="shared" si="42"/>
        <v>2.9292741414021619</v>
      </c>
      <c r="BP28" s="538">
        <f t="shared" si="42"/>
        <v>2.9292741414021619</v>
      </c>
      <c r="BQ28" s="538">
        <f t="shared" si="23"/>
        <v>14.64637070701081</v>
      </c>
      <c r="BR28" s="538">
        <f t="shared" si="24"/>
        <v>296.68871030317405</v>
      </c>
      <c r="BS28" s="58">
        <v>10</v>
      </c>
      <c r="BT28" s="53">
        <v>0.1</v>
      </c>
      <c r="BU28" s="46">
        <v>43281</v>
      </c>
      <c r="BV28" s="48">
        <v>120</v>
      </c>
      <c r="BW28" s="145">
        <f t="shared" si="25"/>
        <v>2.9083333333333333E-2</v>
      </c>
      <c r="BX28" s="165">
        <f t="shared" si="26"/>
        <v>0.90158333333333329</v>
      </c>
      <c r="BY28" s="48">
        <f t="shared" si="27"/>
        <v>31</v>
      </c>
      <c r="BZ28" s="165">
        <f t="shared" si="28"/>
        <v>2.5884166666666668</v>
      </c>
      <c r="CA28" s="48">
        <f t="shared" si="29"/>
        <v>89</v>
      </c>
      <c r="CB28" s="165">
        <f t="shared" si="30"/>
        <v>2.5884166666666668</v>
      </c>
      <c r="CC28" s="48">
        <f t="shared" si="31"/>
        <v>89</v>
      </c>
      <c r="CD28" s="165">
        <f t="shared" si="32"/>
        <v>0</v>
      </c>
      <c r="CE28" s="48">
        <f t="shared" si="33"/>
        <v>0</v>
      </c>
      <c r="CF28" s="462">
        <f t="shared" si="34"/>
        <v>45991</v>
      </c>
      <c r="CG28" s="46" t="s">
        <v>697</v>
      </c>
      <c r="CH28" s="46">
        <v>42338</v>
      </c>
      <c r="CI28" s="47">
        <v>349</v>
      </c>
      <c r="CJ28" s="510">
        <v>296.68871030317405</v>
      </c>
      <c r="CK28" s="656">
        <v>126.408</v>
      </c>
      <c r="CL28" s="953">
        <v>118.051</v>
      </c>
      <c r="CM28" s="656">
        <f t="shared" si="35"/>
        <v>1.0707914375990037</v>
      </c>
      <c r="CN28" s="511">
        <f>CJ28/CA28</f>
        <v>3.3335810146424052</v>
      </c>
      <c r="CO28" s="511">
        <f t="shared" si="36"/>
        <v>3.5695700070216865</v>
      </c>
      <c r="CP28" s="511">
        <v>3.1454626794547536</v>
      </c>
      <c r="CQ28" s="511">
        <v>3.1454626794547536</v>
      </c>
      <c r="CR28" s="511">
        <v>3.1454626794547536</v>
      </c>
      <c r="CS28" s="511">
        <v>3.1454626794547536</v>
      </c>
      <c r="CT28" s="511">
        <v>3.1454626794547536</v>
      </c>
      <c r="CU28" s="511">
        <v>3.1454626794547536</v>
      </c>
      <c r="CV28" s="511">
        <v>3.1454626794547536</v>
      </c>
      <c r="CW28" s="510">
        <f t="shared" si="37"/>
        <v>22.018238756183273</v>
      </c>
      <c r="CX28" s="439">
        <f t="shared" si="38"/>
        <v>274.67047154699077</v>
      </c>
      <c r="CY28" s="511">
        <v>3.1454626794547536</v>
      </c>
      <c r="CZ28" s="511">
        <v>3.1454626794547536</v>
      </c>
      <c r="DA28" s="511">
        <v>3.1454626794547536</v>
      </c>
      <c r="DB28" s="511">
        <v>3.1454626794547536</v>
      </c>
      <c r="DC28" s="511">
        <v>3.1454626794547536</v>
      </c>
      <c r="DD28" s="511">
        <f t="shared" si="1"/>
        <v>15.727313397273768</v>
      </c>
      <c r="DE28" s="960">
        <f t="shared" si="4"/>
        <v>258.94315814971702</v>
      </c>
      <c r="DF28" s="656">
        <v>132.28200000000001</v>
      </c>
      <c r="DG28" s="953">
        <v>118.051</v>
      </c>
      <c r="DH28" s="656">
        <f t="shared" si="39"/>
        <v>1.1205495929725289</v>
      </c>
      <c r="DI28" s="511">
        <f>DE28/CC28</f>
        <v>2.9094736870754723</v>
      </c>
      <c r="DJ28" s="511">
        <f t="shared" si="5"/>
        <v>3.2602095558167035</v>
      </c>
      <c r="DK28" s="511">
        <v>3.26</v>
      </c>
      <c r="DL28" s="511">
        <v>3.26</v>
      </c>
      <c r="DM28" s="511">
        <v>3.26</v>
      </c>
      <c r="DN28" s="511">
        <v>3.26</v>
      </c>
      <c r="DO28" s="511">
        <v>3.26</v>
      </c>
      <c r="DP28" s="511">
        <v>3.26</v>
      </c>
      <c r="DQ28" s="511">
        <v>3.26</v>
      </c>
      <c r="DR28" s="511">
        <v>3.26</v>
      </c>
      <c r="DS28" s="511">
        <v>3.26</v>
      </c>
      <c r="DT28" s="511">
        <v>3.26</v>
      </c>
      <c r="DU28" s="511">
        <v>3.26</v>
      </c>
      <c r="DV28" s="511">
        <v>3.26</v>
      </c>
      <c r="DW28" s="511">
        <v>3.26</v>
      </c>
      <c r="DX28" s="511">
        <v>3.26</v>
      </c>
      <c r="DY28" s="511">
        <v>3.26</v>
      </c>
      <c r="DZ28" s="511">
        <v>3.26</v>
      </c>
      <c r="EA28" s="511">
        <v>3.26</v>
      </c>
      <c r="EB28" s="511">
        <v>3.26</v>
      </c>
      <c r="EC28" s="511">
        <f t="shared" si="2"/>
        <v>58.679999999999971</v>
      </c>
      <c r="ED28" s="960">
        <f t="shared" si="40"/>
        <v>200.26315814971704</v>
      </c>
      <c r="EE28" s="36"/>
      <c r="EF28" s="36"/>
      <c r="EG28" s="36"/>
      <c r="EH28" s="36"/>
    </row>
    <row r="29" spans="1:138" s="16" customFormat="1" ht="15" x14ac:dyDescent="0.2">
      <c r="A29" s="120" t="s">
        <v>65</v>
      </c>
      <c r="B29" s="120"/>
      <c r="C29" s="45"/>
      <c r="D29" s="27"/>
      <c r="E29" s="25"/>
      <c r="F29" s="46"/>
      <c r="G29" s="17"/>
      <c r="H29" s="145"/>
      <c r="I29" s="48"/>
      <c r="J29" s="48"/>
      <c r="K29" s="48"/>
      <c r="L29" s="48"/>
      <c r="M29" s="48"/>
      <c r="N29" s="48"/>
      <c r="O29" s="48"/>
      <c r="P29" s="48"/>
      <c r="Q29" s="48"/>
      <c r="R29" s="20"/>
      <c r="S29" s="20"/>
      <c r="T29" s="14"/>
      <c r="U29" s="14"/>
      <c r="V29" s="108"/>
      <c r="W29" s="165"/>
      <c r="X29" s="66"/>
      <c r="Y29" s="169"/>
      <c r="Z29" s="57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392"/>
      <c r="AQ29" s="32"/>
      <c r="AR29" s="32"/>
      <c r="AS29" s="429"/>
      <c r="AT29" s="429"/>
      <c r="AU29" s="429"/>
      <c r="AV29" s="429"/>
      <c r="AW29" s="429"/>
      <c r="AX29" s="66"/>
      <c r="AY29" s="169"/>
      <c r="AZ29" s="57"/>
      <c r="BA29" s="55"/>
      <c r="BB29" s="55"/>
      <c r="BC29" s="429"/>
      <c r="BD29" s="429"/>
      <c r="BE29" s="429"/>
      <c r="BF29" s="429"/>
      <c r="BG29" s="32"/>
      <c r="BH29" s="32"/>
      <c r="BI29" s="32"/>
      <c r="BJ29" s="429"/>
      <c r="BK29" s="452"/>
      <c r="BL29" s="539"/>
      <c r="BM29" s="539"/>
      <c r="BN29" s="539"/>
      <c r="BO29" s="539"/>
      <c r="BP29" s="539"/>
      <c r="BQ29" s="538"/>
      <c r="BR29" s="538"/>
      <c r="BS29" s="27"/>
      <c r="BT29" s="25"/>
      <c r="BU29" s="46"/>
      <c r="BV29" s="17"/>
      <c r="BW29" s="145"/>
      <c r="BX29" s="48"/>
      <c r="BY29" s="48"/>
      <c r="BZ29" s="48"/>
      <c r="CA29" s="48"/>
      <c r="CB29" s="48"/>
      <c r="CC29" s="48"/>
      <c r="CD29" s="48"/>
      <c r="CE29" s="48"/>
      <c r="CF29" s="48"/>
      <c r="CG29" s="20"/>
      <c r="CH29" s="20"/>
      <c r="CI29" s="14"/>
      <c r="CJ29" s="510"/>
      <c r="CK29" s="621"/>
      <c r="CL29" s="954"/>
      <c r="CM29" s="656"/>
      <c r="CN29" s="511"/>
      <c r="CO29" s="511"/>
      <c r="CP29" s="511"/>
      <c r="CQ29" s="511"/>
      <c r="CR29" s="511"/>
      <c r="CS29" s="511"/>
      <c r="CT29" s="511"/>
      <c r="CU29" s="511"/>
      <c r="CV29" s="511"/>
      <c r="CW29" s="510"/>
      <c r="CX29" s="439"/>
      <c r="CY29" s="511"/>
      <c r="CZ29" s="511"/>
      <c r="DA29" s="511"/>
      <c r="DB29" s="511"/>
      <c r="DC29" s="511"/>
      <c r="DD29" s="511"/>
      <c r="DE29" s="960"/>
      <c r="DF29" s="621"/>
      <c r="DG29" s="954"/>
      <c r="DH29" s="656"/>
      <c r="DI29" s="511"/>
      <c r="DJ29" s="511"/>
      <c r="DK29" s="511"/>
      <c r="DL29" s="511"/>
      <c r="DM29" s="511"/>
      <c r="DN29" s="511"/>
      <c r="DO29" s="511"/>
      <c r="DP29" s="511"/>
      <c r="DQ29" s="511"/>
      <c r="DR29" s="511"/>
      <c r="DS29" s="511"/>
      <c r="DT29" s="511"/>
      <c r="DU29" s="511"/>
      <c r="DV29" s="511"/>
      <c r="DW29" s="511"/>
      <c r="DX29" s="511"/>
      <c r="DY29" s="511"/>
      <c r="DZ29" s="511"/>
      <c r="EA29" s="511"/>
      <c r="EB29" s="511"/>
      <c r="EC29" s="511">
        <f t="shared" si="2"/>
        <v>0</v>
      </c>
      <c r="ED29" s="960"/>
      <c r="EE29" s="453"/>
      <c r="EF29" s="453"/>
      <c r="EG29" s="453"/>
      <c r="EH29" s="453"/>
    </row>
    <row r="30" spans="1:138" s="340" customFormat="1" ht="15" x14ac:dyDescent="0.2">
      <c r="A30" s="120" t="s">
        <v>109</v>
      </c>
      <c r="B30" s="100"/>
      <c r="C30" s="45"/>
      <c r="D30" s="4"/>
      <c r="E30" s="25"/>
      <c r="F30" s="17"/>
      <c r="G30" s="17"/>
      <c r="H30" s="188"/>
      <c r="I30" s="17"/>
      <c r="J30" s="17"/>
      <c r="K30" s="17"/>
      <c r="L30" s="17"/>
      <c r="M30" s="17"/>
      <c r="N30" s="17"/>
      <c r="O30" s="17"/>
      <c r="P30" s="17"/>
      <c r="Q30" s="17"/>
      <c r="R30" s="20"/>
      <c r="S30" s="20"/>
      <c r="T30" s="14"/>
      <c r="U30" s="14"/>
      <c r="V30" s="108"/>
      <c r="W30" s="66"/>
      <c r="X30" s="66"/>
      <c r="Y30" s="169"/>
      <c r="Z30" s="66"/>
      <c r="AA30" s="65"/>
      <c r="AB30" s="65"/>
      <c r="AC30" s="6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392"/>
      <c r="AQ30" s="32"/>
      <c r="AR30" s="32"/>
      <c r="AS30" s="429"/>
      <c r="AT30" s="429"/>
      <c r="AU30" s="429"/>
      <c r="AV30" s="429"/>
      <c r="AW30" s="429"/>
      <c r="AX30" s="66"/>
      <c r="AY30" s="169"/>
      <c r="AZ30" s="66"/>
      <c r="BA30" s="55"/>
      <c r="BB30" s="55"/>
      <c r="BC30" s="429"/>
      <c r="BD30" s="429"/>
      <c r="BE30" s="429"/>
      <c r="BF30" s="429"/>
      <c r="BG30" s="32"/>
      <c r="BH30" s="32"/>
      <c r="BI30" s="32"/>
      <c r="BJ30" s="429"/>
      <c r="BK30" s="452"/>
      <c r="BL30" s="539"/>
      <c r="BM30" s="539"/>
      <c r="BN30" s="539"/>
      <c r="BO30" s="539"/>
      <c r="BP30" s="539"/>
      <c r="BQ30" s="539"/>
      <c r="BR30" s="539"/>
      <c r="BS30" s="4"/>
      <c r="BT30" s="25"/>
      <c r="BU30" s="17"/>
      <c r="BV30" s="17"/>
      <c r="BW30" s="188"/>
      <c r="BX30" s="17"/>
      <c r="BY30" s="17"/>
      <c r="BZ30" s="17"/>
      <c r="CA30" s="17"/>
      <c r="CB30" s="17"/>
      <c r="CC30" s="17"/>
      <c r="CD30" s="17"/>
      <c r="CE30" s="17"/>
      <c r="CF30" s="17"/>
      <c r="CG30" s="20"/>
      <c r="CH30" s="20"/>
      <c r="CI30" s="14"/>
      <c r="CJ30" s="509"/>
      <c r="CK30" s="621"/>
      <c r="CL30" s="954"/>
      <c r="CM30" s="621"/>
      <c r="CN30" s="511"/>
      <c r="CO30" s="511"/>
      <c r="CP30" s="511"/>
      <c r="CQ30" s="511"/>
      <c r="CR30" s="511"/>
      <c r="CS30" s="511"/>
      <c r="CT30" s="511"/>
      <c r="CU30" s="511"/>
      <c r="CV30" s="511"/>
      <c r="CW30" s="510"/>
      <c r="CX30" s="439"/>
      <c r="CY30" s="511"/>
      <c r="CZ30" s="511"/>
      <c r="DA30" s="511"/>
      <c r="DB30" s="511"/>
      <c r="DC30" s="511"/>
      <c r="DD30" s="511"/>
      <c r="DE30" s="960"/>
      <c r="DF30" s="621"/>
      <c r="DG30" s="954"/>
      <c r="DH30" s="621"/>
      <c r="DI30" s="511"/>
      <c r="DJ30" s="511"/>
      <c r="DK30" s="511"/>
      <c r="DL30" s="511"/>
      <c r="DM30" s="511"/>
      <c r="DN30" s="511"/>
      <c r="DO30" s="511"/>
      <c r="DP30" s="511"/>
      <c r="DQ30" s="511"/>
      <c r="DR30" s="511"/>
      <c r="DS30" s="511"/>
      <c r="DT30" s="511"/>
      <c r="DU30" s="511"/>
      <c r="DV30" s="511"/>
      <c r="DW30" s="511"/>
      <c r="DX30" s="511"/>
      <c r="DY30" s="511"/>
      <c r="DZ30" s="511"/>
      <c r="EA30" s="511"/>
      <c r="EB30" s="511"/>
      <c r="EC30" s="511">
        <f t="shared" si="2"/>
        <v>0</v>
      </c>
      <c r="ED30" s="960"/>
      <c r="EE30" s="453"/>
      <c r="EF30" s="453"/>
      <c r="EG30" s="453"/>
      <c r="EH30" s="453"/>
    </row>
    <row r="31" spans="1:138" s="1189" customFormat="1" ht="15" x14ac:dyDescent="0.2">
      <c r="A31" s="328" t="s">
        <v>284</v>
      </c>
      <c r="B31" s="328" t="s">
        <v>719</v>
      </c>
      <c r="C31" s="328" t="s">
        <v>314</v>
      </c>
      <c r="D31" s="1178">
        <v>10</v>
      </c>
      <c r="E31" s="1179">
        <v>0.1</v>
      </c>
      <c r="F31" s="334">
        <v>42344</v>
      </c>
      <c r="G31" s="344">
        <v>120</v>
      </c>
      <c r="H31" s="1180">
        <f>100/G31</f>
        <v>0.83333333333333337</v>
      </c>
      <c r="I31" s="1181">
        <f>H31*J31</f>
        <v>0</v>
      </c>
      <c r="J31" s="344">
        <f>(YEAR(F31)-YEAR(S31))*12+MONTH(F31)-MONTH(S31)</f>
        <v>0</v>
      </c>
      <c r="K31" s="1181">
        <f>L31*H31</f>
        <v>100</v>
      </c>
      <c r="L31" s="344">
        <f>G31-J31</f>
        <v>120</v>
      </c>
      <c r="M31" s="1181">
        <f>N31*H31</f>
        <v>0</v>
      </c>
      <c r="N31" s="344">
        <v>0</v>
      </c>
      <c r="O31" s="1181">
        <f>P31*H31</f>
        <v>100</v>
      </c>
      <c r="P31" s="344">
        <f>L31-N31</f>
        <v>120</v>
      </c>
      <c r="Q31" s="344">
        <f>M31-O31</f>
        <v>-100</v>
      </c>
      <c r="R31" s="344">
        <v>3337</v>
      </c>
      <c r="S31" s="334">
        <v>42344</v>
      </c>
      <c r="T31" s="1182">
        <f>2*734</f>
        <v>1468</v>
      </c>
      <c r="U31" s="1183">
        <v>0</v>
      </c>
      <c r="V31" s="1184">
        <v>0</v>
      </c>
      <c r="W31" s="1184">
        <v>0</v>
      </c>
      <c r="X31" s="1183">
        <v>115.958</v>
      </c>
      <c r="Y31" s="1185">
        <v>118.532</v>
      </c>
      <c r="Z31" s="1183">
        <f>X31/Y31</f>
        <v>0.97828434515573859</v>
      </c>
      <c r="AA31" s="1184">
        <f>H31*T31/100</f>
        <v>12.233333333333334</v>
      </c>
      <c r="AB31" s="1184">
        <f>AA31*Z31</f>
        <v>11.96767848907187</v>
      </c>
      <c r="AC31" s="1184"/>
      <c r="AD31" s="1184"/>
      <c r="AE31" s="1184"/>
      <c r="AF31" s="1184"/>
      <c r="AG31" s="1184"/>
      <c r="AH31" s="1184"/>
      <c r="AI31" s="1184"/>
      <c r="AJ31" s="1184"/>
      <c r="AK31" s="1186"/>
      <c r="AL31" s="1186"/>
      <c r="AM31" s="1186"/>
      <c r="AN31" s="1186">
        <v>0</v>
      </c>
      <c r="AO31" s="1186">
        <v>0</v>
      </c>
      <c r="AP31" s="1187">
        <f>T31</f>
        <v>1468</v>
      </c>
      <c r="AQ31" s="510"/>
      <c r="AR31" s="510"/>
      <c r="AS31" s="510">
        <f>11.97</f>
        <v>11.97</v>
      </c>
      <c r="AT31" s="510">
        <f>11.97</f>
        <v>11.97</v>
      </c>
      <c r="AU31" s="510">
        <f>11.97</f>
        <v>11.97</v>
      </c>
      <c r="AV31" s="510">
        <f>11.97</f>
        <v>11.97</v>
      </c>
      <c r="AW31" s="510">
        <f>11.97</f>
        <v>11.97</v>
      </c>
      <c r="AX31" s="1183">
        <v>118.901</v>
      </c>
      <c r="AY31" s="1185">
        <v>118.532</v>
      </c>
      <c r="AZ31" s="1183">
        <f>AX31/AY31</f>
        <v>1.0031130833867647</v>
      </c>
      <c r="BA31" s="1183">
        <f>T31/(D31*12)</f>
        <v>12.233333333333333</v>
      </c>
      <c r="BB31" s="1183">
        <f t="shared" si="18"/>
        <v>12.271416720098088</v>
      </c>
      <c r="BC31" s="510">
        <f t="shared" ref="BC31:BI35" si="43">$BB31</f>
        <v>12.271416720098088</v>
      </c>
      <c r="BD31" s="510">
        <f t="shared" si="43"/>
        <v>12.271416720098088</v>
      </c>
      <c r="BE31" s="510">
        <f t="shared" si="43"/>
        <v>12.271416720098088</v>
      </c>
      <c r="BF31" s="510">
        <f t="shared" si="43"/>
        <v>12.271416720098088</v>
      </c>
      <c r="BG31" s="510">
        <f t="shared" si="43"/>
        <v>12.271416720098088</v>
      </c>
      <c r="BH31" s="510">
        <f t="shared" si="43"/>
        <v>12.271416720098088</v>
      </c>
      <c r="BI31" s="510">
        <f t="shared" si="43"/>
        <v>12.271416720098088</v>
      </c>
      <c r="BJ31" s="510">
        <f>SUM((AS31:AW31),(BC31:BI31))</f>
        <v>145.74991704068663</v>
      </c>
      <c r="BK31" s="452">
        <f t="shared" si="21"/>
        <v>1322.2500829593134</v>
      </c>
      <c r="BL31" s="538">
        <f t="shared" ref="BL31:BP35" si="44">$BB31</f>
        <v>12.271416720098088</v>
      </c>
      <c r="BM31" s="538">
        <f t="shared" si="44"/>
        <v>12.271416720098088</v>
      </c>
      <c r="BN31" s="538">
        <f t="shared" si="44"/>
        <v>12.271416720098088</v>
      </c>
      <c r="BO31" s="538">
        <f t="shared" si="44"/>
        <v>12.271416720098088</v>
      </c>
      <c r="BP31" s="538">
        <f t="shared" si="44"/>
        <v>12.271416720098088</v>
      </c>
      <c r="BQ31" s="538">
        <f>SUM(BL31:BP31)</f>
        <v>61.357083600490441</v>
      </c>
      <c r="BR31" s="538">
        <f>BK31-BQ31</f>
        <v>1260.8929993588231</v>
      </c>
      <c r="BS31" s="8">
        <v>10</v>
      </c>
      <c r="BT31" s="130">
        <v>0.1</v>
      </c>
      <c r="BU31" s="119">
        <v>43281</v>
      </c>
      <c r="BV31" s="125">
        <v>120</v>
      </c>
      <c r="BW31" s="146">
        <f>CI31/BV31/100</f>
        <v>0.12233333333333332</v>
      </c>
      <c r="BX31" s="1167">
        <f>BW31*BY31</f>
        <v>3.6699999999999995</v>
      </c>
      <c r="BY31" s="125">
        <f>(YEAR(BU31)-YEAR(CH31))*12+MONTH(BU31)-MONTH(CH31)</f>
        <v>30</v>
      </c>
      <c r="BZ31" s="1167">
        <f>CA31*BW31</f>
        <v>11.01</v>
      </c>
      <c r="CA31" s="125">
        <f>BV31-BY31</f>
        <v>90</v>
      </c>
      <c r="CB31" s="1167">
        <f>CC31*BW31</f>
        <v>11.01</v>
      </c>
      <c r="CC31" s="125">
        <f>BV31-BY31</f>
        <v>90</v>
      </c>
      <c r="CD31" s="1167">
        <f>CE31*BW31</f>
        <v>0</v>
      </c>
      <c r="CE31" s="125">
        <f>CA31-CC31</f>
        <v>0</v>
      </c>
      <c r="CF31" s="367">
        <f>DATE(YEAR(CH31),MONTH(CH31)+BV31,DAY(CH31))</f>
        <v>45997</v>
      </c>
      <c r="CG31" s="125">
        <v>3337</v>
      </c>
      <c r="CH31" s="119">
        <v>42344</v>
      </c>
      <c r="CI31" s="134">
        <f>2*734</f>
        <v>1468</v>
      </c>
      <c r="CJ31" s="510">
        <v>1260.8929993588231</v>
      </c>
      <c r="CK31" s="1174">
        <v>126.408</v>
      </c>
      <c r="CL31" s="1188">
        <v>118.532</v>
      </c>
      <c r="CM31" s="1174">
        <f>CK31/CL31</f>
        <v>1.0664461917456889</v>
      </c>
      <c r="CN31" s="1176">
        <f>CJ31/CA31</f>
        <v>14.009922215098035</v>
      </c>
      <c r="CO31" s="510">
        <f>CN31*CM31</f>
        <v>14.940828192944625</v>
      </c>
      <c r="CP31" s="510">
        <v>13.183083699657022</v>
      </c>
      <c r="CQ31" s="510">
        <v>13.183083699657022</v>
      </c>
      <c r="CR31" s="510">
        <v>13.183083699657022</v>
      </c>
      <c r="CS31" s="510">
        <v>13.183083699657022</v>
      </c>
      <c r="CT31" s="510">
        <v>13.183083699657022</v>
      </c>
      <c r="CU31" s="510">
        <v>13.183083699657022</v>
      </c>
      <c r="CV31" s="510">
        <v>13.183083699657022</v>
      </c>
      <c r="CW31" s="510">
        <f>SUM(CP31:CV31)</f>
        <v>92.281585897599143</v>
      </c>
      <c r="CX31" s="439">
        <f>CJ31-CW31</f>
        <v>1168.6114134612239</v>
      </c>
      <c r="CY31" s="510">
        <v>13.183083699657022</v>
      </c>
      <c r="CZ31" s="510">
        <v>13.183083699657022</v>
      </c>
      <c r="DA31" s="510">
        <v>13.183083699657022</v>
      </c>
      <c r="DB31" s="510">
        <v>13.183083699657022</v>
      </c>
      <c r="DC31" s="510">
        <v>13.183083699657022</v>
      </c>
      <c r="DD31" s="510">
        <f t="shared" si="1"/>
        <v>65.915418498285106</v>
      </c>
      <c r="DE31" s="960">
        <f t="shared" si="4"/>
        <v>1102.6959949629388</v>
      </c>
      <c r="DF31" s="1174">
        <v>132.28200000000001</v>
      </c>
      <c r="DG31" s="1188">
        <v>118.532</v>
      </c>
      <c r="DH31" s="1174">
        <f>DF31/DG31</f>
        <v>1.1160024297236191</v>
      </c>
      <c r="DI31" s="510">
        <f>DE31/CC31</f>
        <v>12.252177721810432</v>
      </c>
      <c r="DJ31" s="510">
        <f t="shared" si="5"/>
        <v>13.673460106946038</v>
      </c>
      <c r="DK31" s="510">
        <v>13.673460106946038</v>
      </c>
      <c r="DL31" s="510">
        <v>13.673460106946038</v>
      </c>
      <c r="DM31" s="510">
        <v>13.673460106946038</v>
      </c>
      <c r="DN31" s="510">
        <v>13.673460106946038</v>
      </c>
      <c r="DO31" s="510">
        <v>13.673460106946038</v>
      </c>
      <c r="DP31" s="510">
        <v>13.673460106946038</v>
      </c>
      <c r="DQ31" s="510">
        <v>13.673460106946038</v>
      </c>
      <c r="DR31" s="510">
        <v>13.673460106946038</v>
      </c>
      <c r="DS31" s="510">
        <v>13.673460106946038</v>
      </c>
      <c r="DT31" s="510">
        <v>13.673460106946038</v>
      </c>
      <c r="DU31" s="510">
        <v>13.673460106946038</v>
      </c>
      <c r="DV31" s="510">
        <v>13.673460106946038</v>
      </c>
      <c r="DW31" s="510">
        <v>13.673460106946038</v>
      </c>
      <c r="DX31" s="510">
        <v>13.673460106946038</v>
      </c>
      <c r="DY31" s="510">
        <v>13.673460106946038</v>
      </c>
      <c r="DZ31" s="510">
        <v>13.673460106946038</v>
      </c>
      <c r="EA31" s="510">
        <v>13.673460106946038</v>
      </c>
      <c r="EB31" s="510">
        <v>13.673460106946038</v>
      </c>
      <c r="EC31" s="511">
        <f t="shared" si="2"/>
        <v>246.12228192502869</v>
      </c>
      <c r="ED31" s="960">
        <f>DE31-EC31</f>
        <v>856.57371303791012</v>
      </c>
      <c r="EE31" s="975"/>
      <c r="EF31" s="975"/>
      <c r="EG31" s="975"/>
      <c r="EH31" s="975"/>
    </row>
    <row r="32" spans="1:138" s="16" customFormat="1" ht="15" x14ac:dyDescent="0.2">
      <c r="A32" s="328" t="s">
        <v>108</v>
      </c>
      <c r="B32" s="328" t="s">
        <v>708</v>
      </c>
      <c r="C32" s="341" t="s">
        <v>724</v>
      </c>
      <c r="D32" s="329">
        <v>10</v>
      </c>
      <c r="E32" s="342">
        <v>0.1</v>
      </c>
      <c r="F32" s="330">
        <v>42334</v>
      </c>
      <c r="G32" s="331">
        <v>120</v>
      </c>
      <c r="H32" s="332">
        <f>100/G32</f>
        <v>0.83333333333333337</v>
      </c>
      <c r="I32" s="333">
        <f>H32*J32</f>
        <v>0</v>
      </c>
      <c r="J32" s="331">
        <f>(YEAR(F32)-YEAR(S32))*12+MONTH(F32)-MONTH(S32)</f>
        <v>0</v>
      </c>
      <c r="K32" s="333">
        <f>L32*H32</f>
        <v>100</v>
      </c>
      <c r="L32" s="331">
        <f>G32-J32</f>
        <v>120</v>
      </c>
      <c r="M32" s="333">
        <f>N32*H32</f>
        <v>0.83333333333333337</v>
      </c>
      <c r="N32" s="331">
        <v>1</v>
      </c>
      <c r="O32" s="333">
        <f>P32*H32</f>
        <v>99.166666666666671</v>
      </c>
      <c r="P32" s="331">
        <f>L32-N32</f>
        <v>119</v>
      </c>
      <c r="Q32" s="331">
        <f>M32-O32</f>
        <v>-98.333333333333343</v>
      </c>
      <c r="R32" s="331">
        <v>291</v>
      </c>
      <c r="S32" s="330">
        <v>42334</v>
      </c>
      <c r="T32" s="335">
        <v>1049</v>
      </c>
      <c r="U32" s="337">
        <v>0</v>
      </c>
      <c r="V32" s="338">
        <v>0</v>
      </c>
      <c r="W32" s="338">
        <v>118.051</v>
      </c>
      <c r="X32" s="337">
        <v>115.958</v>
      </c>
      <c r="Y32" s="346">
        <v>118.051</v>
      </c>
      <c r="Z32" s="337">
        <f>X32/Y32</f>
        <v>0.98227037466857536</v>
      </c>
      <c r="AA32" s="338">
        <f>H32*T32/100</f>
        <v>8.7416666666666671</v>
      </c>
      <c r="AB32" s="338">
        <f>AA32*Z32</f>
        <v>8.5866801918944642</v>
      </c>
      <c r="AC32" s="338"/>
      <c r="AD32" s="338"/>
      <c r="AE32" s="338"/>
      <c r="AF32" s="338"/>
      <c r="AG32" s="338"/>
      <c r="AH32" s="338"/>
      <c r="AI32" s="338"/>
      <c r="AJ32" s="338"/>
      <c r="AK32" s="339"/>
      <c r="AL32" s="339"/>
      <c r="AM32" s="339"/>
      <c r="AN32" s="339">
        <f>8.59</f>
        <v>8.59</v>
      </c>
      <c r="AO32" s="338">
        <f>SUM(AC32:AN32)</f>
        <v>8.59</v>
      </c>
      <c r="AP32" s="393">
        <f>T32-AO32</f>
        <v>1040.4100000000001</v>
      </c>
      <c r="AQ32" s="32"/>
      <c r="AR32" s="32"/>
      <c r="AS32" s="429">
        <f t="shared" si="41"/>
        <v>8.59</v>
      </c>
      <c r="AT32" s="429">
        <f t="shared" si="41"/>
        <v>8.59</v>
      </c>
      <c r="AU32" s="429">
        <f t="shared" si="41"/>
        <v>8.59</v>
      </c>
      <c r="AV32" s="429">
        <f t="shared" si="41"/>
        <v>8.59</v>
      </c>
      <c r="AW32" s="429">
        <f t="shared" si="41"/>
        <v>8.59</v>
      </c>
      <c r="AX32" s="337">
        <v>118.901</v>
      </c>
      <c r="AY32" s="346">
        <v>118.051</v>
      </c>
      <c r="AZ32" s="337">
        <f>AX32/AY32</f>
        <v>1.0072002778460156</v>
      </c>
      <c r="BA32" s="337">
        <f>T32/(D32*12)</f>
        <v>8.7416666666666671</v>
      </c>
      <c r="BB32" s="337">
        <f t="shared" si="18"/>
        <v>8.8046090955039205</v>
      </c>
      <c r="BC32" s="429">
        <f t="shared" si="43"/>
        <v>8.8046090955039205</v>
      </c>
      <c r="BD32" s="429">
        <f t="shared" si="43"/>
        <v>8.8046090955039205</v>
      </c>
      <c r="BE32" s="429">
        <f t="shared" si="43"/>
        <v>8.8046090955039205</v>
      </c>
      <c r="BF32" s="429">
        <f t="shared" si="43"/>
        <v>8.8046090955039205</v>
      </c>
      <c r="BG32" s="429">
        <f t="shared" si="43"/>
        <v>8.8046090955039205</v>
      </c>
      <c r="BH32" s="429">
        <f t="shared" si="43"/>
        <v>8.8046090955039205</v>
      </c>
      <c r="BI32" s="429">
        <f t="shared" si="43"/>
        <v>8.8046090955039205</v>
      </c>
      <c r="BJ32" s="429">
        <f>SUM((AS32:AW32),(BC32:BI32))</f>
        <v>104.58226366852745</v>
      </c>
      <c r="BK32" s="452">
        <f t="shared" si="21"/>
        <v>935.82773633147258</v>
      </c>
      <c r="BL32" s="538">
        <f t="shared" si="44"/>
        <v>8.8046090955039205</v>
      </c>
      <c r="BM32" s="538">
        <f t="shared" si="44"/>
        <v>8.8046090955039205</v>
      </c>
      <c r="BN32" s="538">
        <f t="shared" si="44"/>
        <v>8.8046090955039205</v>
      </c>
      <c r="BO32" s="538">
        <f t="shared" si="44"/>
        <v>8.8046090955039205</v>
      </c>
      <c r="BP32" s="538">
        <f t="shared" si="44"/>
        <v>8.8046090955039205</v>
      </c>
      <c r="BQ32" s="538">
        <f>SUM(BL32:BP32)</f>
        <v>44.023045477519602</v>
      </c>
      <c r="BR32" s="538">
        <f>BK32-BQ32</f>
        <v>891.80469085395293</v>
      </c>
      <c r="BS32" s="58">
        <v>10</v>
      </c>
      <c r="BT32" s="53">
        <v>0.1</v>
      </c>
      <c r="BU32" s="46">
        <v>43281</v>
      </c>
      <c r="BV32" s="48">
        <v>120</v>
      </c>
      <c r="BW32" s="145">
        <f>CI32/BV32/100</f>
        <v>8.741666666666667E-2</v>
      </c>
      <c r="BX32" s="165">
        <f>BW32*BY32</f>
        <v>2.709916666666667</v>
      </c>
      <c r="BY32" s="48">
        <f>(YEAR(BU32)-YEAR(CH32))*12+MONTH(BU32)-MONTH(CH32)</f>
        <v>31</v>
      </c>
      <c r="BZ32" s="165">
        <f>CA32*BW32</f>
        <v>7.7800833333333337</v>
      </c>
      <c r="CA32" s="48">
        <f>BV32-BY32</f>
        <v>89</v>
      </c>
      <c r="CB32" s="165">
        <f>CC32*BW32</f>
        <v>7.7800833333333337</v>
      </c>
      <c r="CC32" s="48">
        <f>BV32-BY32</f>
        <v>89</v>
      </c>
      <c r="CD32" s="165">
        <f>CE32*BW32</f>
        <v>0</v>
      </c>
      <c r="CE32" s="48">
        <f>CA32-CC32</f>
        <v>0</v>
      </c>
      <c r="CF32" s="462">
        <f>DATE(YEAR(CH32),MONTH(CH32)+BV32,DAY(CH32))</f>
        <v>45987</v>
      </c>
      <c r="CG32" s="48">
        <v>291</v>
      </c>
      <c r="CH32" s="46">
        <v>42334</v>
      </c>
      <c r="CI32" s="47">
        <v>1049</v>
      </c>
      <c r="CJ32" s="510">
        <v>891.80469085395293</v>
      </c>
      <c r="CK32" s="656">
        <v>126.408</v>
      </c>
      <c r="CL32" s="955">
        <v>118.051</v>
      </c>
      <c r="CM32" s="656">
        <f>CK32/CL32</f>
        <v>1.0707914375990037</v>
      </c>
      <c r="CN32" s="617">
        <f>CJ32/CA32</f>
        <v>10.020277425325315</v>
      </c>
      <c r="CO32" s="511">
        <f>CN32*CM32</f>
        <v>10.729627269404938</v>
      </c>
      <c r="CP32" s="511">
        <v>9.4548200690795969</v>
      </c>
      <c r="CQ32" s="511">
        <v>9.4548200690795969</v>
      </c>
      <c r="CR32" s="511">
        <v>9.4548200690795969</v>
      </c>
      <c r="CS32" s="511">
        <v>9.4548200690795969</v>
      </c>
      <c r="CT32" s="511">
        <v>9.4548200690795969</v>
      </c>
      <c r="CU32" s="511">
        <v>9.4548200690795969</v>
      </c>
      <c r="CV32" s="511">
        <v>9.4548200690795969</v>
      </c>
      <c r="CW32" s="510">
        <f>SUM(CP32:CV32)</f>
        <v>66.183740483557173</v>
      </c>
      <c r="CX32" s="439">
        <f>CJ32-CW32</f>
        <v>825.6209503703958</v>
      </c>
      <c r="CY32" s="511">
        <v>9.4548200690795969</v>
      </c>
      <c r="CZ32" s="511">
        <v>9.4548200690795969</v>
      </c>
      <c r="DA32" s="511">
        <v>9.4548200690795969</v>
      </c>
      <c r="DB32" s="511">
        <v>9.4548200690795969</v>
      </c>
      <c r="DC32" s="511">
        <v>9.4548200690795969</v>
      </c>
      <c r="DD32" s="511">
        <f t="shared" si="1"/>
        <v>47.274100345397983</v>
      </c>
      <c r="DE32" s="960">
        <f t="shared" si="4"/>
        <v>778.34685002499782</v>
      </c>
      <c r="DF32" s="656">
        <v>132.28200000000001</v>
      </c>
      <c r="DG32" s="955">
        <v>118.051</v>
      </c>
      <c r="DH32" s="656">
        <f>DF32/DG32</f>
        <v>1.1205495929725289</v>
      </c>
      <c r="DI32" s="511">
        <f>DE32/CC32</f>
        <v>8.7454702249999752</v>
      </c>
      <c r="DJ32" s="511">
        <f t="shared" si="5"/>
        <v>9.7997331009770932</v>
      </c>
      <c r="DK32" s="511">
        <v>9.7997331009770932</v>
      </c>
      <c r="DL32" s="511">
        <v>9.7997331009770932</v>
      </c>
      <c r="DM32" s="511">
        <v>9.7997331009770932</v>
      </c>
      <c r="DN32" s="511">
        <v>9.7997331009770932</v>
      </c>
      <c r="DO32" s="511">
        <v>9.7997331009770932</v>
      </c>
      <c r="DP32" s="511">
        <v>9.7997331009770932</v>
      </c>
      <c r="DQ32" s="511">
        <v>9.7997331009770932</v>
      </c>
      <c r="DR32" s="511">
        <v>9.7997331009770932</v>
      </c>
      <c r="DS32" s="511">
        <v>9.7997331009770932</v>
      </c>
      <c r="DT32" s="511">
        <v>9.7997331009770932</v>
      </c>
      <c r="DU32" s="511">
        <v>9.7997331009770932</v>
      </c>
      <c r="DV32" s="511">
        <v>9.7997331009770932</v>
      </c>
      <c r="DW32" s="511">
        <v>9.7997331009770932</v>
      </c>
      <c r="DX32" s="511">
        <v>9.7997331009770932</v>
      </c>
      <c r="DY32" s="511">
        <v>9.7997331009770932</v>
      </c>
      <c r="DZ32" s="511">
        <v>9.7997331009770932</v>
      </c>
      <c r="EA32" s="511">
        <v>9.7997331009770932</v>
      </c>
      <c r="EB32" s="511">
        <v>9.7997331009770932</v>
      </c>
      <c r="EC32" s="511">
        <f t="shared" si="2"/>
        <v>176.39519581758771</v>
      </c>
      <c r="ED32" s="960">
        <f>DE32-EC32</f>
        <v>601.95165420741012</v>
      </c>
      <c r="EE32" s="453"/>
      <c r="EF32" s="453"/>
      <c r="EG32" s="453"/>
      <c r="EH32" s="453"/>
    </row>
    <row r="33" spans="1:138" s="16" customFormat="1" ht="15" x14ac:dyDescent="0.2">
      <c r="A33" s="411" t="s">
        <v>108</v>
      </c>
      <c r="B33" s="411" t="s">
        <v>978</v>
      </c>
      <c r="C33" s="423" t="s">
        <v>314</v>
      </c>
      <c r="D33" s="424">
        <v>10</v>
      </c>
      <c r="E33" s="425">
        <v>0.1</v>
      </c>
      <c r="F33" s="415">
        <v>42409</v>
      </c>
      <c r="G33" s="424">
        <f>D33*12</f>
        <v>120</v>
      </c>
      <c r="H33" s="413">
        <f>100/G33</f>
        <v>0.83333333333333337</v>
      </c>
      <c r="I33" s="414">
        <v>0</v>
      </c>
      <c r="J33" s="412">
        <v>0</v>
      </c>
      <c r="K33" s="414">
        <f>L33*H33</f>
        <v>100</v>
      </c>
      <c r="L33" s="412">
        <f>G33-J33</f>
        <v>120</v>
      </c>
      <c r="M33" s="414">
        <v>0</v>
      </c>
      <c r="N33" s="412">
        <v>0</v>
      </c>
      <c r="O33" s="414">
        <f>P33*H33</f>
        <v>100</v>
      </c>
      <c r="P33" s="412">
        <f>L33-N33</f>
        <v>120</v>
      </c>
      <c r="Q33" s="412"/>
      <c r="R33" s="426">
        <v>28921859</v>
      </c>
      <c r="S33" s="415">
        <v>42409</v>
      </c>
      <c r="T33" s="416">
        <v>2699</v>
      </c>
      <c r="U33" s="427">
        <v>0</v>
      </c>
      <c r="V33" s="417">
        <v>0</v>
      </c>
      <c r="W33" s="428"/>
      <c r="X33" s="418">
        <v>115.958</v>
      </c>
      <c r="Y33" s="419">
        <v>119.505</v>
      </c>
      <c r="Z33" s="418">
        <f>X33/Y33</f>
        <v>0.97031923350487426</v>
      </c>
      <c r="AA33" s="420">
        <v>0</v>
      </c>
      <c r="AB33" s="420">
        <f>AA33*Z33</f>
        <v>0</v>
      </c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>
        <v>0</v>
      </c>
      <c r="AO33" s="420">
        <f>SUM(AC33:AN33)</f>
        <v>0</v>
      </c>
      <c r="AP33" s="433">
        <f>T33-AO33</f>
        <v>2699</v>
      </c>
      <c r="AQ33" s="420">
        <f>(AP33*E33)/12</f>
        <v>22.491666666666671</v>
      </c>
      <c r="AR33" s="420">
        <f>AQ33*Z33</f>
        <v>21.824096760247134</v>
      </c>
      <c r="AS33" s="420"/>
      <c r="AT33" s="420">
        <f>AR33</f>
        <v>21.824096760247134</v>
      </c>
      <c r="AU33" s="420">
        <f t="shared" ref="AU33:AW34" si="45">AT33</f>
        <v>21.824096760247134</v>
      </c>
      <c r="AV33" s="420">
        <f t="shared" si="45"/>
        <v>21.824096760247134</v>
      </c>
      <c r="AW33" s="420">
        <f t="shared" si="45"/>
        <v>21.824096760247134</v>
      </c>
      <c r="AX33" s="419">
        <v>118.901</v>
      </c>
      <c r="AY33" s="419">
        <v>119.505</v>
      </c>
      <c r="AZ33" s="418">
        <f>AX33/AY33</f>
        <v>0.99494581816660388</v>
      </c>
      <c r="BA33" s="420">
        <f>T33/(D33*12)</f>
        <v>22.491666666666667</v>
      </c>
      <c r="BB33" s="420">
        <f t="shared" si="18"/>
        <v>22.3779896935972</v>
      </c>
      <c r="BC33" s="429">
        <f t="shared" si="43"/>
        <v>22.3779896935972</v>
      </c>
      <c r="BD33" s="429">
        <f t="shared" si="43"/>
        <v>22.3779896935972</v>
      </c>
      <c r="BE33" s="429">
        <f t="shared" si="43"/>
        <v>22.3779896935972</v>
      </c>
      <c r="BF33" s="429">
        <f t="shared" si="43"/>
        <v>22.3779896935972</v>
      </c>
      <c r="BG33" s="429">
        <f t="shared" si="43"/>
        <v>22.3779896935972</v>
      </c>
      <c r="BH33" s="429">
        <f t="shared" si="43"/>
        <v>22.3779896935972</v>
      </c>
      <c r="BI33" s="429">
        <f t="shared" si="43"/>
        <v>22.3779896935972</v>
      </c>
      <c r="BJ33" s="429">
        <f>SUM((AS33:AW33),(BC33:BI33))</f>
        <v>243.94231489616902</v>
      </c>
      <c r="BK33" s="452">
        <f t="shared" si="21"/>
        <v>2455.0576851038309</v>
      </c>
      <c r="BL33" s="538">
        <f t="shared" si="44"/>
        <v>22.3779896935972</v>
      </c>
      <c r="BM33" s="538">
        <f t="shared" si="44"/>
        <v>22.3779896935972</v>
      </c>
      <c r="BN33" s="538">
        <f t="shared" si="44"/>
        <v>22.3779896935972</v>
      </c>
      <c r="BO33" s="538">
        <f t="shared" si="44"/>
        <v>22.3779896935972</v>
      </c>
      <c r="BP33" s="538">
        <f t="shared" si="44"/>
        <v>22.3779896935972</v>
      </c>
      <c r="BQ33" s="538">
        <f>SUM(BL33:BP33)</f>
        <v>111.889948467986</v>
      </c>
      <c r="BR33" s="538">
        <f>BK33-BQ33</f>
        <v>2343.1677366358449</v>
      </c>
      <c r="BS33" s="58">
        <v>10</v>
      </c>
      <c r="BT33" s="25">
        <v>0.1</v>
      </c>
      <c r="BU33" s="46">
        <v>43281</v>
      </c>
      <c r="BV33" s="58">
        <f>BS33*12</f>
        <v>120</v>
      </c>
      <c r="BW33" s="145">
        <f>CI33/BV33/100</f>
        <v>0.22491666666666668</v>
      </c>
      <c r="BX33" s="165">
        <v>0</v>
      </c>
      <c r="BY33" s="48">
        <f>(YEAR(BU33)-YEAR(CH33))*12+MONTH(BU33)-MONTH(CH33)</f>
        <v>28</v>
      </c>
      <c r="BZ33" s="165">
        <f>CA33*BW33</f>
        <v>20.692333333333334</v>
      </c>
      <c r="CA33" s="48">
        <f>BV33-BY33</f>
        <v>92</v>
      </c>
      <c r="CB33" s="165">
        <v>0</v>
      </c>
      <c r="CC33" s="48">
        <f>BV33-BY33</f>
        <v>92</v>
      </c>
      <c r="CD33" s="165">
        <f>CE33*BW33</f>
        <v>0</v>
      </c>
      <c r="CE33" s="48">
        <f>CA33-CC33</f>
        <v>0</v>
      </c>
      <c r="CF33" s="462">
        <f>DATE(YEAR(CH33),MONTH(CH33)+BV33,DAY(CH33))</f>
        <v>46062</v>
      </c>
      <c r="CG33" s="125">
        <v>28921859</v>
      </c>
      <c r="CH33" s="119">
        <v>42409</v>
      </c>
      <c r="CI33" s="134">
        <v>2699</v>
      </c>
      <c r="CJ33" s="510">
        <v>2343.1677366358449</v>
      </c>
      <c r="CK33" s="656">
        <v>126.408</v>
      </c>
      <c r="CL33" s="688">
        <v>119.505</v>
      </c>
      <c r="CM33" s="656">
        <f>CK33/CL33</f>
        <v>1.0577632735032008</v>
      </c>
      <c r="CN33" s="617">
        <f>CJ33/CA33</f>
        <v>25.46921452865049</v>
      </c>
      <c r="CO33" s="511">
        <f>CN33*CM33</f>
        <v>26.940399733380623</v>
      </c>
      <c r="CP33" s="511">
        <v>23.831892071836702</v>
      </c>
      <c r="CQ33" s="511">
        <v>23.831892071836702</v>
      </c>
      <c r="CR33" s="511">
        <v>23.831892071836702</v>
      </c>
      <c r="CS33" s="511">
        <v>23.831892071836702</v>
      </c>
      <c r="CT33" s="511">
        <v>23.831892071836702</v>
      </c>
      <c r="CU33" s="511">
        <v>23.831892071836702</v>
      </c>
      <c r="CV33" s="511">
        <v>23.831892071836702</v>
      </c>
      <c r="CW33" s="510">
        <f>SUM(CP33:CV33)</f>
        <v>166.82324450285691</v>
      </c>
      <c r="CX33" s="439">
        <f>CJ33-CW33</f>
        <v>2176.3444921329879</v>
      </c>
      <c r="CY33" s="511">
        <v>23.831892071836702</v>
      </c>
      <c r="CZ33" s="511">
        <v>23.831892071836702</v>
      </c>
      <c r="DA33" s="511">
        <v>23.831892071836702</v>
      </c>
      <c r="DB33" s="511">
        <v>23.831892071836702</v>
      </c>
      <c r="DC33" s="511">
        <v>23.831892071836702</v>
      </c>
      <c r="DD33" s="511">
        <f t="shared" si="1"/>
        <v>119.15946035918351</v>
      </c>
      <c r="DE33" s="960">
        <f t="shared" si="4"/>
        <v>2057.1850317738044</v>
      </c>
      <c r="DF33" s="656">
        <v>132.28200000000001</v>
      </c>
      <c r="DG33" s="688">
        <v>119.505</v>
      </c>
      <c r="DH33" s="656">
        <f>DF33/DG33</f>
        <v>1.1069160286180495</v>
      </c>
      <c r="DI33" s="511">
        <f>DE33/CC33</f>
        <v>22.360706867106568</v>
      </c>
      <c r="DJ33" s="511">
        <f t="shared" si="5"/>
        <v>24.751424842429952</v>
      </c>
      <c r="DK33" s="511">
        <v>24.751424842429952</v>
      </c>
      <c r="DL33" s="511">
        <v>24.751424842429952</v>
      </c>
      <c r="DM33" s="511">
        <v>24.751424842429952</v>
      </c>
      <c r="DN33" s="511">
        <v>24.751424842429952</v>
      </c>
      <c r="DO33" s="511">
        <v>24.751424842429952</v>
      </c>
      <c r="DP33" s="511">
        <v>24.751424842429952</v>
      </c>
      <c r="DQ33" s="511">
        <v>24.751424842429952</v>
      </c>
      <c r="DR33" s="511">
        <v>24.751424842429952</v>
      </c>
      <c r="DS33" s="511">
        <v>24.751424842429952</v>
      </c>
      <c r="DT33" s="511">
        <v>24.751424842429952</v>
      </c>
      <c r="DU33" s="511">
        <v>24.751424842429952</v>
      </c>
      <c r="DV33" s="511">
        <v>24.751424842429952</v>
      </c>
      <c r="DW33" s="511">
        <v>24.751424842429952</v>
      </c>
      <c r="DX33" s="511">
        <v>24.751424842429952</v>
      </c>
      <c r="DY33" s="511">
        <v>24.751424842429952</v>
      </c>
      <c r="DZ33" s="511">
        <v>24.751424842429952</v>
      </c>
      <c r="EA33" s="511">
        <v>24.751424842429952</v>
      </c>
      <c r="EB33" s="511">
        <v>24.751424842429952</v>
      </c>
      <c r="EC33" s="511">
        <f t="shared" si="2"/>
        <v>445.52564716373922</v>
      </c>
      <c r="ED33" s="960">
        <f>DE33-EC33</f>
        <v>1611.6593846100652</v>
      </c>
      <c r="EE33" s="453"/>
      <c r="EF33" s="453"/>
      <c r="EG33" s="453"/>
      <c r="EH33" s="453"/>
    </row>
    <row r="34" spans="1:138" s="16" customFormat="1" ht="15" x14ac:dyDescent="0.2">
      <c r="A34" s="411" t="s">
        <v>108</v>
      </c>
      <c r="B34" s="411" t="s">
        <v>979</v>
      </c>
      <c r="C34" s="423" t="s">
        <v>314</v>
      </c>
      <c r="D34" s="424">
        <v>10</v>
      </c>
      <c r="E34" s="425">
        <v>0.1</v>
      </c>
      <c r="F34" s="415" t="s">
        <v>980</v>
      </c>
      <c r="G34" s="424">
        <f>D34*12</f>
        <v>120</v>
      </c>
      <c r="H34" s="413">
        <f>100/G34</f>
        <v>0.83333333333333337</v>
      </c>
      <c r="I34" s="414">
        <v>0</v>
      </c>
      <c r="J34" s="412">
        <v>0</v>
      </c>
      <c r="K34" s="414">
        <f>L34*H34</f>
        <v>100</v>
      </c>
      <c r="L34" s="412">
        <f>G34-J34</f>
        <v>120</v>
      </c>
      <c r="M34" s="414">
        <v>0</v>
      </c>
      <c r="N34" s="412">
        <v>0</v>
      </c>
      <c r="O34" s="414">
        <f>P34*H34</f>
        <v>100</v>
      </c>
      <c r="P34" s="412">
        <f>L34-N34</f>
        <v>120</v>
      </c>
      <c r="Q34" s="412"/>
      <c r="R34" s="426">
        <v>1021189</v>
      </c>
      <c r="S34" s="415">
        <v>42404</v>
      </c>
      <c r="T34" s="416">
        <v>3476.18</v>
      </c>
      <c r="U34" s="427">
        <v>0</v>
      </c>
      <c r="V34" s="417">
        <v>0</v>
      </c>
      <c r="W34" s="428"/>
      <c r="X34" s="418">
        <v>115.958</v>
      </c>
      <c r="Y34" s="419">
        <v>119.505</v>
      </c>
      <c r="Z34" s="418">
        <f>X34/Y34</f>
        <v>0.97031923350487426</v>
      </c>
      <c r="AA34" s="420">
        <v>0</v>
      </c>
      <c r="AB34" s="420">
        <f>AA34*Z34</f>
        <v>0</v>
      </c>
      <c r="AC34" s="420"/>
      <c r="AD34" s="420"/>
      <c r="AE34" s="420"/>
      <c r="AF34" s="420"/>
      <c r="AG34" s="420"/>
      <c r="AH34" s="420"/>
      <c r="AI34" s="420"/>
      <c r="AJ34" s="420"/>
      <c r="AK34" s="420"/>
      <c r="AL34" s="420"/>
      <c r="AM34" s="420"/>
      <c r="AN34" s="420">
        <v>0</v>
      </c>
      <c r="AO34" s="420">
        <f>SUM(AC34:AN34)</f>
        <v>0</v>
      </c>
      <c r="AP34" s="433">
        <f>T34-AO34</f>
        <v>3476.18</v>
      </c>
      <c r="AQ34" s="420">
        <f>(AP34*E34)/12</f>
        <v>28.968166666666665</v>
      </c>
      <c r="AR34" s="420">
        <f>AQ34*Z34</f>
        <v>28.108369276041447</v>
      </c>
      <c r="AS34" s="420"/>
      <c r="AT34" s="420">
        <f>AR34</f>
        <v>28.108369276041447</v>
      </c>
      <c r="AU34" s="420">
        <f t="shared" si="45"/>
        <v>28.108369276041447</v>
      </c>
      <c r="AV34" s="420">
        <f t="shared" si="45"/>
        <v>28.108369276041447</v>
      </c>
      <c r="AW34" s="420">
        <f t="shared" si="45"/>
        <v>28.108369276041447</v>
      </c>
      <c r="AX34" s="419">
        <v>118.901</v>
      </c>
      <c r="AY34" s="419">
        <v>119.505</v>
      </c>
      <c r="AZ34" s="418">
        <f>AX34/AY34</f>
        <v>0.99494581816660388</v>
      </c>
      <c r="BA34" s="420">
        <f>T34/(D34*12)</f>
        <v>28.968166666666665</v>
      </c>
      <c r="BB34" s="420">
        <f t="shared" si="18"/>
        <v>28.821756284953207</v>
      </c>
      <c r="BC34" s="429">
        <f t="shared" si="43"/>
        <v>28.821756284953207</v>
      </c>
      <c r="BD34" s="429">
        <f t="shared" si="43"/>
        <v>28.821756284953207</v>
      </c>
      <c r="BE34" s="429">
        <f t="shared" si="43"/>
        <v>28.821756284953207</v>
      </c>
      <c r="BF34" s="429">
        <f t="shared" si="43"/>
        <v>28.821756284953207</v>
      </c>
      <c r="BG34" s="429">
        <f t="shared" si="43"/>
        <v>28.821756284953207</v>
      </c>
      <c r="BH34" s="429">
        <f t="shared" si="43"/>
        <v>28.821756284953207</v>
      </c>
      <c r="BI34" s="429">
        <f t="shared" si="43"/>
        <v>28.821756284953207</v>
      </c>
      <c r="BJ34" s="429">
        <f>SUM((AS34:AW34),(BC34:BI34))</f>
        <v>314.18577109883825</v>
      </c>
      <c r="BK34" s="452">
        <f t="shared" si="21"/>
        <v>3161.9942289011615</v>
      </c>
      <c r="BL34" s="538">
        <f t="shared" si="44"/>
        <v>28.821756284953207</v>
      </c>
      <c r="BM34" s="538">
        <f t="shared" si="44"/>
        <v>28.821756284953207</v>
      </c>
      <c r="BN34" s="538">
        <f t="shared" si="44"/>
        <v>28.821756284953207</v>
      </c>
      <c r="BO34" s="538">
        <f t="shared" si="44"/>
        <v>28.821756284953207</v>
      </c>
      <c r="BP34" s="538">
        <f t="shared" si="44"/>
        <v>28.821756284953207</v>
      </c>
      <c r="BQ34" s="538">
        <f>SUM(BL34:BP34)</f>
        <v>144.10878142476602</v>
      </c>
      <c r="BR34" s="538">
        <f>BK34-BQ34</f>
        <v>3017.8854474763953</v>
      </c>
      <c r="BS34" s="58">
        <v>10</v>
      </c>
      <c r="BT34" s="25">
        <v>0.1</v>
      </c>
      <c r="BU34" s="46">
        <v>43281</v>
      </c>
      <c r="BV34" s="58">
        <f>BS34*12</f>
        <v>120</v>
      </c>
      <c r="BW34" s="145">
        <f>CI34/BV34/100</f>
        <v>0.28968166666666667</v>
      </c>
      <c r="BX34" s="165">
        <v>0</v>
      </c>
      <c r="BY34" s="48">
        <f>(YEAR(BU34)-YEAR(CH34))*12+MONTH(BU34)-MONTH(CH34)</f>
        <v>28</v>
      </c>
      <c r="BZ34" s="165">
        <f>CA34*BW34</f>
        <v>26.650713333333332</v>
      </c>
      <c r="CA34" s="48">
        <f>BV34-BY34</f>
        <v>92</v>
      </c>
      <c r="CB34" s="165">
        <v>0</v>
      </c>
      <c r="CC34" s="48">
        <f>BV34-BY34</f>
        <v>92</v>
      </c>
      <c r="CD34" s="165">
        <f>CE34*BW34</f>
        <v>0</v>
      </c>
      <c r="CE34" s="48">
        <f>CA34-CC34</f>
        <v>0</v>
      </c>
      <c r="CF34" s="462">
        <f>DATE(YEAR(CH34),MONTH(CH34)+BV34,DAY(CH34))</f>
        <v>46057</v>
      </c>
      <c r="CG34" s="125">
        <v>1021189</v>
      </c>
      <c r="CH34" s="119">
        <v>42404</v>
      </c>
      <c r="CI34" s="134">
        <v>3476.18</v>
      </c>
      <c r="CJ34" s="510">
        <v>3017.8854474763953</v>
      </c>
      <c r="CK34" s="656">
        <v>126.408</v>
      </c>
      <c r="CL34" s="688">
        <v>119.505</v>
      </c>
      <c r="CM34" s="656">
        <f>CK34/CL34</f>
        <v>1.0577632735032008</v>
      </c>
      <c r="CN34" s="617">
        <f>CJ34/CA34</f>
        <v>32.803102689960816</v>
      </c>
      <c r="CO34" s="511">
        <f>CN34*CM34</f>
        <v>34.697917282394606</v>
      </c>
      <c r="CP34" s="511">
        <v>30.694311442118305</v>
      </c>
      <c r="CQ34" s="511">
        <v>30.694311442118305</v>
      </c>
      <c r="CR34" s="511">
        <v>30.694311442118305</v>
      </c>
      <c r="CS34" s="511">
        <v>30.694311442118305</v>
      </c>
      <c r="CT34" s="511">
        <v>30.694311442118305</v>
      </c>
      <c r="CU34" s="511">
        <v>30.694311442118305</v>
      </c>
      <c r="CV34" s="511">
        <v>30.694311442118305</v>
      </c>
      <c r="CW34" s="510">
        <f>SUM(CP34:CV34)</f>
        <v>214.86018009482814</v>
      </c>
      <c r="CX34" s="439">
        <f>CJ34-CW34</f>
        <v>2803.0252673815671</v>
      </c>
      <c r="CY34" s="511">
        <v>30.694311442118305</v>
      </c>
      <c r="CZ34" s="511">
        <v>30.694311442118305</v>
      </c>
      <c r="DA34" s="511">
        <v>30.694311442118305</v>
      </c>
      <c r="DB34" s="511">
        <v>30.694311442118305</v>
      </c>
      <c r="DC34" s="511">
        <v>30.694311442118305</v>
      </c>
      <c r="DD34" s="511">
        <f t="shared" si="1"/>
        <v>153.47155721059153</v>
      </c>
      <c r="DE34" s="960">
        <f t="shared" si="4"/>
        <v>2649.5537101709756</v>
      </c>
      <c r="DF34" s="656">
        <v>132.28200000000001</v>
      </c>
      <c r="DG34" s="688">
        <v>119.505</v>
      </c>
      <c r="DH34" s="656">
        <f>DF34/DG34</f>
        <v>1.1069160286180495</v>
      </c>
      <c r="DI34" s="511">
        <f>DE34/CC34</f>
        <v>28.799496849684516</v>
      </c>
      <c r="DJ34" s="511">
        <f t="shared" si="5"/>
        <v>31.878624679050812</v>
      </c>
      <c r="DK34" s="511">
        <v>31.878624679050812</v>
      </c>
      <c r="DL34" s="511">
        <v>31.878624679050812</v>
      </c>
      <c r="DM34" s="511">
        <v>31.878624679050812</v>
      </c>
      <c r="DN34" s="511">
        <v>31.878624679050812</v>
      </c>
      <c r="DO34" s="511">
        <v>31.878624679050812</v>
      </c>
      <c r="DP34" s="511">
        <v>31.878624679050812</v>
      </c>
      <c r="DQ34" s="511">
        <v>31.878624679050812</v>
      </c>
      <c r="DR34" s="511">
        <v>31.878624679050812</v>
      </c>
      <c r="DS34" s="511">
        <v>31.878624679050812</v>
      </c>
      <c r="DT34" s="511">
        <v>31.878624679050812</v>
      </c>
      <c r="DU34" s="511">
        <v>31.878624679050812</v>
      </c>
      <c r="DV34" s="511">
        <v>31.878624679050812</v>
      </c>
      <c r="DW34" s="511">
        <v>31.878624679050812</v>
      </c>
      <c r="DX34" s="511">
        <v>31.878624679050812</v>
      </c>
      <c r="DY34" s="511">
        <v>31.878624679050812</v>
      </c>
      <c r="DZ34" s="511">
        <v>31.878624679050812</v>
      </c>
      <c r="EA34" s="511">
        <v>31.878624679050812</v>
      </c>
      <c r="EB34" s="511">
        <v>31.878624679050812</v>
      </c>
      <c r="EC34" s="511">
        <f t="shared" si="2"/>
        <v>573.81524422291454</v>
      </c>
      <c r="ED34" s="960">
        <f>DE34-EC34</f>
        <v>2075.7384659480613</v>
      </c>
      <c r="EE34" s="453"/>
      <c r="EF34" s="453"/>
      <c r="EG34" s="453"/>
      <c r="EH34" s="453"/>
    </row>
    <row r="35" spans="1:138" s="35" customFormat="1" ht="15" x14ac:dyDescent="0.2">
      <c r="A35" s="100" t="s">
        <v>108</v>
      </c>
      <c r="B35" s="100" t="s">
        <v>457</v>
      </c>
      <c r="C35" s="100" t="s">
        <v>314</v>
      </c>
      <c r="D35" s="8">
        <v>10</v>
      </c>
      <c r="E35" s="130">
        <v>0.1</v>
      </c>
      <c r="F35" s="119">
        <v>42185</v>
      </c>
      <c r="G35" s="125">
        <v>120</v>
      </c>
      <c r="H35" s="146">
        <f>100/G35</f>
        <v>0.83333333333333337</v>
      </c>
      <c r="I35" s="1167">
        <f>H35*J35</f>
        <v>22.5</v>
      </c>
      <c r="J35" s="125">
        <f>(YEAR(F35)-YEAR(S35))*12+MONTH(F35)-MONTH(S35)</f>
        <v>27</v>
      </c>
      <c r="K35" s="1167">
        <f>L35*H35</f>
        <v>77.5</v>
      </c>
      <c r="L35" s="125">
        <f>G35-J35</f>
        <v>93</v>
      </c>
      <c r="M35" s="1167">
        <f>N35*H35</f>
        <v>5.8333333333333339</v>
      </c>
      <c r="N35" s="125">
        <v>7</v>
      </c>
      <c r="O35" s="1167">
        <f>P35*H35</f>
        <v>71.666666666666671</v>
      </c>
      <c r="P35" s="125">
        <f>L35-N35</f>
        <v>86</v>
      </c>
      <c r="Q35" s="125">
        <f>M35-O35</f>
        <v>-65.833333333333343</v>
      </c>
      <c r="R35" s="119" t="s">
        <v>459</v>
      </c>
      <c r="S35" s="119">
        <v>41364</v>
      </c>
      <c r="T35" s="134">
        <v>2099</v>
      </c>
      <c r="U35" s="134">
        <v>1731.69</v>
      </c>
      <c r="V35" s="7">
        <v>87.45</v>
      </c>
      <c r="W35" s="64"/>
      <c r="X35" s="64">
        <v>115.958</v>
      </c>
      <c r="Y35" s="1168">
        <v>109.002</v>
      </c>
      <c r="Z35" s="64">
        <f>X35/Y35</f>
        <v>1.0638153428377461</v>
      </c>
      <c r="AA35" s="62">
        <f>U35*M35/100/K35*100/7</f>
        <v>18.620322580645162</v>
      </c>
      <c r="AB35" s="62">
        <f>AA35*Z35</f>
        <v>19.808584849878461</v>
      </c>
      <c r="AC35" s="62"/>
      <c r="AD35" s="62"/>
      <c r="AE35" s="62"/>
      <c r="AF35" s="62"/>
      <c r="AG35" s="62"/>
      <c r="AH35" s="62">
        <f>AB35</f>
        <v>19.808584849878461</v>
      </c>
      <c r="AI35" s="62">
        <v>19.808584849878461</v>
      </c>
      <c r="AJ35" s="62">
        <v>19.808584849878461</v>
      </c>
      <c r="AK35" s="62">
        <v>19.808584849878461</v>
      </c>
      <c r="AL35" s="62">
        <v>19.808584849878461</v>
      </c>
      <c r="AM35" s="62">
        <v>19.808584849878461</v>
      </c>
      <c r="AN35" s="62">
        <v>19.808584849878461</v>
      </c>
      <c r="AO35" s="62">
        <f>SUM(AC35:AN35)</f>
        <v>138.66009394914923</v>
      </c>
      <c r="AP35" s="1172">
        <f>U35-AO35</f>
        <v>1593.0299060508507</v>
      </c>
      <c r="AQ35" s="509"/>
      <c r="AR35" s="509"/>
      <c r="AS35" s="509"/>
      <c r="AT35" s="509"/>
      <c r="AU35" s="509"/>
      <c r="AV35" s="509"/>
      <c r="AW35" s="509"/>
      <c r="AX35" s="1168">
        <v>118.901</v>
      </c>
      <c r="AY35" s="1168">
        <v>109.002</v>
      </c>
      <c r="AZ35" s="64">
        <f>AX35/AY35</f>
        <v>1.090814847433992</v>
      </c>
      <c r="BA35" s="62">
        <f>T35/(D35*12)</f>
        <v>17.491666666666667</v>
      </c>
      <c r="BB35" s="62">
        <f t="shared" si="18"/>
        <v>19.080169706366245</v>
      </c>
      <c r="BC35" s="510">
        <f t="shared" si="43"/>
        <v>19.080169706366245</v>
      </c>
      <c r="BD35" s="510">
        <f t="shared" si="43"/>
        <v>19.080169706366245</v>
      </c>
      <c r="BE35" s="510">
        <f t="shared" si="43"/>
        <v>19.080169706366245</v>
      </c>
      <c r="BF35" s="510">
        <f t="shared" si="43"/>
        <v>19.080169706366245</v>
      </c>
      <c r="BG35" s="510">
        <f t="shared" si="43"/>
        <v>19.080169706366245</v>
      </c>
      <c r="BH35" s="510">
        <f t="shared" si="43"/>
        <v>19.080169706366245</v>
      </c>
      <c r="BI35" s="510">
        <f t="shared" si="43"/>
        <v>19.080169706366245</v>
      </c>
      <c r="BJ35" s="510">
        <f>SUM((AS35:AW35),(BC35:BI35))</f>
        <v>133.56118794456373</v>
      </c>
      <c r="BK35" s="452">
        <f t="shared" si="21"/>
        <v>1459.468718106287</v>
      </c>
      <c r="BL35" s="538">
        <f t="shared" si="44"/>
        <v>19.080169706366245</v>
      </c>
      <c r="BM35" s="538">
        <f t="shared" si="44"/>
        <v>19.080169706366245</v>
      </c>
      <c r="BN35" s="538">
        <f t="shared" si="44"/>
        <v>19.080169706366245</v>
      </c>
      <c r="BO35" s="538">
        <f t="shared" si="44"/>
        <v>19.080169706366245</v>
      </c>
      <c r="BP35" s="538">
        <f t="shared" si="44"/>
        <v>19.080169706366245</v>
      </c>
      <c r="BQ35" s="538">
        <f>SUM(BL35:BP35)</f>
        <v>95.40084853183123</v>
      </c>
      <c r="BR35" s="538">
        <f>BK35-BQ35</f>
        <v>1364.0678695744559</v>
      </c>
      <c r="BS35" s="8">
        <v>10</v>
      </c>
      <c r="BT35" s="130">
        <v>0.1</v>
      </c>
      <c r="BU35" s="119">
        <v>43281</v>
      </c>
      <c r="BV35" s="125">
        <v>120</v>
      </c>
      <c r="BW35" s="146">
        <f>CI35/BV35/100</f>
        <v>0.17491666666666666</v>
      </c>
      <c r="BX35" s="1167">
        <f>BW35*BY35</f>
        <v>11.01975</v>
      </c>
      <c r="BY35" s="125">
        <f>(YEAR(BU35)-YEAR(CH35))*12+MONTH(BU35)-MONTH(CH35)</f>
        <v>63</v>
      </c>
      <c r="BZ35" s="1167">
        <f>CA35*BW35</f>
        <v>9.9702500000000001</v>
      </c>
      <c r="CA35" s="125">
        <f>BV35-BY35</f>
        <v>57</v>
      </c>
      <c r="CB35" s="1167">
        <f>CC35*BW35</f>
        <v>9.9702500000000001</v>
      </c>
      <c r="CC35" s="125">
        <f>BV35-BY35</f>
        <v>57</v>
      </c>
      <c r="CD35" s="1167">
        <f>CE35*BW35</f>
        <v>0</v>
      </c>
      <c r="CE35" s="125">
        <f>CA35-CC35</f>
        <v>0</v>
      </c>
      <c r="CF35" s="367">
        <f>DATE(YEAR(CH35),MONTH(CH35)+BV35,DAY(CH35))</f>
        <v>45016</v>
      </c>
      <c r="CG35" s="119" t="s">
        <v>459</v>
      </c>
      <c r="CH35" s="119">
        <v>41364</v>
      </c>
      <c r="CI35" s="134">
        <v>2099</v>
      </c>
      <c r="CJ35" s="510">
        <v>1364.0678695744559</v>
      </c>
      <c r="CK35" s="1174">
        <v>126.408</v>
      </c>
      <c r="CL35" s="1175">
        <v>109.002</v>
      </c>
      <c r="CM35" s="1174">
        <f>CK35/CL35</f>
        <v>1.1596851433918645</v>
      </c>
      <c r="CN35" s="1176">
        <f>CJ35/CA35</f>
        <v>23.931015255692209</v>
      </c>
      <c r="CO35" s="510">
        <f>CN35*CM35</f>
        <v>27.752442858310314</v>
      </c>
      <c r="CP35" s="510">
        <v>22.925931056865043</v>
      </c>
      <c r="CQ35" s="510">
        <v>22.925931056865043</v>
      </c>
      <c r="CR35" s="510">
        <v>22.925931056865043</v>
      </c>
      <c r="CS35" s="510">
        <v>22.925931056865043</v>
      </c>
      <c r="CT35" s="510">
        <v>22.925931056865043</v>
      </c>
      <c r="CU35" s="510">
        <v>22.925931056865043</v>
      </c>
      <c r="CV35" s="510">
        <v>22.925931056865043</v>
      </c>
      <c r="CW35" s="510">
        <f>SUM(CP35:CV35)</f>
        <v>160.4815173980553</v>
      </c>
      <c r="CX35" s="439">
        <f>CJ35-CW35</f>
        <v>1203.5863521764006</v>
      </c>
      <c r="CY35" s="510">
        <v>22.925931056865043</v>
      </c>
      <c r="CZ35" s="510">
        <v>22.925931056865043</v>
      </c>
      <c r="DA35" s="510">
        <v>22.925931056865043</v>
      </c>
      <c r="DB35" s="510">
        <v>22.925931056865043</v>
      </c>
      <c r="DC35" s="510">
        <v>22.925931056865043</v>
      </c>
      <c r="DD35" s="510">
        <f t="shared" si="1"/>
        <v>114.62965528432521</v>
      </c>
      <c r="DE35" s="960">
        <f t="shared" si="4"/>
        <v>1088.9566968920753</v>
      </c>
      <c r="DF35" s="1174">
        <v>132.28200000000001</v>
      </c>
      <c r="DG35" s="1175">
        <v>109.002</v>
      </c>
      <c r="DH35" s="1174">
        <f>DF35/DG35</f>
        <v>1.2135740628612322</v>
      </c>
      <c r="DI35" s="510">
        <f>DE35/CC35</f>
        <v>19.104503454246935</v>
      </c>
      <c r="DJ35" s="510">
        <f t="shared" si="5"/>
        <v>23.184729875916897</v>
      </c>
      <c r="DK35" s="510">
        <v>23.184729875916897</v>
      </c>
      <c r="DL35" s="510">
        <v>23.184729875916897</v>
      </c>
      <c r="DM35" s="510">
        <v>23.184729875916897</v>
      </c>
      <c r="DN35" s="510">
        <v>23.184729875916897</v>
      </c>
      <c r="DO35" s="510">
        <v>23.184729875916897</v>
      </c>
      <c r="DP35" s="510">
        <v>23.184729875916897</v>
      </c>
      <c r="DQ35" s="510">
        <v>23.184729875916897</v>
      </c>
      <c r="DR35" s="510">
        <v>23.184729875916897</v>
      </c>
      <c r="DS35" s="510">
        <v>23.184729875916897</v>
      </c>
      <c r="DT35" s="510">
        <v>23.184729875916897</v>
      </c>
      <c r="DU35" s="510">
        <v>23.184729875916897</v>
      </c>
      <c r="DV35" s="510">
        <v>23.184729875916897</v>
      </c>
      <c r="DW35" s="510">
        <v>23.184729875916897</v>
      </c>
      <c r="DX35" s="510">
        <v>23.184729875916897</v>
      </c>
      <c r="DY35" s="510">
        <v>23.184729875916897</v>
      </c>
      <c r="DZ35" s="510">
        <v>23.184729875916897</v>
      </c>
      <c r="EA35" s="510">
        <v>23.184729875916897</v>
      </c>
      <c r="EB35" s="510">
        <v>23.184729875916897</v>
      </c>
      <c r="EC35" s="511">
        <f t="shared" si="2"/>
        <v>417.32513776650416</v>
      </c>
      <c r="ED35" s="960">
        <f>DE35-EC35</f>
        <v>671.63155912557113</v>
      </c>
      <c r="EE35" s="975"/>
      <c r="EF35" s="975"/>
      <c r="EG35" s="975"/>
      <c r="EH35" s="975"/>
    </row>
    <row r="36" spans="1:138" s="16" customFormat="1" ht="15" x14ac:dyDescent="0.2">
      <c r="A36" s="120" t="s">
        <v>65</v>
      </c>
      <c r="B36" s="100"/>
      <c r="C36" s="45"/>
      <c r="D36" s="58"/>
      <c r="E36" s="53"/>
      <c r="F36" s="46"/>
      <c r="G36" s="48"/>
      <c r="H36" s="145"/>
      <c r="I36" s="165"/>
      <c r="J36" s="48"/>
      <c r="K36" s="165"/>
      <c r="L36" s="48"/>
      <c r="M36" s="165"/>
      <c r="N36" s="48"/>
      <c r="O36" s="165"/>
      <c r="P36" s="48"/>
      <c r="Q36" s="48"/>
      <c r="R36" s="46"/>
      <c r="S36" s="46"/>
      <c r="T36" s="47"/>
      <c r="U36" s="47"/>
      <c r="V36" s="106"/>
      <c r="W36" s="66"/>
      <c r="X36" s="57"/>
      <c r="Y36" s="168"/>
      <c r="Z36" s="57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392"/>
      <c r="AQ36" s="32"/>
      <c r="AR36" s="32"/>
      <c r="AS36" s="32"/>
      <c r="AT36" s="32"/>
      <c r="AU36" s="32"/>
      <c r="AV36" s="32"/>
      <c r="AW36" s="32"/>
      <c r="AX36" s="168"/>
      <c r="AY36" s="168"/>
      <c r="AZ36" s="57"/>
      <c r="BA36" s="55"/>
      <c r="BB36" s="55"/>
      <c r="BC36" s="429"/>
      <c r="BD36" s="429"/>
      <c r="BE36" s="429"/>
      <c r="BF36" s="429"/>
      <c r="BG36" s="429"/>
      <c r="BH36" s="429"/>
      <c r="BI36" s="429"/>
      <c r="BJ36" s="429"/>
      <c r="BK36" s="452"/>
      <c r="BL36" s="538"/>
      <c r="BM36" s="538"/>
      <c r="BN36" s="538"/>
      <c r="BO36" s="538"/>
      <c r="BP36" s="538"/>
      <c r="BQ36" s="538"/>
      <c r="BR36" s="538"/>
      <c r="BS36" s="58"/>
      <c r="BT36" s="53"/>
      <c r="BU36" s="46"/>
      <c r="BV36" s="48"/>
      <c r="BW36" s="145"/>
      <c r="BX36" s="165"/>
      <c r="BY36" s="48"/>
      <c r="BZ36" s="165"/>
      <c r="CA36" s="48"/>
      <c r="CB36" s="165"/>
      <c r="CC36" s="48"/>
      <c r="CD36" s="165"/>
      <c r="CE36" s="48"/>
      <c r="CF36" s="462"/>
      <c r="CG36" s="46"/>
      <c r="CH36" s="46"/>
      <c r="CI36" s="47"/>
      <c r="CJ36" s="510"/>
      <c r="CK36" s="656"/>
      <c r="CL36" s="953"/>
      <c r="CM36" s="656"/>
      <c r="CN36" s="617"/>
      <c r="CO36" s="511"/>
      <c r="CP36" s="511"/>
      <c r="CQ36" s="511"/>
      <c r="CR36" s="511"/>
      <c r="CS36" s="511"/>
      <c r="CT36" s="511"/>
      <c r="CU36" s="511"/>
      <c r="CV36" s="511"/>
      <c r="CW36" s="510"/>
      <c r="CX36" s="439"/>
      <c r="CY36" s="511"/>
      <c r="CZ36" s="511"/>
      <c r="DA36" s="511"/>
      <c r="DB36" s="511"/>
      <c r="DC36" s="511"/>
      <c r="DD36" s="511"/>
      <c r="DE36" s="960"/>
      <c r="DF36" s="656"/>
      <c r="DG36" s="953"/>
      <c r="DH36" s="656"/>
      <c r="DI36" s="511"/>
      <c r="DJ36" s="511"/>
      <c r="DK36" s="511"/>
      <c r="DL36" s="511"/>
      <c r="DM36" s="511"/>
      <c r="DN36" s="511"/>
      <c r="DO36" s="511"/>
      <c r="DP36" s="511"/>
      <c r="DQ36" s="511"/>
      <c r="DR36" s="511"/>
      <c r="DS36" s="511"/>
      <c r="DT36" s="511"/>
      <c r="DU36" s="511"/>
      <c r="DV36" s="511"/>
      <c r="DW36" s="511"/>
      <c r="DX36" s="511"/>
      <c r="DY36" s="511"/>
      <c r="DZ36" s="511"/>
      <c r="EA36" s="511"/>
      <c r="EB36" s="511"/>
      <c r="EC36" s="511">
        <f t="shared" si="2"/>
        <v>0</v>
      </c>
      <c r="ED36" s="960"/>
      <c r="EE36" s="453"/>
      <c r="EF36" s="453"/>
      <c r="EG36" s="453"/>
      <c r="EH36" s="453"/>
    </row>
    <row r="37" spans="1:138" s="16" customFormat="1" ht="15" x14ac:dyDescent="0.2">
      <c r="A37" s="120" t="s">
        <v>1234</v>
      </c>
      <c r="B37" s="100"/>
      <c r="C37" s="45"/>
      <c r="D37" s="58"/>
      <c r="E37" s="53"/>
      <c r="F37" s="46"/>
      <c r="G37" s="48"/>
      <c r="H37" s="145"/>
      <c r="I37" s="165"/>
      <c r="J37" s="48"/>
      <c r="K37" s="165"/>
      <c r="L37" s="48"/>
      <c r="M37" s="165"/>
      <c r="N37" s="48"/>
      <c r="O37" s="165"/>
      <c r="P37" s="48"/>
      <c r="Q37" s="48"/>
      <c r="R37" s="46"/>
      <c r="S37" s="46"/>
      <c r="T37" s="47"/>
      <c r="U37" s="47"/>
      <c r="V37" s="106"/>
      <c r="W37" s="66"/>
      <c r="X37" s="57"/>
      <c r="Y37" s="168"/>
      <c r="Z37" s="57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392"/>
      <c r="AQ37" s="32"/>
      <c r="AR37" s="32"/>
      <c r="AS37" s="32"/>
      <c r="AT37" s="32"/>
      <c r="AU37" s="32"/>
      <c r="AV37" s="32"/>
      <c r="AW37" s="32"/>
      <c r="AX37" s="168"/>
      <c r="AY37" s="168"/>
      <c r="AZ37" s="57"/>
      <c r="BA37" s="55"/>
      <c r="BB37" s="55"/>
      <c r="BC37" s="429"/>
      <c r="BD37" s="429"/>
      <c r="BE37" s="429"/>
      <c r="BF37" s="429"/>
      <c r="BG37" s="429"/>
      <c r="BH37" s="429"/>
      <c r="BI37" s="429"/>
      <c r="BJ37" s="429"/>
      <c r="BK37" s="452"/>
      <c r="BL37" s="538"/>
      <c r="BM37" s="538"/>
      <c r="BN37" s="538"/>
      <c r="BO37" s="538"/>
      <c r="BP37" s="538"/>
      <c r="BQ37" s="538"/>
      <c r="BR37" s="538"/>
      <c r="BS37" s="58"/>
      <c r="BT37" s="53"/>
      <c r="BU37" s="46"/>
      <c r="BV37" s="48"/>
      <c r="BW37" s="145"/>
      <c r="BX37" s="165"/>
      <c r="BY37" s="48"/>
      <c r="BZ37" s="165"/>
      <c r="CA37" s="48"/>
      <c r="CB37" s="165"/>
      <c r="CC37" s="48"/>
      <c r="CD37" s="165"/>
      <c r="CE37" s="48"/>
      <c r="CF37" s="462"/>
      <c r="CG37" s="46"/>
      <c r="CH37" s="46"/>
      <c r="CI37" s="47"/>
      <c r="CJ37" s="510"/>
      <c r="CK37" s="656"/>
      <c r="CL37" s="953"/>
      <c r="CM37" s="656"/>
      <c r="CN37" s="617"/>
      <c r="CO37" s="511"/>
      <c r="CP37" s="511"/>
      <c r="CQ37" s="511"/>
      <c r="CR37" s="511"/>
      <c r="CS37" s="511"/>
      <c r="CT37" s="511"/>
      <c r="CU37" s="511"/>
      <c r="CV37" s="511"/>
      <c r="CW37" s="510"/>
      <c r="CX37" s="439"/>
      <c r="CY37" s="511"/>
      <c r="CZ37" s="511"/>
      <c r="DA37" s="511"/>
      <c r="DB37" s="511"/>
      <c r="DC37" s="511"/>
      <c r="DD37" s="511"/>
      <c r="DE37" s="960"/>
      <c r="DF37" s="656"/>
      <c r="DG37" s="953"/>
      <c r="DH37" s="656"/>
      <c r="DI37" s="511"/>
      <c r="DJ37" s="511"/>
      <c r="DK37" s="511"/>
      <c r="DL37" s="511"/>
      <c r="DM37" s="511"/>
      <c r="DN37" s="511"/>
      <c r="DO37" s="511"/>
      <c r="DP37" s="511"/>
      <c r="DQ37" s="511"/>
      <c r="DR37" s="511"/>
      <c r="DS37" s="511"/>
      <c r="DT37" s="511"/>
      <c r="DU37" s="511"/>
      <c r="DV37" s="511"/>
      <c r="DW37" s="511"/>
      <c r="DX37" s="511"/>
      <c r="DY37" s="511"/>
      <c r="DZ37" s="511"/>
      <c r="EA37" s="511"/>
      <c r="EB37" s="511"/>
      <c r="EC37" s="511">
        <f t="shared" si="2"/>
        <v>0</v>
      </c>
      <c r="ED37" s="960"/>
      <c r="EE37" s="453"/>
      <c r="EF37" s="453"/>
      <c r="EG37" s="453"/>
      <c r="EH37" s="453"/>
    </row>
    <row r="38" spans="1:138" s="35" customFormat="1" ht="15" x14ac:dyDescent="0.2">
      <c r="A38" s="100" t="s">
        <v>1235</v>
      </c>
      <c r="B38" s="1177" t="s">
        <v>1236</v>
      </c>
      <c r="C38" s="100" t="s">
        <v>314</v>
      </c>
      <c r="D38" s="8"/>
      <c r="E38" s="130"/>
      <c r="F38" s="119"/>
      <c r="G38" s="125"/>
      <c r="H38" s="146"/>
      <c r="I38" s="1167"/>
      <c r="J38" s="125"/>
      <c r="K38" s="1167"/>
      <c r="L38" s="125"/>
      <c r="M38" s="1167"/>
      <c r="N38" s="125"/>
      <c r="O38" s="1167"/>
      <c r="P38" s="125"/>
      <c r="Q38" s="125"/>
      <c r="R38" s="119"/>
      <c r="S38" s="119"/>
      <c r="T38" s="134"/>
      <c r="U38" s="134"/>
      <c r="V38" s="7"/>
      <c r="W38" s="64"/>
      <c r="X38" s="64"/>
      <c r="Y38" s="1168"/>
      <c r="Z38" s="64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1172"/>
      <c r="AQ38" s="509"/>
      <c r="AR38" s="509"/>
      <c r="AS38" s="509"/>
      <c r="AT38" s="509"/>
      <c r="AU38" s="509"/>
      <c r="AV38" s="509"/>
      <c r="AW38" s="509"/>
      <c r="AX38" s="1168"/>
      <c r="AY38" s="1168"/>
      <c r="AZ38" s="64"/>
      <c r="BA38" s="62"/>
      <c r="BB38" s="62"/>
      <c r="BC38" s="510"/>
      <c r="BD38" s="510"/>
      <c r="BE38" s="510"/>
      <c r="BF38" s="510"/>
      <c r="BG38" s="510"/>
      <c r="BH38" s="510"/>
      <c r="BI38" s="510"/>
      <c r="BJ38" s="510"/>
      <c r="BK38" s="452"/>
      <c r="BL38" s="538"/>
      <c r="BM38" s="538"/>
      <c r="BN38" s="538"/>
      <c r="BO38" s="538"/>
      <c r="BP38" s="538"/>
      <c r="BQ38" s="538"/>
      <c r="BR38" s="538"/>
      <c r="BS38" s="8">
        <v>10</v>
      </c>
      <c r="BT38" s="130">
        <v>0.1</v>
      </c>
      <c r="BU38" s="119">
        <v>43281</v>
      </c>
      <c r="BV38" s="125">
        <v>120</v>
      </c>
      <c r="BW38" s="146">
        <f>100/BV38</f>
        <v>0.83333333333333337</v>
      </c>
      <c r="BX38" s="1167">
        <v>0</v>
      </c>
      <c r="BY38" s="125">
        <v>0</v>
      </c>
      <c r="BZ38" s="1167">
        <f>CA38*BW38</f>
        <v>100</v>
      </c>
      <c r="CA38" s="125">
        <f>BV38-BY38</f>
        <v>120</v>
      </c>
      <c r="CB38" s="1167">
        <f>CC38*BW38</f>
        <v>100</v>
      </c>
      <c r="CC38" s="125">
        <v>120</v>
      </c>
      <c r="CD38" s="1167">
        <f>BZ38-CB38</f>
        <v>0</v>
      </c>
      <c r="CE38" s="125">
        <f>CA38-CC38</f>
        <v>0</v>
      </c>
      <c r="CF38" s="119">
        <v>46740</v>
      </c>
      <c r="CG38" s="119" t="s">
        <v>1237</v>
      </c>
      <c r="CH38" s="119">
        <v>43088</v>
      </c>
      <c r="CI38" s="134">
        <v>3500</v>
      </c>
      <c r="CJ38" s="619">
        <v>3500</v>
      </c>
      <c r="CK38" s="1174">
        <v>126.408</v>
      </c>
      <c r="CL38" s="1175">
        <v>130.81299999999999</v>
      </c>
      <c r="CM38" s="1174">
        <f>CK38/CL38</f>
        <v>0.96632597677600862</v>
      </c>
      <c r="CN38" s="510">
        <f>CJ38/CA38</f>
        <v>29.166666666666668</v>
      </c>
      <c r="CO38" s="510">
        <f>CN38*CM38</f>
        <v>28.184507655966918</v>
      </c>
      <c r="CP38" s="510"/>
      <c r="CQ38" s="510"/>
      <c r="CR38" s="510"/>
      <c r="CS38" s="510"/>
      <c r="CT38" s="510"/>
      <c r="CU38" s="510"/>
      <c r="CV38" s="510">
        <v>0</v>
      </c>
      <c r="CW38" s="510">
        <f>SUM(CP38:CV38)</f>
        <v>0</v>
      </c>
      <c r="CX38" s="439">
        <f>CJ38-CW38</f>
        <v>3500</v>
      </c>
      <c r="CY38" s="510">
        <v>28.18</v>
      </c>
      <c r="CZ38" s="510">
        <v>28.18</v>
      </c>
      <c r="DA38" s="510">
        <v>28.18</v>
      </c>
      <c r="DB38" s="510">
        <v>28.18</v>
      </c>
      <c r="DC38" s="510">
        <v>28.18</v>
      </c>
      <c r="DD38" s="510">
        <f t="shared" si="1"/>
        <v>140.9</v>
      </c>
      <c r="DE38" s="960">
        <f t="shared" si="4"/>
        <v>3359.1</v>
      </c>
      <c r="DF38" s="1174">
        <v>132.28200000000001</v>
      </c>
      <c r="DG38" s="1175">
        <v>130.81299999999999</v>
      </c>
      <c r="DH38" s="1174">
        <f>DF38/DG38</f>
        <v>1.0112297707414402</v>
      </c>
      <c r="DI38" s="510">
        <f>DE38/CC38</f>
        <v>27.9925</v>
      </c>
      <c r="DJ38" s="510">
        <f t="shared" si="5"/>
        <v>28.306849357479763</v>
      </c>
      <c r="DK38" s="510">
        <v>28.306849357479763</v>
      </c>
      <c r="DL38" s="510">
        <v>28.306849357479763</v>
      </c>
      <c r="DM38" s="510">
        <v>28.306849357479763</v>
      </c>
      <c r="DN38" s="510">
        <v>28.306849357479763</v>
      </c>
      <c r="DO38" s="510">
        <v>28.306849357479763</v>
      </c>
      <c r="DP38" s="510">
        <v>28.306849357479763</v>
      </c>
      <c r="DQ38" s="510">
        <v>28.306849357479763</v>
      </c>
      <c r="DR38" s="510">
        <v>28.306849357479763</v>
      </c>
      <c r="DS38" s="510">
        <v>28.306849357479763</v>
      </c>
      <c r="DT38" s="510">
        <v>28.306849357479763</v>
      </c>
      <c r="DU38" s="510">
        <v>28.306849357479763</v>
      </c>
      <c r="DV38" s="510">
        <v>28.306849357479763</v>
      </c>
      <c r="DW38" s="510">
        <v>28.306849357479763</v>
      </c>
      <c r="DX38" s="510">
        <v>28.306849357479763</v>
      </c>
      <c r="DY38" s="510">
        <v>28.306849357479763</v>
      </c>
      <c r="DZ38" s="510">
        <v>28.306849357479763</v>
      </c>
      <c r="EA38" s="510">
        <v>28.306849357479763</v>
      </c>
      <c r="EB38" s="510">
        <v>28.306849357479763</v>
      </c>
      <c r="EC38" s="511">
        <f t="shared" si="2"/>
        <v>509.5232884346359</v>
      </c>
      <c r="ED38" s="960">
        <f>DE38-EC38</f>
        <v>2849.5767115653639</v>
      </c>
      <c r="EE38" s="579"/>
      <c r="EF38" s="579"/>
      <c r="EG38" s="579"/>
      <c r="EH38" s="579"/>
    </row>
    <row r="39" spans="1:138" s="16" customFormat="1" ht="15" x14ac:dyDescent="0.2">
      <c r="A39" s="120" t="s">
        <v>65</v>
      </c>
      <c r="B39" s="120"/>
      <c r="C39" s="45"/>
      <c r="D39" s="27"/>
      <c r="E39" s="25"/>
      <c r="F39" s="46"/>
      <c r="G39" s="17"/>
      <c r="H39" s="145"/>
      <c r="I39" s="48"/>
      <c r="J39" s="48"/>
      <c r="K39" s="48"/>
      <c r="L39" s="48"/>
      <c r="M39" s="48"/>
      <c r="N39" s="48"/>
      <c r="O39" s="48"/>
      <c r="P39" s="48"/>
      <c r="Q39" s="48"/>
      <c r="R39" s="20"/>
      <c r="S39" s="20"/>
      <c r="T39" s="14"/>
      <c r="U39" s="14"/>
      <c r="V39" s="108"/>
      <c r="W39" s="165"/>
      <c r="X39" s="66"/>
      <c r="Y39" s="169"/>
      <c r="Z39" s="57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392"/>
      <c r="AQ39" s="32"/>
      <c r="AR39" s="32"/>
      <c r="AS39" s="32"/>
      <c r="AT39" s="32"/>
      <c r="AU39" s="32"/>
      <c r="AV39" s="32"/>
      <c r="AW39" s="32"/>
      <c r="AX39" s="66"/>
      <c r="AY39" s="169"/>
      <c r="AZ39" s="57"/>
      <c r="BA39" s="55"/>
      <c r="BB39" s="55"/>
      <c r="BC39" s="429"/>
      <c r="BD39" s="429"/>
      <c r="BE39" s="429"/>
      <c r="BF39" s="429"/>
      <c r="BG39" s="429"/>
      <c r="BH39" s="429"/>
      <c r="BI39" s="429"/>
      <c r="BJ39" s="429"/>
      <c r="BK39" s="452"/>
      <c r="BL39" s="538"/>
      <c r="BM39" s="538"/>
      <c r="BN39" s="538"/>
      <c r="BO39" s="538"/>
      <c r="BP39" s="538"/>
      <c r="BQ39" s="538"/>
      <c r="BR39" s="538"/>
      <c r="BS39" s="27"/>
      <c r="BT39" s="25"/>
      <c r="BU39" s="46"/>
      <c r="BV39" s="17"/>
      <c r="BW39" s="145"/>
      <c r="BX39" s="48"/>
      <c r="BY39" s="48"/>
      <c r="BZ39" s="48"/>
      <c r="CA39" s="48"/>
      <c r="CB39" s="48"/>
      <c r="CC39" s="48"/>
      <c r="CD39" s="48"/>
      <c r="CE39" s="48"/>
      <c r="CF39" s="48"/>
      <c r="CG39" s="20"/>
      <c r="CH39" s="20"/>
      <c r="CI39" s="14"/>
      <c r="CJ39" s="510"/>
      <c r="CK39" s="621"/>
      <c r="CL39" s="954"/>
      <c r="CM39" s="656"/>
      <c r="CN39" s="511"/>
      <c r="CO39" s="511"/>
      <c r="CP39" s="511"/>
      <c r="CQ39" s="511"/>
      <c r="CR39" s="511"/>
      <c r="CS39" s="511"/>
      <c r="CT39" s="511"/>
      <c r="CU39" s="511"/>
      <c r="CV39" s="511"/>
      <c r="CW39" s="510"/>
      <c r="CX39" s="439"/>
      <c r="CY39" s="511"/>
      <c r="CZ39" s="511"/>
      <c r="DA39" s="511"/>
      <c r="DB39" s="511"/>
      <c r="DC39" s="511"/>
      <c r="DD39" s="511"/>
      <c r="DE39" s="960"/>
      <c r="DF39" s="621"/>
      <c r="DG39" s="954"/>
      <c r="DH39" s="656"/>
      <c r="DI39" s="511"/>
      <c r="DJ39" s="511"/>
      <c r="DK39" s="511"/>
      <c r="DL39" s="511"/>
      <c r="DM39" s="511"/>
      <c r="DN39" s="511"/>
      <c r="DO39" s="511"/>
      <c r="DP39" s="511"/>
      <c r="DQ39" s="511"/>
      <c r="DR39" s="511"/>
      <c r="DS39" s="511"/>
      <c r="DT39" s="511"/>
      <c r="DU39" s="511"/>
      <c r="DV39" s="511"/>
      <c r="DW39" s="511"/>
      <c r="DX39" s="511"/>
      <c r="DY39" s="511"/>
      <c r="DZ39" s="511"/>
      <c r="EA39" s="511"/>
      <c r="EB39" s="511"/>
      <c r="EC39" s="511">
        <f t="shared" si="2"/>
        <v>0</v>
      </c>
      <c r="ED39" s="960"/>
      <c r="EE39" s="453"/>
      <c r="EF39" s="453"/>
      <c r="EG39" s="453"/>
      <c r="EH39" s="453"/>
    </row>
    <row r="40" spans="1:138" s="16" customFormat="1" ht="15" x14ac:dyDescent="0.2">
      <c r="A40" s="120" t="s">
        <v>324</v>
      </c>
      <c r="B40" s="100"/>
      <c r="C40" s="45"/>
      <c r="D40" s="4"/>
      <c r="E40" s="25"/>
      <c r="F40" s="17"/>
      <c r="G40" s="17"/>
      <c r="H40" s="188"/>
      <c r="I40" s="17"/>
      <c r="J40" s="17"/>
      <c r="K40" s="17"/>
      <c r="L40" s="17"/>
      <c r="M40" s="17"/>
      <c r="N40" s="17"/>
      <c r="O40" s="17"/>
      <c r="P40" s="17"/>
      <c r="Q40" s="17"/>
      <c r="R40" s="20"/>
      <c r="S40" s="20"/>
      <c r="T40" s="14"/>
      <c r="U40" s="14"/>
      <c r="V40" s="108"/>
      <c r="W40" s="66"/>
      <c r="X40" s="66"/>
      <c r="Y40" s="169"/>
      <c r="Z40" s="66"/>
      <c r="AA40" s="65"/>
      <c r="AB40" s="65"/>
      <c r="AC40" s="6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392"/>
      <c r="AQ40" s="32"/>
      <c r="AR40" s="32"/>
      <c r="AS40" s="32"/>
      <c r="AT40" s="32"/>
      <c r="AU40" s="32"/>
      <c r="AV40" s="32"/>
      <c r="AW40" s="32"/>
      <c r="AX40" s="66"/>
      <c r="AY40" s="169"/>
      <c r="AZ40" s="66"/>
      <c r="BA40" s="55"/>
      <c r="BB40" s="55"/>
      <c r="BC40" s="429"/>
      <c r="BD40" s="429"/>
      <c r="BE40" s="429"/>
      <c r="BF40" s="429"/>
      <c r="BG40" s="429"/>
      <c r="BH40" s="429"/>
      <c r="BI40" s="429"/>
      <c r="BJ40" s="429"/>
      <c r="BK40" s="452"/>
      <c r="BL40" s="538"/>
      <c r="BM40" s="538"/>
      <c r="BN40" s="538"/>
      <c r="BO40" s="538"/>
      <c r="BP40" s="538"/>
      <c r="BQ40" s="538"/>
      <c r="BR40" s="538"/>
      <c r="BS40" s="4"/>
      <c r="BT40" s="25"/>
      <c r="BU40" s="17"/>
      <c r="BV40" s="17"/>
      <c r="BW40" s="188"/>
      <c r="BX40" s="17"/>
      <c r="BY40" s="17"/>
      <c r="BZ40" s="17"/>
      <c r="CA40" s="17"/>
      <c r="CB40" s="17"/>
      <c r="CC40" s="17"/>
      <c r="CD40" s="17"/>
      <c r="CE40" s="17"/>
      <c r="CF40" s="17"/>
      <c r="CG40" s="20"/>
      <c r="CH40" s="20"/>
      <c r="CI40" s="14"/>
      <c r="CJ40" s="510"/>
      <c r="CK40" s="621"/>
      <c r="CL40" s="954"/>
      <c r="CM40" s="621"/>
      <c r="CN40" s="511"/>
      <c r="CO40" s="511"/>
      <c r="CP40" s="511"/>
      <c r="CQ40" s="511"/>
      <c r="CR40" s="511"/>
      <c r="CS40" s="511"/>
      <c r="CT40" s="511"/>
      <c r="CU40" s="511"/>
      <c r="CV40" s="511"/>
      <c r="CW40" s="510"/>
      <c r="CX40" s="439"/>
      <c r="CY40" s="511"/>
      <c r="CZ40" s="511"/>
      <c r="DA40" s="511"/>
      <c r="DB40" s="511"/>
      <c r="DC40" s="511"/>
      <c r="DD40" s="511"/>
      <c r="DE40" s="960"/>
      <c r="DF40" s="621"/>
      <c r="DG40" s="954"/>
      <c r="DH40" s="621"/>
      <c r="DI40" s="511"/>
      <c r="DJ40" s="511"/>
      <c r="DK40" s="511"/>
      <c r="DL40" s="511"/>
      <c r="DM40" s="511"/>
      <c r="DN40" s="511"/>
      <c r="DO40" s="511"/>
      <c r="DP40" s="511"/>
      <c r="DQ40" s="511"/>
      <c r="DR40" s="511"/>
      <c r="DS40" s="511"/>
      <c r="DT40" s="511"/>
      <c r="DU40" s="511"/>
      <c r="DV40" s="511"/>
      <c r="DW40" s="511"/>
      <c r="DX40" s="511"/>
      <c r="DY40" s="511"/>
      <c r="DZ40" s="511"/>
      <c r="EA40" s="511"/>
      <c r="EB40" s="511"/>
      <c r="EC40" s="511">
        <f t="shared" si="2"/>
        <v>0</v>
      </c>
      <c r="ED40" s="960"/>
      <c r="EE40" s="453"/>
      <c r="EF40" s="453"/>
      <c r="EG40" s="453"/>
      <c r="EH40" s="453"/>
    </row>
    <row r="41" spans="1:138" s="16" customFormat="1" ht="15" x14ac:dyDescent="0.2">
      <c r="A41" s="100" t="s">
        <v>325</v>
      </c>
      <c r="B41" s="100" t="s">
        <v>444</v>
      </c>
      <c r="C41" s="45" t="s">
        <v>322</v>
      </c>
      <c r="D41" s="58">
        <v>10</v>
      </c>
      <c r="E41" s="53">
        <v>0.1</v>
      </c>
      <c r="F41" s="46">
        <v>42185</v>
      </c>
      <c r="G41" s="48">
        <v>120</v>
      </c>
      <c r="H41" s="145">
        <f>100/G41</f>
        <v>0.83333333333333337</v>
      </c>
      <c r="I41" s="165">
        <f>H41*J41</f>
        <v>23.333333333333336</v>
      </c>
      <c r="J41" s="48">
        <f>(YEAR(F41)-YEAR(S41))*12+MONTH(F41)-MONTH(S41)</f>
        <v>28</v>
      </c>
      <c r="K41" s="165">
        <f>L41*H41</f>
        <v>76.666666666666671</v>
      </c>
      <c r="L41" s="48">
        <f>G41-J41</f>
        <v>92</v>
      </c>
      <c r="M41" s="165">
        <f>N41*H41</f>
        <v>5.8333333333333339</v>
      </c>
      <c r="N41" s="48">
        <v>7</v>
      </c>
      <c r="O41" s="165">
        <f>P41*H41</f>
        <v>70.833333333333343</v>
      </c>
      <c r="P41" s="48">
        <f>L41-N41</f>
        <v>85</v>
      </c>
      <c r="Q41" s="48">
        <f>M41-O41</f>
        <v>-65.000000000000014</v>
      </c>
      <c r="R41" s="46" t="s">
        <v>458</v>
      </c>
      <c r="S41" s="46">
        <v>41327</v>
      </c>
      <c r="T41" s="47">
        <v>6779</v>
      </c>
      <c r="U41" s="47">
        <v>5253.74</v>
      </c>
      <c r="V41" s="106">
        <v>282.45</v>
      </c>
      <c r="W41" s="66"/>
      <c r="X41" s="57">
        <v>115.958</v>
      </c>
      <c r="Y41" s="168">
        <v>108.208</v>
      </c>
      <c r="Z41" s="57">
        <f>X41/Y41</f>
        <v>1.0716213218985657</v>
      </c>
      <c r="AA41" s="55">
        <f>U41*M41/100/K41*100/7</f>
        <v>57.105869565217397</v>
      </c>
      <c r="AB41" s="55">
        <f>AA41*Z41</f>
        <v>61.19586743164534</v>
      </c>
      <c r="AC41" s="55"/>
      <c r="AD41" s="55"/>
      <c r="AE41" s="55"/>
      <c r="AF41" s="55"/>
      <c r="AG41" s="55"/>
      <c r="AH41" s="55">
        <f>AB41</f>
        <v>61.19586743164534</v>
      </c>
      <c r="AI41" s="55">
        <v>61.19586743164534</v>
      </c>
      <c r="AJ41" s="55">
        <v>61.19586743164534</v>
      </c>
      <c r="AK41" s="55">
        <v>61.19586743164534</v>
      </c>
      <c r="AL41" s="55">
        <v>61.19586743164534</v>
      </c>
      <c r="AM41" s="55">
        <v>61.19586743164534</v>
      </c>
      <c r="AN41" s="55">
        <v>61.19586743164534</v>
      </c>
      <c r="AO41" s="55">
        <f>SUM(AC41:AN41)</f>
        <v>428.37107202151742</v>
      </c>
      <c r="AP41" s="392">
        <f>U41-AO41</f>
        <v>4825.3689279784821</v>
      </c>
      <c r="AQ41" s="32"/>
      <c r="AR41" s="32"/>
      <c r="AS41" s="429">
        <f>$AN41</f>
        <v>61.19586743164534</v>
      </c>
      <c r="AT41" s="429">
        <f>$AN41</f>
        <v>61.19586743164534</v>
      </c>
      <c r="AU41" s="429">
        <f>$AN41</f>
        <v>61.19586743164534</v>
      </c>
      <c r="AV41" s="429">
        <f>$AN41</f>
        <v>61.19586743164534</v>
      </c>
      <c r="AW41" s="429">
        <f>$AN41</f>
        <v>61.19586743164534</v>
      </c>
      <c r="AX41" s="168">
        <v>118.901</v>
      </c>
      <c r="AY41" s="168">
        <v>108.208</v>
      </c>
      <c r="AZ41" s="57">
        <f>AX41/AY41</f>
        <v>1.0988189412982403</v>
      </c>
      <c r="BA41" s="55">
        <f>T41/(D41*12)</f>
        <v>56.491666666666667</v>
      </c>
      <c r="BB41" s="55">
        <f t="shared" si="18"/>
        <v>62.07411335883976</v>
      </c>
      <c r="BC41" s="429">
        <f t="shared" ref="BC41:BI41" si="46">$BB41</f>
        <v>62.07411335883976</v>
      </c>
      <c r="BD41" s="429">
        <f t="shared" si="46"/>
        <v>62.07411335883976</v>
      </c>
      <c r="BE41" s="429">
        <f t="shared" si="46"/>
        <v>62.07411335883976</v>
      </c>
      <c r="BF41" s="429">
        <f t="shared" si="46"/>
        <v>62.07411335883976</v>
      </c>
      <c r="BG41" s="429">
        <f t="shared" si="46"/>
        <v>62.07411335883976</v>
      </c>
      <c r="BH41" s="429">
        <f t="shared" si="46"/>
        <v>62.07411335883976</v>
      </c>
      <c r="BI41" s="429">
        <f t="shared" si="46"/>
        <v>62.07411335883976</v>
      </c>
      <c r="BJ41" s="429">
        <f>SUM((AS41:AW41),(BC41:BI41))</f>
        <v>740.49813067010518</v>
      </c>
      <c r="BK41" s="452">
        <f t="shared" si="21"/>
        <v>4084.870797308377</v>
      </c>
      <c r="BL41" s="538">
        <f>$BB41</f>
        <v>62.07411335883976</v>
      </c>
      <c r="BM41" s="538">
        <f>$BB41</f>
        <v>62.07411335883976</v>
      </c>
      <c r="BN41" s="538">
        <f>$BB41</f>
        <v>62.07411335883976</v>
      </c>
      <c r="BO41" s="538">
        <f>$BB41</f>
        <v>62.07411335883976</v>
      </c>
      <c r="BP41" s="538">
        <f>$BB41</f>
        <v>62.07411335883976</v>
      </c>
      <c r="BQ41" s="538">
        <f>SUM(BL41:BP41)</f>
        <v>310.37056679419879</v>
      </c>
      <c r="BR41" s="538">
        <f>BK41-BQ41</f>
        <v>3774.5002305141779</v>
      </c>
      <c r="BS41" s="58">
        <v>10</v>
      </c>
      <c r="BT41" s="53">
        <v>0.1</v>
      </c>
      <c r="BU41" s="46">
        <v>43281</v>
      </c>
      <c r="BV41" s="48">
        <v>120</v>
      </c>
      <c r="BW41" s="145">
        <f>CI41/BV41/100</f>
        <v>0.56491666666666662</v>
      </c>
      <c r="BX41" s="165">
        <f>BW41*BY41</f>
        <v>36.154666666666664</v>
      </c>
      <c r="BY41" s="48">
        <f>(YEAR(BU41)-YEAR(CH41))*12+MONTH(BU41)-MONTH(CH41)</f>
        <v>64</v>
      </c>
      <c r="BZ41" s="165">
        <f>CA41*BW41</f>
        <v>31.635333333333332</v>
      </c>
      <c r="CA41" s="48">
        <f>BV41-BY41</f>
        <v>56</v>
      </c>
      <c r="CB41" s="165">
        <f>CC41*BW41</f>
        <v>31.635333333333332</v>
      </c>
      <c r="CC41" s="48">
        <f>BV41-BY41</f>
        <v>56</v>
      </c>
      <c r="CD41" s="165">
        <f>CE41*BW41</f>
        <v>0</v>
      </c>
      <c r="CE41" s="48">
        <f>CA41-CC41</f>
        <v>0</v>
      </c>
      <c r="CF41" s="462">
        <f>DATE(YEAR(CH41),MONTH(CH41)+BV41,DAY(CH41))</f>
        <v>44979</v>
      </c>
      <c r="CG41" s="46" t="s">
        <v>458</v>
      </c>
      <c r="CH41" s="46">
        <v>41327</v>
      </c>
      <c r="CI41" s="47">
        <v>6779</v>
      </c>
      <c r="CJ41" s="510">
        <v>3774.5002305141779</v>
      </c>
      <c r="CK41" s="656">
        <v>126.408</v>
      </c>
      <c r="CL41" s="953">
        <v>108.208</v>
      </c>
      <c r="CM41" s="656">
        <f>CK41/CL41</f>
        <v>1.1681945882005027</v>
      </c>
      <c r="CN41" s="617">
        <f>CJ41/CA41</f>
        <v>67.401789830610326</v>
      </c>
      <c r="CO41" s="511">
        <f>CN41*CM41</f>
        <v>78.73840611514666</v>
      </c>
      <c r="CP41" s="511">
        <v>64.843393271297245</v>
      </c>
      <c r="CQ41" s="511">
        <v>64.843393271297245</v>
      </c>
      <c r="CR41" s="511">
        <v>64.843393271297245</v>
      </c>
      <c r="CS41" s="511">
        <v>64.843393271297245</v>
      </c>
      <c r="CT41" s="511">
        <v>64.843393271297245</v>
      </c>
      <c r="CU41" s="511">
        <v>64.843393271297245</v>
      </c>
      <c r="CV41" s="511">
        <v>64.843393271297245</v>
      </c>
      <c r="CW41" s="510">
        <f>SUM(CP41:CV41)</f>
        <v>453.90375289908076</v>
      </c>
      <c r="CX41" s="439">
        <f>CJ41-CW41</f>
        <v>3320.5964776150972</v>
      </c>
      <c r="CY41" s="511">
        <v>64.843393271297245</v>
      </c>
      <c r="CZ41" s="511">
        <v>64.843393271297245</v>
      </c>
      <c r="DA41" s="511">
        <v>64.843393271297245</v>
      </c>
      <c r="DB41" s="511">
        <v>64.843393271297245</v>
      </c>
      <c r="DC41" s="511">
        <v>64.843393271297245</v>
      </c>
      <c r="DD41" s="511">
        <f t="shared" si="1"/>
        <v>324.21696635648624</v>
      </c>
      <c r="DE41" s="960">
        <f t="shared" si="4"/>
        <v>2996.3795112586108</v>
      </c>
      <c r="DF41" s="656">
        <v>132.28200000000001</v>
      </c>
      <c r="DG41" s="953">
        <v>108.208</v>
      </c>
      <c r="DH41" s="656">
        <f>DF41/DG41</f>
        <v>1.2224789294691707</v>
      </c>
      <c r="DI41" s="511">
        <f>DE41/CC41</f>
        <v>53.506776986760904</v>
      </c>
      <c r="DJ41" s="511">
        <f t="shared" si="5"/>
        <v>65.41090745012113</v>
      </c>
      <c r="DK41" s="511">
        <v>65.41090745012113</v>
      </c>
      <c r="DL41" s="511">
        <v>65.41090745012113</v>
      </c>
      <c r="DM41" s="511">
        <v>65.41090745012113</v>
      </c>
      <c r="DN41" s="511">
        <v>65.41090745012113</v>
      </c>
      <c r="DO41" s="511">
        <v>65.41090745012113</v>
      </c>
      <c r="DP41" s="511">
        <v>65.41090745012113</v>
      </c>
      <c r="DQ41" s="511">
        <v>65.41090745012113</v>
      </c>
      <c r="DR41" s="511">
        <v>65.41090745012113</v>
      </c>
      <c r="DS41" s="511">
        <v>65.41090745012113</v>
      </c>
      <c r="DT41" s="511">
        <v>65.41090745012113</v>
      </c>
      <c r="DU41" s="511">
        <v>65.41090745012113</v>
      </c>
      <c r="DV41" s="511">
        <v>65.41090745012113</v>
      </c>
      <c r="DW41" s="511">
        <v>65.41090745012113</v>
      </c>
      <c r="DX41" s="511">
        <v>65.41090745012113</v>
      </c>
      <c r="DY41" s="511">
        <v>65.41090745012113</v>
      </c>
      <c r="DZ41" s="511">
        <v>65.41090745012113</v>
      </c>
      <c r="EA41" s="511">
        <v>65.41090745012113</v>
      </c>
      <c r="EB41" s="511">
        <v>65.41090745012113</v>
      </c>
      <c r="EC41" s="511">
        <f t="shared" si="2"/>
        <v>1177.3963341021806</v>
      </c>
      <c r="ED41" s="960">
        <f>DE41-EC41</f>
        <v>1818.9831771564302</v>
      </c>
      <c r="EE41" s="453"/>
      <c r="EF41" s="453"/>
      <c r="EG41" s="453"/>
      <c r="EH41" s="453"/>
    </row>
    <row r="42" spans="1:138" s="16" customFormat="1" ht="15" x14ac:dyDescent="0.2">
      <c r="A42" s="120" t="s">
        <v>65</v>
      </c>
      <c r="B42" s="120"/>
      <c r="C42" s="45"/>
      <c r="D42" s="27"/>
      <c r="E42" s="25"/>
      <c r="F42" s="46"/>
      <c r="G42" s="17"/>
      <c r="H42" s="145"/>
      <c r="I42" s="165"/>
      <c r="J42" s="48"/>
      <c r="K42" s="165"/>
      <c r="L42" s="48"/>
      <c r="M42" s="165"/>
      <c r="N42" s="48"/>
      <c r="O42" s="165"/>
      <c r="P42" s="48"/>
      <c r="Q42" s="48"/>
      <c r="R42" s="20"/>
      <c r="S42" s="20"/>
      <c r="T42" s="14"/>
      <c r="U42" s="14"/>
      <c r="V42" s="108"/>
      <c r="W42" s="165"/>
      <c r="X42" s="66"/>
      <c r="Y42" s="169"/>
      <c r="Z42" s="57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392"/>
      <c r="AQ42" s="32"/>
      <c r="AR42" s="32"/>
      <c r="AS42" s="429"/>
      <c r="AT42" s="429"/>
      <c r="AU42" s="429"/>
      <c r="AV42" s="429"/>
      <c r="AW42" s="429"/>
      <c r="AX42" s="66"/>
      <c r="AY42" s="169"/>
      <c r="AZ42" s="57"/>
      <c r="BA42" s="55"/>
      <c r="BB42" s="55"/>
      <c r="BC42" s="429"/>
      <c r="BD42" s="429"/>
      <c r="BE42" s="429"/>
      <c r="BF42" s="429"/>
      <c r="BG42" s="429"/>
      <c r="BH42" s="429"/>
      <c r="BI42" s="429"/>
      <c r="BJ42" s="429"/>
      <c r="BK42" s="452"/>
      <c r="BL42" s="538"/>
      <c r="BM42" s="538"/>
      <c r="BN42" s="538"/>
      <c r="BO42" s="538"/>
      <c r="BP42" s="538"/>
      <c r="BQ42" s="538"/>
      <c r="BR42" s="538"/>
      <c r="BS42" s="27"/>
      <c r="BT42" s="25"/>
      <c r="BU42" s="46"/>
      <c r="BV42" s="17"/>
      <c r="BW42" s="145"/>
      <c r="BX42" s="165"/>
      <c r="BY42" s="48"/>
      <c r="BZ42" s="165"/>
      <c r="CA42" s="48"/>
      <c r="CB42" s="165"/>
      <c r="CC42" s="48"/>
      <c r="CD42" s="165"/>
      <c r="CE42" s="48"/>
      <c r="CF42" s="48"/>
      <c r="CG42" s="20"/>
      <c r="CH42" s="20"/>
      <c r="CI42" s="14"/>
      <c r="CJ42" s="510"/>
      <c r="CK42" s="621"/>
      <c r="CL42" s="954"/>
      <c r="CM42" s="656"/>
      <c r="CN42" s="511"/>
      <c r="CO42" s="511"/>
      <c r="CP42" s="511"/>
      <c r="CQ42" s="511"/>
      <c r="CR42" s="511"/>
      <c r="CS42" s="511"/>
      <c r="CT42" s="511"/>
      <c r="CU42" s="511"/>
      <c r="CV42" s="511"/>
      <c r="CW42" s="510"/>
      <c r="CX42" s="439"/>
      <c r="CY42" s="511"/>
      <c r="CZ42" s="511"/>
      <c r="DA42" s="511"/>
      <c r="DB42" s="511"/>
      <c r="DC42" s="511"/>
      <c r="DD42" s="511"/>
      <c r="DE42" s="960"/>
      <c r="DF42" s="621"/>
      <c r="DG42" s="954"/>
      <c r="DH42" s="656"/>
      <c r="DI42" s="511"/>
      <c r="DJ42" s="511"/>
      <c r="DK42" s="511"/>
      <c r="DL42" s="511"/>
      <c r="DM42" s="511"/>
      <c r="DN42" s="511"/>
      <c r="DO42" s="511"/>
      <c r="DP42" s="511"/>
      <c r="DQ42" s="511"/>
      <c r="DR42" s="511"/>
      <c r="DS42" s="511"/>
      <c r="DT42" s="511"/>
      <c r="DU42" s="511"/>
      <c r="DV42" s="511"/>
      <c r="DW42" s="511"/>
      <c r="DX42" s="511"/>
      <c r="DY42" s="511"/>
      <c r="DZ42" s="511"/>
      <c r="EA42" s="511"/>
      <c r="EB42" s="511"/>
      <c r="EC42" s="511">
        <f t="shared" si="2"/>
        <v>0</v>
      </c>
      <c r="ED42" s="960"/>
      <c r="EE42" s="453"/>
      <c r="EF42" s="453"/>
      <c r="EG42" s="453"/>
      <c r="EH42" s="453"/>
    </row>
    <row r="43" spans="1:138" s="16" customFormat="1" ht="15" x14ac:dyDescent="0.2">
      <c r="A43" s="120" t="s">
        <v>456</v>
      </c>
      <c r="B43" s="100"/>
      <c r="C43" s="45"/>
      <c r="D43" s="4"/>
      <c r="E43" s="25"/>
      <c r="F43" s="46"/>
      <c r="G43" s="17"/>
      <c r="H43" s="145"/>
      <c r="I43" s="165"/>
      <c r="J43" s="48"/>
      <c r="K43" s="165"/>
      <c r="L43" s="48"/>
      <c r="M43" s="165"/>
      <c r="N43" s="48"/>
      <c r="O43" s="165"/>
      <c r="P43" s="48"/>
      <c r="Q43" s="48"/>
      <c r="R43" s="20"/>
      <c r="S43" s="20"/>
      <c r="T43" s="14"/>
      <c r="U43" s="14"/>
      <c r="V43" s="108"/>
      <c r="W43" s="66"/>
      <c r="X43" s="66"/>
      <c r="Y43" s="169"/>
      <c r="Z43" s="57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392"/>
      <c r="AQ43" s="32"/>
      <c r="AR43" s="32"/>
      <c r="AS43" s="429"/>
      <c r="AT43" s="429"/>
      <c r="AU43" s="429"/>
      <c r="AV43" s="429"/>
      <c r="AW43" s="429"/>
      <c r="AX43" s="66"/>
      <c r="AY43" s="169"/>
      <c r="AZ43" s="57"/>
      <c r="BA43" s="55"/>
      <c r="BB43" s="55"/>
      <c r="BC43" s="429"/>
      <c r="BD43" s="429"/>
      <c r="BE43" s="429"/>
      <c r="BF43" s="429"/>
      <c r="BG43" s="429"/>
      <c r="BH43" s="429"/>
      <c r="BI43" s="429"/>
      <c r="BJ43" s="429"/>
      <c r="BK43" s="452"/>
      <c r="BL43" s="538"/>
      <c r="BM43" s="538"/>
      <c r="BN43" s="538"/>
      <c r="BO43" s="538"/>
      <c r="BP43" s="538"/>
      <c r="BQ43" s="538"/>
      <c r="BR43" s="538"/>
      <c r="BS43" s="4"/>
      <c r="BT43" s="25"/>
      <c r="BU43" s="46"/>
      <c r="BV43" s="17"/>
      <c r="BW43" s="145"/>
      <c r="BX43" s="165"/>
      <c r="BY43" s="48"/>
      <c r="BZ43" s="165"/>
      <c r="CA43" s="48"/>
      <c r="CB43" s="165"/>
      <c r="CC43" s="48"/>
      <c r="CD43" s="165"/>
      <c r="CE43" s="48"/>
      <c r="CF43" s="48"/>
      <c r="CG43" s="20"/>
      <c r="CH43" s="20"/>
      <c r="CI43" s="14"/>
      <c r="CJ43" s="510"/>
      <c r="CK43" s="621"/>
      <c r="CL43" s="954"/>
      <c r="CM43" s="656"/>
      <c r="CN43" s="511"/>
      <c r="CO43" s="511"/>
      <c r="CP43" s="511"/>
      <c r="CQ43" s="511"/>
      <c r="CR43" s="511"/>
      <c r="CS43" s="511"/>
      <c r="CT43" s="511"/>
      <c r="CU43" s="511"/>
      <c r="CV43" s="511"/>
      <c r="CW43" s="510"/>
      <c r="CX43" s="439"/>
      <c r="CY43" s="511"/>
      <c r="CZ43" s="511"/>
      <c r="DA43" s="511"/>
      <c r="DB43" s="511"/>
      <c r="DC43" s="511"/>
      <c r="DD43" s="511"/>
      <c r="DE43" s="960"/>
      <c r="DF43" s="621"/>
      <c r="DG43" s="954"/>
      <c r="DH43" s="656"/>
      <c r="DI43" s="511"/>
      <c r="DJ43" s="511"/>
      <c r="DK43" s="511"/>
      <c r="DL43" s="511"/>
      <c r="DM43" s="511"/>
      <c r="DN43" s="511"/>
      <c r="DO43" s="511"/>
      <c r="DP43" s="511"/>
      <c r="DQ43" s="511"/>
      <c r="DR43" s="511"/>
      <c r="DS43" s="511"/>
      <c r="DT43" s="511"/>
      <c r="DU43" s="511"/>
      <c r="DV43" s="511"/>
      <c r="DW43" s="511"/>
      <c r="DX43" s="511"/>
      <c r="DY43" s="511"/>
      <c r="DZ43" s="511"/>
      <c r="EA43" s="511"/>
      <c r="EB43" s="511"/>
      <c r="EC43" s="511">
        <f t="shared" si="2"/>
        <v>0</v>
      </c>
      <c r="ED43" s="960"/>
      <c r="EE43" s="453"/>
      <c r="EF43" s="453"/>
      <c r="EG43" s="453"/>
      <c r="EH43" s="453"/>
    </row>
    <row r="44" spans="1:138" s="16" customFormat="1" ht="15" x14ac:dyDescent="0.2">
      <c r="A44" s="100" t="s">
        <v>111</v>
      </c>
      <c r="B44" s="100" t="s">
        <v>1043</v>
      </c>
      <c r="C44" s="45" t="s">
        <v>314</v>
      </c>
      <c r="D44" s="58">
        <v>10</v>
      </c>
      <c r="E44" s="53">
        <v>0.1</v>
      </c>
      <c r="F44" s="46">
        <v>42185</v>
      </c>
      <c r="G44" s="48">
        <v>120</v>
      </c>
      <c r="H44" s="145">
        <f>100/G44</f>
        <v>0.83333333333333337</v>
      </c>
      <c r="I44" s="165">
        <f>H44*J44</f>
        <v>0</v>
      </c>
      <c r="J44" s="48">
        <f>(YEAR(F44)-YEAR(S44))*12+MONTH(F44)-MONTH(S44)</f>
        <v>0</v>
      </c>
      <c r="K44" s="165">
        <f>L44*H44</f>
        <v>100</v>
      </c>
      <c r="L44" s="48">
        <f>G44-J44</f>
        <v>120</v>
      </c>
      <c r="M44" s="165">
        <f>N44*H44</f>
        <v>5.8333333333333339</v>
      </c>
      <c r="N44" s="48">
        <v>7</v>
      </c>
      <c r="O44" s="165">
        <f>P44*H44</f>
        <v>94.166666666666671</v>
      </c>
      <c r="P44" s="48">
        <f>L44-N44</f>
        <v>113</v>
      </c>
      <c r="Q44" s="17"/>
      <c r="R44" s="46" t="s">
        <v>461</v>
      </c>
      <c r="S44" s="46">
        <v>42165</v>
      </c>
      <c r="T44" s="47">
        <v>877</v>
      </c>
      <c r="U44" s="47">
        <v>877</v>
      </c>
      <c r="V44" s="106">
        <v>0</v>
      </c>
      <c r="W44" s="66"/>
      <c r="X44" s="57">
        <v>115.958</v>
      </c>
      <c r="Y44" s="168">
        <v>115.958</v>
      </c>
      <c r="Z44" s="57">
        <f>X44/Y44</f>
        <v>1</v>
      </c>
      <c r="AA44" s="55">
        <f>U44*M44/100/K44*100/7</f>
        <v>7.3083333333333345</v>
      </c>
      <c r="AB44" s="55">
        <f>AA44*Z44</f>
        <v>7.3083333333333345</v>
      </c>
      <c r="AC44" s="55"/>
      <c r="AD44" s="55"/>
      <c r="AE44" s="55"/>
      <c r="AF44" s="55"/>
      <c r="AG44" s="55"/>
      <c r="AH44" s="55">
        <f>AB44</f>
        <v>7.3083333333333345</v>
      </c>
      <c r="AI44" s="55">
        <v>7.3083333333333345</v>
      </c>
      <c r="AJ44" s="55">
        <v>7.3083333333333345</v>
      </c>
      <c r="AK44" s="55">
        <v>7.3083333333333345</v>
      </c>
      <c r="AL44" s="55">
        <v>7.3083333333333345</v>
      </c>
      <c r="AM44" s="55">
        <v>7.3083333333333345</v>
      </c>
      <c r="AN44" s="55">
        <v>7.3083333333333345</v>
      </c>
      <c r="AO44" s="55">
        <f>SUM(AC44:AN44)</f>
        <v>51.158333333333346</v>
      </c>
      <c r="AP44" s="392">
        <f>U44-AO44</f>
        <v>825.8416666666667</v>
      </c>
      <c r="AQ44" s="32"/>
      <c r="AR44" s="32"/>
      <c r="AS44" s="429">
        <f>$AN44</f>
        <v>7.3083333333333345</v>
      </c>
      <c r="AT44" s="429">
        <f>$AN44</f>
        <v>7.3083333333333345</v>
      </c>
      <c r="AU44" s="429">
        <f>$AN44</f>
        <v>7.3083333333333345</v>
      </c>
      <c r="AV44" s="429">
        <f>$AN44</f>
        <v>7.3083333333333345</v>
      </c>
      <c r="AW44" s="429">
        <f>$AN44</f>
        <v>7.3083333333333345</v>
      </c>
      <c r="AX44" s="168">
        <v>118.901</v>
      </c>
      <c r="AY44" s="168">
        <v>115.958</v>
      </c>
      <c r="AZ44" s="57">
        <f>AX44/AY44</f>
        <v>1.0253798789216786</v>
      </c>
      <c r="BA44" s="55">
        <f>T44/(D44*12)</f>
        <v>7.3083333333333336</v>
      </c>
      <c r="BB44" s="55">
        <f t="shared" si="18"/>
        <v>7.4938179484526009</v>
      </c>
      <c r="BC44" s="429">
        <f t="shared" ref="BC44:BI44" si="47">$BB44</f>
        <v>7.4938179484526009</v>
      </c>
      <c r="BD44" s="429">
        <f t="shared" si="47"/>
        <v>7.4938179484526009</v>
      </c>
      <c r="BE44" s="429">
        <f t="shared" si="47"/>
        <v>7.4938179484526009</v>
      </c>
      <c r="BF44" s="429">
        <f t="shared" si="47"/>
        <v>7.4938179484526009</v>
      </c>
      <c r="BG44" s="429">
        <f t="shared" si="47"/>
        <v>7.4938179484526009</v>
      </c>
      <c r="BH44" s="429">
        <f t="shared" si="47"/>
        <v>7.4938179484526009</v>
      </c>
      <c r="BI44" s="429">
        <f t="shared" si="47"/>
        <v>7.4938179484526009</v>
      </c>
      <c r="BJ44" s="429">
        <f>SUM((AS44:AW44),(BC44:BI44))</f>
        <v>88.998392305834884</v>
      </c>
      <c r="BK44" s="452">
        <f t="shared" si="21"/>
        <v>736.84327436083186</v>
      </c>
      <c r="BL44" s="538">
        <f>$BB44</f>
        <v>7.4938179484526009</v>
      </c>
      <c r="BM44" s="538">
        <f>$BB44</f>
        <v>7.4938179484526009</v>
      </c>
      <c r="BN44" s="538">
        <f>$BB44</f>
        <v>7.4938179484526009</v>
      </c>
      <c r="BO44" s="538">
        <f>$BB44</f>
        <v>7.4938179484526009</v>
      </c>
      <c r="BP44" s="538">
        <f>$BB44</f>
        <v>7.4938179484526009</v>
      </c>
      <c r="BQ44" s="538">
        <f>SUM(BL44:BP44)</f>
        <v>37.469089742263002</v>
      </c>
      <c r="BR44" s="538">
        <f>BK44-BQ44</f>
        <v>699.37418461856885</v>
      </c>
      <c r="BS44" s="58">
        <v>10</v>
      </c>
      <c r="BT44" s="53">
        <v>0.1</v>
      </c>
      <c r="BU44" s="46">
        <v>43281</v>
      </c>
      <c r="BV44" s="48">
        <v>120</v>
      </c>
      <c r="BW44" s="145">
        <f>CI44/BV44/100</f>
        <v>7.3083333333333333E-2</v>
      </c>
      <c r="BX44" s="165">
        <f>BW44*BY44</f>
        <v>2.6310000000000002</v>
      </c>
      <c r="BY44" s="48">
        <f>(YEAR(BU44)-YEAR(CH44))*12+MONTH(BU44)-MONTH(CH44)</f>
        <v>36</v>
      </c>
      <c r="BZ44" s="165">
        <f>CA44*BW44</f>
        <v>6.1390000000000002</v>
      </c>
      <c r="CA44" s="48">
        <f>BV44-BY44</f>
        <v>84</v>
      </c>
      <c r="CB44" s="165">
        <f>CC44*BW44</f>
        <v>6.1390000000000002</v>
      </c>
      <c r="CC44" s="48">
        <f>BV44-BY44</f>
        <v>84</v>
      </c>
      <c r="CD44" s="165">
        <f>CE44*BW44</f>
        <v>0</v>
      </c>
      <c r="CE44" s="48">
        <f>CA44-CC44</f>
        <v>0</v>
      </c>
      <c r="CF44" s="462">
        <f>DATE(YEAR(CH44),MONTH(CH44)+BV44,DAY(CH44))</f>
        <v>45818</v>
      </c>
      <c r="CG44" s="46" t="s">
        <v>461</v>
      </c>
      <c r="CH44" s="46">
        <v>42165</v>
      </c>
      <c r="CI44" s="47">
        <v>877</v>
      </c>
      <c r="CJ44" s="510">
        <v>699.37418461856885</v>
      </c>
      <c r="CK44" s="656">
        <v>126.408</v>
      </c>
      <c r="CL44" s="953">
        <v>115.958</v>
      </c>
      <c r="CM44" s="656">
        <f>CK44/CL44</f>
        <v>1.0901188361303231</v>
      </c>
      <c r="CN44" s="617">
        <f>CJ44/CA44</f>
        <v>8.325883150221058</v>
      </c>
      <c r="CO44" s="511">
        <f>CN44*CM44</f>
        <v>9.0762020494760485</v>
      </c>
      <c r="CP44" s="511">
        <v>7.941676793291542</v>
      </c>
      <c r="CQ44" s="511">
        <v>7.941676793291542</v>
      </c>
      <c r="CR44" s="511">
        <v>7.941676793291542</v>
      </c>
      <c r="CS44" s="511">
        <v>7.941676793291542</v>
      </c>
      <c r="CT44" s="511">
        <v>7.941676793291542</v>
      </c>
      <c r="CU44" s="511">
        <v>7.941676793291542</v>
      </c>
      <c r="CV44" s="511">
        <v>7.941676793291542</v>
      </c>
      <c r="CW44" s="510">
        <f>SUM(CP44:CV44)</f>
        <v>55.591737553040794</v>
      </c>
      <c r="CX44" s="439">
        <f>CJ44-CW44</f>
        <v>643.782447065528</v>
      </c>
      <c r="CY44" s="511">
        <v>7.941676793291542</v>
      </c>
      <c r="CZ44" s="511">
        <v>7.941676793291542</v>
      </c>
      <c r="DA44" s="511">
        <v>7.941676793291542</v>
      </c>
      <c r="DB44" s="511">
        <v>7.941676793291542</v>
      </c>
      <c r="DC44" s="511">
        <v>7.941676793291542</v>
      </c>
      <c r="DD44" s="511">
        <f t="shared" si="1"/>
        <v>39.70838396645771</v>
      </c>
      <c r="DE44" s="960">
        <f t="shared" si="4"/>
        <v>604.07406309907026</v>
      </c>
      <c r="DF44" s="656">
        <v>132.28200000000001</v>
      </c>
      <c r="DG44" s="953">
        <v>115.958</v>
      </c>
      <c r="DH44" s="656">
        <f>DF44/DG44</f>
        <v>1.1407751082288415</v>
      </c>
      <c r="DI44" s="511">
        <f>DE44/CC44</f>
        <v>7.1913578940365506</v>
      </c>
      <c r="DJ44" s="511">
        <f t="shared" si="5"/>
        <v>8.2037220798818797</v>
      </c>
      <c r="DK44" s="511">
        <v>8.2037220798818797</v>
      </c>
      <c r="DL44" s="511">
        <v>8.2037220798818797</v>
      </c>
      <c r="DM44" s="511">
        <v>8.2037220798818797</v>
      </c>
      <c r="DN44" s="511">
        <v>8.2037220798818797</v>
      </c>
      <c r="DO44" s="511">
        <v>8.2037220798818797</v>
      </c>
      <c r="DP44" s="511">
        <v>8.2037220798818797</v>
      </c>
      <c r="DQ44" s="511">
        <v>8.2037220798818797</v>
      </c>
      <c r="DR44" s="511">
        <v>8.2037220798818797</v>
      </c>
      <c r="DS44" s="511">
        <v>8.2037220798818797</v>
      </c>
      <c r="DT44" s="511">
        <v>8.2037220798818797</v>
      </c>
      <c r="DU44" s="511">
        <v>8.2037220798818797</v>
      </c>
      <c r="DV44" s="511">
        <v>8.2037220798818797</v>
      </c>
      <c r="DW44" s="511">
        <v>8.2037220798818797</v>
      </c>
      <c r="DX44" s="511">
        <v>8.2037220798818797</v>
      </c>
      <c r="DY44" s="511">
        <v>8.2037220798818797</v>
      </c>
      <c r="DZ44" s="511">
        <v>8.2037220798818797</v>
      </c>
      <c r="EA44" s="511">
        <v>8.2037220798818797</v>
      </c>
      <c r="EB44" s="511">
        <v>8.2037220798818797</v>
      </c>
      <c r="EC44" s="511">
        <f t="shared" si="2"/>
        <v>147.66699743787387</v>
      </c>
      <c r="ED44" s="960">
        <f>DE44-EC44</f>
        <v>456.40706566119638</v>
      </c>
      <c r="EE44" s="453"/>
      <c r="EF44" s="453"/>
      <c r="EG44" s="453"/>
      <c r="EH44" s="453"/>
    </row>
    <row r="45" spans="1:138" s="16" customFormat="1" ht="15" x14ac:dyDescent="0.2">
      <c r="A45" s="120" t="s">
        <v>65</v>
      </c>
      <c r="B45" s="100"/>
      <c r="C45" s="45"/>
      <c r="D45" s="58"/>
      <c r="E45" s="53"/>
      <c r="F45" s="46"/>
      <c r="G45" s="48"/>
      <c r="H45" s="145"/>
      <c r="I45" s="165"/>
      <c r="J45" s="48"/>
      <c r="K45" s="165"/>
      <c r="L45" s="48"/>
      <c r="M45" s="165"/>
      <c r="N45" s="48"/>
      <c r="O45" s="165"/>
      <c r="P45" s="48"/>
      <c r="Q45" s="17"/>
      <c r="R45" s="46"/>
      <c r="S45" s="46"/>
      <c r="T45" s="47"/>
      <c r="U45" s="47"/>
      <c r="V45" s="106"/>
      <c r="W45" s="66"/>
      <c r="X45" s="57"/>
      <c r="Y45" s="168"/>
      <c r="Z45" s="57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392"/>
      <c r="AQ45" s="32"/>
      <c r="AR45" s="32"/>
      <c r="AS45" s="429"/>
      <c r="AT45" s="429"/>
      <c r="AU45" s="429"/>
      <c r="AV45" s="429"/>
      <c r="AW45" s="429"/>
      <c r="AX45" s="168"/>
      <c r="AY45" s="168"/>
      <c r="AZ45" s="57"/>
      <c r="BA45" s="55"/>
      <c r="BB45" s="55"/>
      <c r="BC45" s="429"/>
      <c r="BD45" s="429"/>
      <c r="BE45" s="429"/>
      <c r="BF45" s="429"/>
      <c r="BG45" s="429"/>
      <c r="BH45" s="429"/>
      <c r="BI45" s="429"/>
      <c r="BJ45" s="429"/>
      <c r="BK45" s="452"/>
      <c r="BL45" s="538"/>
      <c r="BM45" s="538"/>
      <c r="BN45" s="538"/>
      <c r="BO45" s="538"/>
      <c r="BP45" s="538"/>
      <c r="BQ45" s="538"/>
      <c r="BR45" s="538"/>
      <c r="BS45" s="58"/>
      <c r="BT45" s="53"/>
      <c r="BU45" s="46"/>
      <c r="BV45" s="48"/>
      <c r="BW45" s="145"/>
      <c r="BX45" s="165"/>
      <c r="BY45" s="48"/>
      <c r="BZ45" s="165"/>
      <c r="CA45" s="48"/>
      <c r="CB45" s="165"/>
      <c r="CC45" s="48"/>
      <c r="CD45" s="165"/>
      <c r="CE45" s="48"/>
      <c r="CF45" s="462"/>
      <c r="CG45" s="46"/>
      <c r="CH45" s="46"/>
      <c r="CI45" s="47"/>
      <c r="CJ45" s="510"/>
      <c r="CK45" s="656"/>
      <c r="CL45" s="953"/>
      <c r="CM45" s="656"/>
      <c r="CN45" s="617"/>
      <c r="CO45" s="511"/>
      <c r="CP45" s="511"/>
      <c r="CQ45" s="511"/>
      <c r="CR45" s="511"/>
      <c r="CS45" s="511"/>
      <c r="CT45" s="511"/>
      <c r="CU45" s="511"/>
      <c r="CV45" s="511"/>
      <c r="CW45" s="510"/>
      <c r="CX45" s="439"/>
      <c r="CY45" s="511"/>
      <c r="CZ45" s="511"/>
      <c r="DA45" s="511"/>
      <c r="DB45" s="511"/>
      <c r="DC45" s="511"/>
      <c r="DD45" s="511"/>
      <c r="DE45" s="960"/>
      <c r="DF45" s="656"/>
      <c r="DG45" s="953"/>
      <c r="DH45" s="656"/>
      <c r="DI45" s="511"/>
      <c r="DJ45" s="511"/>
      <c r="DK45" s="511"/>
      <c r="DL45" s="511"/>
      <c r="DM45" s="511"/>
      <c r="DN45" s="511"/>
      <c r="DO45" s="511"/>
      <c r="DP45" s="511"/>
      <c r="DQ45" s="511"/>
      <c r="DR45" s="511"/>
      <c r="DS45" s="511"/>
      <c r="DT45" s="511"/>
      <c r="DU45" s="511"/>
      <c r="DV45" s="511"/>
      <c r="DW45" s="511"/>
      <c r="DX45" s="511"/>
      <c r="DY45" s="511"/>
      <c r="DZ45" s="511"/>
      <c r="EA45" s="511"/>
      <c r="EB45" s="511"/>
      <c r="EC45" s="511">
        <f t="shared" si="2"/>
        <v>0</v>
      </c>
      <c r="ED45" s="960"/>
      <c r="EE45" s="453"/>
      <c r="EF45" s="453"/>
      <c r="EG45" s="453"/>
      <c r="EH45" s="453"/>
    </row>
    <row r="46" spans="1:138" s="16" customFormat="1" ht="15" x14ac:dyDescent="0.2">
      <c r="A46" s="120" t="s">
        <v>260</v>
      </c>
      <c r="B46" s="100"/>
      <c r="C46" s="45"/>
      <c r="D46" s="58"/>
      <c r="E46" s="53"/>
      <c r="F46" s="46"/>
      <c r="G46" s="48"/>
      <c r="H46" s="145"/>
      <c r="I46" s="165"/>
      <c r="J46" s="48"/>
      <c r="K46" s="165"/>
      <c r="L46" s="48"/>
      <c r="M46" s="165"/>
      <c r="N46" s="48"/>
      <c r="O46" s="165"/>
      <c r="P46" s="48"/>
      <c r="Q46" s="17"/>
      <c r="R46" s="46"/>
      <c r="S46" s="46"/>
      <c r="T46" s="47"/>
      <c r="U46" s="47"/>
      <c r="V46" s="106"/>
      <c r="W46" s="66"/>
      <c r="X46" s="57"/>
      <c r="Y46" s="168"/>
      <c r="Z46" s="57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392"/>
      <c r="AQ46" s="32"/>
      <c r="AR46" s="32"/>
      <c r="AS46" s="429"/>
      <c r="AT46" s="429"/>
      <c r="AU46" s="429"/>
      <c r="AV46" s="429"/>
      <c r="AW46" s="429"/>
      <c r="AX46" s="168"/>
      <c r="AY46" s="168"/>
      <c r="AZ46" s="57"/>
      <c r="BA46" s="55"/>
      <c r="BB46" s="55"/>
      <c r="BC46" s="429"/>
      <c r="BD46" s="429"/>
      <c r="BE46" s="429"/>
      <c r="BF46" s="429"/>
      <c r="BG46" s="429"/>
      <c r="BH46" s="429"/>
      <c r="BI46" s="429"/>
      <c r="BJ46" s="429"/>
      <c r="BK46" s="452"/>
      <c r="BL46" s="538"/>
      <c r="BM46" s="538"/>
      <c r="BN46" s="538"/>
      <c r="BO46" s="538"/>
      <c r="BP46" s="538"/>
      <c r="BQ46" s="538"/>
      <c r="BR46" s="538"/>
      <c r="BS46" s="58"/>
      <c r="BT46" s="53"/>
      <c r="BU46" s="46"/>
      <c r="BV46" s="48"/>
      <c r="BW46" s="145"/>
      <c r="BX46" s="165"/>
      <c r="BY46" s="48"/>
      <c r="BZ46" s="165"/>
      <c r="CA46" s="48"/>
      <c r="CB46" s="165"/>
      <c r="CC46" s="48"/>
      <c r="CD46" s="165"/>
      <c r="CE46" s="48"/>
      <c r="CF46" s="462"/>
      <c r="CG46" s="46"/>
      <c r="CH46" s="46"/>
      <c r="CI46" s="47"/>
      <c r="CJ46" s="510"/>
      <c r="CK46" s="656"/>
      <c r="CL46" s="953"/>
      <c r="CM46" s="656"/>
      <c r="CN46" s="617"/>
      <c r="CO46" s="511"/>
      <c r="CP46" s="511"/>
      <c r="CQ46" s="511"/>
      <c r="CR46" s="511"/>
      <c r="CS46" s="511"/>
      <c r="CT46" s="511"/>
      <c r="CU46" s="511"/>
      <c r="CV46" s="511"/>
      <c r="CW46" s="510"/>
      <c r="CX46" s="439"/>
      <c r="CY46" s="511"/>
      <c r="CZ46" s="511"/>
      <c r="DA46" s="511"/>
      <c r="DB46" s="511"/>
      <c r="DC46" s="511"/>
      <c r="DD46" s="511"/>
      <c r="DE46" s="960"/>
      <c r="DF46" s="656"/>
      <c r="DG46" s="953"/>
      <c r="DH46" s="656"/>
      <c r="DI46" s="511"/>
      <c r="DJ46" s="511"/>
      <c r="DK46" s="511"/>
      <c r="DL46" s="511"/>
      <c r="DM46" s="511"/>
      <c r="DN46" s="511"/>
      <c r="DO46" s="511"/>
      <c r="DP46" s="511"/>
      <c r="DQ46" s="511"/>
      <c r="DR46" s="511"/>
      <c r="DS46" s="511"/>
      <c r="DT46" s="511"/>
      <c r="DU46" s="511"/>
      <c r="DV46" s="511"/>
      <c r="DW46" s="511"/>
      <c r="DX46" s="511"/>
      <c r="DY46" s="511"/>
      <c r="DZ46" s="511"/>
      <c r="EA46" s="511"/>
      <c r="EB46" s="511"/>
      <c r="EC46" s="511">
        <f t="shared" si="2"/>
        <v>0</v>
      </c>
      <c r="ED46" s="960"/>
      <c r="EE46" s="453"/>
      <c r="EF46" s="453"/>
      <c r="EG46" s="453"/>
      <c r="EH46" s="453"/>
    </row>
    <row r="47" spans="1:138" s="16" customFormat="1" ht="15" x14ac:dyDescent="0.2">
      <c r="A47" s="100" t="s">
        <v>1173</v>
      </c>
      <c r="B47" s="100" t="s">
        <v>1174</v>
      </c>
      <c r="C47" s="45" t="s">
        <v>314</v>
      </c>
      <c r="D47" s="58"/>
      <c r="E47" s="53"/>
      <c r="F47" s="46"/>
      <c r="G47" s="48"/>
      <c r="H47" s="145"/>
      <c r="I47" s="165"/>
      <c r="J47" s="48"/>
      <c r="K47" s="165"/>
      <c r="L47" s="48"/>
      <c r="M47" s="165"/>
      <c r="N47" s="48"/>
      <c r="O47" s="165"/>
      <c r="P47" s="48"/>
      <c r="Q47" s="17"/>
      <c r="R47" s="46"/>
      <c r="S47" s="46"/>
      <c r="T47" s="47"/>
      <c r="U47" s="47"/>
      <c r="V47" s="106"/>
      <c r="W47" s="66"/>
      <c r="X47" s="57"/>
      <c r="Y47" s="168"/>
      <c r="Z47" s="57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392"/>
      <c r="AQ47" s="32"/>
      <c r="AR47" s="32"/>
      <c r="AS47" s="429"/>
      <c r="AT47" s="429"/>
      <c r="AU47" s="429"/>
      <c r="AV47" s="429"/>
      <c r="AW47" s="429"/>
      <c r="AX47" s="168"/>
      <c r="AY47" s="168"/>
      <c r="AZ47" s="57"/>
      <c r="BA47" s="55"/>
      <c r="BB47" s="55"/>
      <c r="BC47" s="429"/>
      <c r="BD47" s="429"/>
      <c r="BE47" s="429"/>
      <c r="BF47" s="429"/>
      <c r="BG47" s="429"/>
      <c r="BH47" s="429"/>
      <c r="BI47" s="429"/>
      <c r="BJ47" s="429"/>
      <c r="BK47" s="452"/>
      <c r="BL47" s="538"/>
      <c r="BM47" s="538"/>
      <c r="BN47" s="538"/>
      <c r="BO47" s="538"/>
      <c r="BP47" s="538"/>
      <c r="BQ47" s="538"/>
      <c r="BR47" s="538"/>
      <c r="BS47" s="58">
        <v>10</v>
      </c>
      <c r="BT47" s="53">
        <v>0.1</v>
      </c>
      <c r="BU47" s="46">
        <v>43281</v>
      </c>
      <c r="BV47" s="48">
        <v>120</v>
      </c>
      <c r="BW47" s="145">
        <f>CI47/BV47/100</f>
        <v>0.33325000000000005</v>
      </c>
      <c r="BX47" s="165">
        <f>BW47*BY47</f>
        <v>5.9985000000000008</v>
      </c>
      <c r="BY47" s="48">
        <f>(YEAR(BU47)-YEAR(CH47))*12+MONTH(BU47)-MONTH(CH47)</f>
        <v>18</v>
      </c>
      <c r="BZ47" s="165">
        <f>CA47*BW47</f>
        <v>33.991500000000002</v>
      </c>
      <c r="CA47" s="48">
        <f>BV47-BY47</f>
        <v>102</v>
      </c>
      <c r="CB47" s="165">
        <f>CC47*BW47</f>
        <v>33.991500000000002</v>
      </c>
      <c r="CC47" s="48">
        <f>BV47-BY47</f>
        <v>102</v>
      </c>
      <c r="CD47" s="165">
        <f>CE47*BW47</f>
        <v>0</v>
      </c>
      <c r="CE47" s="48">
        <f>CA47-CC47</f>
        <v>0</v>
      </c>
      <c r="CF47" s="462">
        <f>DATE(YEAR(CH47),MONTH(CH47)+BV47,DAY(CH47))</f>
        <v>46383</v>
      </c>
      <c r="CG47" s="46" t="s">
        <v>1175</v>
      </c>
      <c r="CH47" s="46">
        <v>42731</v>
      </c>
      <c r="CI47" s="47">
        <v>3999</v>
      </c>
      <c r="CJ47" s="510">
        <v>3999</v>
      </c>
      <c r="CK47" s="656">
        <v>126.408</v>
      </c>
      <c r="CL47" s="953">
        <v>122.515</v>
      </c>
      <c r="CM47" s="656">
        <f>CK47/CL47</f>
        <v>1.0317757009345794</v>
      </c>
      <c r="CN47" s="617">
        <f>CJ47/BV47</f>
        <v>33.325000000000003</v>
      </c>
      <c r="CO47" s="511">
        <f>CN47*CM47</f>
        <v>34.38392523364486</v>
      </c>
      <c r="CP47" s="511"/>
      <c r="CQ47" s="511"/>
      <c r="CR47" s="511"/>
      <c r="CS47" s="511">
        <v>309.42</v>
      </c>
      <c r="CT47" s="511">
        <v>309.42</v>
      </c>
      <c r="CU47" s="511">
        <v>309.42</v>
      </c>
      <c r="CV47" s="511">
        <v>309.42</v>
      </c>
      <c r="CW47" s="510">
        <f>SUM(CP47:CV47)</f>
        <v>1237.68</v>
      </c>
      <c r="CX47" s="439">
        <f>CJ47-CW47</f>
        <v>2761.3199999999997</v>
      </c>
      <c r="CY47" s="511">
        <v>309.42</v>
      </c>
      <c r="CZ47" s="511">
        <v>34.380000000000003</v>
      </c>
      <c r="DA47" s="511">
        <v>34.380000000000003</v>
      </c>
      <c r="DB47" s="511">
        <v>34.380000000000003</v>
      </c>
      <c r="DC47" s="511">
        <v>34.380000000000003</v>
      </c>
      <c r="DD47" s="511">
        <f t="shared" si="1"/>
        <v>446.94</v>
      </c>
      <c r="DE47" s="960">
        <f t="shared" si="4"/>
        <v>2314.3799999999997</v>
      </c>
      <c r="DF47" s="656">
        <v>132.28200000000001</v>
      </c>
      <c r="DG47" s="953">
        <v>122.515</v>
      </c>
      <c r="DH47" s="656">
        <f>DF47/DG47</f>
        <v>1.0797208505081011</v>
      </c>
      <c r="DI47" s="511">
        <f>DE47/CC47</f>
        <v>22.689999999999998</v>
      </c>
      <c r="DJ47" s="511">
        <f t="shared" si="5"/>
        <v>24.49886609802881</v>
      </c>
      <c r="DK47" s="511">
        <v>24.49886609802881</v>
      </c>
      <c r="DL47" s="511">
        <v>24.49886609802881</v>
      </c>
      <c r="DM47" s="511">
        <v>24.49886609802881</v>
      </c>
      <c r="DN47" s="511">
        <v>24.49886609802881</v>
      </c>
      <c r="DO47" s="511">
        <v>24.49886609802881</v>
      </c>
      <c r="DP47" s="511">
        <v>24.49886609802881</v>
      </c>
      <c r="DQ47" s="511">
        <v>24.49886609802881</v>
      </c>
      <c r="DR47" s="511">
        <v>24.49886609802881</v>
      </c>
      <c r="DS47" s="511">
        <v>24.49886609802881</v>
      </c>
      <c r="DT47" s="511">
        <v>24.49886609802881</v>
      </c>
      <c r="DU47" s="511">
        <v>24.49886609802881</v>
      </c>
      <c r="DV47" s="511">
        <v>24.49886609802881</v>
      </c>
      <c r="DW47" s="511">
        <v>24.49886609802881</v>
      </c>
      <c r="DX47" s="511">
        <v>24.49886609802881</v>
      </c>
      <c r="DY47" s="511">
        <v>24.49886609802881</v>
      </c>
      <c r="DZ47" s="511">
        <v>24.49886609802881</v>
      </c>
      <c r="EA47" s="511">
        <v>24.49886609802881</v>
      </c>
      <c r="EB47" s="511">
        <v>24.49886609802881</v>
      </c>
      <c r="EC47" s="511">
        <f t="shared" si="2"/>
        <v>440.97958976451866</v>
      </c>
      <c r="ED47" s="960">
        <f>DE47-EC47</f>
        <v>1873.4004102354811</v>
      </c>
      <c r="EE47" s="453"/>
      <c r="EF47" s="453"/>
      <c r="EG47" s="453"/>
      <c r="EH47" s="453"/>
    </row>
    <row r="48" spans="1:138" s="16" customFormat="1" ht="15" x14ac:dyDescent="0.2">
      <c r="A48" s="120" t="s">
        <v>65</v>
      </c>
      <c r="B48" s="120"/>
      <c r="C48" s="45"/>
      <c r="D48" s="27"/>
      <c r="E48" s="25"/>
      <c r="F48" s="46"/>
      <c r="G48" s="17"/>
      <c r="H48" s="145"/>
      <c r="I48" s="165"/>
      <c r="J48" s="48"/>
      <c r="K48" s="165"/>
      <c r="L48" s="48"/>
      <c r="M48" s="165"/>
      <c r="N48" s="48"/>
      <c r="O48" s="165"/>
      <c r="P48" s="48"/>
      <c r="Q48" s="48"/>
      <c r="R48" s="20"/>
      <c r="S48" s="20"/>
      <c r="T48" s="14"/>
      <c r="U48" s="14"/>
      <c r="V48" s="108"/>
      <c r="W48" s="165"/>
      <c r="X48" s="66"/>
      <c r="Y48" s="169"/>
      <c r="Z48" s="57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392"/>
      <c r="AQ48" s="32"/>
      <c r="AR48" s="32"/>
      <c r="AS48" s="429"/>
      <c r="AT48" s="429"/>
      <c r="AU48" s="429"/>
      <c r="AV48" s="429"/>
      <c r="AW48" s="429"/>
      <c r="AX48" s="66"/>
      <c r="AY48" s="169"/>
      <c r="AZ48" s="57"/>
      <c r="BA48" s="55"/>
      <c r="BB48" s="55"/>
      <c r="BC48" s="429"/>
      <c r="BD48" s="429"/>
      <c r="BE48" s="429"/>
      <c r="BF48" s="429"/>
      <c r="BG48" s="429"/>
      <c r="BH48" s="429"/>
      <c r="BI48" s="429"/>
      <c r="BJ48" s="429"/>
      <c r="BK48" s="452"/>
      <c r="BL48" s="538"/>
      <c r="BM48" s="538"/>
      <c r="BN48" s="538"/>
      <c r="BO48" s="538"/>
      <c r="BP48" s="538"/>
      <c r="BQ48" s="538"/>
      <c r="BR48" s="538"/>
      <c r="BS48" s="27"/>
      <c r="BT48" s="25"/>
      <c r="BU48" s="46"/>
      <c r="BV48" s="17"/>
      <c r="BW48" s="145"/>
      <c r="BX48" s="165"/>
      <c r="BY48" s="48"/>
      <c r="BZ48" s="165"/>
      <c r="CA48" s="48"/>
      <c r="CB48" s="165"/>
      <c r="CC48" s="48"/>
      <c r="CD48" s="165"/>
      <c r="CE48" s="48"/>
      <c r="CF48" s="48"/>
      <c r="CG48" s="20"/>
      <c r="CH48" s="20"/>
      <c r="CI48" s="14"/>
      <c r="CJ48" s="510"/>
      <c r="CK48" s="621"/>
      <c r="CL48" s="954"/>
      <c r="CM48" s="656"/>
      <c r="CN48" s="511"/>
      <c r="CO48" s="511"/>
      <c r="CP48" s="511"/>
      <c r="CQ48" s="511"/>
      <c r="CR48" s="511"/>
      <c r="CS48" s="511"/>
      <c r="CT48" s="511"/>
      <c r="CU48" s="511"/>
      <c r="CV48" s="511"/>
      <c r="CW48" s="510"/>
      <c r="CX48" s="439"/>
      <c r="CY48" s="511"/>
      <c r="CZ48" s="511"/>
      <c r="DA48" s="511"/>
      <c r="DB48" s="511"/>
      <c r="DC48" s="511"/>
      <c r="DD48" s="511"/>
      <c r="DE48" s="960"/>
      <c r="DF48" s="621"/>
      <c r="DG48" s="954"/>
      <c r="DH48" s="656"/>
      <c r="DI48" s="511"/>
      <c r="DJ48" s="511"/>
      <c r="DK48" s="511"/>
      <c r="DL48" s="511"/>
      <c r="DM48" s="511"/>
      <c r="DN48" s="511"/>
      <c r="DO48" s="511"/>
      <c r="DP48" s="511"/>
      <c r="DQ48" s="511"/>
      <c r="DR48" s="511"/>
      <c r="DS48" s="511"/>
      <c r="DT48" s="511"/>
      <c r="DU48" s="511"/>
      <c r="DV48" s="511"/>
      <c r="DW48" s="511"/>
      <c r="DX48" s="511"/>
      <c r="DY48" s="511"/>
      <c r="DZ48" s="511"/>
      <c r="EA48" s="511"/>
      <c r="EB48" s="511"/>
      <c r="EC48" s="511">
        <f t="shared" si="2"/>
        <v>0</v>
      </c>
      <c r="ED48" s="960"/>
      <c r="EE48" s="453"/>
      <c r="EF48" s="453"/>
      <c r="EG48" s="453"/>
      <c r="EH48" s="453"/>
    </row>
    <row r="49" spans="1:149" s="16" customFormat="1" ht="15" x14ac:dyDescent="0.2">
      <c r="A49" s="120" t="s">
        <v>672</v>
      </c>
      <c r="B49" s="100"/>
      <c r="C49" s="45"/>
      <c r="D49" s="4"/>
      <c r="E49" s="25"/>
      <c r="F49" s="46"/>
      <c r="G49" s="17"/>
      <c r="H49" s="145"/>
      <c r="I49" s="165"/>
      <c r="J49" s="48"/>
      <c r="K49" s="165"/>
      <c r="L49" s="48"/>
      <c r="M49" s="165"/>
      <c r="N49" s="48"/>
      <c r="O49" s="165"/>
      <c r="P49" s="48"/>
      <c r="Q49" s="48"/>
      <c r="R49" s="20"/>
      <c r="S49" s="20"/>
      <c r="T49" s="14"/>
      <c r="U49" s="14"/>
      <c r="V49" s="108"/>
      <c r="W49" s="66"/>
      <c r="X49" s="66"/>
      <c r="Y49" s="169"/>
      <c r="Z49" s="57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392"/>
      <c r="AQ49" s="32"/>
      <c r="AR49" s="32"/>
      <c r="AS49" s="429"/>
      <c r="AT49" s="429"/>
      <c r="AU49" s="429"/>
      <c r="AV49" s="429"/>
      <c r="AW49" s="429"/>
      <c r="AX49" s="66"/>
      <c r="AY49" s="169"/>
      <c r="AZ49" s="57"/>
      <c r="BA49" s="55"/>
      <c r="BB49" s="55"/>
      <c r="BC49" s="429"/>
      <c r="BD49" s="429"/>
      <c r="BE49" s="429"/>
      <c r="BF49" s="429"/>
      <c r="BG49" s="429"/>
      <c r="BH49" s="429"/>
      <c r="BI49" s="429"/>
      <c r="BJ49" s="429"/>
      <c r="BK49" s="452"/>
      <c r="BL49" s="538"/>
      <c r="BM49" s="538"/>
      <c r="BN49" s="538"/>
      <c r="BO49" s="538"/>
      <c r="BP49" s="538"/>
      <c r="BQ49" s="538"/>
      <c r="BR49" s="538"/>
      <c r="BS49" s="4"/>
      <c r="BT49" s="25"/>
      <c r="BU49" s="46"/>
      <c r="BV49" s="17"/>
      <c r="BW49" s="145"/>
      <c r="BX49" s="165"/>
      <c r="BY49" s="48"/>
      <c r="BZ49" s="165"/>
      <c r="CA49" s="48"/>
      <c r="CB49" s="165"/>
      <c r="CC49" s="48"/>
      <c r="CD49" s="165"/>
      <c r="CE49" s="48"/>
      <c r="CF49" s="48"/>
      <c r="CG49" s="20"/>
      <c r="CH49" s="20"/>
      <c r="CI49" s="14"/>
      <c r="CJ49" s="510"/>
      <c r="CK49" s="621"/>
      <c r="CL49" s="954"/>
      <c r="CM49" s="656"/>
      <c r="CN49" s="511"/>
      <c r="CO49" s="511"/>
      <c r="CP49" s="511"/>
      <c r="CQ49" s="511"/>
      <c r="CR49" s="511"/>
      <c r="CS49" s="511"/>
      <c r="CT49" s="511"/>
      <c r="CU49" s="511"/>
      <c r="CV49" s="511"/>
      <c r="CW49" s="510"/>
      <c r="CX49" s="439"/>
      <c r="CY49" s="511"/>
      <c r="CZ49" s="511"/>
      <c r="DA49" s="511"/>
      <c r="DB49" s="511"/>
      <c r="DC49" s="511"/>
      <c r="DD49" s="511"/>
      <c r="DE49" s="960"/>
      <c r="DF49" s="621"/>
      <c r="DG49" s="954"/>
      <c r="DH49" s="656"/>
      <c r="DI49" s="511"/>
      <c r="DJ49" s="511"/>
      <c r="DK49" s="511"/>
      <c r="DL49" s="511"/>
      <c r="DM49" s="511"/>
      <c r="DN49" s="511"/>
      <c r="DO49" s="511"/>
      <c r="DP49" s="511"/>
      <c r="DQ49" s="511"/>
      <c r="DR49" s="511"/>
      <c r="DS49" s="511"/>
      <c r="DT49" s="511"/>
      <c r="DU49" s="511"/>
      <c r="DV49" s="511"/>
      <c r="DW49" s="511"/>
      <c r="DX49" s="511"/>
      <c r="DY49" s="511"/>
      <c r="DZ49" s="511"/>
      <c r="EA49" s="511"/>
      <c r="EB49" s="511"/>
      <c r="EC49" s="511">
        <f t="shared" si="2"/>
        <v>0</v>
      </c>
      <c r="ED49" s="960"/>
      <c r="EE49" s="453"/>
      <c r="EF49" s="453"/>
      <c r="EG49" s="453"/>
      <c r="EH49" s="453"/>
    </row>
    <row r="50" spans="1:149" s="16" customFormat="1" ht="15" x14ac:dyDescent="0.2">
      <c r="A50" s="100" t="s">
        <v>673</v>
      </c>
      <c r="B50" s="100" t="s">
        <v>674</v>
      </c>
      <c r="C50" s="45" t="s">
        <v>314</v>
      </c>
      <c r="D50" s="58">
        <v>10</v>
      </c>
      <c r="E50" s="53">
        <v>0.1</v>
      </c>
      <c r="F50" s="46">
        <v>42185</v>
      </c>
      <c r="G50" s="48">
        <v>120</v>
      </c>
      <c r="H50" s="145">
        <f>100/G50</f>
        <v>0.83333333333333337</v>
      </c>
      <c r="I50" s="165">
        <f>H50*J50</f>
        <v>-3.3333333333333335</v>
      </c>
      <c r="J50" s="48">
        <f>(YEAR(F50)-YEAR(S50))*12+MONTH(F50)-MONTH(S50)</f>
        <v>-4</v>
      </c>
      <c r="K50" s="165">
        <f>L50*H50</f>
        <v>103.33333333333334</v>
      </c>
      <c r="L50" s="48">
        <f>G50-J50</f>
        <v>124</v>
      </c>
      <c r="M50" s="165">
        <f>N50*H50</f>
        <v>5.8333333333333339</v>
      </c>
      <c r="N50" s="48">
        <v>7</v>
      </c>
      <c r="O50" s="165">
        <f>P50*H50</f>
        <v>97.5</v>
      </c>
      <c r="P50" s="48">
        <f>L50-N50</f>
        <v>117</v>
      </c>
      <c r="Q50" s="17"/>
      <c r="R50" s="46" t="s">
        <v>683</v>
      </c>
      <c r="S50" s="46">
        <v>42291</v>
      </c>
      <c r="T50" s="47">
        <v>1299</v>
      </c>
      <c r="U50" s="47">
        <v>0</v>
      </c>
      <c r="V50" s="106">
        <v>0</v>
      </c>
      <c r="W50" s="66"/>
      <c r="X50" s="57">
        <v>115.958</v>
      </c>
      <c r="Y50" s="168">
        <v>118.051</v>
      </c>
      <c r="Z50" s="57">
        <f>X50/Y50</f>
        <v>0.98227037466857536</v>
      </c>
      <c r="AA50" s="55">
        <f>T50*M50/100/K50*100/7</f>
        <v>10.475806451612902</v>
      </c>
      <c r="AB50" s="55">
        <f>AA50*Z50</f>
        <v>10.290074328181284</v>
      </c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>
        <v>10.48</v>
      </c>
      <c r="AO50" s="55">
        <f>SUM(AC50:AN50)</f>
        <v>10.48</v>
      </c>
      <c r="AP50" s="392">
        <f>T50-AO50</f>
        <v>1288.52</v>
      </c>
      <c r="AQ50" s="32"/>
      <c r="AR50" s="32"/>
      <c r="AS50" s="429">
        <f t="shared" ref="AS50:AW51" si="48">$AN50</f>
        <v>10.48</v>
      </c>
      <c r="AT50" s="429">
        <f t="shared" si="48"/>
        <v>10.48</v>
      </c>
      <c r="AU50" s="429">
        <f t="shared" si="48"/>
        <v>10.48</v>
      </c>
      <c r="AV50" s="429">
        <f t="shared" si="48"/>
        <v>10.48</v>
      </c>
      <c r="AW50" s="429">
        <f t="shared" si="48"/>
        <v>10.48</v>
      </c>
      <c r="AX50" s="57">
        <v>118.901</v>
      </c>
      <c r="AY50" s="168">
        <v>118.051</v>
      </c>
      <c r="AZ50" s="57">
        <f>AX50/AY50</f>
        <v>1.0072002778460156</v>
      </c>
      <c r="BA50" s="55">
        <f>T50/(D50*12)</f>
        <v>10.824999999999999</v>
      </c>
      <c r="BB50" s="55">
        <f t="shared" si="18"/>
        <v>10.902943007683119</v>
      </c>
      <c r="BC50" s="429">
        <f t="shared" ref="BC50:BI50" si="49">$BB50</f>
        <v>10.902943007683119</v>
      </c>
      <c r="BD50" s="429">
        <f t="shared" si="49"/>
        <v>10.902943007683119</v>
      </c>
      <c r="BE50" s="429">
        <f t="shared" si="49"/>
        <v>10.902943007683119</v>
      </c>
      <c r="BF50" s="429">
        <f t="shared" si="49"/>
        <v>10.902943007683119</v>
      </c>
      <c r="BG50" s="429">
        <f t="shared" si="49"/>
        <v>10.902943007683119</v>
      </c>
      <c r="BH50" s="429">
        <f t="shared" si="49"/>
        <v>10.902943007683119</v>
      </c>
      <c r="BI50" s="429">
        <f t="shared" si="49"/>
        <v>10.902943007683119</v>
      </c>
      <c r="BJ50" s="429">
        <f>SUM((AS50:AW50),(BC50:BI50))</f>
        <v>128.72060105378185</v>
      </c>
      <c r="BK50" s="452">
        <f t="shared" si="21"/>
        <v>1159.7993989462182</v>
      </c>
      <c r="BL50" s="538">
        <f>$BB50</f>
        <v>10.902943007683119</v>
      </c>
      <c r="BM50" s="538">
        <f>$BB50</f>
        <v>10.902943007683119</v>
      </c>
      <c r="BN50" s="538">
        <f>$BB50</f>
        <v>10.902943007683119</v>
      </c>
      <c r="BO50" s="538">
        <f>$BB50</f>
        <v>10.902943007683119</v>
      </c>
      <c r="BP50" s="538">
        <f>$BB50</f>
        <v>10.902943007683119</v>
      </c>
      <c r="BQ50" s="538">
        <f>SUM(BL50:BP50)</f>
        <v>54.514715038415595</v>
      </c>
      <c r="BR50" s="538">
        <f>BK50-BQ50</f>
        <v>1105.2846839078027</v>
      </c>
      <c r="BS50" s="58">
        <v>10</v>
      </c>
      <c r="BT50" s="53">
        <v>0.1</v>
      </c>
      <c r="BU50" s="46">
        <v>43281</v>
      </c>
      <c r="BV50" s="48">
        <v>120</v>
      </c>
      <c r="BW50" s="145">
        <f>CI50/BV50/100</f>
        <v>0.10825</v>
      </c>
      <c r="BX50" s="165">
        <f>BW50*BY50</f>
        <v>3.464</v>
      </c>
      <c r="BY50" s="48">
        <f>(YEAR(BU50)-YEAR(CH50))*12+MONTH(BU50)-MONTH(CH50)</f>
        <v>32</v>
      </c>
      <c r="BZ50" s="165">
        <f>CA50*BW50</f>
        <v>9.5259999999999998</v>
      </c>
      <c r="CA50" s="48">
        <f>BV50-BY50</f>
        <v>88</v>
      </c>
      <c r="CB50" s="165">
        <f>CC50*BW50</f>
        <v>9.5259999999999998</v>
      </c>
      <c r="CC50" s="48">
        <f>BV50-BY50</f>
        <v>88</v>
      </c>
      <c r="CD50" s="165">
        <f>CE50*BW50</f>
        <v>0</v>
      </c>
      <c r="CE50" s="48">
        <f>CA50-CC50</f>
        <v>0</v>
      </c>
      <c r="CF50" s="462">
        <f>DATE(YEAR(CH50),MONTH(CH50)+BV50,DAY(CH50))</f>
        <v>45944</v>
      </c>
      <c r="CG50" s="46" t="s">
        <v>683</v>
      </c>
      <c r="CH50" s="46">
        <v>42291</v>
      </c>
      <c r="CI50" s="47">
        <v>1299</v>
      </c>
      <c r="CJ50" s="510">
        <v>1105.2846839078027</v>
      </c>
      <c r="CK50" s="656">
        <v>126.408</v>
      </c>
      <c r="CL50" s="953">
        <v>118.051</v>
      </c>
      <c r="CM50" s="656">
        <f>CK50/CL50</f>
        <v>1.0707914375990037</v>
      </c>
      <c r="CN50" s="511">
        <f>CJ50/CA50</f>
        <v>12.56005322622503</v>
      </c>
      <c r="CO50" s="511">
        <f>CN50*CM50</f>
        <v>13.449197450429505</v>
      </c>
      <c r="CP50" s="511">
        <v>11.835293756377965</v>
      </c>
      <c r="CQ50" s="511">
        <v>11.835293756377965</v>
      </c>
      <c r="CR50" s="511">
        <v>11.835293756377965</v>
      </c>
      <c r="CS50" s="511">
        <v>11.835293756377965</v>
      </c>
      <c r="CT50" s="511">
        <v>11.835293756377965</v>
      </c>
      <c r="CU50" s="511">
        <v>11.835293756377965</v>
      </c>
      <c r="CV50" s="511">
        <v>11.835293756377965</v>
      </c>
      <c r="CW50" s="510">
        <f>SUM(CP50:CV50)</f>
        <v>82.847056294645753</v>
      </c>
      <c r="CX50" s="439">
        <f>CJ50-CW50</f>
        <v>1022.4376276131569</v>
      </c>
      <c r="CY50" s="511">
        <v>11.835293756377965</v>
      </c>
      <c r="CZ50" s="511">
        <v>11.835293756377965</v>
      </c>
      <c r="DA50" s="511">
        <v>11.835293756377965</v>
      </c>
      <c r="DB50" s="511">
        <v>11.835293756377965</v>
      </c>
      <c r="DC50" s="511">
        <v>11.835293756377965</v>
      </c>
      <c r="DD50" s="511">
        <f t="shared" si="1"/>
        <v>59.176468781889824</v>
      </c>
      <c r="DE50" s="960">
        <f t="shared" si="4"/>
        <v>963.26115883126704</v>
      </c>
      <c r="DF50" s="656">
        <v>132.28200000000001</v>
      </c>
      <c r="DG50" s="953">
        <v>118.051</v>
      </c>
      <c r="DH50" s="656">
        <f>DF50/DG50</f>
        <v>1.1205495929725289</v>
      </c>
      <c r="DI50" s="511">
        <f>DE50/CC50</f>
        <v>10.946149532173489</v>
      </c>
      <c r="DJ50" s="511">
        <f t="shared" si="5"/>
        <v>12.265703402893442</v>
      </c>
      <c r="DK50" s="511">
        <v>12.265703402893442</v>
      </c>
      <c r="DL50" s="511">
        <v>12.265703402893442</v>
      </c>
      <c r="DM50" s="511">
        <v>12.265703402893442</v>
      </c>
      <c r="DN50" s="511">
        <v>12.265703402893442</v>
      </c>
      <c r="DO50" s="511">
        <v>12.265703402893442</v>
      </c>
      <c r="DP50" s="511">
        <v>12.265703402893442</v>
      </c>
      <c r="DQ50" s="511">
        <v>12.265703402893442</v>
      </c>
      <c r="DR50" s="511">
        <v>12.265703402893442</v>
      </c>
      <c r="DS50" s="511">
        <v>12.265703402893442</v>
      </c>
      <c r="DT50" s="511">
        <v>12.265703402893442</v>
      </c>
      <c r="DU50" s="511">
        <v>12.265703402893442</v>
      </c>
      <c r="DV50" s="511">
        <v>12.265703402893442</v>
      </c>
      <c r="DW50" s="511">
        <v>12.265703402893442</v>
      </c>
      <c r="DX50" s="511">
        <v>12.265703402893442</v>
      </c>
      <c r="DY50" s="511">
        <v>12.265703402893442</v>
      </c>
      <c r="DZ50" s="511">
        <v>12.265703402893442</v>
      </c>
      <c r="EA50" s="511">
        <v>12.265703402893442</v>
      </c>
      <c r="EB50" s="511">
        <v>12.265703402893442</v>
      </c>
      <c r="EC50" s="511">
        <f t="shared" si="2"/>
        <v>220.78266125208199</v>
      </c>
      <c r="ED50" s="960">
        <f>DE50-EC50</f>
        <v>742.47849757918505</v>
      </c>
      <c r="EE50" s="36"/>
      <c r="EF50" s="36"/>
      <c r="EG50" s="36"/>
      <c r="EH50" s="36"/>
    </row>
    <row r="51" spans="1:149" s="16" customFormat="1" ht="15" x14ac:dyDescent="0.2">
      <c r="A51" s="100" t="s">
        <v>673</v>
      </c>
      <c r="B51" s="100" t="s">
        <v>674</v>
      </c>
      <c r="C51" s="45" t="s">
        <v>314</v>
      </c>
      <c r="D51" s="58">
        <v>10</v>
      </c>
      <c r="E51" s="53">
        <v>0.1</v>
      </c>
      <c r="F51" s="46">
        <v>42185</v>
      </c>
      <c r="G51" s="48">
        <v>120</v>
      </c>
      <c r="H51" s="145">
        <f>100/G51</f>
        <v>0.83333333333333337</v>
      </c>
      <c r="I51" s="165">
        <f>H51*J51</f>
        <v>-4.166666666666667</v>
      </c>
      <c r="J51" s="48">
        <f>(YEAR(F51)-YEAR(S51))*12+MONTH(F51)-MONTH(S51)</f>
        <v>-5</v>
      </c>
      <c r="K51" s="165">
        <f>L51*H51</f>
        <v>104.16666666666667</v>
      </c>
      <c r="L51" s="48">
        <f>G51-J51</f>
        <v>125</v>
      </c>
      <c r="M51" s="165">
        <f>N51*H51</f>
        <v>5.8333333333333339</v>
      </c>
      <c r="N51" s="48">
        <v>7</v>
      </c>
      <c r="O51" s="165">
        <f>P51*H51</f>
        <v>98.333333333333343</v>
      </c>
      <c r="P51" s="48">
        <f>L51-N51</f>
        <v>118</v>
      </c>
      <c r="Q51" s="17"/>
      <c r="R51" s="46" t="s">
        <v>675</v>
      </c>
      <c r="S51" s="46">
        <v>42314</v>
      </c>
      <c r="T51" s="47">
        <v>999</v>
      </c>
      <c r="U51" s="47">
        <v>0</v>
      </c>
      <c r="V51" s="106">
        <v>0</v>
      </c>
      <c r="W51" s="66"/>
      <c r="X51" s="57">
        <v>115.958</v>
      </c>
      <c r="Y51" s="168">
        <v>118.051</v>
      </c>
      <c r="Z51" s="57">
        <f>X51/Y51</f>
        <v>0.98227037466857536</v>
      </c>
      <c r="AA51" s="55">
        <f>T51*M51/100/K51*100/7</f>
        <v>7.992</v>
      </c>
      <c r="AB51" s="55">
        <f>AA51*Z51</f>
        <v>7.8503048343512543</v>
      </c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>
        <v>7.85</v>
      </c>
      <c r="AO51" s="55">
        <f>SUM(AC51:AN51)</f>
        <v>7.85</v>
      </c>
      <c r="AP51" s="392">
        <f>T51-AO51</f>
        <v>991.15</v>
      </c>
      <c r="AQ51" s="32"/>
      <c r="AR51" s="32"/>
      <c r="AS51" s="429">
        <f t="shared" si="48"/>
        <v>7.85</v>
      </c>
      <c r="AT51" s="429">
        <f t="shared" si="48"/>
        <v>7.85</v>
      </c>
      <c r="AU51" s="429">
        <f t="shared" si="48"/>
        <v>7.85</v>
      </c>
      <c r="AV51" s="429">
        <f t="shared" si="48"/>
        <v>7.85</v>
      </c>
      <c r="AW51" s="429">
        <f t="shared" si="48"/>
        <v>7.85</v>
      </c>
      <c r="AX51" s="57">
        <v>126.408</v>
      </c>
      <c r="AY51" s="168">
        <v>118.051</v>
      </c>
      <c r="AZ51" s="57">
        <f>AX51/AY51</f>
        <v>1.0707914375990037</v>
      </c>
      <c r="BA51" s="55">
        <f>T51/(D51*12)</f>
        <v>8.3249999999999993</v>
      </c>
      <c r="BB51" s="55">
        <f t="shared" si="18"/>
        <v>8.914338718011706</v>
      </c>
      <c r="BC51" s="429">
        <f>$BB51</f>
        <v>8.914338718011706</v>
      </c>
      <c r="BD51" s="429">
        <f>$BB51</f>
        <v>8.914338718011706</v>
      </c>
      <c r="BE51" s="429">
        <f>$BB51</f>
        <v>8.914338718011706</v>
      </c>
      <c r="BF51" s="429">
        <f>$BB51</f>
        <v>8.914338718011706</v>
      </c>
      <c r="BG51" s="32">
        <v>8.3800000000000008</v>
      </c>
      <c r="BH51" s="32">
        <v>8.3800000000000008</v>
      </c>
      <c r="BI51" s="32">
        <v>8.3800000000000008</v>
      </c>
      <c r="BJ51" s="429">
        <f>SUM((AS51:AW51),(BC51:BI51))</f>
        <v>100.04735487204681</v>
      </c>
      <c r="BK51" s="452">
        <f t="shared" si="21"/>
        <v>891.10264512795311</v>
      </c>
      <c r="BL51" s="539">
        <v>8.3800000000000008</v>
      </c>
      <c r="BM51" s="539">
        <v>8.3800000000000008</v>
      </c>
      <c r="BN51" s="539">
        <v>8.3800000000000008</v>
      </c>
      <c r="BO51" s="539">
        <v>8.3800000000000008</v>
      </c>
      <c r="BP51" s="539">
        <v>8.3800000000000008</v>
      </c>
      <c r="BQ51" s="538">
        <f>SUM(BL51:BP51)</f>
        <v>41.900000000000006</v>
      </c>
      <c r="BR51" s="538">
        <f>BK51-BQ51</f>
        <v>849.20264512795313</v>
      </c>
      <c r="BS51" s="58">
        <v>10</v>
      </c>
      <c r="BT51" s="53">
        <v>0.1</v>
      </c>
      <c r="BU51" s="46">
        <v>43281</v>
      </c>
      <c r="BV51" s="48">
        <v>120</v>
      </c>
      <c r="BW51" s="145">
        <f>CI51/BV51/100</f>
        <v>8.3249999999999991E-2</v>
      </c>
      <c r="BX51" s="165">
        <f>BW51*BY51</f>
        <v>2.5807499999999997</v>
      </c>
      <c r="BY51" s="48">
        <f>(YEAR(BU51)-YEAR(CH51))*12+MONTH(BU51)-MONTH(CH51)</f>
        <v>31</v>
      </c>
      <c r="BZ51" s="165">
        <f>CA51*BW51</f>
        <v>7.4092499999999992</v>
      </c>
      <c r="CA51" s="48">
        <f>BV51-BY51</f>
        <v>89</v>
      </c>
      <c r="CB51" s="165">
        <f>CC51*BW51</f>
        <v>7.4092499999999992</v>
      </c>
      <c r="CC51" s="48">
        <f>BV51-BY51</f>
        <v>89</v>
      </c>
      <c r="CD51" s="165">
        <f>CE51*BW51</f>
        <v>0</v>
      </c>
      <c r="CE51" s="48">
        <f>CA51-CC51</f>
        <v>0</v>
      </c>
      <c r="CF51" s="462">
        <f>DATE(YEAR(CH51),MONTH(CH51)+BV51,DAY(CH51))</f>
        <v>45967</v>
      </c>
      <c r="CG51" s="46" t="s">
        <v>675</v>
      </c>
      <c r="CH51" s="46">
        <v>42314</v>
      </c>
      <c r="CI51" s="47">
        <v>999</v>
      </c>
      <c r="CJ51" s="510">
        <v>849.20264512795313</v>
      </c>
      <c r="CK51" s="656">
        <v>126.408</v>
      </c>
      <c r="CL51" s="953">
        <v>118.051</v>
      </c>
      <c r="CM51" s="656">
        <f>CK51/CL51</f>
        <v>1.0707914375990037</v>
      </c>
      <c r="CN51" s="511">
        <f>CJ51/CA51</f>
        <v>9.5416027542466644</v>
      </c>
      <c r="CO51" s="511">
        <f>CN51*CM51</f>
        <v>10.2170665302184</v>
      </c>
      <c r="CP51" s="511">
        <v>9.0031576355389848</v>
      </c>
      <c r="CQ51" s="511">
        <v>9.0031576355389848</v>
      </c>
      <c r="CR51" s="511">
        <v>9.0031576355389848</v>
      </c>
      <c r="CS51" s="511">
        <v>9.0031576355389848</v>
      </c>
      <c r="CT51" s="511">
        <v>9.0031576355389848</v>
      </c>
      <c r="CU51" s="511">
        <v>9.0031576355389848</v>
      </c>
      <c r="CV51" s="511">
        <v>9.0031576355389848</v>
      </c>
      <c r="CW51" s="510">
        <f>SUM(CP51:CV51)</f>
        <v>63.022103448772889</v>
      </c>
      <c r="CX51" s="439">
        <f>CJ51-CW51</f>
        <v>786.18054167918024</v>
      </c>
      <c r="CY51" s="511">
        <v>9.0031576355389848</v>
      </c>
      <c r="CZ51" s="511">
        <v>9.0031576355389848</v>
      </c>
      <c r="DA51" s="511">
        <v>9.0031576355389848</v>
      </c>
      <c r="DB51" s="511">
        <v>9.0031576355389848</v>
      </c>
      <c r="DC51" s="511">
        <v>9.0031576355389848</v>
      </c>
      <c r="DD51" s="511">
        <f t="shared" si="1"/>
        <v>45.015788177694922</v>
      </c>
      <c r="DE51" s="960">
        <f t="shared" si="4"/>
        <v>741.16475350148528</v>
      </c>
      <c r="DF51" s="656">
        <v>132.28200000000001</v>
      </c>
      <c r="DG51" s="953">
        <v>118.051</v>
      </c>
      <c r="DH51" s="656">
        <f>DF51/DG51</f>
        <v>1.1205495929725289</v>
      </c>
      <c r="DI51" s="511">
        <f>DE51/CC51</f>
        <v>8.3276938595672512</v>
      </c>
      <c r="DJ51" s="511">
        <f t="shared" si="5"/>
        <v>9.3315939647379107</v>
      </c>
      <c r="DK51" s="511">
        <v>9.3315939647379107</v>
      </c>
      <c r="DL51" s="511">
        <v>9.3315939647379107</v>
      </c>
      <c r="DM51" s="511">
        <v>9.3315939647379107</v>
      </c>
      <c r="DN51" s="511">
        <v>9.3315939647379107</v>
      </c>
      <c r="DO51" s="511">
        <v>9.3315939647379107</v>
      </c>
      <c r="DP51" s="511">
        <v>9.3315939647379107</v>
      </c>
      <c r="DQ51" s="511">
        <v>9.3315939647379107</v>
      </c>
      <c r="DR51" s="511">
        <v>9.3315939647379107</v>
      </c>
      <c r="DS51" s="511">
        <v>9.3315939647379107</v>
      </c>
      <c r="DT51" s="511">
        <v>9.3315939647379107</v>
      </c>
      <c r="DU51" s="511">
        <v>9.3315939647379107</v>
      </c>
      <c r="DV51" s="511">
        <v>9.3315939647379107</v>
      </c>
      <c r="DW51" s="511">
        <v>9.3315939647379107</v>
      </c>
      <c r="DX51" s="511">
        <v>9.3315939647379107</v>
      </c>
      <c r="DY51" s="511">
        <v>9.3315939647379107</v>
      </c>
      <c r="DZ51" s="511">
        <v>9.3315939647379107</v>
      </c>
      <c r="EA51" s="511">
        <v>9.3315939647379107</v>
      </c>
      <c r="EB51" s="511">
        <v>9.3315939647379107</v>
      </c>
      <c r="EC51" s="511">
        <f t="shared" si="2"/>
        <v>167.96869136528241</v>
      </c>
      <c r="ED51" s="960">
        <f>DE51-EC51</f>
        <v>573.19606213620284</v>
      </c>
      <c r="EE51" s="36"/>
      <c r="EF51" s="36"/>
      <c r="EG51" s="36"/>
      <c r="EH51" s="36"/>
    </row>
    <row r="52" spans="1:149" ht="15" x14ac:dyDescent="0.2">
      <c r="A52" s="120" t="s">
        <v>65</v>
      </c>
      <c r="B52" s="120"/>
      <c r="C52" s="45"/>
      <c r="D52" s="58"/>
      <c r="E52" s="53"/>
      <c r="F52" s="46"/>
      <c r="G52" s="48"/>
      <c r="H52" s="145"/>
      <c r="I52" s="165"/>
      <c r="J52" s="48"/>
      <c r="K52" s="165"/>
      <c r="L52" s="48"/>
      <c r="M52" s="165"/>
      <c r="N52" s="48"/>
      <c r="O52" s="165"/>
      <c r="P52" s="48"/>
      <c r="Q52" s="17"/>
      <c r="R52" s="46"/>
      <c r="S52" s="46"/>
      <c r="T52" s="47"/>
      <c r="U52" s="47"/>
      <c r="V52" s="106"/>
      <c r="W52" s="66"/>
      <c r="X52" s="57"/>
      <c r="Y52" s="168"/>
      <c r="Z52" s="57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392"/>
      <c r="AQ52" s="32"/>
      <c r="AR52" s="32"/>
      <c r="AS52" s="429"/>
      <c r="AT52" s="429"/>
      <c r="AU52" s="429"/>
      <c r="AV52" s="429"/>
      <c r="AW52" s="429"/>
      <c r="AX52" s="57"/>
      <c r="AY52" s="168"/>
      <c r="AZ52" s="57"/>
      <c r="BA52" s="55"/>
      <c r="BB52" s="55"/>
      <c r="BC52" s="429"/>
      <c r="BD52" s="429"/>
      <c r="BE52" s="429"/>
      <c r="BF52" s="429"/>
      <c r="BG52" s="32"/>
      <c r="BH52" s="32"/>
      <c r="BI52" s="32"/>
      <c r="BJ52" s="429"/>
      <c r="BK52" s="452"/>
      <c r="BL52" s="539"/>
      <c r="BM52" s="539"/>
      <c r="BN52" s="539"/>
      <c r="BO52" s="539"/>
      <c r="BP52" s="539"/>
      <c r="BQ52" s="539"/>
      <c r="BR52" s="539"/>
      <c r="BS52" s="58"/>
      <c r="BT52" s="53"/>
      <c r="BU52" s="46"/>
      <c r="BV52" s="48"/>
      <c r="BW52" s="145"/>
      <c r="BX52" s="165"/>
      <c r="BY52" s="48"/>
      <c r="BZ52" s="165"/>
      <c r="CA52" s="48"/>
      <c r="CB52" s="165"/>
      <c r="CC52" s="48"/>
      <c r="CD52" s="165"/>
      <c r="CE52" s="48"/>
      <c r="CF52" s="17"/>
      <c r="CG52" s="46"/>
      <c r="CH52" s="46"/>
      <c r="CI52" s="47"/>
      <c r="CJ52" s="509"/>
      <c r="CK52" s="656"/>
      <c r="CL52" s="953"/>
      <c r="CM52" s="656"/>
      <c r="CN52" s="511"/>
      <c r="CO52" s="511"/>
      <c r="CP52" s="511"/>
      <c r="CQ52" s="511"/>
      <c r="CR52" s="511"/>
      <c r="CS52" s="511"/>
      <c r="CT52" s="511"/>
      <c r="CU52" s="511"/>
      <c r="CV52" s="511"/>
      <c r="CW52" s="510"/>
      <c r="CX52" s="439"/>
      <c r="CY52" s="511"/>
      <c r="CZ52" s="511"/>
      <c r="DA52" s="511"/>
      <c r="DB52" s="511"/>
      <c r="DC52" s="511"/>
      <c r="DD52" s="511"/>
      <c r="DE52" s="960"/>
      <c r="DF52" s="656"/>
      <c r="DG52" s="953"/>
      <c r="DH52" s="656"/>
      <c r="DI52" s="511"/>
      <c r="DJ52" s="511"/>
      <c r="DK52" s="511"/>
      <c r="DL52" s="511"/>
      <c r="DM52" s="511"/>
      <c r="DN52" s="511"/>
      <c r="DO52" s="511"/>
      <c r="DP52" s="511"/>
      <c r="DQ52" s="511"/>
      <c r="DR52" s="511"/>
      <c r="DS52" s="511"/>
      <c r="DT52" s="511"/>
      <c r="DU52" s="511"/>
      <c r="DV52" s="511"/>
      <c r="DW52" s="511"/>
      <c r="DX52" s="511"/>
      <c r="DY52" s="511"/>
      <c r="DZ52" s="511"/>
      <c r="EA52" s="511"/>
      <c r="EB52" s="511"/>
      <c r="EC52" s="511">
        <f t="shared" si="2"/>
        <v>0</v>
      </c>
      <c r="ED52" s="960"/>
    </row>
    <row r="53" spans="1:149" ht="15" x14ac:dyDescent="0.2">
      <c r="A53" s="120" t="s">
        <v>995</v>
      </c>
      <c r="B53" s="100"/>
      <c r="C53" s="45"/>
      <c r="D53" s="58"/>
      <c r="E53" s="53"/>
      <c r="F53" s="46"/>
      <c r="G53" s="48"/>
      <c r="H53" s="145"/>
      <c r="I53" s="165"/>
      <c r="J53" s="48"/>
      <c r="K53" s="165"/>
      <c r="L53" s="48"/>
      <c r="M53" s="165"/>
      <c r="N53" s="48"/>
      <c r="O53" s="165"/>
      <c r="P53" s="48"/>
      <c r="Q53" s="17"/>
      <c r="R53" s="46"/>
      <c r="S53" s="46"/>
      <c r="T53" s="47"/>
      <c r="U53" s="47"/>
      <c r="V53" s="106"/>
      <c r="W53" s="66"/>
      <c r="X53" s="57"/>
      <c r="Y53" s="168"/>
      <c r="Z53" s="57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392"/>
      <c r="AQ53" s="32"/>
      <c r="AR53" s="32"/>
      <c r="AS53" s="429"/>
      <c r="AT53" s="429"/>
      <c r="AU53" s="429"/>
      <c r="AV53" s="429"/>
      <c r="AW53" s="429"/>
      <c r="AX53" s="57"/>
      <c r="AY53" s="168"/>
      <c r="AZ53" s="57"/>
      <c r="BA53" s="55"/>
      <c r="BB53" s="55"/>
      <c r="BC53" s="429"/>
      <c r="BD53" s="429"/>
      <c r="BE53" s="429"/>
      <c r="BF53" s="429"/>
      <c r="BG53" s="32"/>
      <c r="BH53" s="32"/>
      <c r="BI53" s="32"/>
      <c r="BJ53" s="429"/>
      <c r="BK53" s="452"/>
      <c r="BL53" s="539"/>
      <c r="BM53" s="539"/>
      <c r="BN53" s="539"/>
      <c r="BO53" s="539"/>
      <c r="BP53" s="539"/>
      <c r="BQ53" s="539"/>
      <c r="BR53" s="539"/>
      <c r="BS53" s="58"/>
      <c r="BT53" s="53"/>
      <c r="BU53" s="46"/>
      <c r="BV53" s="48"/>
      <c r="BW53" s="145"/>
      <c r="BX53" s="165"/>
      <c r="BY53" s="48"/>
      <c r="BZ53" s="165"/>
      <c r="CA53" s="48"/>
      <c r="CB53" s="165"/>
      <c r="CC53" s="48"/>
      <c r="CD53" s="165"/>
      <c r="CE53" s="48"/>
      <c r="CF53" s="17"/>
      <c r="CG53" s="46"/>
      <c r="CH53" s="46"/>
      <c r="CI53" s="47"/>
      <c r="CJ53" s="509"/>
      <c r="CK53" s="656"/>
      <c r="CL53" s="953"/>
      <c r="CM53" s="656"/>
      <c r="CN53" s="511"/>
      <c r="CO53" s="511"/>
      <c r="CP53" s="511"/>
      <c r="CQ53" s="511"/>
      <c r="CR53" s="511"/>
      <c r="CS53" s="511"/>
      <c r="CT53" s="511"/>
      <c r="CU53" s="511"/>
      <c r="CV53" s="511"/>
      <c r="CW53" s="510"/>
      <c r="CX53" s="439"/>
      <c r="CY53" s="511"/>
      <c r="CZ53" s="511"/>
      <c r="DA53" s="511"/>
      <c r="DB53" s="511"/>
      <c r="DC53" s="511"/>
      <c r="DD53" s="511"/>
      <c r="DE53" s="960"/>
      <c r="DF53" s="656"/>
      <c r="DG53" s="953"/>
      <c r="DH53" s="656"/>
      <c r="DI53" s="511"/>
      <c r="DJ53" s="511"/>
      <c r="DK53" s="511"/>
      <c r="DL53" s="511"/>
      <c r="DM53" s="511"/>
      <c r="DN53" s="511"/>
      <c r="DO53" s="511"/>
      <c r="DP53" s="511"/>
      <c r="DQ53" s="511"/>
      <c r="DR53" s="511"/>
      <c r="DS53" s="511"/>
      <c r="DT53" s="511"/>
      <c r="DU53" s="511"/>
      <c r="DV53" s="511"/>
      <c r="DW53" s="511"/>
      <c r="DX53" s="511"/>
      <c r="DY53" s="511"/>
      <c r="DZ53" s="511"/>
      <c r="EA53" s="511"/>
      <c r="EB53" s="511"/>
      <c r="EC53" s="511">
        <f t="shared" si="2"/>
        <v>0</v>
      </c>
      <c r="ED53" s="960"/>
    </row>
    <row r="54" spans="1:149" s="12" customFormat="1" ht="15" x14ac:dyDescent="0.2">
      <c r="A54" s="100" t="s">
        <v>996</v>
      </c>
      <c r="B54" s="100" t="s">
        <v>997</v>
      </c>
      <c r="C54" s="100" t="s">
        <v>314</v>
      </c>
      <c r="D54" s="8">
        <v>10</v>
      </c>
      <c r="E54" s="130">
        <v>0.1</v>
      </c>
      <c r="F54" s="119">
        <v>42438</v>
      </c>
      <c r="G54" s="125">
        <v>120</v>
      </c>
      <c r="H54" s="146">
        <f>100/G54</f>
        <v>0.83333333333333337</v>
      </c>
      <c r="I54" s="1167">
        <v>0</v>
      </c>
      <c r="J54" s="125">
        <v>0</v>
      </c>
      <c r="K54" s="1167">
        <f>L54*H54</f>
        <v>100</v>
      </c>
      <c r="L54" s="125">
        <f>G54-J54</f>
        <v>120</v>
      </c>
      <c r="M54" s="1167">
        <v>0</v>
      </c>
      <c r="N54" s="125">
        <v>0</v>
      </c>
      <c r="O54" s="1167">
        <f>P54*H54</f>
        <v>100</v>
      </c>
      <c r="P54" s="125">
        <f>L54-N54</f>
        <v>120</v>
      </c>
      <c r="Q54" s="125"/>
      <c r="R54" s="119" t="s">
        <v>998</v>
      </c>
      <c r="S54" s="119">
        <v>42438</v>
      </c>
      <c r="T54" s="134">
        <v>901.05</v>
      </c>
      <c r="U54" s="134">
        <v>901.05</v>
      </c>
      <c r="V54" s="7">
        <v>0</v>
      </c>
      <c r="W54" s="64"/>
      <c r="X54" s="64">
        <v>115.958</v>
      </c>
      <c r="Y54" s="1168">
        <v>119.681</v>
      </c>
      <c r="Z54" s="64">
        <f>X54/Y54</f>
        <v>0.96889230537846438</v>
      </c>
      <c r="AA54" s="62">
        <f>T54/P54</f>
        <v>7.50875</v>
      </c>
      <c r="AB54" s="62">
        <f>AA54*Z54</f>
        <v>7.2751700980105447</v>
      </c>
      <c r="AC54" s="62"/>
      <c r="AD54" s="62"/>
      <c r="AE54" s="62"/>
      <c r="AF54" s="62"/>
      <c r="AG54" s="62"/>
      <c r="AH54" s="62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/>
      <c r="AP54" s="1172">
        <f>U54-AO54</f>
        <v>901.05</v>
      </c>
      <c r="AQ54" s="509"/>
      <c r="AR54" s="509"/>
      <c r="AS54" s="510">
        <f>$AN54</f>
        <v>0</v>
      </c>
      <c r="AT54" s="510">
        <f>$AN54</f>
        <v>0</v>
      </c>
      <c r="AU54" s="510">
        <f>$AN54</f>
        <v>0</v>
      </c>
      <c r="AV54" s="510">
        <f>$AN54</f>
        <v>0</v>
      </c>
      <c r="AW54" s="510">
        <f>$AN54</f>
        <v>0</v>
      </c>
      <c r="AX54" s="1168">
        <v>118.901</v>
      </c>
      <c r="AY54" s="1168">
        <v>119.681</v>
      </c>
      <c r="AZ54" s="64">
        <f>AX54/AY54</f>
        <v>0.99348267477711583</v>
      </c>
      <c r="BA54" s="62">
        <f>T54/(D54*12)</f>
        <v>7.50875</v>
      </c>
      <c r="BB54" s="62">
        <f t="shared" si="18"/>
        <v>7.4598130342326687</v>
      </c>
      <c r="BC54" s="510">
        <f>$BB54</f>
        <v>7.4598130342326687</v>
      </c>
      <c r="BD54" s="510">
        <f>$BB54</f>
        <v>7.4598130342326687</v>
      </c>
      <c r="BE54" s="510">
        <f>$BB54</f>
        <v>7.4598130342326687</v>
      </c>
      <c r="BF54" s="510">
        <f>$BB54</f>
        <v>7.4598130342326687</v>
      </c>
      <c r="BG54" s="508">
        <f>BF54*3</f>
        <v>22.379439102698008</v>
      </c>
      <c r="BH54" s="508">
        <v>7.46</v>
      </c>
      <c r="BI54" s="508">
        <v>7.46</v>
      </c>
      <c r="BJ54" s="510">
        <f>SUM((AS54:AW54),(BC54:BI54))</f>
        <v>67.138691239628685</v>
      </c>
      <c r="BK54" s="452">
        <f>(AP54-BJ54)</f>
        <v>833.9113087603713</v>
      </c>
      <c r="BL54" s="1173">
        <v>7.46</v>
      </c>
      <c r="BM54" s="1173">
        <v>7.46</v>
      </c>
      <c r="BN54" s="1173">
        <v>7.46</v>
      </c>
      <c r="BO54" s="1173">
        <v>7.46</v>
      </c>
      <c r="BP54" s="1173">
        <v>7.46</v>
      </c>
      <c r="BQ54" s="538">
        <f>SUM(BL54:BP54)</f>
        <v>37.299999999999997</v>
      </c>
      <c r="BR54" s="538">
        <f>BK54-BQ54</f>
        <v>796.61130876037134</v>
      </c>
      <c r="BS54" s="8">
        <v>10</v>
      </c>
      <c r="BT54" s="130">
        <v>0.1</v>
      </c>
      <c r="BU54" s="119">
        <v>43281</v>
      </c>
      <c r="BV54" s="125">
        <v>120</v>
      </c>
      <c r="BW54" s="146">
        <f>CI54/BV54/100</f>
        <v>7.5087500000000001E-2</v>
      </c>
      <c r="BX54" s="1167">
        <v>0</v>
      </c>
      <c r="BY54" s="125">
        <f>(YEAR(BU54)-YEAR(CH54))*12+MONTH(BU54)-MONTH(CH54)</f>
        <v>27</v>
      </c>
      <c r="BZ54" s="1167">
        <f>CA54*BW54</f>
        <v>6.9831374999999998</v>
      </c>
      <c r="CA54" s="125">
        <f>BV54-BY54</f>
        <v>93</v>
      </c>
      <c r="CB54" s="1167">
        <v>0</v>
      </c>
      <c r="CC54" s="125">
        <f>BV54-BY54</f>
        <v>93</v>
      </c>
      <c r="CD54" s="1167">
        <f>CE54*BW54</f>
        <v>0</v>
      </c>
      <c r="CE54" s="125">
        <f>CA54-CC54</f>
        <v>0</v>
      </c>
      <c r="CF54" s="367">
        <f>DATE(YEAR(CH54),MONTH(CH54)+BV54,DAY(CH54))</f>
        <v>46090</v>
      </c>
      <c r="CG54" s="119" t="s">
        <v>998</v>
      </c>
      <c r="CH54" s="119">
        <v>42438</v>
      </c>
      <c r="CI54" s="134">
        <v>901.05</v>
      </c>
      <c r="CJ54" s="510">
        <v>796.61130876037134</v>
      </c>
      <c r="CK54" s="1174">
        <v>126.408</v>
      </c>
      <c r="CL54" s="1175">
        <v>119.681</v>
      </c>
      <c r="CM54" s="1174">
        <f>CK54/CL54</f>
        <v>1.0562077522747972</v>
      </c>
      <c r="CN54" s="1176">
        <f>CJ54/CA54</f>
        <v>8.565712997423347</v>
      </c>
      <c r="CO54" s="510">
        <f>CN54*CM54</f>
        <v>9.047172471639529</v>
      </c>
      <c r="CP54" s="510">
        <v>8.0132099034521556</v>
      </c>
      <c r="CQ54" s="510">
        <v>8.0132099034521556</v>
      </c>
      <c r="CR54" s="510">
        <v>8.0132099034521556</v>
      </c>
      <c r="CS54" s="510">
        <v>8.0132099034521556</v>
      </c>
      <c r="CT54" s="510">
        <v>8.0132099034521556</v>
      </c>
      <c r="CU54" s="510">
        <v>8.0132099034521556</v>
      </c>
      <c r="CV54" s="510">
        <v>8.0132099034521556</v>
      </c>
      <c r="CW54" s="510">
        <f>SUM(CP54:CV54)</f>
        <v>56.092469324165094</v>
      </c>
      <c r="CX54" s="439">
        <f>CJ54-CW54</f>
        <v>740.51883943620624</v>
      </c>
      <c r="CY54" s="510">
        <v>8.0132099034521556</v>
      </c>
      <c r="CZ54" s="510">
        <v>8.0132099034521556</v>
      </c>
      <c r="DA54" s="510">
        <v>8.0132099034521556</v>
      </c>
      <c r="DB54" s="510">
        <v>8.0132099034521556</v>
      </c>
      <c r="DC54" s="510">
        <v>8.0132099034521556</v>
      </c>
      <c r="DD54" s="510">
        <f t="shared" si="1"/>
        <v>40.06604951726078</v>
      </c>
      <c r="DE54" s="960">
        <f t="shared" si="4"/>
        <v>700.45278991894543</v>
      </c>
      <c r="DF54" s="1174">
        <v>132.28200000000001</v>
      </c>
      <c r="DG54" s="1175">
        <v>119.681</v>
      </c>
      <c r="DH54" s="1174">
        <f>DF54/DG54</f>
        <v>1.1052882245302096</v>
      </c>
      <c r="DI54" s="510">
        <f>DE54/CC54</f>
        <v>7.5317504292359727</v>
      </c>
      <c r="DJ54" s="510">
        <f t="shared" si="5"/>
        <v>8.3247550595348727</v>
      </c>
      <c r="DK54" s="510">
        <v>8.3247550595348727</v>
      </c>
      <c r="DL54" s="510">
        <v>8.3247550595348727</v>
      </c>
      <c r="DM54" s="510">
        <v>8.3247550595348727</v>
      </c>
      <c r="DN54" s="510">
        <v>8.3247550595348727</v>
      </c>
      <c r="DO54" s="510">
        <v>8.3247550595348727</v>
      </c>
      <c r="DP54" s="510">
        <v>8.3247550595348727</v>
      </c>
      <c r="DQ54" s="510">
        <v>8.3247550595348727</v>
      </c>
      <c r="DR54" s="510">
        <v>8.3247550595348727</v>
      </c>
      <c r="DS54" s="510">
        <v>8.3247550595348727</v>
      </c>
      <c r="DT54" s="510">
        <v>8.3247550595348727</v>
      </c>
      <c r="DU54" s="510">
        <v>8.3247550595348727</v>
      </c>
      <c r="DV54" s="510">
        <v>8.3247550595348727</v>
      </c>
      <c r="DW54" s="510">
        <v>8.3247550595348727</v>
      </c>
      <c r="DX54" s="510">
        <v>8.3247550595348727</v>
      </c>
      <c r="DY54" s="510">
        <v>8.3247550595348727</v>
      </c>
      <c r="DZ54" s="510">
        <v>8.3247550595348727</v>
      </c>
      <c r="EA54" s="510">
        <v>8.3247550595348727</v>
      </c>
      <c r="EB54" s="510">
        <v>8.3247550595348727</v>
      </c>
      <c r="EC54" s="511">
        <f t="shared" si="2"/>
        <v>149.84559107162778</v>
      </c>
      <c r="ED54" s="960">
        <f>DE54-EC54</f>
        <v>550.6071988473177</v>
      </c>
      <c r="EE54" s="975"/>
      <c r="EF54" s="975"/>
      <c r="EG54" s="975"/>
      <c r="EH54" s="975"/>
    </row>
    <row r="55" spans="1:149" ht="15" x14ac:dyDescent="0.2">
      <c r="A55" s="120" t="s">
        <v>65</v>
      </c>
      <c r="B55" s="100"/>
      <c r="C55" s="45"/>
      <c r="D55" s="58"/>
      <c r="E55" s="53"/>
      <c r="F55" s="46"/>
      <c r="G55" s="48"/>
      <c r="H55" s="145"/>
      <c r="I55" s="165"/>
      <c r="J55" s="48"/>
      <c r="K55" s="165"/>
      <c r="L55" s="48"/>
      <c r="M55" s="165"/>
      <c r="N55" s="48"/>
      <c r="O55" s="165"/>
      <c r="P55" s="48"/>
      <c r="Q55" s="17"/>
      <c r="R55" s="46"/>
      <c r="S55" s="46"/>
      <c r="T55" s="47"/>
      <c r="U55" s="47"/>
      <c r="V55" s="106"/>
      <c r="W55" s="66"/>
      <c r="X55" s="57"/>
      <c r="Y55" s="168"/>
      <c r="Z55" s="57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392"/>
      <c r="AQ55" s="32"/>
      <c r="AR55" s="32"/>
      <c r="AS55" s="429"/>
      <c r="AT55" s="429"/>
      <c r="AU55" s="429"/>
      <c r="AV55" s="429"/>
      <c r="AW55" s="429"/>
      <c r="AX55" s="57"/>
      <c r="AY55" s="168"/>
      <c r="AZ55" s="57"/>
      <c r="BA55" s="55"/>
      <c r="BB55" s="55"/>
      <c r="BC55" s="429"/>
      <c r="BD55" s="429"/>
      <c r="BE55" s="429"/>
      <c r="BF55" s="429"/>
      <c r="BG55" s="32"/>
      <c r="BH55" s="32"/>
      <c r="BI55" s="32"/>
      <c r="BJ55" s="429"/>
      <c r="BK55" s="452"/>
      <c r="BL55" s="539"/>
      <c r="BM55" s="539"/>
      <c r="BN55" s="539"/>
      <c r="BO55" s="539"/>
      <c r="BP55" s="539"/>
      <c r="BQ55" s="539"/>
      <c r="BR55" s="539"/>
      <c r="BS55" s="58"/>
      <c r="BT55" s="53"/>
      <c r="BU55" s="46"/>
      <c r="BV55" s="48"/>
      <c r="BW55" s="145"/>
      <c r="BX55" s="165"/>
      <c r="BY55" s="48"/>
      <c r="BZ55" s="165"/>
      <c r="CA55" s="48"/>
      <c r="CB55" s="165"/>
      <c r="CC55" s="48"/>
      <c r="CD55" s="165"/>
      <c r="CE55" s="48"/>
      <c r="CF55" s="17"/>
      <c r="CG55" s="46"/>
      <c r="CH55" s="46"/>
      <c r="CI55" s="47"/>
      <c r="CJ55" s="509"/>
      <c r="CK55" s="656"/>
      <c r="CL55" s="953"/>
      <c r="CM55" s="656"/>
      <c r="CN55" s="511"/>
      <c r="CO55" s="511"/>
      <c r="CP55" s="511"/>
      <c r="CQ55" s="511"/>
      <c r="CR55" s="511"/>
      <c r="CS55" s="511"/>
      <c r="CT55" s="511"/>
      <c r="CU55" s="511"/>
      <c r="CV55" s="511"/>
      <c r="CW55" s="510"/>
      <c r="CX55" s="439"/>
      <c r="CY55" s="511"/>
      <c r="CZ55" s="511"/>
      <c r="DA55" s="511"/>
      <c r="DB55" s="511"/>
      <c r="DC55" s="511"/>
      <c r="DD55" s="511"/>
      <c r="DE55" s="960"/>
      <c r="DF55" s="656"/>
      <c r="DG55" s="953"/>
      <c r="DH55" s="656"/>
      <c r="DI55" s="511"/>
      <c r="DJ55" s="511"/>
      <c r="DK55" s="511"/>
      <c r="DL55" s="511"/>
      <c r="DM55" s="511"/>
      <c r="DN55" s="511"/>
      <c r="DO55" s="511"/>
      <c r="DP55" s="511"/>
      <c r="DQ55" s="511"/>
      <c r="DR55" s="511"/>
      <c r="DS55" s="511"/>
      <c r="DT55" s="511"/>
      <c r="DU55" s="511"/>
      <c r="DV55" s="511"/>
      <c r="DW55" s="511"/>
      <c r="DX55" s="511"/>
      <c r="DY55" s="511"/>
      <c r="DZ55" s="511"/>
      <c r="EA55" s="511"/>
      <c r="EB55" s="511"/>
      <c r="EC55" s="511">
        <f t="shared" si="2"/>
        <v>0</v>
      </c>
      <c r="ED55" s="960"/>
    </row>
    <row r="56" spans="1:149" ht="15" x14ac:dyDescent="0.2">
      <c r="A56" s="120" t="s">
        <v>999</v>
      </c>
      <c r="B56" s="100"/>
      <c r="C56" s="45"/>
      <c r="D56" s="58"/>
      <c r="E56" s="53"/>
      <c r="F56" s="46"/>
      <c r="G56" s="48"/>
      <c r="H56" s="145"/>
      <c r="I56" s="165"/>
      <c r="J56" s="48"/>
      <c r="K56" s="165"/>
      <c r="L56" s="48"/>
      <c r="M56" s="165"/>
      <c r="N56" s="48"/>
      <c r="O56" s="165"/>
      <c r="P56" s="48"/>
      <c r="Q56" s="17"/>
      <c r="R56" s="46"/>
      <c r="S56" s="46"/>
      <c r="T56" s="47"/>
      <c r="U56" s="47"/>
      <c r="V56" s="106"/>
      <c r="W56" s="66"/>
      <c r="X56" s="57"/>
      <c r="Y56" s="168"/>
      <c r="Z56" s="57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392"/>
      <c r="AQ56" s="32"/>
      <c r="AR56" s="32"/>
      <c r="AS56" s="429"/>
      <c r="AT56" s="429"/>
      <c r="AU56" s="429"/>
      <c r="AV56" s="429"/>
      <c r="AW56" s="429"/>
      <c r="AX56" s="57"/>
      <c r="AY56" s="168"/>
      <c r="AZ56" s="57"/>
      <c r="BA56" s="55"/>
      <c r="BB56" s="55"/>
      <c r="BC56" s="429"/>
      <c r="BD56" s="429"/>
      <c r="BE56" s="429"/>
      <c r="BF56" s="429"/>
      <c r="BG56" s="32"/>
      <c r="BH56" s="32"/>
      <c r="BI56" s="32"/>
      <c r="BJ56" s="429"/>
      <c r="BK56" s="452"/>
      <c r="BL56" s="539"/>
      <c r="BM56" s="539"/>
      <c r="BN56" s="539"/>
      <c r="BO56" s="539"/>
      <c r="BP56" s="539"/>
      <c r="BQ56" s="539"/>
      <c r="BR56" s="539"/>
      <c r="BS56" s="58"/>
      <c r="BT56" s="53"/>
      <c r="BU56" s="46"/>
      <c r="BV56" s="48"/>
      <c r="BW56" s="145"/>
      <c r="BX56" s="165"/>
      <c r="BY56" s="48"/>
      <c r="BZ56" s="165"/>
      <c r="CA56" s="48"/>
      <c r="CB56" s="165"/>
      <c r="CC56" s="48"/>
      <c r="CD56" s="165"/>
      <c r="CE56" s="48"/>
      <c r="CF56" s="17"/>
      <c r="CG56" s="46"/>
      <c r="CH56" s="46"/>
      <c r="CI56" s="47"/>
      <c r="CJ56" s="509"/>
      <c r="CK56" s="656"/>
      <c r="CL56" s="953"/>
      <c r="CM56" s="656"/>
      <c r="CN56" s="511"/>
      <c r="CO56" s="511"/>
      <c r="CP56" s="511"/>
      <c r="CQ56" s="511"/>
      <c r="CR56" s="511"/>
      <c r="CS56" s="511"/>
      <c r="CT56" s="511"/>
      <c r="CU56" s="511"/>
      <c r="CV56" s="511"/>
      <c r="CW56" s="510"/>
      <c r="CX56" s="439"/>
      <c r="CY56" s="511"/>
      <c r="CZ56" s="511"/>
      <c r="DA56" s="511"/>
      <c r="DB56" s="511"/>
      <c r="DC56" s="511"/>
      <c r="DD56" s="511"/>
      <c r="DE56" s="960"/>
      <c r="DF56" s="656"/>
      <c r="DG56" s="953"/>
      <c r="DH56" s="656"/>
      <c r="DI56" s="511"/>
      <c r="DJ56" s="511"/>
      <c r="DK56" s="511"/>
      <c r="DL56" s="511"/>
      <c r="DM56" s="511"/>
      <c r="DN56" s="511"/>
      <c r="DO56" s="511"/>
      <c r="DP56" s="511"/>
      <c r="DQ56" s="511"/>
      <c r="DR56" s="511"/>
      <c r="DS56" s="511"/>
      <c r="DT56" s="511"/>
      <c r="DU56" s="511"/>
      <c r="DV56" s="511"/>
      <c r="DW56" s="511"/>
      <c r="DX56" s="511"/>
      <c r="DY56" s="511"/>
      <c r="DZ56" s="511"/>
      <c r="EA56" s="511"/>
      <c r="EB56" s="511"/>
      <c r="EC56" s="511">
        <f t="shared" si="2"/>
        <v>0</v>
      </c>
      <c r="ED56" s="960"/>
    </row>
    <row r="57" spans="1:149" ht="15" x14ac:dyDescent="0.2">
      <c r="A57" s="100" t="s">
        <v>1000</v>
      </c>
      <c r="B57" s="100" t="s">
        <v>1001</v>
      </c>
      <c r="C57" s="45" t="s">
        <v>314</v>
      </c>
      <c r="D57" s="58">
        <v>10</v>
      </c>
      <c r="E57" s="53">
        <v>0.1</v>
      </c>
      <c r="F57" s="46">
        <v>42510</v>
      </c>
      <c r="G57" s="48">
        <v>120</v>
      </c>
      <c r="H57" s="145">
        <f>100/G57</f>
        <v>0.83333333333333337</v>
      </c>
      <c r="I57" s="165">
        <v>0</v>
      </c>
      <c r="J57" s="48">
        <v>0</v>
      </c>
      <c r="K57" s="165">
        <f>L57*H57</f>
        <v>100</v>
      </c>
      <c r="L57" s="48">
        <f>G57-J57</f>
        <v>120</v>
      </c>
      <c r="M57" s="165">
        <v>0</v>
      </c>
      <c r="N57" s="48">
        <v>0</v>
      </c>
      <c r="O57" s="165">
        <f>P57*H57</f>
        <v>100</v>
      </c>
      <c r="P57" s="48">
        <f>L57-N57</f>
        <v>120</v>
      </c>
      <c r="Q57" s="17"/>
      <c r="R57" s="48">
        <v>9116</v>
      </c>
      <c r="S57" s="46">
        <v>42510</v>
      </c>
      <c r="T57" s="47">
        <v>6670</v>
      </c>
      <c r="U57" s="47">
        <v>6670</v>
      </c>
      <c r="V57" s="106">
        <v>0</v>
      </c>
      <c r="W57" s="66"/>
      <c r="X57" s="57">
        <v>0</v>
      </c>
      <c r="Y57" s="168">
        <v>0</v>
      </c>
      <c r="Z57" s="57">
        <v>0</v>
      </c>
      <c r="AA57" s="55">
        <v>0</v>
      </c>
      <c r="AB57" s="55">
        <f>AA57*Z57</f>
        <v>0</v>
      </c>
      <c r="AC57" s="55"/>
      <c r="AD57" s="55"/>
      <c r="AE57" s="55"/>
      <c r="AF57" s="55"/>
      <c r="AG57" s="55"/>
      <c r="AH57" s="55"/>
      <c r="AI57" s="55">
        <v>0</v>
      </c>
      <c r="AJ57" s="55">
        <v>0</v>
      </c>
      <c r="AK57" s="55">
        <v>0</v>
      </c>
      <c r="AL57" s="55">
        <v>0</v>
      </c>
      <c r="AM57" s="55">
        <v>0</v>
      </c>
      <c r="AN57" s="55">
        <v>0</v>
      </c>
      <c r="AO57" s="55"/>
      <c r="AP57" s="392">
        <f>U57-AO57</f>
        <v>6670</v>
      </c>
      <c r="AQ57" s="32"/>
      <c r="AR57" s="32"/>
      <c r="AS57" s="429">
        <f>$AN57</f>
        <v>0</v>
      </c>
      <c r="AT57" s="429">
        <f>$AN57</f>
        <v>0</v>
      </c>
      <c r="AU57" s="429">
        <f>$AN57</f>
        <v>0</v>
      </c>
      <c r="AV57" s="429">
        <f>$AN57</f>
        <v>0</v>
      </c>
      <c r="AW57" s="429">
        <f>$AN57</f>
        <v>0</v>
      </c>
      <c r="AX57" s="168">
        <v>118.901</v>
      </c>
      <c r="AY57" s="168">
        <v>118.77</v>
      </c>
      <c r="AZ57" s="57">
        <f>AX57/AY57</f>
        <v>1.0011029721310094</v>
      </c>
      <c r="BA57" s="55">
        <f>T57/(D57*12)</f>
        <v>55.583333333333336</v>
      </c>
      <c r="BB57" s="55">
        <f t="shared" si="18"/>
        <v>55.644640200948608</v>
      </c>
      <c r="BC57" s="429">
        <f>$BB57</f>
        <v>55.644640200948608</v>
      </c>
      <c r="BD57" s="429">
        <f>$BB57</f>
        <v>55.644640200948608</v>
      </c>
      <c r="BE57" s="429">
        <f>$BB57</f>
        <v>55.644640200948608</v>
      </c>
      <c r="BF57" s="429">
        <f>$BB57</f>
        <v>55.644640200948608</v>
      </c>
      <c r="BG57" s="32">
        <v>55.64</v>
      </c>
      <c r="BH57" s="32">
        <v>55.64</v>
      </c>
      <c r="BI57" s="32">
        <v>55.64</v>
      </c>
      <c r="BJ57" s="429">
        <f>SUM((AS57:AW57),(BC57:BI57))</f>
        <v>389.49856080379442</v>
      </c>
      <c r="BK57" s="452">
        <f>(AP57-BJ57)</f>
        <v>6280.5014391962059</v>
      </c>
      <c r="BL57" s="539">
        <v>55.64</v>
      </c>
      <c r="BM57" s="539">
        <v>55.64</v>
      </c>
      <c r="BN57" s="539">
        <v>55.64</v>
      </c>
      <c r="BO57" s="539">
        <v>55.64</v>
      </c>
      <c r="BP57" s="539">
        <v>55.64</v>
      </c>
      <c r="BQ57" s="538">
        <f>SUM(BL57:BP57)</f>
        <v>278.2</v>
      </c>
      <c r="BR57" s="538">
        <f>BK57-BQ57</f>
        <v>6002.301439196206</v>
      </c>
      <c r="BS57" s="58">
        <v>10</v>
      </c>
      <c r="BT57" s="53">
        <v>0.1</v>
      </c>
      <c r="BU57" s="46">
        <v>43281</v>
      </c>
      <c r="BV57" s="48">
        <v>120</v>
      </c>
      <c r="BW57" s="145">
        <f>CI57/BV57/100</f>
        <v>0.5558333333333334</v>
      </c>
      <c r="BX57" s="165">
        <v>0</v>
      </c>
      <c r="BY57" s="48">
        <f>(YEAR(BU57)-YEAR(CH57))*12+MONTH(BU57)-MONTH(CH57)</f>
        <v>25</v>
      </c>
      <c r="BZ57" s="165">
        <f>CA57*BW57</f>
        <v>52.804166666666674</v>
      </c>
      <c r="CA57" s="48">
        <f>BV57-BY57</f>
        <v>95</v>
      </c>
      <c r="CB57" s="165">
        <v>0</v>
      </c>
      <c r="CC57" s="48">
        <f>BV57-BY57</f>
        <v>95</v>
      </c>
      <c r="CD57" s="165">
        <f>CE57*BW57</f>
        <v>0</v>
      </c>
      <c r="CE57" s="48">
        <f>CA57-CC57</f>
        <v>0</v>
      </c>
      <c r="CF57" s="462">
        <f>DATE(YEAR(CH57),MONTH(CH57)+BV57,DAY(CH57))</f>
        <v>46162</v>
      </c>
      <c r="CG57" s="48">
        <v>9116</v>
      </c>
      <c r="CH57" s="46">
        <v>42510</v>
      </c>
      <c r="CI57" s="47">
        <v>6670</v>
      </c>
      <c r="CJ57" s="510">
        <v>6002.301439196206</v>
      </c>
      <c r="CK57" s="656">
        <v>126.408</v>
      </c>
      <c r="CL57" s="953">
        <v>118.77</v>
      </c>
      <c r="CM57" s="656">
        <f>CK57/CL57</f>
        <v>1.0643091689820663</v>
      </c>
      <c r="CN57" s="617">
        <f>CJ57/CA57</f>
        <v>63.182120412591644</v>
      </c>
      <c r="CO57" s="511">
        <f>CN57*CM57</f>
        <v>67.245310070850266</v>
      </c>
      <c r="CP57" s="511">
        <v>59.703779969446494</v>
      </c>
      <c r="CQ57" s="511">
        <v>59.703779969446494</v>
      </c>
      <c r="CR57" s="511">
        <v>59.703779969446494</v>
      </c>
      <c r="CS57" s="511">
        <v>59.703779969446494</v>
      </c>
      <c r="CT57" s="511">
        <v>59.703779969446494</v>
      </c>
      <c r="CU57" s="511">
        <v>59.703779969446494</v>
      </c>
      <c r="CV57" s="511">
        <v>59.703779969446494</v>
      </c>
      <c r="CW57" s="510">
        <f>SUM(CP57:CV57)</f>
        <v>417.92645978612546</v>
      </c>
      <c r="CX57" s="439">
        <f>CJ57-CW57</f>
        <v>5584.3749794100804</v>
      </c>
      <c r="CY57" s="511">
        <v>59.703779969446494</v>
      </c>
      <c r="CZ57" s="511">
        <v>59.703779969446494</v>
      </c>
      <c r="DA57" s="511">
        <v>59.703779969446494</v>
      </c>
      <c r="DB57" s="511">
        <v>59.703779969446494</v>
      </c>
      <c r="DC57" s="511">
        <v>59.703779969446494</v>
      </c>
      <c r="DD57" s="511">
        <f t="shared" si="1"/>
        <v>298.51889984723249</v>
      </c>
      <c r="DE57" s="960">
        <f t="shared" si="4"/>
        <v>5285.8560795628482</v>
      </c>
      <c r="DF57" s="656">
        <v>132.28200000000001</v>
      </c>
      <c r="DG57" s="953">
        <v>118.77</v>
      </c>
      <c r="DH57" s="656">
        <f>DF57/DG57</f>
        <v>1.1137661025511494</v>
      </c>
      <c r="DI57" s="511">
        <f>DE57/CC57</f>
        <v>55.640590311187879</v>
      </c>
      <c r="DJ57" s="511">
        <f t="shared" si="5"/>
        <v>61.970603414536967</v>
      </c>
      <c r="DK57" s="511">
        <v>61.970603414536967</v>
      </c>
      <c r="DL57" s="511">
        <v>61.970603414536967</v>
      </c>
      <c r="DM57" s="511">
        <v>61.970603414536967</v>
      </c>
      <c r="DN57" s="511">
        <v>61.970603414536967</v>
      </c>
      <c r="DO57" s="511">
        <v>61.970603414536967</v>
      </c>
      <c r="DP57" s="511">
        <v>61.970603414536967</v>
      </c>
      <c r="DQ57" s="511">
        <v>61.970603414536967</v>
      </c>
      <c r="DR57" s="511">
        <v>61.970603414536967</v>
      </c>
      <c r="DS57" s="511">
        <v>61.970603414536967</v>
      </c>
      <c r="DT57" s="511">
        <v>61.970603414536967</v>
      </c>
      <c r="DU57" s="511">
        <v>61.970603414536967</v>
      </c>
      <c r="DV57" s="511">
        <v>61.970603414536967</v>
      </c>
      <c r="DW57" s="511">
        <v>61.970603414536967</v>
      </c>
      <c r="DX57" s="511">
        <v>61.970603414536967</v>
      </c>
      <c r="DY57" s="511">
        <v>61.970603414536967</v>
      </c>
      <c r="DZ57" s="511">
        <v>61.970603414536967</v>
      </c>
      <c r="EA57" s="511">
        <v>61.970603414536967</v>
      </c>
      <c r="EB57" s="511">
        <v>61.970603414536967</v>
      </c>
      <c r="EC57" s="511">
        <f t="shared" si="2"/>
        <v>1115.4708614616654</v>
      </c>
      <c r="ED57" s="960">
        <f>DE57-EC57</f>
        <v>4170.3852181011825</v>
      </c>
    </row>
    <row r="58" spans="1:149" ht="15" x14ac:dyDescent="0.2">
      <c r="A58" s="120" t="s">
        <v>126</v>
      </c>
      <c r="B58" s="100"/>
      <c r="C58" s="45"/>
      <c r="D58" s="58"/>
      <c r="E58" s="53"/>
      <c r="F58" s="46"/>
      <c r="G58" s="48"/>
      <c r="H58" s="145"/>
      <c r="I58" s="165"/>
      <c r="J58" s="48"/>
      <c r="K58" s="165"/>
      <c r="L58" s="48"/>
      <c r="M58" s="165"/>
      <c r="N58" s="48"/>
      <c r="O58" s="165"/>
      <c r="P58" s="48"/>
      <c r="Q58" s="17"/>
      <c r="R58" s="46"/>
      <c r="S58" s="46"/>
      <c r="T58" s="47"/>
      <c r="U58" s="47"/>
      <c r="V58" s="106"/>
      <c r="W58" s="66"/>
      <c r="X58" s="57"/>
      <c r="Y58" s="168"/>
      <c r="Z58" s="57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392"/>
      <c r="AQ58" s="32"/>
      <c r="AR58" s="32"/>
      <c r="AS58" s="429"/>
      <c r="AT58" s="429"/>
      <c r="AU58" s="429"/>
      <c r="AV58" s="429"/>
      <c r="AW58" s="429"/>
      <c r="AX58" s="57"/>
      <c r="AY58" s="168"/>
      <c r="AZ58" s="57"/>
      <c r="BA58" s="55"/>
      <c r="BB58" s="55"/>
      <c r="BC58" s="429"/>
      <c r="BD58" s="429"/>
      <c r="BE58" s="429"/>
      <c r="BF58" s="429"/>
      <c r="BG58" s="32"/>
      <c r="BH58" s="32"/>
      <c r="BI58" s="32"/>
      <c r="BJ58" s="429"/>
      <c r="BK58" s="452"/>
      <c r="BL58" s="539"/>
      <c r="BM58" s="539"/>
      <c r="BN58" s="539"/>
      <c r="BO58" s="539"/>
      <c r="BP58" s="539"/>
      <c r="BQ58" s="539"/>
      <c r="BR58" s="539"/>
      <c r="BS58" s="58"/>
      <c r="BT58" s="53"/>
      <c r="BU58" s="46"/>
      <c r="BV58" s="48"/>
      <c r="BW58" s="145"/>
      <c r="BX58" s="165"/>
      <c r="BY58" s="48"/>
      <c r="BZ58" s="165"/>
      <c r="CA58" s="48"/>
      <c r="CB58" s="165"/>
      <c r="CC58" s="48"/>
      <c r="CD58" s="165"/>
      <c r="CE58" s="48"/>
      <c r="CF58" s="17"/>
      <c r="CG58" s="46"/>
      <c r="CH58" s="46"/>
      <c r="CI58" s="47"/>
      <c r="CJ58" s="509"/>
      <c r="CK58" s="656"/>
      <c r="CL58" s="953"/>
      <c r="CM58" s="656"/>
      <c r="CN58" s="511"/>
      <c r="CO58" s="511"/>
      <c r="CP58" s="511"/>
      <c r="CQ58" s="511"/>
      <c r="CR58" s="511"/>
      <c r="CS58" s="511"/>
      <c r="CT58" s="511"/>
      <c r="CU58" s="511"/>
      <c r="CV58" s="511"/>
      <c r="CW58" s="510"/>
      <c r="CX58" s="439"/>
      <c r="CY58" s="511"/>
      <c r="CZ58" s="511"/>
      <c r="DA58" s="511"/>
      <c r="DB58" s="511"/>
      <c r="DC58" s="511"/>
      <c r="DD58" s="511"/>
      <c r="DE58" s="960"/>
      <c r="DF58" s="656"/>
      <c r="DG58" s="953"/>
      <c r="DH58" s="656"/>
      <c r="DI58" s="511"/>
      <c r="DJ58" s="511"/>
      <c r="DK58" s="511"/>
      <c r="DL58" s="511"/>
      <c r="DM58" s="511"/>
      <c r="DN58" s="511"/>
      <c r="DO58" s="511"/>
      <c r="DP58" s="511"/>
      <c r="DQ58" s="511"/>
      <c r="DR58" s="511"/>
      <c r="DS58" s="511"/>
      <c r="DT58" s="511"/>
      <c r="DU58" s="511"/>
      <c r="DV58" s="511"/>
      <c r="DW58" s="511"/>
      <c r="DX58" s="511"/>
      <c r="DY58" s="511"/>
      <c r="DZ58" s="511"/>
      <c r="EA58" s="511"/>
      <c r="EB58" s="511"/>
      <c r="EC58" s="511">
        <f t="shared" si="2"/>
        <v>0</v>
      </c>
      <c r="ED58" s="960"/>
    </row>
    <row r="59" spans="1:149" ht="15" x14ac:dyDescent="0.2">
      <c r="A59" s="120" t="s">
        <v>1026</v>
      </c>
      <c r="B59" s="100"/>
      <c r="C59" s="45"/>
      <c r="D59" s="58"/>
      <c r="E59" s="53"/>
      <c r="F59" s="46"/>
      <c r="G59" s="48"/>
      <c r="H59" s="145"/>
      <c r="I59" s="165"/>
      <c r="J59" s="48"/>
      <c r="K59" s="165"/>
      <c r="L59" s="48"/>
      <c r="M59" s="165"/>
      <c r="N59" s="48"/>
      <c r="O59" s="165"/>
      <c r="P59" s="48"/>
      <c r="Q59" s="17"/>
      <c r="R59" s="46"/>
      <c r="S59" s="46"/>
      <c r="T59" s="47"/>
      <c r="U59" s="47"/>
      <c r="V59" s="106"/>
      <c r="W59" s="66"/>
      <c r="X59" s="57"/>
      <c r="Y59" s="168"/>
      <c r="Z59" s="57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392"/>
      <c r="AQ59" s="32"/>
      <c r="AR59" s="32"/>
      <c r="AS59" s="429"/>
      <c r="AT59" s="429"/>
      <c r="AU59" s="429"/>
      <c r="AV59" s="429"/>
      <c r="AW59" s="429"/>
      <c r="AX59" s="57"/>
      <c r="AY59" s="168"/>
      <c r="AZ59" s="57"/>
      <c r="BA59" s="55"/>
      <c r="BB59" s="55"/>
      <c r="BC59" s="429"/>
      <c r="BD59" s="429"/>
      <c r="BE59" s="429"/>
      <c r="BF59" s="429"/>
      <c r="BG59" s="32"/>
      <c r="BH59" s="32"/>
      <c r="BI59" s="32"/>
      <c r="BJ59" s="429"/>
      <c r="BK59" s="452"/>
      <c r="BL59" s="539"/>
      <c r="BM59" s="539"/>
      <c r="BN59" s="539"/>
      <c r="BO59" s="539"/>
      <c r="BP59" s="539"/>
      <c r="BQ59" s="539"/>
      <c r="BR59" s="539"/>
      <c r="BS59" s="58"/>
      <c r="BT59" s="53"/>
      <c r="BU59" s="46"/>
      <c r="BV59" s="48"/>
      <c r="BW59" s="145"/>
      <c r="BX59" s="165"/>
      <c r="BY59" s="48"/>
      <c r="BZ59" s="165"/>
      <c r="CA59" s="48"/>
      <c r="CB59" s="165"/>
      <c r="CC59" s="48"/>
      <c r="CD59" s="165"/>
      <c r="CE59" s="48"/>
      <c r="CF59" s="17"/>
      <c r="CG59" s="46"/>
      <c r="CH59" s="46"/>
      <c r="CI59" s="47"/>
      <c r="CJ59" s="509"/>
      <c r="CK59" s="656"/>
      <c r="CL59" s="953"/>
      <c r="CM59" s="656"/>
      <c r="CN59" s="511"/>
      <c r="CO59" s="511"/>
      <c r="CP59" s="511"/>
      <c r="CQ59" s="511"/>
      <c r="CR59" s="511"/>
      <c r="CS59" s="511"/>
      <c r="CT59" s="511"/>
      <c r="CU59" s="511"/>
      <c r="CV59" s="511"/>
      <c r="CW59" s="510"/>
      <c r="CX59" s="439"/>
      <c r="CY59" s="511"/>
      <c r="CZ59" s="511"/>
      <c r="DA59" s="511"/>
      <c r="DB59" s="511"/>
      <c r="DC59" s="511"/>
      <c r="DD59" s="511"/>
      <c r="DE59" s="960"/>
      <c r="DF59" s="656"/>
      <c r="DG59" s="953"/>
      <c r="DH59" s="656"/>
      <c r="DI59" s="511"/>
      <c r="DJ59" s="511"/>
      <c r="DK59" s="511"/>
      <c r="DL59" s="511"/>
      <c r="DM59" s="511"/>
      <c r="DN59" s="511"/>
      <c r="DO59" s="511"/>
      <c r="DP59" s="511"/>
      <c r="DQ59" s="511"/>
      <c r="DR59" s="511"/>
      <c r="DS59" s="511"/>
      <c r="DT59" s="511"/>
      <c r="DU59" s="511"/>
      <c r="DV59" s="511"/>
      <c r="DW59" s="511"/>
      <c r="DX59" s="511"/>
      <c r="DY59" s="511"/>
      <c r="DZ59" s="511"/>
      <c r="EA59" s="511"/>
      <c r="EB59" s="511"/>
      <c r="EC59" s="511">
        <f t="shared" si="2"/>
        <v>0</v>
      </c>
      <c r="ED59" s="960"/>
    </row>
    <row r="60" spans="1:149" ht="15" x14ac:dyDescent="0.2">
      <c r="A60" s="100" t="s">
        <v>1027</v>
      </c>
      <c r="B60" s="100" t="s">
        <v>1028</v>
      </c>
      <c r="C60" s="45" t="s">
        <v>314</v>
      </c>
      <c r="D60" s="58">
        <v>10</v>
      </c>
      <c r="E60" s="53">
        <v>0.1</v>
      </c>
      <c r="F60" s="46">
        <v>42635</v>
      </c>
      <c r="G60" s="48">
        <v>120</v>
      </c>
      <c r="H60" s="145">
        <f>100/G60</f>
        <v>0.83333333333333337</v>
      </c>
      <c r="I60" s="165">
        <v>0</v>
      </c>
      <c r="J60" s="48">
        <v>0</v>
      </c>
      <c r="K60" s="165">
        <f>L60*H60</f>
        <v>100</v>
      </c>
      <c r="L60" s="48">
        <f>G60-J60</f>
        <v>120</v>
      </c>
      <c r="M60" s="165">
        <v>0</v>
      </c>
      <c r="N60" s="48">
        <v>0</v>
      </c>
      <c r="O60" s="165">
        <f>P60*H60</f>
        <v>100</v>
      </c>
      <c r="P60" s="48">
        <f>L60-N60</f>
        <v>120</v>
      </c>
      <c r="Q60" s="17"/>
      <c r="R60" s="48" t="s">
        <v>1029</v>
      </c>
      <c r="S60" s="46">
        <v>42627</v>
      </c>
      <c r="T60" s="47">
        <v>8900</v>
      </c>
      <c r="U60" s="47">
        <v>6670</v>
      </c>
      <c r="V60" s="106">
        <v>0</v>
      </c>
      <c r="W60" s="66"/>
      <c r="X60" s="57">
        <v>0</v>
      </c>
      <c r="Y60" s="168">
        <v>0</v>
      </c>
      <c r="Z60" s="57">
        <v>0</v>
      </c>
      <c r="AA60" s="55">
        <v>0</v>
      </c>
      <c r="AB60" s="55">
        <f>AA60*Z60</f>
        <v>0</v>
      </c>
      <c r="AC60" s="55"/>
      <c r="AD60" s="55"/>
      <c r="AE60" s="55"/>
      <c r="AF60" s="55"/>
      <c r="AG60" s="55"/>
      <c r="AH60" s="55"/>
      <c r="AI60" s="55">
        <v>0</v>
      </c>
      <c r="AJ60" s="55">
        <v>0</v>
      </c>
      <c r="AK60" s="55">
        <v>0</v>
      </c>
      <c r="AL60" s="55">
        <v>0</v>
      </c>
      <c r="AM60" s="55">
        <v>0</v>
      </c>
      <c r="AN60" s="55">
        <v>0</v>
      </c>
      <c r="AO60" s="55"/>
      <c r="AP60" s="392">
        <v>8900</v>
      </c>
      <c r="AQ60" s="32"/>
      <c r="AR60" s="32"/>
      <c r="AS60" s="429">
        <f>$AN60</f>
        <v>0</v>
      </c>
      <c r="AT60" s="429">
        <f>$AN60</f>
        <v>0</v>
      </c>
      <c r="AU60" s="429">
        <f>$AN60</f>
        <v>0</v>
      </c>
      <c r="AV60" s="429">
        <f>$AN60</f>
        <v>0</v>
      </c>
      <c r="AW60" s="429">
        <f>$AN60</f>
        <v>0</v>
      </c>
      <c r="AX60" s="168">
        <v>118.901</v>
      </c>
      <c r="AY60" s="168">
        <v>120.277</v>
      </c>
      <c r="AZ60" s="57">
        <f>AX60/AY60</f>
        <v>0.98855974126391577</v>
      </c>
      <c r="BA60" s="55">
        <f>T60/(D60*12)</f>
        <v>74.166666666666671</v>
      </c>
      <c r="BB60" s="55">
        <f>BA60*AZ60</f>
        <v>73.318180810407085</v>
      </c>
      <c r="BC60" s="429">
        <v>0</v>
      </c>
      <c r="BD60" s="429">
        <v>0</v>
      </c>
      <c r="BE60" s="429">
        <v>0</v>
      </c>
      <c r="BF60" s="429">
        <v>0</v>
      </c>
      <c r="BG60" s="32">
        <v>73.319999999999993</v>
      </c>
      <c r="BH60" s="32">
        <v>73.319999999999993</v>
      </c>
      <c r="BI60" s="32">
        <v>73.319999999999993</v>
      </c>
      <c r="BJ60" s="429">
        <f>SUM((AS60:AW60),(BC60:BI60))</f>
        <v>219.95999999999998</v>
      </c>
      <c r="BK60" s="452">
        <f>(T60-BJ60)</f>
        <v>8680.0400000000009</v>
      </c>
      <c r="BL60" s="539">
        <v>73.319999999999993</v>
      </c>
      <c r="BM60" s="539">
        <v>73.319999999999993</v>
      </c>
      <c r="BN60" s="539">
        <v>73.319999999999993</v>
      </c>
      <c r="BO60" s="539">
        <v>73.319999999999993</v>
      </c>
      <c r="BP60" s="539">
        <v>73.319999999999993</v>
      </c>
      <c r="BQ60" s="538">
        <f>SUM(BL60:BP60)</f>
        <v>366.59999999999997</v>
      </c>
      <c r="BR60" s="538">
        <f>BK60-BQ60</f>
        <v>8313.44</v>
      </c>
      <c r="BS60" s="58">
        <v>10</v>
      </c>
      <c r="BT60" s="53">
        <v>0.1</v>
      </c>
      <c r="BU60" s="46">
        <v>43281</v>
      </c>
      <c r="BV60" s="48">
        <v>120</v>
      </c>
      <c r="BW60" s="145">
        <f>CI60/BV60/100</f>
        <v>0.7416666666666667</v>
      </c>
      <c r="BX60" s="165">
        <v>0</v>
      </c>
      <c r="BY60" s="48">
        <f>(YEAR(BU60)-YEAR(CH60))*12+MONTH(BU60)-MONTH(CH60)</f>
        <v>21</v>
      </c>
      <c r="BZ60" s="165">
        <f>CA60*BW60</f>
        <v>73.424999999999997</v>
      </c>
      <c r="CA60" s="48">
        <f>BV60-BY60</f>
        <v>99</v>
      </c>
      <c r="CB60" s="165">
        <v>0</v>
      </c>
      <c r="CC60" s="48">
        <f>BV60-BY60</f>
        <v>99</v>
      </c>
      <c r="CD60" s="165">
        <f>CE60*BW60</f>
        <v>0</v>
      </c>
      <c r="CE60" s="48">
        <f>CA60-CC60</f>
        <v>0</v>
      </c>
      <c r="CF60" s="462">
        <f>DATE(YEAR(CH60),MONTH(CH60)+BV60,DAY(CH60))</f>
        <v>46279</v>
      </c>
      <c r="CG60" s="48" t="s">
        <v>1029</v>
      </c>
      <c r="CH60" s="46">
        <v>42627</v>
      </c>
      <c r="CI60" s="47">
        <v>8900</v>
      </c>
      <c r="CJ60" s="510">
        <v>8313.44</v>
      </c>
      <c r="CK60" s="656">
        <v>126.408</v>
      </c>
      <c r="CL60" s="953">
        <v>120.277</v>
      </c>
      <c r="CM60" s="656">
        <f>CK60/CL60</f>
        <v>1.0509740016794566</v>
      </c>
      <c r="CN60" s="617">
        <f>CJ60/CA60</f>
        <v>83.974141414141414</v>
      </c>
      <c r="CO60" s="511">
        <f>CN60*CM60</f>
        <v>88.254639439616795</v>
      </c>
      <c r="CP60" s="511">
        <v>78.713597338036593</v>
      </c>
      <c r="CQ60" s="511">
        <v>78.713597338036593</v>
      </c>
      <c r="CR60" s="511">
        <v>78.713597338036593</v>
      </c>
      <c r="CS60" s="511">
        <v>78.713597338036593</v>
      </c>
      <c r="CT60" s="511">
        <v>78.713597338036593</v>
      </c>
      <c r="CU60" s="511">
        <v>78.713597338036593</v>
      </c>
      <c r="CV60" s="511">
        <v>78.713597338036593</v>
      </c>
      <c r="CW60" s="510">
        <f>SUM(CP60:CV60)</f>
        <v>550.99518136625613</v>
      </c>
      <c r="CX60" s="439">
        <f>CJ60-CW60</f>
        <v>7762.444818633744</v>
      </c>
      <c r="CY60" s="511">
        <v>78.713597338036593</v>
      </c>
      <c r="CZ60" s="511">
        <v>82.43</v>
      </c>
      <c r="DA60" s="511">
        <v>82.43</v>
      </c>
      <c r="DB60" s="511">
        <v>82.43</v>
      </c>
      <c r="DC60" s="511">
        <v>82.43</v>
      </c>
      <c r="DD60" s="511">
        <f t="shared" si="1"/>
        <v>408.43359733803663</v>
      </c>
      <c r="DE60" s="960">
        <f t="shared" si="4"/>
        <v>7354.0112212957074</v>
      </c>
      <c r="DF60" s="656">
        <v>132.28200000000001</v>
      </c>
      <c r="DG60" s="953">
        <v>120.277</v>
      </c>
      <c r="DH60" s="656">
        <f>DF60/DG60</f>
        <v>1.0998112689874209</v>
      </c>
      <c r="DI60" s="511">
        <f>DE60/CC60</f>
        <v>74.282941629249564</v>
      </c>
      <c r="DJ60" s="511">
        <f t="shared" si="5"/>
        <v>81.697216297383477</v>
      </c>
      <c r="DK60" s="511">
        <v>81.697216297383477</v>
      </c>
      <c r="DL60" s="511">
        <v>81.697216297383477</v>
      </c>
      <c r="DM60" s="511">
        <v>81.697216297383477</v>
      </c>
      <c r="DN60" s="511">
        <v>81.697216297383477</v>
      </c>
      <c r="DO60" s="511">
        <v>81.697216297383477</v>
      </c>
      <c r="DP60" s="511">
        <v>81.697216297383477</v>
      </c>
      <c r="DQ60" s="511">
        <v>81.697216297383477</v>
      </c>
      <c r="DR60" s="511">
        <v>81.697216297383477</v>
      </c>
      <c r="DS60" s="511">
        <v>81.697216297383477</v>
      </c>
      <c r="DT60" s="511">
        <v>81.697216297383477</v>
      </c>
      <c r="DU60" s="511">
        <v>81.697216297383477</v>
      </c>
      <c r="DV60" s="511">
        <v>81.697216297383477</v>
      </c>
      <c r="DW60" s="511">
        <v>81.697216297383477</v>
      </c>
      <c r="DX60" s="511">
        <v>81.697216297383477</v>
      </c>
      <c r="DY60" s="511">
        <v>81.697216297383477</v>
      </c>
      <c r="DZ60" s="511">
        <v>81.697216297383477</v>
      </c>
      <c r="EA60" s="511">
        <v>81.697216297383477</v>
      </c>
      <c r="EB60" s="511">
        <v>81.697216297383477</v>
      </c>
      <c r="EC60" s="511">
        <f t="shared" si="2"/>
        <v>1470.549893352902</v>
      </c>
      <c r="ED60" s="960">
        <f>DE60-EC60</f>
        <v>5883.4613279428049</v>
      </c>
    </row>
    <row r="61" spans="1:149" ht="15" x14ac:dyDescent="0.2">
      <c r="A61" s="120" t="s">
        <v>65</v>
      </c>
      <c r="B61" s="100"/>
      <c r="C61" s="45"/>
      <c r="D61" s="58"/>
      <c r="E61" s="53"/>
      <c r="F61" s="46"/>
      <c r="G61" s="48"/>
      <c r="H61" s="145"/>
      <c r="I61" s="165"/>
      <c r="J61" s="48"/>
      <c r="K61" s="165"/>
      <c r="L61" s="48"/>
      <c r="M61" s="165"/>
      <c r="N61" s="48"/>
      <c r="O61" s="165"/>
      <c r="P61" s="48"/>
      <c r="Q61" s="17"/>
      <c r="R61" s="46"/>
      <c r="S61" s="46"/>
      <c r="T61" s="47"/>
      <c r="U61" s="47"/>
      <c r="V61" s="106"/>
      <c r="W61" s="66"/>
      <c r="X61" s="57"/>
      <c r="Y61" s="168"/>
      <c r="Z61" s="57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392"/>
      <c r="AQ61" s="32"/>
      <c r="AR61" s="32"/>
      <c r="AS61" s="429"/>
      <c r="AT61" s="429"/>
      <c r="AU61" s="429"/>
      <c r="AV61" s="429"/>
      <c r="AW61" s="429"/>
      <c r="AX61" s="57"/>
      <c r="AY61" s="168"/>
      <c r="AZ61" s="57"/>
      <c r="BA61" s="55"/>
      <c r="BB61" s="55"/>
      <c r="BC61" s="429"/>
      <c r="BD61" s="429"/>
      <c r="BE61" s="429"/>
      <c r="BF61" s="429"/>
      <c r="BG61" s="32"/>
      <c r="BH61" s="32"/>
      <c r="BI61" s="32"/>
      <c r="BJ61" s="429"/>
      <c r="BK61" s="452"/>
      <c r="BL61" s="539"/>
      <c r="BM61" s="539"/>
      <c r="BN61" s="539"/>
      <c r="BO61" s="539"/>
      <c r="BP61" s="539"/>
      <c r="BQ61" s="539"/>
      <c r="BR61" s="539"/>
      <c r="BS61" s="58"/>
      <c r="BT61" s="53"/>
      <c r="BU61" s="46"/>
      <c r="BV61" s="48"/>
      <c r="BW61" s="145"/>
      <c r="BX61" s="165"/>
      <c r="BY61" s="48"/>
      <c r="BZ61" s="165"/>
      <c r="CA61" s="48"/>
      <c r="CB61" s="165"/>
      <c r="CC61" s="48"/>
      <c r="CD61" s="165"/>
      <c r="CE61" s="48"/>
      <c r="CF61" s="17"/>
      <c r="CG61" s="46"/>
      <c r="CH61" s="46"/>
      <c r="CI61" s="47"/>
      <c r="CJ61" s="509"/>
      <c r="CK61" s="656"/>
      <c r="CL61" s="953"/>
      <c r="CM61" s="656"/>
      <c r="CN61" s="511"/>
      <c r="CO61" s="511"/>
      <c r="CP61" s="510"/>
      <c r="CQ61" s="510"/>
      <c r="CR61" s="510"/>
      <c r="CS61" s="510"/>
      <c r="CT61" s="510"/>
      <c r="CU61" s="510"/>
      <c r="CV61" s="510"/>
      <c r="CW61" s="510"/>
      <c r="CX61" s="439"/>
      <c r="CY61" s="510"/>
      <c r="CZ61" s="510"/>
      <c r="DA61" s="510"/>
      <c r="DB61" s="510"/>
      <c r="DC61" s="510"/>
      <c r="DD61" s="511"/>
      <c r="DE61" s="960"/>
      <c r="DF61" s="656"/>
      <c r="DG61" s="953"/>
      <c r="DH61" s="656"/>
      <c r="DI61" s="511"/>
      <c r="DJ61" s="511"/>
      <c r="DK61" s="511"/>
      <c r="DL61" s="511"/>
      <c r="DM61" s="511"/>
      <c r="DN61" s="511"/>
      <c r="DO61" s="511"/>
      <c r="DP61" s="511"/>
      <c r="DQ61" s="511"/>
      <c r="DR61" s="511"/>
      <c r="DS61" s="511"/>
      <c r="DT61" s="511"/>
      <c r="DU61" s="511"/>
      <c r="DV61" s="511"/>
      <c r="DW61" s="511"/>
      <c r="DX61" s="511"/>
      <c r="DY61" s="511"/>
      <c r="DZ61" s="511"/>
      <c r="EA61" s="511"/>
      <c r="EB61" s="511"/>
      <c r="EC61" s="511">
        <f t="shared" si="2"/>
        <v>0</v>
      </c>
      <c r="ED61" s="960"/>
    </row>
    <row r="62" spans="1:149" ht="15" x14ac:dyDescent="0.2">
      <c r="A62" s="120" t="s">
        <v>1229</v>
      </c>
      <c r="B62" s="100"/>
      <c r="C62" s="45"/>
      <c r="D62" s="58"/>
      <c r="E62" s="53"/>
      <c r="F62" s="46"/>
      <c r="G62" s="48"/>
      <c r="H62" s="145"/>
      <c r="I62" s="165"/>
      <c r="J62" s="48"/>
      <c r="K62" s="165"/>
      <c r="L62" s="48"/>
      <c r="M62" s="165"/>
      <c r="N62" s="48"/>
      <c r="O62" s="165"/>
      <c r="P62" s="48"/>
      <c r="Q62" s="17"/>
      <c r="R62" s="46"/>
      <c r="S62" s="46"/>
      <c r="T62" s="47"/>
      <c r="U62" s="47"/>
      <c r="V62" s="106"/>
      <c r="W62" s="66"/>
      <c r="X62" s="57"/>
      <c r="Y62" s="168"/>
      <c r="Z62" s="57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392"/>
      <c r="AQ62" s="32"/>
      <c r="AR62" s="32"/>
      <c r="AS62" s="429"/>
      <c r="AT62" s="429"/>
      <c r="AU62" s="429"/>
      <c r="AV62" s="429"/>
      <c r="AW62" s="429"/>
      <c r="AX62" s="57"/>
      <c r="AY62" s="168"/>
      <c r="AZ62" s="57"/>
      <c r="BA62" s="55"/>
      <c r="BB62" s="55"/>
      <c r="BC62" s="429"/>
      <c r="BD62" s="429"/>
      <c r="BE62" s="429"/>
      <c r="BF62" s="429"/>
      <c r="BG62" s="32"/>
      <c r="BH62" s="32"/>
      <c r="BI62" s="32"/>
      <c r="BJ62" s="429"/>
      <c r="BK62" s="452"/>
      <c r="BL62" s="539"/>
      <c r="BM62" s="539"/>
      <c r="BN62" s="539"/>
      <c r="BO62" s="539"/>
      <c r="BP62" s="539"/>
      <c r="BQ62" s="539"/>
      <c r="BR62" s="539"/>
      <c r="BS62" s="58"/>
      <c r="BT62" s="53"/>
      <c r="BU62" s="46"/>
      <c r="BV62" s="48"/>
      <c r="BW62" s="145"/>
      <c r="BX62" s="165"/>
      <c r="BY62" s="48"/>
      <c r="BZ62" s="165"/>
      <c r="CA62" s="48"/>
      <c r="CB62" s="165"/>
      <c r="CC62" s="48"/>
      <c r="CD62" s="165"/>
      <c r="CE62" s="48"/>
      <c r="CF62" s="46"/>
      <c r="CG62" s="46"/>
      <c r="CH62" s="46"/>
      <c r="CI62" s="47"/>
      <c r="CJ62" s="509"/>
      <c r="CK62" s="656"/>
      <c r="CL62" s="953"/>
      <c r="CM62" s="656"/>
      <c r="CN62" s="511"/>
      <c r="CO62" s="511"/>
      <c r="CP62" s="510"/>
      <c r="CQ62" s="510"/>
      <c r="CR62" s="510"/>
      <c r="CS62" s="510"/>
      <c r="CT62" s="510"/>
      <c r="CU62" s="510"/>
      <c r="CV62" s="510"/>
      <c r="CW62" s="510"/>
      <c r="CX62" s="439"/>
      <c r="CY62" s="510"/>
      <c r="CZ62" s="510"/>
      <c r="DA62" s="510"/>
      <c r="DB62" s="510"/>
      <c r="DC62" s="510"/>
      <c r="DD62" s="511"/>
      <c r="DE62" s="960"/>
      <c r="DF62" s="656"/>
      <c r="DG62" s="953"/>
      <c r="DH62" s="656"/>
      <c r="DI62" s="511"/>
      <c r="DJ62" s="511"/>
      <c r="DK62" s="511"/>
      <c r="DL62" s="511"/>
      <c r="DM62" s="511"/>
      <c r="DN62" s="511"/>
      <c r="DO62" s="511"/>
      <c r="DP62" s="511"/>
      <c r="DQ62" s="511"/>
      <c r="DR62" s="511"/>
      <c r="DS62" s="511"/>
      <c r="DT62" s="511"/>
      <c r="DU62" s="511"/>
      <c r="DV62" s="511"/>
      <c r="DW62" s="511"/>
      <c r="DX62" s="511"/>
      <c r="DY62" s="511"/>
      <c r="DZ62" s="511"/>
      <c r="EA62" s="511"/>
      <c r="EB62" s="511"/>
      <c r="EC62" s="511">
        <f t="shared" si="2"/>
        <v>0</v>
      </c>
      <c r="ED62" s="960"/>
    </row>
    <row r="63" spans="1:149" s="16" customFormat="1" ht="15" x14ac:dyDescent="0.2">
      <c r="A63" s="124" t="s">
        <v>1228</v>
      </c>
      <c r="B63" s="100" t="s">
        <v>1230</v>
      </c>
      <c r="C63" s="45" t="s">
        <v>314</v>
      </c>
      <c r="D63" s="58"/>
      <c r="E63" s="53"/>
      <c r="F63" s="46"/>
      <c r="G63" s="48"/>
      <c r="H63" s="145"/>
      <c r="I63" s="165"/>
      <c r="J63" s="48"/>
      <c r="K63" s="165"/>
      <c r="L63" s="48"/>
      <c r="M63" s="165"/>
      <c r="N63" s="48"/>
      <c r="O63" s="165"/>
      <c r="P63" s="48"/>
      <c r="Q63" s="17"/>
      <c r="R63" s="46"/>
      <c r="S63" s="46"/>
      <c r="T63" s="47"/>
      <c r="U63" s="47"/>
      <c r="V63" s="106"/>
      <c r="W63" s="66"/>
      <c r="X63" s="57"/>
      <c r="Y63" s="168"/>
      <c r="Z63" s="57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392"/>
      <c r="AQ63" s="32"/>
      <c r="AR63" s="32"/>
      <c r="AS63" s="429"/>
      <c r="AT63" s="429"/>
      <c r="AU63" s="429"/>
      <c r="AV63" s="429"/>
      <c r="AW63" s="429"/>
      <c r="AX63" s="57"/>
      <c r="AY63" s="168"/>
      <c r="AZ63" s="57"/>
      <c r="BA63" s="55"/>
      <c r="BB63" s="55"/>
      <c r="BC63" s="429"/>
      <c r="BD63" s="429"/>
      <c r="BE63" s="429"/>
      <c r="BF63" s="429"/>
      <c r="BG63" s="32"/>
      <c r="BH63" s="32"/>
      <c r="BI63" s="32"/>
      <c r="BJ63" s="429"/>
      <c r="BK63" s="452"/>
      <c r="BL63" s="539"/>
      <c r="BM63" s="539"/>
      <c r="BN63" s="539"/>
      <c r="BO63" s="539"/>
      <c r="BP63" s="539"/>
      <c r="BQ63" s="539"/>
      <c r="BR63" s="539"/>
      <c r="BS63" s="58">
        <v>10</v>
      </c>
      <c r="BT63" s="53">
        <v>0.1</v>
      </c>
      <c r="BU63" s="46">
        <v>43281</v>
      </c>
      <c r="BV63" s="48">
        <v>120</v>
      </c>
      <c r="BW63" s="145">
        <f>CI63/BV63/100</f>
        <v>0.23333333333333331</v>
      </c>
      <c r="BX63" s="145">
        <v>0</v>
      </c>
      <c r="BY63" s="48">
        <v>0</v>
      </c>
      <c r="BZ63" s="165">
        <f>CA63*BW63</f>
        <v>0</v>
      </c>
      <c r="CA63" s="48"/>
      <c r="CB63" s="165"/>
      <c r="CC63" s="48">
        <v>120</v>
      </c>
      <c r="CD63" s="165"/>
      <c r="CE63" s="48"/>
      <c r="CF63" s="46">
        <v>46700</v>
      </c>
      <c r="CG63" s="46" t="s">
        <v>1231</v>
      </c>
      <c r="CH63" s="46">
        <v>43048</v>
      </c>
      <c r="CI63" s="47">
        <v>2800</v>
      </c>
      <c r="CJ63" s="692">
        <v>2800</v>
      </c>
      <c r="CK63" s="656">
        <v>126.408</v>
      </c>
      <c r="CL63" s="953">
        <v>130.04400000000001</v>
      </c>
      <c r="CM63" s="656">
        <f>CK63/CL63</f>
        <v>0.97204023253667982</v>
      </c>
      <c r="CN63" s="511">
        <f>CJ63/BV63</f>
        <v>23.333333333333332</v>
      </c>
      <c r="CO63" s="511">
        <v>23.33</v>
      </c>
      <c r="CP63" s="510"/>
      <c r="CQ63" s="510"/>
      <c r="CR63" s="510"/>
      <c r="CS63" s="510"/>
      <c r="CT63" s="510"/>
      <c r="CU63" s="510">
        <v>0</v>
      </c>
      <c r="CV63" s="510">
        <v>0</v>
      </c>
      <c r="CW63" s="510">
        <v>23.33</v>
      </c>
      <c r="CX63" s="439">
        <f>CJ63-CW63</f>
        <v>2776.67</v>
      </c>
      <c r="CY63" s="510">
        <v>23.33</v>
      </c>
      <c r="CZ63" s="510">
        <v>23.33</v>
      </c>
      <c r="DA63" s="510">
        <v>23.33</v>
      </c>
      <c r="DB63" s="510">
        <v>23.33</v>
      </c>
      <c r="DC63" s="510">
        <v>23.33</v>
      </c>
      <c r="DD63" s="511">
        <f t="shared" si="1"/>
        <v>116.64999999999999</v>
      </c>
      <c r="DE63" s="960">
        <f t="shared" si="4"/>
        <v>2660.02</v>
      </c>
      <c r="DF63" s="656">
        <v>132.28200000000001</v>
      </c>
      <c r="DG63" s="953">
        <v>130.04400000000001</v>
      </c>
      <c r="DH63" s="656">
        <f>DF63/DG63</f>
        <v>1.0172095598412845</v>
      </c>
      <c r="DI63" s="511">
        <f>DE63/CC63</f>
        <v>22.166833333333333</v>
      </c>
      <c r="DJ63" s="511">
        <f t="shared" si="5"/>
        <v>22.548314778075113</v>
      </c>
      <c r="DK63" s="511">
        <v>22.548314778075113</v>
      </c>
      <c r="DL63" s="511">
        <v>22.548314778075113</v>
      </c>
      <c r="DM63" s="511">
        <v>22.548314778075113</v>
      </c>
      <c r="DN63" s="511">
        <v>22.548314778075113</v>
      </c>
      <c r="DO63" s="511">
        <v>22.548314778075113</v>
      </c>
      <c r="DP63" s="511">
        <v>22.548314778075113</v>
      </c>
      <c r="DQ63" s="511">
        <v>22.548314778075113</v>
      </c>
      <c r="DR63" s="511">
        <v>22.548314778075113</v>
      </c>
      <c r="DS63" s="511">
        <v>22.548314778075113</v>
      </c>
      <c r="DT63" s="511">
        <v>22.548314778075113</v>
      </c>
      <c r="DU63" s="511">
        <v>22.548314778075113</v>
      </c>
      <c r="DV63" s="511">
        <v>22.548314778075113</v>
      </c>
      <c r="DW63" s="511">
        <v>22.548314778075113</v>
      </c>
      <c r="DX63" s="511">
        <v>22.548314778075113</v>
      </c>
      <c r="DY63" s="511">
        <v>22.548314778075113</v>
      </c>
      <c r="DZ63" s="511">
        <v>22.548314778075113</v>
      </c>
      <c r="EA63" s="511">
        <v>22.548314778075113</v>
      </c>
      <c r="EB63" s="511">
        <v>22.548314778075113</v>
      </c>
      <c r="EC63" s="511">
        <f t="shared" si="2"/>
        <v>405.86966600535203</v>
      </c>
      <c r="ED63" s="960">
        <f>DE63-EC63</f>
        <v>2254.150333994648</v>
      </c>
      <c r="EE63" s="36"/>
      <c r="EF63" s="36"/>
      <c r="EG63" s="36"/>
      <c r="EH63" s="36"/>
    </row>
    <row r="64" spans="1:149" s="104" customFormat="1" ht="15" x14ac:dyDescent="0.2">
      <c r="A64" s="100"/>
      <c r="B64" s="100"/>
      <c r="C64" s="45"/>
      <c r="D64" s="58"/>
      <c r="E64" s="53"/>
      <c r="F64" s="46"/>
      <c r="G64" s="48"/>
      <c r="H64" s="145"/>
      <c r="I64" s="165"/>
      <c r="J64" s="48"/>
      <c r="K64" s="165"/>
      <c r="L64" s="48"/>
      <c r="M64" s="165"/>
      <c r="N64" s="48"/>
      <c r="O64" s="165"/>
      <c r="P64" s="48"/>
      <c r="Q64" s="17"/>
      <c r="R64" s="46"/>
      <c r="S64" s="46"/>
      <c r="T64" s="47"/>
      <c r="U64" s="47"/>
      <c r="V64" s="106"/>
      <c r="W64" s="66"/>
      <c r="X64" s="57"/>
      <c r="Y64" s="168"/>
      <c r="Z64" s="57"/>
      <c r="AA64" s="55"/>
      <c r="AB64" s="55"/>
      <c r="AC64" s="55"/>
      <c r="AD64" s="55"/>
      <c r="AE64" s="55"/>
      <c r="AF64" s="55"/>
      <c r="AG64" s="55"/>
      <c r="AH64" s="55">
        <f>SUM(AH20:AH44)</f>
        <v>147.67670455785276</v>
      </c>
      <c r="AI64" s="55"/>
      <c r="AJ64" s="55"/>
      <c r="AK64" s="55"/>
      <c r="AL64" s="55"/>
      <c r="AM64" s="55"/>
      <c r="AN64" s="55">
        <f>SUM(AN15:AN51)</f>
        <v>435.58670455785278</v>
      </c>
      <c r="AO64" s="55">
        <f>SUM(AO15:AO51)</f>
        <v>1465.2469319049692</v>
      </c>
      <c r="AP64" s="392">
        <f>SUM(AP15:AP51)</f>
        <v>38380.943068095032</v>
      </c>
      <c r="AQ64" s="32"/>
      <c r="AR64" s="32"/>
      <c r="AS64" s="429">
        <f>SUM(AS15:AS51)</f>
        <v>427.74811970797435</v>
      </c>
      <c r="AT64" s="429">
        <f>SUM(AT14:AT51)</f>
        <v>523.16818109173789</v>
      </c>
      <c r="AU64" s="429">
        <f>SUM(AU14:AU51)</f>
        <v>523.16818109173789</v>
      </c>
      <c r="AV64" s="429">
        <f>SUM(AV14:AV63)</f>
        <v>523.16818109173789</v>
      </c>
      <c r="AW64" s="429">
        <f>SUM(AW14:AW51)</f>
        <v>523.16818109173789</v>
      </c>
      <c r="AX64" s="57"/>
      <c r="AY64" s="168"/>
      <c r="AZ64" s="57"/>
      <c r="BA64" s="55"/>
      <c r="BB64" s="55"/>
      <c r="BC64" s="429">
        <f>$BB64</f>
        <v>0</v>
      </c>
      <c r="BD64" s="429">
        <f>$BB64</f>
        <v>0</v>
      </c>
      <c r="BE64" s="429"/>
      <c r="BF64" s="429"/>
      <c r="BG64" s="32"/>
      <c r="BH64" s="32"/>
      <c r="BI64" s="32"/>
      <c r="BJ64" s="429"/>
      <c r="BK64" s="452"/>
      <c r="BL64" s="539"/>
      <c r="BM64" s="539"/>
      <c r="BN64" s="539"/>
      <c r="BO64" s="539"/>
      <c r="BP64" s="539"/>
      <c r="BQ64" s="539"/>
      <c r="BR64" s="539"/>
      <c r="BS64" s="58"/>
      <c r="BT64" s="53"/>
      <c r="BU64" s="46"/>
      <c r="BV64" s="48"/>
      <c r="BW64" s="145"/>
      <c r="BX64" s="165"/>
      <c r="BY64" s="48"/>
      <c r="BZ64" s="165"/>
      <c r="CA64" s="48"/>
      <c r="CB64" s="165"/>
      <c r="CC64" s="48"/>
      <c r="CD64" s="165"/>
      <c r="CE64" s="48"/>
      <c r="CF64" s="17"/>
      <c r="CG64" s="46"/>
      <c r="CH64" s="46"/>
      <c r="CI64" s="47"/>
      <c r="CJ64" s="509"/>
      <c r="CK64" s="656"/>
      <c r="CL64" s="953"/>
      <c r="CM64" s="656"/>
      <c r="CN64" s="511"/>
      <c r="CO64" s="511"/>
      <c r="CP64" s="510"/>
      <c r="CQ64" s="510"/>
      <c r="CR64" s="510"/>
      <c r="CS64" s="510"/>
      <c r="CT64" s="510"/>
      <c r="CU64" s="510"/>
      <c r="CV64" s="510"/>
      <c r="CW64" s="510"/>
      <c r="CX64" s="439"/>
      <c r="CY64" s="510"/>
      <c r="CZ64" s="510"/>
      <c r="DA64" s="510"/>
      <c r="DB64" s="510"/>
      <c r="DC64" s="510"/>
      <c r="DD64" s="511"/>
      <c r="DE64" s="960"/>
      <c r="DF64" s="656"/>
      <c r="DG64" s="953"/>
      <c r="DH64" s="656"/>
      <c r="DI64" s="511"/>
      <c r="DJ64" s="511"/>
      <c r="DK64" s="511"/>
      <c r="DL64" s="511"/>
      <c r="DM64" s="511"/>
      <c r="DN64" s="511"/>
      <c r="DO64" s="511"/>
      <c r="DP64" s="511"/>
      <c r="DQ64" s="511"/>
      <c r="DR64" s="511"/>
      <c r="DS64" s="511"/>
      <c r="DT64" s="511"/>
      <c r="DU64" s="511"/>
      <c r="DV64" s="511"/>
      <c r="DW64" s="511"/>
      <c r="DX64" s="511"/>
      <c r="DY64" s="511"/>
      <c r="DZ64" s="511"/>
      <c r="EA64" s="511"/>
      <c r="EB64" s="511"/>
      <c r="EC64" s="511"/>
      <c r="ED64" s="960"/>
      <c r="EE64" s="454"/>
      <c r="EF64" s="454"/>
      <c r="EG64" s="454"/>
      <c r="EH64" s="454"/>
      <c r="EI64" s="435"/>
      <c r="EJ64" s="435"/>
      <c r="EK64" s="435"/>
      <c r="EL64" s="435"/>
      <c r="EM64" s="435"/>
      <c r="EN64" s="435"/>
      <c r="EO64" s="435"/>
      <c r="EP64" s="435"/>
      <c r="EQ64" s="435"/>
      <c r="ER64" s="435"/>
      <c r="ES64" s="435"/>
    </row>
    <row r="65" spans="1:149" s="104" customFormat="1" ht="15" x14ac:dyDescent="0.2">
      <c r="A65" s="110" t="s">
        <v>315</v>
      </c>
      <c r="B65" s="87"/>
      <c r="C65" s="87"/>
      <c r="D65" s="88"/>
      <c r="E65" s="88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9"/>
      <c r="S65" s="89"/>
      <c r="T65" s="90"/>
      <c r="U65" s="90"/>
      <c r="W65"/>
      <c r="X65"/>
      <c r="Y65" s="77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 s="69"/>
      <c r="AQ65" s="395"/>
      <c r="AR65" s="395"/>
      <c r="AS65" s="435"/>
      <c r="AT65" s="435"/>
      <c r="AU65" s="435"/>
      <c r="AV65" s="435"/>
      <c r="AW65" s="435"/>
      <c r="AX65"/>
      <c r="AY65" s="77"/>
      <c r="AZ65"/>
      <c r="BA65"/>
      <c r="BB65"/>
      <c r="BC65" s="435">
        <f t="shared" ref="BC65:BR65" si="50">SUM(BC14:BC64)</f>
        <v>629.21314116226688</v>
      </c>
      <c r="BD65" s="435">
        <f t="shared" si="50"/>
        <v>629.21314116226688</v>
      </c>
      <c r="BE65" s="435">
        <f t="shared" si="50"/>
        <v>629.21314116226688</v>
      </c>
      <c r="BF65" s="435">
        <f t="shared" si="50"/>
        <v>629.21314116226688</v>
      </c>
      <c r="BG65" s="435">
        <f t="shared" si="50"/>
        <v>716.9137883117719</v>
      </c>
      <c r="BH65" s="435">
        <f t="shared" si="50"/>
        <v>701.99434920907402</v>
      </c>
      <c r="BI65" s="435">
        <f t="shared" si="50"/>
        <v>701.99434920907402</v>
      </c>
      <c r="BJ65" s="435">
        <f t="shared" si="50"/>
        <v>7158.1758954539127</v>
      </c>
      <c r="BK65" s="435">
        <f t="shared" si="50"/>
        <v>47693.817172641124</v>
      </c>
      <c r="BL65" s="540">
        <f t="shared" si="50"/>
        <v>701.99434920907402</v>
      </c>
      <c r="BM65" s="540">
        <f t="shared" si="50"/>
        <v>701.99434920907402</v>
      </c>
      <c r="BN65" s="540">
        <f t="shared" si="50"/>
        <v>701.99434920907402</v>
      </c>
      <c r="BO65" s="540">
        <f t="shared" si="50"/>
        <v>700.92321158547384</v>
      </c>
      <c r="BP65" s="540">
        <f t="shared" si="50"/>
        <v>691.78321158547374</v>
      </c>
      <c r="BQ65" s="540">
        <f t="shared" si="50"/>
        <v>3498.6894707981696</v>
      </c>
      <c r="BR65" s="540">
        <f t="shared" si="50"/>
        <v>44195.127701842946</v>
      </c>
      <c r="BS65" s="88"/>
      <c r="BT65" s="88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9"/>
      <c r="CH65" s="89"/>
      <c r="CI65" s="90"/>
      <c r="CJ65" s="540">
        <f>SUM(CJ14:CJ64)</f>
        <v>73493.127701842954</v>
      </c>
      <c r="CK65" s="540"/>
      <c r="CL65" s="540"/>
      <c r="CM65" s="540"/>
      <c r="CN65" s="976">
        <f t="shared" ref="CN65:DA65" si="51">SUM(CN14:CN64)</f>
        <v>1861.189025938449</v>
      </c>
      <c r="CO65" s="976">
        <f t="shared" si="51"/>
        <v>1971.1655485914496</v>
      </c>
      <c r="CP65" s="976">
        <f t="shared" si="51"/>
        <v>722.5165183904561</v>
      </c>
      <c r="CQ65" s="976">
        <f t="shared" si="51"/>
        <v>722.5165183904561</v>
      </c>
      <c r="CR65" s="976">
        <f t="shared" si="51"/>
        <v>722.5165183904561</v>
      </c>
      <c r="CS65" s="976">
        <f t="shared" si="51"/>
        <v>5932.616518390455</v>
      </c>
      <c r="CT65" s="976">
        <f t="shared" si="51"/>
        <v>5932.616518390455</v>
      </c>
      <c r="CU65" s="976">
        <f t="shared" si="51"/>
        <v>1576.456518390456</v>
      </c>
      <c r="CV65" s="976">
        <f t="shared" si="51"/>
        <v>1576.456518390456</v>
      </c>
      <c r="CW65" s="976">
        <f t="shared" si="51"/>
        <v>17209.025628733194</v>
      </c>
      <c r="CX65" s="976">
        <f t="shared" si="51"/>
        <v>56284.102073109745</v>
      </c>
      <c r="CY65" s="976">
        <f t="shared" si="51"/>
        <v>1627.966518390456</v>
      </c>
      <c r="CZ65" s="976">
        <f t="shared" si="51"/>
        <v>1356.6429210524195</v>
      </c>
      <c r="DA65" s="540">
        <f t="shared" si="51"/>
        <v>1356.6429210524195</v>
      </c>
      <c r="DB65" s="540">
        <f>SUM(DB14:DB64)</f>
        <v>1356.6429210524195</v>
      </c>
      <c r="DC65" s="540">
        <f>SUM(DC14:DC64)</f>
        <v>1356.6429210524195</v>
      </c>
      <c r="DD65" s="976">
        <f>SUM(DD14:DD64)</f>
        <v>7054.5382026001325</v>
      </c>
      <c r="DE65" s="976">
        <f>SUM(DE14:DE64)</f>
        <v>49229.563870509621</v>
      </c>
      <c r="DF65" s="454"/>
      <c r="DG65" s="454"/>
      <c r="DH65" s="454"/>
      <c r="DI65" s="454"/>
      <c r="DJ65" s="454"/>
      <c r="DK65" s="454">
        <f>SUM(DK13:DK64)</f>
        <v>1108.9965045079944</v>
      </c>
      <c r="DL65" s="454">
        <f t="shared" ref="DL65:EC65" si="52">SUM(DL13:DL64)</f>
        <v>1108.9965045079944</v>
      </c>
      <c r="DM65" s="454">
        <f t="shared" si="52"/>
        <v>1108.9965045079944</v>
      </c>
      <c r="DN65" s="454">
        <f t="shared" si="52"/>
        <v>1108.9965045079944</v>
      </c>
      <c r="DO65" s="454">
        <f t="shared" si="52"/>
        <v>1108.9965045079944</v>
      </c>
      <c r="DP65" s="454">
        <f t="shared" si="52"/>
        <v>952.1765045079942</v>
      </c>
      <c r="DQ65" s="454">
        <f t="shared" si="52"/>
        <v>859.1765045079942</v>
      </c>
      <c r="DR65" s="454">
        <f t="shared" ref="DR65:DS65" si="53">SUM(DR13:DR64)</f>
        <v>859.1765045079942</v>
      </c>
      <c r="DS65" s="454">
        <f t="shared" si="53"/>
        <v>859.1765045079942</v>
      </c>
      <c r="DT65" s="454">
        <f t="shared" ref="DT65:DU65" si="54">SUM(DT13:DT64)</f>
        <v>859.1765045079942</v>
      </c>
      <c r="DU65" s="454">
        <f t="shared" si="54"/>
        <v>859.1765045079942</v>
      </c>
      <c r="DV65" s="454">
        <f t="shared" ref="DV65:EB65" si="55">SUM(DV13:DV64)</f>
        <v>859.1765045079942</v>
      </c>
      <c r="DW65" s="454">
        <f t="shared" ref="DW65:EA65" si="56">SUM(DW13:DW64)</f>
        <v>859.1765045079942</v>
      </c>
      <c r="DX65" s="454">
        <f t="shared" si="56"/>
        <v>859.1765045079942</v>
      </c>
      <c r="DY65" s="454">
        <f t="shared" si="56"/>
        <v>859.1765045079942</v>
      </c>
      <c r="DZ65" s="454">
        <f t="shared" si="56"/>
        <v>859.1765045079942</v>
      </c>
      <c r="EA65" s="454">
        <f t="shared" si="56"/>
        <v>751.81650450799407</v>
      </c>
      <c r="EB65" s="454">
        <f t="shared" si="55"/>
        <v>536.09650450799427</v>
      </c>
      <c r="EC65" s="454">
        <f t="shared" si="52"/>
        <v>16376.837081143894</v>
      </c>
      <c r="ED65" s="454">
        <f>SUM(ED10:ED64)</f>
        <v>32852.726789365719</v>
      </c>
      <c r="EE65" s="454"/>
      <c r="EF65" s="454"/>
      <c r="EG65" s="454"/>
      <c r="EH65" s="454"/>
      <c r="EI65" s="435"/>
      <c r="EJ65" s="435"/>
      <c r="EK65" s="435"/>
      <c r="EL65" s="435"/>
      <c r="EM65" s="435"/>
      <c r="EN65" s="435"/>
      <c r="EO65" s="435"/>
      <c r="EP65" s="435"/>
      <c r="EQ65" s="435"/>
      <c r="ER65" s="435"/>
      <c r="ES65" s="435"/>
    </row>
    <row r="66" spans="1:149" ht="30.75" hidden="1" customHeight="1" x14ac:dyDescent="0.2">
      <c r="A66" s="10"/>
      <c r="AQ66" s="395"/>
      <c r="AR66" s="395"/>
      <c r="AS66" s="435"/>
      <c r="AT66" s="435"/>
      <c r="AU66" s="435"/>
      <c r="AV66" s="435"/>
      <c r="AW66" s="435"/>
      <c r="BC66" s="435"/>
      <c r="BD66" s="435"/>
      <c r="BE66" s="435"/>
      <c r="BF66" s="435"/>
      <c r="BG66" s="435"/>
      <c r="BH66" s="435"/>
      <c r="BI66" s="435"/>
      <c r="BJ66" s="434"/>
      <c r="BK66" s="440"/>
      <c r="BL66" s="435"/>
      <c r="BM66" s="435"/>
      <c r="BN66" s="435"/>
      <c r="BO66" s="435"/>
      <c r="BP66" s="435"/>
      <c r="BQ66" s="435"/>
      <c r="BR66" s="435"/>
      <c r="CJ66" s="435"/>
      <c r="CN66" s="965"/>
      <c r="CO66" s="965"/>
      <c r="CP66" s="976"/>
      <c r="CQ66" s="976"/>
      <c r="CR66" s="976"/>
      <c r="CS66" s="976"/>
      <c r="CT66" s="976"/>
      <c r="CU66" s="976"/>
      <c r="CV66" s="976"/>
      <c r="CW66" s="977"/>
      <c r="CX66" s="978"/>
      <c r="CY66" s="979"/>
      <c r="CZ66" s="979"/>
      <c r="DA66" s="979"/>
      <c r="DB66" s="979"/>
      <c r="DC66" s="979"/>
      <c r="DD66" s="979"/>
      <c r="DE66" s="979"/>
      <c r="EI66" s="434"/>
      <c r="EJ66" s="434"/>
      <c r="EK66" s="434"/>
      <c r="EL66" s="434"/>
      <c r="EM66" s="434"/>
      <c r="EN66" s="434"/>
      <c r="EO66" s="434"/>
      <c r="EP66" s="434"/>
      <c r="EQ66" s="434"/>
      <c r="ER66" s="434"/>
      <c r="ES66" s="434"/>
    </row>
    <row r="67" spans="1:149" ht="12.75" hidden="1" customHeight="1" x14ac:dyDescent="0.2">
      <c r="A67" s="1249"/>
      <c r="B67" s="1249"/>
      <c r="C67" s="1249"/>
      <c r="D67" s="1249"/>
      <c r="E67" s="1249"/>
      <c r="F67" s="1249"/>
      <c r="G67" s="1249"/>
      <c r="H67" s="1249"/>
      <c r="I67" s="1249"/>
      <c r="J67" s="1249"/>
      <c r="K67" s="1249"/>
      <c r="L67" s="1249"/>
      <c r="M67" s="1249"/>
      <c r="N67" s="1249"/>
      <c r="O67" s="1249"/>
      <c r="P67" s="1249"/>
      <c r="Q67" s="1249"/>
      <c r="R67" s="1249"/>
      <c r="S67" s="1249"/>
      <c r="T67" s="1249"/>
      <c r="U67" s="1249"/>
      <c r="V67" s="1249"/>
      <c r="W67" s="1249"/>
      <c r="X67" s="1249"/>
      <c r="Y67" s="580"/>
      <c r="Z67" s="387"/>
      <c r="AA67" s="387"/>
      <c r="AB67" s="387"/>
      <c r="AC67" s="387"/>
      <c r="AD67" s="387"/>
      <c r="AE67" s="387"/>
      <c r="AF67" s="387"/>
      <c r="AG67" s="387"/>
      <c r="AH67" s="387"/>
      <c r="AI67" s="387"/>
      <c r="AJ67" s="387"/>
      <c r="AK67" s="387"/>
      <c r="AL67" s="387"/>
      <c r="AM67" s="387"/>
      <c r="AN67" s="387"/>
      <c r="AO67" s="387"/>
      <c r="AP67" s="387"/>
      <c r="AQ67" s="36"/>
      <c r="AR67" s="36"/>
      <c r="AS67" s="36"/>
      <c r="AT67" s="36"/>
      <c r="AU67" s="36"/>
      <c r="AV67" s="36"/>
      <c r="AW67" s="36"/>
      <c r="AX67" s="36"/>
      <c r="AY67" s="580"/>
      <c r="AZ67" s="387"/>
      <c r="BA67" s="387"/>
      <c r="BB67" s="387"/>
      <c r="BC67" s="36"/>
      <c r="BD67" s="36"/>
      <c r="BE67" s="36"/>
      <c r="BF67" s="36"/>
      <c r="BG67" s="36"/>
      <c r="BH67" s="36"/>
      <c r="BI67" s="36"/>
      <c r="BJ67" s="36"/>
      <c r="BK67" s="1007"/>
      <c r="BL67" s="36"/>
      <c r="BM67" s="36"/>
      <c r="BN67" s="36"/>
      <c r="BO67" s="36"/>
      <c r="BP67" s="36"/>
      <c r="BQ67" s="36"/>
      <c r="BR67" s="36"/>
      <c r="BS67" s="36"/>
      <c r="BT67" s="434"/>
      <c r="BU67" s="434"/>
      <c r="BV67" s="434"/>
      <c r="BW67" s="434"/>
      <c r="BX67" s="434"/>
      <c r="BY67" s="434"/>
      <c r="BZ67" s="434"/>
      <c r="CA67" s="434"/>
      <c r="CB67" s="434"/>
      <c r="CC67" s="434"/>
      <c r="CD67" s="434"/>
      <c r="CE67" s="434"/>
      <c r="CF67" s="434"/>
      <c r="CG67" s="434"/>
      <c r="CH67" s="434"/>
      <c r="CI67" s="434"/>
      <c r="CJ67" s="434"/>
      <c r="CK67" s="434"/>
      <c r="CL67" s="171"/>
      <c r="CM67" s="170"/>
      <c r="CN67" s="967"/>
      <c r="CO67" s="967"/>
      <c r="CP67" s="977"/>
      <c r="CQ67" s="977"/>
      <c r="CR67" s="977"/>
      <c r="CS67" s="977"/>
      <c r="CT67" s="977"/>
      <c r="CU67" s="977"/>
      <c r="CV67" s="977"/>
      <c r="CW67" s="977"/>
      <c r="CX67" s="978"/>
      <c r="CY67" s="979"/>
      <c r="CZ67" s="979"/>
      <c r="DA67" s="979"/>
      <c r="DB67" s="979"/>
      <c r="DC67" s="979"/>
      <c r="DD67" s="979"/>
      <c r="DE67" s="979"/>
      <c r="EI67" s="434"/>
      <c r="EJ67" s="434"/>
      <c r="EK67" s="434"/>
      <c r="EL67" s="434"/>
      <c r="EM67" s="434"/>
      <c r="EN67" s="434"/>
      <c r="EO67" s="434"/>
      <c r="EP67" s="434"/>
      <c r="EQ67" s="434"/>
      <c r="ER67" s="434"/>
      <c r="ES67" s="434"/>
    </row>
    <row r="68" spans="1:149" x14ac:dyDescent="0.2">
      <c r="A68" s="1249"/>
      <c r="B68" s="1249"/>
      <c r="C68" s="1249"/>
      <c r="D68" s="1249"/>
      <c r="E68" s="1249"/>
      <c r="F68" s="1249"/>
      <c r="G68" s="1249"/>
      <c r="H68" s="1249"/>
      <c r="I68" s="1249"/>
      <c r="J68" s="1249"/>
      <c r="K68" s="1249"/>
      <c r="L68" s="1249"/>
      <c r="M68" s="1249"/>
      <c r="N68" s="1249"/>
      <c r="O68" s="1249"/>
      <c r="P68" s="1249"/>
      <c r="Q68" s="1249"/>
      <c r="R68" s="1249"/>
      <c r="S68" s="1249"/>
      <c r="T68" s="1249"/>
      <c r="U68" s="1249"/>
      <c r="V68" s="1249"/>
      <c r="W68" s="1249"/>
      <c r="X68" s="1249"/>
      <c r="Y68" s="388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68"/>
      <c r="AQ68" s="36"/>
      <c r="AR68" s="36"/>
      <c r="AS68" s="36"/>
      <c r="AT68" s="36"/>
      <c r="AU68" s="36"/>
      <c r="AV68" s="36"/>
      <c r="AW68" s="36"/>
      <c r="AX68" s="36"/>
      <c r="AY68" s="388"/>
      <c r="AZ68" s="16"/>
      <c r="BA68" s="16"/>
      <c r="BB68" s="16"/>
      <c r="BC68" s="36"/>
      <c r="BD68" s="36"/>
      <c r="BE68" s="36"/>
      <c r="BF68" s="36"/>
      <c r="BG68" s="36"/>
      <c r="BH68" s="36"/>
      <c r="BI68" s="36"/>
      <c r="BJ68" s="36"/>
      <c r="BK68" s="1008"/>
      <c r="BL68" s="36"/>
      <c r="BM68" s="36"/>
      <c r="BN68" s="36"/>
      <c r="BO68" s="36"/>
      <c r="BP68" s="36"/>
      <c r="BQ68" s="36"/>
      <c r="BR68" s="36"/>
      <c r="BS68" s="36"/>
      <c r="BT68" s="434"/>
      <c r="BU68" s="434"/>
      <c r="BV68" s="434"/>
      <c r="BW68" s="434"/>
      <c r="BX68" s="434"/>
      <c r="BY68" s="434"/>
      <c r="BZ68" s="434"/>
      <c r="CA68" s="434"/>
      <c r="CB68" s="434"/>
      <c r="CC68" s="434"/>
      <c r="CD68" s="434"/>
      <c r="CE68" s="434"/>
      <c r="CF68" s="434"/>
      <c r="CG68" s="434"/>
      <c r="CH68" s="434"/>
      <c r="CI68" s="434"/>
      <c r="CJ68" s="434"/>
      <c r="CK68" s="434"/>
      <c r="CN68" s="965"/>
      <c r="CO68" s="965"/>
      <c r="CP68" s="977"/>
      <c r="CQ68" s="977"/>
      <c r="CR68" s="977"/>
      <c r="CS68" s="977"/>
      <c r="CT68" s="977"/>
      <c r="CU68" s="977"/>
      <c r="CV68" s="977"/>
      <c r="CW68" s="977"/>
      <c r="CX68" s="980">
        <f>CJ65-CW65</f>
        <v>56284.10207310976</v>
      </c>
      <c r="CY68" s="979"/>
      <c r="CZ68" s="979"/>
      <c r="DA68" s="979"/>
      <c r="DB68" s="979"/>
      <c r="DC68" s="979"/>
      <c r="DD68" s="979"/>
      <c r="DE68" s="979"/>
      <c r="ED68" s="454">
        <f>DE65-EC65</f>
        <v>32852.726789365726</v>
      </c>
      <c r="EI68" s="434"/>
      <c r="EJ68" s="434"/>
      <c r="EK68" s="434"/>
      <c r="EL68" s="434"/>
      <c r="EM68" s="434"/>
      <c r="EN68" s="434"/>
      <c r="EO68" s="434"/>
      <c r="EP68" s="434"/>
      <c r="EQ68" s="434"/>
      <c r="ER68" s="434"/>
      <c r="ES68" s="434"/>
    </row>
    <row r="69" spans="1:149" x14ac:dyDescent="0.2">
      <c r="AA69" s="12"/>
      <c r="AO69" s="104"/>
      <c r="AQ69" s="36"/>
      <c r="AR69" s="36"/>
      <c r="AS69" s="434"/>
      <c r="AT69" s="434"/>
      <c r="AU69" s="434"/>
      <c r="AV69" s="434"/>
      <c r="AW69" s="434"/>
      <c r="BA69" s="12"/>
      <c r="BC69" s="434"/>
      <c r="BD69" s="434"/>
      <c r="BE69" s="434"/>
      <c r="BF69" s="434"/>
      <c r="BG69" s="434"/>
      <c r="BH69" s="434"/>
      <c r="BI69" s="434"/>
      <c r="BJ69" s="434"/>
      <c r="BK69" s="440"/>
      <c r="BL69" s="434"/>
      <c r="BM69" s="434"/>
      <c r="BN69" s="434"/>
      <c r="BO69" s="434"/>
      <c r="BP69" s="434"/>
      <c r="BQ69" s="434"/>
      <c r="BR69" s="434"/>
      <c r="CJ69" s="434"/>
      <c r="CN69" s="12"/>
      <c r="CP69" s="434"/>
      <c r="CQ69" s="434"/>
      <c r="CR69" s="434"/>
      <c r="CS69" s="434"/>
      <c r="CT69" s="434"/>
      <c r="CU69" s="434"/>
      <c r="CV69" s="434"/>
      <c r="CW69" s="434"/>
      <c r="CX69" s="440"/>
      <c r="DE69" s="454">
        <f>CX65-DD65</f>
        <v>49229.563870509613</v>
      </c>
      <c r="EI69" s="434"/>
      <c r="EJ69" s="434"/>
      <c r="EK69" s="434"/>
      <c r="EL69" s="434"/>
      <c r="EM69" s="434"/>
      <c r="EN69" s="434"/>
      <c r="EO69" s="434"/>
      <c r="EP69" s="434"/>
      <c r="EQ69" s="434"/>
      <c r="ER69" s="434"/>
      <c r="ES69" s="434"/>
    </row>
    <row r="70" spans="1:149" ht="12.75" customHeight="1" x14ac:dyDescent="0.2">
      <c r="AN70" s="289"/>
      <c r="AQ70" s="36"/>
      <c r="AR70" s="36"/>
      <c r="AS70" s="434"/>
      <c r="AT70" s="434"/>
      <c r="AU70" s="434"/>
      <c r="AV70" s="434"/>
      <c r="AW70" s="434"/>
      <c r="BC70" s="434"/>
      <c r="BD70" s="434"/>
      <c r="BE70" s="434"/>
      <c r="BF70" s="434"/>
      <c r="BG70" s="434"/>
      <c r="BH70" s="434"/>
      <c r="BI70" s="434"/>
      <c r="BJ70" s="434"/>
      <c r="BK70" s="440"/>
      <c r="BL70" s="434"/>
      <c r="BM70" s="434"/>
      <c r="BN70" s="434"/>
      <c r="BO70" s="434"/>
      <c r="BP70" s="434"/>
      <c r="BQ70" s="434"/>
      <c r="BR70" s="434"/>
      <c r="CJ70" s="434"/>
      <c r="CP70" s="434"/>
      <c r="CQ70" s="434"/>
      <c r="CR70" s="434"/>
      <c r="CS70" s="434"/>
      <c r="CT70" s="434"/>
      <c r="CU70" s="434"/>
      <c r="CV70" s="434"/>
      <c r="CW70" s="434"/>
      <c r="DD70" s="975" t="s">
        <v>1100</v>
      </c>
      <c r="EI70" s="434"/>
      <c r="EJ70" s="434"/>
      <c r="EK70" s="434"/>
      <c r="EL70" s="434"/>
      <c r="EM70" s="434"/>
      <c r="EN70" s="434"/>
      <c r="EO70" s="434"/>
      <c r="EP70" s="434"/>
      <c r="EQ70" s="434"/>
      <c r="ER70" s="434"/>
      <c r="ES70" s="434"/>
    </row>
    <row r="71" spans="1:149" x14ac:dyDescent="0.2">
      <c r="V71" s="1266"/>
      <c r="W71" s="1266"/>
      <c r="X71" s="1266"/>
      <c r="Y71" s="1266"/>
      <c r="Z71" s="1266"/>
      <c r="AB71" s="289"/>
      <c r="AN71" s="289"/>
      <c r="AQ71" s="36"/>
      <c r="AR71" s="36"/>
      <c r="AS71" s="434"/>
      <c r="AT71" s="434"/>
      <c r="AU71" s="434"/>
      <c r="AV71" s="434"/>
      <c r="AW71" s="434"/>
      <c r="AX71" s="434"/>
      <c r="AY71" s="434"/>
      <c r="AZ71" s="434"/>
      <c r="BB71" s="289"/>
      <c r="BC71" s="434"/>
      <c r="BD71" s="434"/>
      <c r="BE71" s="434"/>
      <c r="BF71" s="434"/>
      <c r="BG71" s="434"/>
      <c r="BH71" s="434"/>
      <c r="BI71" s="434"/>
      <c r="BJ71" s="434"/>
      <c r="BK71" s="440"/>
      <c r="BL71" s="434"/>
      <c r="BM71" s="434"/>
      <c r="BN71" s="434"/>
      <c r="BO71" s="434"/>
      <c r="BP71" s="434"/>
      <c r="BQ71" s="434"/>
      <c r="BR71" s="434"/>
      <c r="CJ71" s="434"/>
      <c r="CK71" s="434"/>
      <c r="CL71" s="434"/>
      <c r="CM71" s="434"/>
      <c r="CO71" s="289"/>
      <c r="CP71" s="434"/>
      <c r="CQ71" s="434"/>
      <c r="CR71" s="434"/>
      <c r="CS71" s="434"/>
      <c r="CT71" s="434"/>
      <c r="CU71" s="434"/>
      <c r="CV71" s="434"/>
      <c r="CW71" s="434"/>
      <c r="CX71" s="440"/>
      <c r="EI71" s="434"/>
      <c r="EJ71" s="434"/>
      <c r="EK71" s="434"/>
      <c r="EL71" s="434"/>
      <c r="EM71" s="434"/>
      <c r="EN71" s="434"/>
      <c r="EO71" s="434"/>
      <c r="EP71" s="434"/>
      <c r="EQ71" s="434"/>
      <c r="ER71" s="434"/>
      <c r="ES71" s="434"/>
    </row>
    <row r="72" spans="1:149" x14ac:dyDescent="0.2">
      <c r="V72" s="1266"/>
      <c r="W72" s="1266"/>
      <c r="X72" s="1266"/>
      <c r="Y72" s="1266"/>
      <c r="Z72" s="1266"/>
      <c r="AQ72" s="36"/>
      <c r="AR72" s="36"/>
      <c r="AS72" s="434"/>
      <c r="AT72" s="434"/>
      <c r="AU72" s="434"/>
      <c r="AV72" s="434"/>
      <c r="AW72" s="434"/>
      <c r="AX72" s="434"/>
      <c r="AY72" s="434"/>
      <c r="AZ72" s="434"/>
      <c r="BC72" s="434"/>
      <c r="BD72" s="434"/>
      <c r="BE72" s="434"/>
      <c r="BF72" s="434"/>
      <c r="BG72" s="434"/>
      <c r="BH72" s="434"/>
      <c r="BI72" s="434"/>
      <c r="BJ72" s="434"/>
      <c r="BK72" s="440"/>
      <c r="BL72" s="434"/>
      <c r="BM72" s="434"/>
      <c r="BN72" s="434"/>
      <c r="BO72" s="434"/>
      <c r="BP72" s="434"/>
      <c r="BQ72" s="434"/>
      <c r="BR72" s="434"/>
      <c r="CJ72" s="434"/>
      <c r="CK72" s="434"/>
      <c r="CL72" s="434"/>
      <c r="CM72" s="434"/>
      <c r="CP72" s="434"/>
      <c r="CQ72" s="434"/>
      <c r="CR72" s="434"/>
      <c r="CS72" s="434"/>
      <c r="CT72" s="434"/>
      <c r="CU72" s="434"/>
      <c r="CV72" s="434"/>
      <c r="CW72" s="434"/>
      <c r="CX72" s="440"/>
      <c r="EI72" s="434"/>
      <c r="EJ72" s="434"/>
      <c r="EK72" s="434"/>
      <c r="EL72" s="434"/>
      <c r="EM72" s="434"/>
      <c r="EN72" s="434"/>
      <c r="EO72" s="434"/>
      <c r="EP72" s="434"/>
      <c r="EQ72" s="434"/>
      <c r="ER72" s="434"/>
      <c r="ES72" s="434"/>
    </row>
    <row r="73" spans="1:149" x14ac:dyDescent="0.2">
      <c r="V73" s="1266"/>
      <c r="W73" s="1266"/>
      <c r="X73" s="1266"/>
      <c r="Y73" s="1266"/>
      <c r="Z73" s="1266"/>
      <c r="AQ73" s="36"/>
      <c r="AR73" s="36"/>
      <c r="AS73" s="434"/>
      <c r="AT73" s="434"/>
      <c r="AU73" s="434"/>
      <c r="AV73" s="434"/>
      <c r="AW73" s="434"/>
      <c r="AX73" s="434"/>
      <c r="AY73" s="434"/>
      <c r="AZ73" s="434"/>
      <c r="BC73" s="434"/>
      <c r="BD73" s="434"/>
      <c r="BE73" s="434"/>
      <c r="BF73" s="434"/>
      <c r="BG73" s="434"/>
      <c r="BH73" s="434"/>
      <c r="BI73" s="434"/>
      <c r="BJ73" s="434"/>
      <c r="BK73" s="440"/>
      <c r="BL73" s="434"/>
      <c r="BM73" s="434"/>
      <c r="BN73" s="434"/>
      <c r="BO73" s="434"/>
      <c r="BP73" s="434"/>
      <c r="BQ73" s="434"/>
      <c r="BR73" s="434"/>
      <c r="CJ73" s="434"/>
      <c r="CK73" s="434"/>
      <c r="CL73" s="434"/>
      <c r="CM73" s="434"/>
      <c r="CP73" s="434"/>
      <c r="CQ73" s="434"/>
      <c r="CR73" s="434"/>
      <c r="CS73" s="434"/>
      <c r="CT73" s="434"/>
      <c r="CU73" s="434"/>
      <c r="CV73" s="434"/>
      <c r="CW73" s="434"/>
      <c r="CX73" s="440"/>
      <c r="EI73" s="434"/>
      <c r="EJ73" s="434"/>
      <c r="EK73" s="434"/>
      <c r="EL73" s="434"/>
      <c r="EM73" s="434"/>
      <c r="EN73" s="434"/>
      <c r="EO73" s="434"/>
      <c r="EP73" s="434"/>
      <c r="EQ73" s="434"/>
      <c r="ER73" s="434"/>
      <c r="ES73" s="434"/>
    </row>
    <row r="74" spans="1:149" x14ac:dyDescent="0.2">
      <c r="V74" s="1266"/>
      <c r="W74" s="1266"/>
      <c r="X74" s="1266"/>
      <c r="Y74" s="1266"/>
      <c r="Z74" s="1266"/>
      <c r="AQ74" s="36"/>
      <c r="AR74" s="36"/>
      <c r="AS74" s="434"/>
      <c r="AT74" s="434"/>
      <c r="AU74" s="434"/>
      <c r="AV74" s="434"/>
      <c r="AW74" s="434"/>
      <c r="AX74" s="434"/>
      <c r="AY74" s="434"/>
      <c r="AZ74" s="434"/>
      <c r="BC74" s="434"/>
      <c r="BD74" s="434"/>
      <c r="BE74" s="434"/>
      <c r="BF74" s="434"/>
      <c r="BG74" s="434"/>
      <c r="BH74" s="434"/>
      <c r="BI74" s="434"/>
      <c r="BJ74" s="434"/>
      <c r="BK74" s="440"/>
      <c r="BL74" s="434"/>
      <c r="BM74" s="434"/>
      <c r="BN74" s="434"/>
      <c r="BO74" s="434"/>
      <c r="BP74" s="434"/>
      <c r="BQ74" s="434"/>
      <c r="BR74" s="434"/>
      <c r="CJ74" s="434"/>
      <c r="CK74" s="434"/>
      <c r="CL74" s="434"/>
      <c r="CM74" s="434"/>
      <c r="CP74" s="434"/>
      <c r="CQ74" s="434"/>
      <c r="CR74" s="434"/>
      <c r="CS74" s="434"/>
      <c r="CT74" s="434"/>
      <c r="CU74" s="434"/>
      <c r="CV74" s="434"/>
      <c r="CW74" s="434"/>
      <c r="CX74" s="440"/>
      <c r="EI74" s="434"/>
      <c r="EJ74" s="434"/>
      <c r="EK74" s="434"/>
      <c r="EL74" s="434"/>
      <c r="EM74" s="434"/>
      <c r="EN74" s="434"/>
      <c r="EO74" s="434"/>
      <c r="EP74" s="434"/>
      <c r="EQ74" s="434"/>
      <c r="ER74" s="434"/>
      <c r="ES74" s="434"/>
    </row>
    <row r="75" spans="1:149" x14ac:dyDescent="0.2">
      <c r="AQ75" s="36"/>
      <c r="AR75" s="36"/>
      <c r="AS75" s="434"/>
      <c r="AT75" s="434"/>
      <c r="AU75" s="434"/>
      <c r="AV75" s="434"/>
      <c r="AW75" s="434"/>
      <c r="BC75" s="434"/>
      <c r="BD75" s="434"/>
      <c r="BE75" s="434"/>
      <c r="BF75" s="434"/>
      <c r="BG75" s="434"/>
      <c r="BH75" s="434"/>
      <c r="BI75" s="434"/>
      <c r="BJ75" s="434"/>
      <c r="BK75" s="440"/>
      <c r="BL75" s="434"/>
      <c r="BM75" s="434"/>
      <c r="BN75" s="434"/>
      <c r="BO75" s="434"/>
      <c r="BP75" s="434"/>
      <c r="BQ75" s="434"/>
      <c r="BR75" s="434"/>
      <c r="CJ75" s="434"/>
      <c r="CP75" s="434"/>
      <c r="CQ75" s="434"/>
      <c r="CR75" s="434"/>
      <c r="CS75" s="434"/>
      <c r="CT75" s="434"/>
      <c r="CU75" s="434"/>
      <c r="CV75" s="434"/>
      <c r="CW75" s="434"/>
      <c r="CX75" s="440"/>
      <c r="EI75" s="434"/>
      <c r="EJ75" s="434"/>
      <c r="EK75" s="434"/>
      <c r="EL75" s="434"/>
      <c r="EM75" s="434"/>
      <c r="EN75" s="434"/>
      <c r="EO75" s="434"/>
      <c r="EP75" s="434"/>
      <c r="EQ75" s="434"/>
      <c r="ER75" s="434"/>
      <c r="ES75" s="434"/>
    </row>
    <row r="76" spans="1:149" x14ac:dyDescent="0.2">
      <c r="AQ76" s="36"/>
      <c r="AR76" s="36"/>
      <c r="AS76" s="434"/>
      <c r="AT76" s="434"/>
      <c r="AU76" s="434"/>
      <c r="AV76" s="434"/>
      <c r="AW76" s="434"/>
      <c r="BC76" s="434"/>
      <c r="BD76" s="434"/>
      <c r="BE76" s="434"/>
      <c r="BF76" s="434"/>
      <c r="BG76" s="434"/>
      <c r="BH76" s="434"/>
      <c r="BI76" s="434"/>
      <c r="BJ76" s="434"/>
      <c r="BK76" s="440"/>
      <c r="BL76" s="434"/>
      <c r="BM76" s="434"/>
      <c r="BN76" s="434"/>
      <c r="BO76" s="434"/>
      <c r="BP76" s="434"/>
      <c r="BQ76" s="434"/>
      <c r="BR76" s="434"/>
      <c r="CJ76" s="434"/>
      <c r="CP76" s="434"/>
      <c r="CQ76" s="434"/>
      <c r="CR76" s="434"/>
      <c r="CS76" s="434"/>
      <c r="CT76" s="434"/>
      <c r="CU76" s="434"/>
      <c r="CV76" s="434"/>
      <c r="CW76" s="434"/>
      <c r="CX76" s="440"/>
      <c r="EI76" s="434"/>
      <c r="EJ76" s="434"/>
      <c r="EK76" s="434"/>
      <c r="EL76" s="434"/>
      <c r="EM76" s="434"/>
      <c r="EN76" s="434"/>
      <c r="EO76" s="434"/>
      <c r="EP76" s="434"/>
      <c r="EQ76" s="434"/>
      <c r="ER76" s="434"/>
      <c r="ES76" s="434"/>
    </row>
    <row r="77" spans="1:149" x14ac:dyDescent="0.2">
      <c r="AQ77" s="36"/>
      <c r="AR77" s="36"/>
      <c r="AS77" s="434"/>
      <c r="AT77" s="434"/>
      <c r="AU77" s="434"/>
      <c r="AV77" s="434"/>
      <c r="AW77" s="434"/>
      <c r="BC77" s="434"/>
      <c r="BD77" s="434"/>
      <c r="BE77" s="434"/>
      <c r="BF77" s="434"/>
      <c r="BG77" s="434"/>
      <c r="BH77" s="434"/>
      <c r="BI77" s="434"/>
      <c r="BJ77" s="434"/>
      <c r="BK77" s="440"/>
      <c r="BL77" s="434"/>
      <c r="BM77" s="434"/>
      <c r="BN77" s="434"/>
      <c r="BO77" s="434"/>
      <c r="BP77" s="434"/>
      <c r="BQ77" s="434"/>
      <c r="BR77" s="434"/>
      <c r="CJ77" s="434"/>
      <c r="CP77" s="434"/>
      <c r="CQ77" s="434"/>
      <c r="CR77" s="434"/>
      <c r="CS77" s="434"/>
      <c r="CT77" s="434"/>
      <c r="CU77" s="434"/>
      <c r="CV77" s="434"/>
      <c r="CW77" s="434"/>
      <c r="CX77" s="440"/>
      <c r="EI77" s="434"/>
      <c r="EJ77" s="434"/>
      <c r="EK77" s="434"/>
      <c r="EL77" s="434"/>
      <c r="EM77" s="434"/>
      <c r="EN77" s="434"/>
      <c r="EO77" s="434"/>
      <c r="EP77" s="434"/>
      <c r="EQ77" s="434"/>
      <c r="ER77" s="434"/>
      <c r="ES77" s="434"/>
    </row>
    <row r="78" spans="1:149" x14ac:dyDescent="0.2">
      <c r="AQ78" s="36"/>
      <c r="AR78" s="36"/>
      <c r="AS78" s="434"/>
      <c r="AT78" s="434"/>
      <c r="AU78" s="434"/>
      <c r="AV78" s="434"/>
      <c r="AW78" s="434"/>
      <c r="BC78" s="434"/>
      <c r="BD78" s="434"/>
      <c r="BE78" s="434"/>
      <c r="BF78" s="434"/>
      <c r="BG78" s="434"/>
      <c r="BH78" s="434"/>
      <c r="BI78" s="434"/>
      <c r="BJ78" s="434"/>
      <c r="BK78" s="440"/>
      <c r="BL78" s="434"/>
      <c r="BM78" s="434"/>
      <c r="BN78" s="434"/>
      <c r="BO78" s="434"/>
      <c r="BP78" s="434"/>
      <c r="BQ78" s="434"/>
      <c r="BR78" s="434"/>
      <c r="CJ78" s="434"/>
      <c r="CP78" s="434"/>
      <c r="CQ78" s="434"/>
      <c r="CR78" s="434"/>
      <c r="CS78" s="434"/>
      <c r="CT78" s="434"/>
      <c r="CU78" s="434"/>
      <c r="CV78" s="434"/>
      <c r="CW78" s="434"/>
      <c r="CX78" s="440"/>
      <c r="EI78" s="434"/>
      <c r="EJ78" s="434"/>
      <c r="EK78" s="434"/>
      <c r="EL78" s="434"/>
      <c r="EM78" s="434"/>
      <c r="EN78" s="434"/>
      <c r="EO78" s="434"/>
      <c r="EP78" s="434"/>
      <c r="EQ78" s="434"/>
      <c r="ER78" s="434"/>
      <c r="ES78" s="434"/>
    </row>
    <row r="79" spans="1:149" x14ac:dyDescent="0.2">
      <c r="AQ79" s="36"/>
      <c r="AR79" s="36"/>
      <c r="AS79" s="434"/>
      <c r="AT79" s="434"/>
      <c r="AU79" s="434"/>
      <c r="AV79" s="434"/>
      <c r="AW79" s="434"/>
      <c r="BC79" s="434"/>
      <c r="BD79" s="434"/>
      <c r="BE79" s="434"/>
      <c r="BF79" s="434"/>
      <c r="BG79" s="434"/>
      <c r="BH79" s="434"/>
      <c r="BI79" s="434"/>
      <c r="BJ79" s="434"/>
      <c r="BK79" s="440"/>
      <c r="BL79" s="434"/>
      <c r="BM79" s="434"/>
      <c r="BN79" s="434"/>
      <c r="BO79" s="434"/>
      <c r="BP79" s="434"/>
      <c r="BQ79" s="434"/>
      <c r="BR79" s="434"/>
      <c r="CJ79" s="434"/>
      <c r="CP79" s="434"/>
      <c r="CQ79" s="434"/>
      <c r="CR79" s="434"/>
      <c r="CS79" s="434"/>
      <c r="CT79" s="434"/>
      <c r="CU79" s="434"/>
      <c r="CV79" s="434"/>
      <c r="CW79" s="434"/>
      <c r="CX79" s="440"/>
      <c r="EI79" s="434"/>
      <c r="EJ79" s="434"/>
      <c r="EK79" s="434"/>
      <c r="EL79" s="434"/>
      <c r="EM79" s="434"/>
      <c r="EN79" s="434"/>
      <c r="EO79" s="434"/>
      <c r="EP79" s="434"/>
      <c r="EQ79" s="434"/>
      <c r="ER79" s="434"/>
      <c r="ES79" s="434"/>
    </row>
    <row r="80" spans="1:149" x14ac:dyDescent="0.2">
      <c r="AQ80" s="36"/>
      <c r="AR80" s="36"/>
      <c r="AS80" s="434"/>
      <c r="AT80" s="434"/>
      <c r="AU80" s="434"/>
      <c r="AV80" s="434"/>
      <c r="AW80" s="434"/>
      <c r="BC80" s="434"/>
      <c r="BD80" s="434"/>
      <c r="BE80" s="434"/>
      <c r="BF80" s="434"/>
      <c r="BG80" s="434"/>
      <c r="BH80" s="434"/>
      <c r="BI80" s="434"/>
      <c r="BJ80" s="434"/>
      <c r="BK80" s="440"/>
      <c r="BL80" s="434"/>
      <c r="BM80" s="434"/>
      <c r="BN80" s="434"/>
      <c r="BO80" s="434"/>
      <c r="BP80" s="434"/>
      <c r="BQ80" s="434"/>
      <c r="BR80" s="434"/>
      <c r="CJ80" s="434"/>
      <c r="CP80" s="434"/>
      <c r="CQ80" s="434"/>
      <c r="CR80" s="434"/>
      <c r="CS80" s="434"/>
      <c r="CT80" s="434"/>
      <c r="CU80" s="434"/>
      <c r="CV80" s="434"/>
      <c r="CW80" s="434"/>
      <c r="CX80" s="440"/>
      <c r="EI80" s="434"/>
      <c r="EJ80" s="434"/>
      <c r="EK80" s="434"/>
      <c r="EL80" s="434"/>
      <c r="EM80" s="434"/>
      <c r="EN80" s="434"/>
      <c r="EO80" s="434"/>
      <c r="EP80" s="434"/>
      <c r="EQ80" s="434"/>
      <c r="ER80" s="434"/>
      <c r="ES80" s="434"/>
    </row>
    <row r="81" spans="43:149" x14ac:dyDescent="0.2">
      <c r="AQ81" s="36"/>
      <c r="AR81" s="36"/>
      <c r="AS81" s="434"/>
      <c r="AT81" s="434"/>
      <c r="AU81" s="434"/>
      <c r="AV81" s="434"/>
      <c r="AW81" s="434"/>
      <c r="BC81" s="434"/>
      <c r="BD81" s="434"/>
      <c r="BE81" s="434"/>
      <c r="BF81" s="434"/>
      <c r="BG81" s="434"/>
      <c r="BH81" s="434"/>
      <c r="BI81" s="434"/>
      <c r="BJ81" s="434"/>
      <c r="BK81" s="440"/>
      <c r="BL81" s="434"/>
      <c r="BM81" s="434"/>
      <c r="BN81" s="434"/>
      <c r="BO81" s="434"/>
      <c r="BP81" s="434"/>
      <c r="BQ81" s="434"/>
      <c r="BR81" s="434"/>
      <c r="CJ81" s="434"/>
      <c r="CP81" s="434"/>
      <c r="CQ81" s="434"/>
      <c r="CR81" s="434"/>
      <c r="CS81" s="434"/>
      <c r="CT81" s="434"/>
      <c r="CU81" s="434"/>
      <c r="CV81" s="434"/>
      <c r="CW81" s="434"/>
      <c r="CX81" s="440"/>
      <c r="EI81" s="434"/>
      <c r="EJ81" s="434"/>
      <c r="EK81" s="434"/>
      <c r="EL81" s="434"/>
      <c r="EM81" s="434"/>
      <c r="EN81" s="434"/>
      <c r="EO81" s="434"/>
      <c r="EP81" s="434"/>
      <c r="EQ81" s="434"/>
      <c r="ER81" s="434"/>
      <c r="ES81" s="434"/>
    </row>
    <row r="82" spans="43:149" x14ac:dyDescent="0.2">
      <c r="AQ82" s="36"/>
      <c r="AR82" s="36"/>
      <c r="AS82" s="434"/>
      <c r="AT82" s="434"/>
      <c r="AU82" s="434"/>
      <c r="AV82" s="434"/>
      <c r="AW82" s="434"/>
      <c r="BC82" s="434"/>
      <c r="BD82" s="434"/>
      <c r="BE82" s="434"/>
      <c r="BF82" s="434"/>
      <c r="BG82" s="434"/>
      <c r="BH82" s="434"/>
      <c r="BI82" s="434"/>
      <c r="BJ82" s="434"/>
      <c r="BK82" s="440"/>
      <c r="BL82" s="434"/>
      <c r="BM82" s="434"/>
      <c r="BN82" s="434"/>
      <c r="BO82" s="434"/>
      <c r="BP82" s="434"/>
      <c r="BQ82" s="434"/>
      <c r="BR82" s="434"/>
      <c r="CJ82" s="434"/>
      <c r="CP82" s="434"/>
      <c r="CQ82" s="434"/>
      <c r="CR82" s="434"/>
      <c r="CS82" s="434"/>
      <c r="CT82" s="434"/>
      <c r="CU82" s="434"/>
      <c r="CV82" s="434"/>
      <c r="CW82" s="434"/>
      <c r="CX82" s="440"/>
      <c r="EI82" s="434"/>
      <c r="EJ82" s="434"/>
      <c r="EK82" s="434"/>
      <c r="EL82" s="434"/>
      <c r="EM82" s="434"/>
      <c r="EN82" s="434"/>
      <c r="EO82" s="434"/>
      <c r="EP82" s="434"/>
      <c r="EQ82" s="434"/>
      <c r="ER82" s="434"/>
      <c r="ES82" s="434"/>
    </row>
    <row r="83" spans="43:149" x14ac:dyDescent="0.2">
      <c r="AQ83" s="36"/>
      <c r="AR83" s="36"/>
      <c r="AS83" s="434"/>
      <c r="AT83" s="434"/>
      <c r="AU83" s="434"/>
      <c r="AV83" s="434"/>
      <c r="AW83" s="434"/>
      <c r="BC83" s="434"/>
      <c r="BD83" s="434"/>
      <c r="BE83" s="434"/>
      <c r="BF83" s="434"/>
      <c r="BG83" s="434"/>
      <c r="BH83" s="434"/>
      <c r="BI83" s="434"/>
      <c r="BJ83" s="434"/>
      <c r="BK83" s="440"/>
      <c r="BL83" s="434"/>
      <c r="BM83" s="434"/>
      <c r="BN83" s="434"/>
      <c r="BO83" s="434"/>
      <c r="BP83" s="434"/>
      <c r="BQ83" s="434"/>
      <c r="BR83" s="434"/>
      <c r="CJ83" s="434"/>
      <c r="CP83" s="434"/>
      <c r="CQ83" s="434"/>
      <c r="CR83" s="434"/>
      <c r="CS83" s="434"/>
      <c r="CT83" s="434"/>
      <c r="CU83" s="434"/>
      <c r="CV83" s="434"/>
      <c r="CW83" s="434"/>
      <c r="CX83" s="440"/>
      <c r="EI83" s="434"/>
      <c r="EJ83" s="434"/>
      <c r="EK83" s="434"/>
      <c r="EL83" s="434"/>
      <c r="EM83" s="434"/>
      <c r="EN83" s="434"/>
      <c r="EO83" s="434"/>
      <c r="EP83" s="434"/>
      <c r="EQ83" s="434"/>
      <c r="ER83" s="434"/>
      <c r="ES83" s="434"/>
    </row>
    <row r="84" spans="43:149" x14ac:dyDescent="0.2">
      <c r="AQ84" s="36"/>
      <c r="AR84" s="36"/>
      <c r="AS84" s="434"/>
      <c r="AT84" s="434"/>
      <c r="AU84" s="434"/>
      <c r="AV84" s="434"/>
      <c r="AW84" s="434"/>
      <c r="BC84" s="434"/>
      <c r="BD84" s="434"/>
      <c r="BE84" s="434"/>
      <c r="BF84" s="434"/>
      <c r="BG84" s="434"/>
      <c r="BH84" s="434"/>
      <c r="BI84" s="434"/>
      <c r="BJ84" s="434"/>
      <c r="BK84" s="440"/>
      <c r="BL84" s="434"/>
      <c r="BM84" s="434"/>
      <c r="BN84" s="434"/>
      <c r="BO84" s="434"/>
      <c r="BP84" s="434"/>
      <c r="BQ84" s="434"/>
      <c r="BR84" s="434"/>
      <c r="CJ84" s="434"/>
      <c r="CP84" s="434"/>
      <c r="CQ84" s="434"/>
      <c r="CR84" s="434"/>
      <c r="CS84" s="434"/>
      <c r="CT84" s="434"/>
      <c r="CU84" s="434"/>
      <c r="CV84" s="434"/>
      <c r="CW84" s="434"/>
      <c r="CX84" s="440"/>
      <c r="EI84" s="434"/>
      <c r="EJ84" s="434"/>
      <c r="EK84" s="434"/>
      <c r="EL84" s="434"/>
      <c r="EM84" s="434"/>
      <c r="EN84" s="434"/>
      <c r="EO84" s="434"/>
      <c r="EP84" s="434"/>
      <c r="EQ84" s="434"/>
      <c r="ER84" s="434"/>
      <c r="ES84" s="434"/>
    </row>
    <row r="85" spans="43:149" x14ac:dyDescent="0.2">
      <c r="AQ85" s="36"/>
      <c r="AR85" s="36"/>
      <c r="AS85" s="434"/>
      <c r="AT85" s="434"/>
      <c r="AU85" s="434"/>
      <c r="AV85" s="434"/>
      <c r="AW85" s="434"/>
      <c r="BC85" s="434"/>
      <c r="BD85" s="434"/>
      <c r="BE85" s="434"/>
      <c r="BF85" s="434"/>
      <c r="BG85" s="434"/>
      <c r="BH85" s="434"/>
      <c r="BI85" s="434"/>
      <c r="BJ85" s="434"/>
      <c r="BK85" s="440"/>
      <c r="BL85" s="434"/>
      <c r="BM85" s="434"/>
      <c r="BN85" s="434"/>
      <c r="BO85" s="434"/>
      <c r="BP85" s="434"/>
      <c r="BQ85" s="434"/>
      <c r="BR85" s="434"/>
      <c r="CJ85" s="434"/>
      <c r="CP85" s="434"/>
      <c r="CQ85" s="434"/>
      <c r="CR85" s="434"/>
      <c r="CS85" s="434"/>
      <c r="CT85" s="434"/>
      <c r="CU85" s="434"/>
      <c r="CV85" s="434"/>
      <c r="CW85" s="434"/>
      <c r="CX85" s="440"/>
      <c r="EI85" s="434"/>
      <c r="EJ85" s="434"/>
      <c r="EK85" s="434"/>
      <c r="EL85" s="434"/>
      <c r="EM85" s="434"/>
      <c r="EN85" s="434"/>
      <c r="EO85" s="434"/>
      <c r="EP85" s="434"/>
      <c r="EQ85" s="434"/>
      <c r="ER85" s="434"/>
      <c r="ES85" s="434"/>
    </row>
    <row r="86" spans="43:149" x14ac:dyDescent="0.2">
      <c r="AQ86" s="36"/>
      <c r="AR86" s="36"/>
      <c r="AS86" s="434"/>
      <c r="AT86" s="434"/>
      <c r="AU86" s="434"/>
      <c r="AV86" s="434"/>
      <c r="AW86" s="434"/>
      <c r="BC86" s="434"/>
      <c r="BD86" s="434"/>
      <c r="BE86" s="434"/>
      <c r="BF86" s="434"/>
      <c r="BG86" s="434"/>
      <c r="BH86" s="434"/>
      <c r="BI86" s="434"/>
      <c r="BJ86" s="434"/>
      <c r="BK86" s="440"/>
      <c r="BL86" s="434"/>
      <c r="BM86" s="434"/>
      <c r="BN86" s="434"/>
      <c r="BO86" s="434"/>
      <c r="BP86" s="434"/>
      <c r="BQ86" s="434"/>
      <c r="BR86" s="434"/>
      <c r="CJ86" s="434"/>
      <c r="CP86" s="434"/>
      <c r="CQ86" s="434"/>
      <c r="CR86" s="434"/>
      <c r="CS86" s="434"/>
      <c r="CT86" s="434"/>
      <c r="CU86" s="434"/>
      <c r="CV86" s="434"/>
      <c r="CW86" s="434"/>
      <c r="CX86" s="440"/>
      <c r="EI86" s="434"/>
      <c r="EJ86" s="434"/>
      <c r="EK86" s="434"/>
      <c r="EL86" s="434"/>
      <c r="EM86" s="434"/>
      <c r="EN86" s="434"/>
      <c r="EO86" s="434"/>
      <c r="EP86" s="434"/>
      <c r="EQ86" s="434"/>
      <c r="ER86" s="434"/>
      <c r="ES86" s="434"/>
    </row>
    <row r="87" spans="43:149" x14ac:dyDescent="0.2">
      <c r="AQ87" s="36"/>
      <c r="AR87" s="36"/>
      <c r="AS87" s="434"/>
      <c r="AT87" s="434"/>
      <c r="AU87" s="434"/>
      <c r="AV87" s="434"/>
      <c r="AW87" s="434"/>
      <c r="BC87" s="434"/>
      <c r="BD87" s="434"/>
      <c r="BE87" s="434"/>
      <c r="BF87" s="434"/>
      <c r="BG87" s="434"/>
      <c r="BH87" s="434"/>
      <c r="BI87" s="434"/>
      <c r="BJ87" s="434"/>
      <c r="BK87" s="440"/>
      <c r="BL87" s="434"/>
      <c r="BM87" s="434"/>
      <c r="BN87" s="434"/>
      <c r="BO87" s="434"/>
      <c r="BP87" s="434"/>
      <c r="BQ87" s="434"/>
      <c r="BR87" s="434"/>
      <c r="CJ87" s="434"/>
      <c r="CP87" s="434"/>
      <c r="CQ87" s="434"/>
      <c r="CR87" s="434"/>
      <c r="CS87" s="434"/>
      <c r="CT87" s="434"/>
      <c r="CU87" s="434"/>
      <c r="CV87" s="434"/>
      <c r="CW87" s="434"/>
      <c r="CX87" s="440"/>
      <c r="EI87" s="434"/>
      <c r="EJ87" s="434"/>
      <c r="EK87" s="434"/>
      <c r="EL87" s="434"/>
      <c r="EM87" s="434"/>
      <c r="EN87" s="434"/>
      <c r="EO87" s="434"/>
      <c r="EP87" s="434"/>
      <c r="EQ87" s="434"/>
      <c r="ER87" s="434"/>
      <c r="ES87" s="434"/>
    </row>
    <row r="88" spans="43:149" x14ac:dyDescent="0.2">
      <c r="AQ88" s="36"/>
      <c r="AR88" s="36"/>
      <c r="AS88" s="434"/>
      <c r="AT88" s="434"/>
      <c r="AU88" s="434"/>
      <c r="AV88" s="434"/>
      <c r="AW88" s="434"/>
      <c r="BC88" s="434"/>
      <c r="BD88" s="434"/>
      <c r="BE88" s="434"/>
      <c r="BF88" s="434"/>
      <c r="BG88" s="434"/>
      <c r="BH88" s="434"/>
      <c r="BI88" s="434"/>
      <c r="BJ88" s="434"/>
      <c r="BK88" s="440"/>
      <c r="BL88" s="434"/>
      <c r="BM88" s="434"/>
      <c r="BN88" s="434"/>
      <c r="BO88" s="434"/>
      <c r="BP88" s="434"/>
      <c r="BQ88" s="434"/>
      <c r="BR88" s="434"/>
      <c r="CJ88" s="434"/>
      <c r="CP88" s="434"/>
      <c r="CQ88" s="434"/>
      <c r="CR88" s="434"/>
      <c r="CS88" s="434"/>
      <c r="CT88" s="434"/>
      <c r="CU88" s="434"/>
      <c r="CV88" s="434"/>
      <c r="CW88" s="434"/>
      <c r="CX88" s="440"/>
      <c r="EI88" s="434"/>
      <c r="EJ88" s="434"/>
      <c r="EK88" s="434"/>
      <c r="EL88" s="434"/>
      <c r="EM88" s="434"/>
      <c r="EN88" s="434"/>
      <c r="EO88" s="434"/>
      <c r="EP88" s="434"/>
      <c r="EQ88" s="434"/>
      <c r="ER88" s="434"/>
      <c r="ES88" s="434"/>
    </row>
    <row r="89" spans="43:149" x14ac:dyDescent="0.2">
      <c r="AQ89" s="36"/>
      <c r="AR89" s="36"/>
      <c r="AS89" s="434"/>
      <c r="AT89" s="434"/>
      <c r="AU89" s="434"/>
      <c r="AV89" s="434"/>
      <c r="AW89" s="434"/>
      <c r="BC89" s="434"/>
      <c r="BD89" s="434"/>
      <c r="BE89" s="434"/>
      <c r="BF89" s="434"/>
      <c r="BG89" s="434"/>
      <c r="BH89" s="434"/>
      <c r="BI89" s="434"/>
      <c r="BJ89" s="434"/>
      <c r="BK89" s="440"/>
      <c r="BL89" s="434"/>
      <c r="BM89" s="434"/>
      <c r="BN89" s="434"/>
      <c r="BO89" s="434"/>
      <c r="BP89" s="434"/>
      <c r="BQ89" s="434"/>
      <c r="BR89" s="434"/>
      <c r="CJ89" s="434"/>
      <c r="CP89" s="434"/>
      <c r="CQ89" s="434"/>
      <c r="CR89" s="434"/>
      <c r="CS89" s="434"/>
      <c r="CT89" s="434"/>
      <c r="CU89" s="434"/>
      <c r="CV89" s="434"/>
      <c r="CW89" s="434"/>
      <c r="CX89" s="440"/>
      <c r="EI89" s="434"/>
      <c r="EJ89" s="434"/>
      <c r="EK89" s="434"/>
      <c r="EL89" s="434"/>
      <c r="EM89" s="434"/>
      <c r="EN89" s="434"/>
      <c r="EO89" s="434"/>
      <c r="EP89" s="434"/>
      <c r="EQ89" s="434"/>
      <c r="ER89" s="434"/>
      <c r="ES89" s="434"/>
    </row>
    <row r="90" spans="43:149" x14ac:dyDescent="0.2">
      <c r="AQ90" s="36"/>
      <c r="AR90" s="36"/>
      <c r="AS90" s="434"/>
      <c r="AT90" s="434"/>
      <c r="AU90" s="434"/>
      <c r="AV90" s="434"/>
      <c r="AW90" s="434"/>
      <c r="BC90" s="434"/>
      <c r="BD90" s="434"/>
      <c r="BE90" s="434"/>
      <c r="BF90" s="434"/>
      <c r="BG90" s="434"/>
      <c r="BH90" s="434"/>
      <c r="BI90" s="434"/>
      <c r="BJ90" s="434"/>
      <c r="BK90" s="440"/>
      <c r="BL90" s="434"/>
      <c r="BM90" s="434"/>
      <c r="BN90" s="434"/>
      <c r="BO90" s="434"/>
      <c r="BP90" s="434"/>
      <c r="BQ90" s="434"/>
      <c r="BR90" s="434"/>
      <c r="CJ90" s="434"/>
      <c r="CP90" s="434"/>
      <c r="CQ90" s="434"/>
      <c r="CR90" s="434"/>
      <c r="CS90" s="434"/>
      <c r="CT90" s="434"/>
      <c r="CU90" s="434"/>
      <c r="CV90" s="434"/>
      <c r="CW90" s="434"/>
      <c r="CX90" s="440"/>
      <c r="EI90" s="434"/>
      <c r="EJ90" s="434"/>
      <c r="EK90" s="434"/>
      <c r="EL90" s="434"/>
      <c r="EM90" s="434"/>
      <c r="EN90" s="434"/>
      <c r="EO90" s="434"/>
      <c r="EP90" s="434"/>
      <c r="EQ90" s="434"/>
      <c r="ER90" s="434"/>
      <c r="ES90" s="434"/>
    </row>
    <row r="91" spans="43:149" x14ac:dyDescent="0.2">
      <c r="AQ91" s="36"/>
      <c r="AR91" s="36"/>
      <c r="AS91" s="434"/>
      <c r="AT91" s="434"/>
      <c r="AU91" s="434"/>
      <c r="AV91" s="434"/>
      <c r="AW91" s="434"/>
      <c r="BC91" s="434"/>
      <c r="BD91" s="434"/>
      <c r="BE91" s="434"/>
      <c r="BF91" s="434"/>
      <c r="BG91" s="434"/>
      <c r="BH91" s="434"/>
      <c r="BI91" s="434"/>
      <c r="BJ91" s="434"/>
      <c r="BK91" s="440"/>
      <c r="BL91" s="434"/>
      <c r="BM91" s="434"/>
      <c r="BN91" s="434"/>
      <c r="BO91" s="434"/>
      <c r="BP91" s="434"/>
      <c r="BQ91" s="434"/>
      <c r="BR91" s="434"/>
      <c r="CJ91" s="434"/>
      <c r="CP91" s="434"/>
      <c r="CQ91" s="434"/>
      <c r="CR91" s="434"/>
      <c r="CS91" s="434"/>
      <c r="CT91" s="434"/>
      <c r="CU91" s="434"/>
      <c r="CV91" s="434"/>
      <c r="CW91" s="434"/>
      <c r="CX91" s="440"/>
      <c r="EI91" s="434"/>
      <c r="EJ91" s="434"/>
      <c r="EK91" s="434"/>
      <c r="EL91" s="434"/>
      <c r="EM91" s="434"/>
      <c r="EN91" s="434"/>
      <c r="EO91" s="434"/>
      <c r="EP91" s="434"/>
      <c r="EQ91" s="434"/>
      <c r="ER91" s="434"/>
      <c r="ES91" s="434"/>
    </row>
  </sheetData>
  <mergeCells count="57">
    <mergeCell ref="D10:P10"/>
    <mergeCell ref="R10:T10"/>
    <mergeCell ref="U10:AP10"/>
    <mergeCell ref="H11:H12"/>
    <mergeCell ref="I11:I12"/>
    <mergeCell ref="AA11:AA12"/>
    <mergeCell ref="AB11:AB12"/>
    <mergeCell ref="E11:E12"/>
    <mergeCell ref="F11:F12"/>
    <mergeCell ref="G11:G12"/>
    <mergeCell ref="V71:Z74"/>
    <mergeCell ref="A67:X68"/>
    <mergeCell ref="R11:R12"/>
    <mergeCell ref="S11:S12"/>
    <mergeCell ref="T11:T12"/>
    <mergeCell ref="U11:U12"/>
    <mergeCell ref="V11:V12"/>
    <mergeCell ref="W11:W12"/>
    <mergeCell ref="J11:J12"/>
    <mergeCell ref="K11:K12"/>
    <mergeCell ref="L11:L12"/>
    <mergeCell ref="M11:M12"/>
    <mergeCell ref="O11:O12"/>
    <mergeCell ref="Q11:Q12"/>
    <mergeCell ref="CN11:CN12"/>
    <mergeCell ref="CO11:CO12"/>
    <mergeCell ref="BA11:BA12"/>
    <mergeCell ref="BB11:BB12"/>
    <mergeCell ref="A11:A12"/>
    <mergeCell ref="B11:B12"/>
    <mergeCell ref="AQ11:AQ12"/>
    <mergeCell ref="AR11:AR12"/>
    <mergeCell ref="BQ11:BQ12"/>
    <mergeCell ref="BR11:BR12"/>
    <mergeCell ref="CJ11:CJ12"/>
    <mergeCell ref="BS10:CE10"/>
    <mergeCell ref="CG10:CI10"/>
    <mergeCell ref="BT11:BT12"/>
    <mergeCell ref="BU11:BU12"/>
    <mergeCell ref="BV11:BV12"/>
    <mergeCell ref="BW11:BW12"/>
    <mergeCell ref="BX11:BX12"/>
    <mergeCell ref="BY11:BY12"/>
    <mergeCell ref="BZ11:BZ12"/>
    <mergeCell ref="CA11:CA12"/>
    <mergeCell ref="CB11:CB12"/>
    <mergeCell ref="CD11:CD12"/>
    <mergeCell ref="CF11:CF12"/>
    <mergeCell ref="CG11:CG12"/>
    <mergeCell ref="CH11:CH12"/>
    <mergeCell ref="CI11:CI12"/>
    <mergeCell ref="ED11:ED12"/>
    <mergeCell ref="DD11:DD12"/>
    <mergeCell ref="DE11:DE12"/>
    <mergeCell ref="DI11:DI12"/>
    <mergeCell ref="DJ11:DJ12"/>
    <mergeCell ref="EC11:EC12"/>
  </mergeCells>
  <printOptions horizontalCentered="1"/>
  <pageMargins left="0.39370078740157483" right="0.19685039370078741" top="0.39370078740157483" bottom="0.39370078740157483" header="0" footer="0"/>
  <pageSetup scale="45" orientation="landscape" r:id="rId1"/>
  <headerFooter alignWithMargins="0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DK43"/>
  <sheetViews>
    <sheetView topLeftCell="C11" workbookViewId="0">
      <selection activeCell="DF40" sqref="DF40"/>
    </sheetView>
  </sheetViews>
  <sheetFormatPr baseColWidth="10" defaultRowHeight="12.75" x14ac:dyDescent="0.2"/>
  <cols>
    <col min="1" max="1" width="18.140625" customWidth="1"/>
    <col min="2" max="2" width="20.7109375" customWidth="1"/>
    <col min="3" max="3" width="15.5703125" customWidth="1"/>
    <col min="4" max="4" width="5.5703125" style="18" customWidth="1"/>
    <col min="5" max="5" width="7.42578125" style="18" customWidth="1"/>
    <col min="6" max="6" width="9.42578125" customWidth="1"/>
    <col min="7" max="7" width="6.7109375" customWidth="1"/>
    <col min="8" max="8" width="8.5703125" hidden="1" customWidth="1"/>
    <col min="9" max="10" width="7.140625" hidden="1" customWidth="1"/>
    <col min="11" max="11" width="8.5703125" hidden="1" customWidth="1"/>
    <col min="12" max="12" width="6.140625" customWidth="1"/>
    <col min="13" max="13" width="8" hidden="1" customWidth="1"/>
    <col min="14" max="14" width="8.5703125" hidden="1" customWidth="1"/>
    <col min="15" max="15" width="8.42578125" hidden="1" customWidth="1"/>
    <col min="16" max="16" width="10.85546875" hidden="1" customWidth="1"/>
    <col min="17" max="17" width="11" customWidth="1"/>
    <col min="18" max="18" width="11.5703125" style="19" customWidth="1"/>
    <col min="19" max="19" width="9.5703125" style="19" customWidth="1"/>
    <col min="20" max="21" width="8.42578125" style="12" customWidth="1"/>
    <col min="22" max="24" width="8.42578125" style="12" hidden="1" customWidth="1"/>
    <col min="25" max="25" width="9.140625" style="104" hidden="1" customWidth="1"/>
    <col min="26" max="27" width="8.7109375" hidden="1" customWidth="1"/>
    <col min="28" max="28" width="8.7109375" style="77" hidden="1" customWidth="1"/>
    <col min="29" max="29" width="7.42578125" hidden="1" customWidth="1"/>
    <col min="30" max="31" width="10.42578125" hidden="1" customWidth="1"/>
    <col min="32" max="32" width="11.28515625" hidden="1" customWidth="1"/>
    <col min="33" max="38" width="7.7109375" hidden="1" customWidth="1"/>
    <col min="39" max="39" width="9.28515625" hidden="1" customWidth="1"/>
    <col min="40" max="40" width="10" style="69" hidden="1" customWidth="1"/>
    <col min="41" max="41" width="7.140625" hidden="1" customWidth="1"/>
    <col min="42" max="42" width="7.85546875" hidden="1" customWidth="1"/>
    <col min="43" max="43" width="10" hidden="1" customWidth="1"/>
    <col min="44" max="44" width="10.28515625" hidden="1" customWidth="1"/>
    <col min="45" max="45" width="9.85546875" hidden="1" customWidth="1"/>
    <col min="46" max="46" width="9.7109375" hidden="1" customWidth="1"/>
    <col min="47" max="47" width="10.42578125" hidden="1" customWidth="1"/>
    <col min="48" max="48" width="8.7109375" hidden="1" customWidth="1"/>
    <col min="49" max="49" width="8.7109375" style="77" hidden="1" customWidth="1"/>
    <col min="50" max="50" width="7.42578125" hidden="1" customWidth="1"/>
    <col min="51" max="51" width="8.140625" hidden="1" customWidth="1"/>
    <col min="52" max="52" width="9.140625" hidden="1" customWidth="1"/>
    <col min="53" max="57" width="9" hidden="1" customWidth="1"/>
    <col min="58" max="58" width="9.140625" hidden="1" customWidth="1"/>
    <col min="59" max="59" width="11.42578125" hidden="1" customWidth="1"/>
    <col min="60" max="61" width="9" hidden="1" customWidth="1"/>
    <col min="62" max="62" width="10" hidden="1" customWidth="1"/>
    <col min="63" max="63" width="10.28515625" hidden="1" customWidth="1"/>
    <col min="64" max="64" width="9.85546875" hidden="1" customWidth="1"/>
    <col min="65" max="65" width="9.7109375" hidden="1" customWidth="1"/>
    <col min="66" max="66" width="10.42578125" hidden="1" customWidth="1"/>
    <col min="67" max="67" width="8.7109375" hidden="1" customWidth="1"/>
    <col min="68" max="68" width="8.7109375" style="77" hidden="1" customWidth="1"/>
    <col min="69" max="69" width="10.85546875" hidden="1" customWidth="1"/>
    <col min="70" max="70" width="8.140625" hidden="1" customWidth="1"/>
    <col min="71" max="71" width="9.140625" hidden="1" customWidth="1"/>
    <col min="72" max="76" width="9" hidden="1" customWidth="1"/>
    <col min="77" max="77" width="9.140625" hidden="1" customWidth="1"/>
    <col min="78" max="78" width="11.42578125" hidden="1" customWidth="1"/>
    <col min="79" max="79" width="9" hidden="1" customWidth="1"/>
    <col min="80" max="81" width="11.28515625" hidden="1" customWidth="1"/>
    <col min="82" max="86" width="11.42578125" hidden="1" customWidth="1"/>
    <col min="87" max="92" width="11.42578125" customWidth="1"/>
    <col min="93" max="109" width="11.42578125" hidden="1" customWidth="1"/>
    <col min="110" max="112" width="11.42578125" customWidth="1"/>
  </cols>
  <sheetData>
    <row r="1" spans="1:112" x14ac:dyDescent="0.2">
      <c r="A1" s="637"/>
      <c r="B1" s="638" t="s">
        <v>27</v>
      </c>
      <c r="C1" s="637"/>
      <c r="D1" s="639"/>
      <c r="E1" s="639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40"/>
      <c r="S1" s="640"/>
      <c r="T1" s="637"/>
      <c r="U1" s="637"/>
      <c r="V1" s="635"/>
      <c r="W1" s="635"/>
      <c r="X1" s="635"/>
      <c r="Y1" s="643"/>
      <c r="Z1" s="644"/>
      <c r="AA1" s="644"/>
      <c r="AB1" s="645"/>
      <c r="AC1" s="644"/>
      <c r="AD1" s="644"/>
      <c r="AE1" s="644"/>
      <c r="AF1" s="635"/>
      <c r="AG1" s="635"/>
      <c r="AH1" s="635"/>
      <c r="AI1" s="635"/>
      <c r="AJ1" s="635"/>
      <c r="AK1" s="635"/>
      <c r="AL1" s="644"/>
      <c r="AM1" s="635"/>
      <c r="AN1" s="646"/>
      <c r="AO1" s="647"/>
      <c r="AP1" s="647"/>
      <c r="AQ1" s="647"/>
      <c r="AR1" s="647"/>
      <c r="AS1" s="647"/>
      <c r="AT1" s="647"/>
      <c r="AU1" s="647"/>
      <c r="AV1" s="644"/>
      <c r="AW1" s="542"/>
      <c r="AX1" s="541"/>
      <c r="AY1" s="541"/>
      <c r="AZ1" s="541"/>
      <c r="BA1" s="16"/>
      <c r="BO1" s="541"/>
      <c r="BP1" s="542"/>
      <c r="BQ1" s="541"/>
      <c r="BR1" s="541"/>
      <c r="BS1" s="541"/>
      <c r="BT1" s="16"/>
    </row>
    <row r="2" spans="1:112" x14ac:dyDescent="0.2">
      <c r="A2" s="637"/>
      <c r="B2" s="638" t="s">
        <v>1273</v>
      </c>
      <c r="C2" s="637"/>
      <c r="D2" s="639"/>
      <c r="E2" s="639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40"/>
      <c r="S2" s="640"/>
      <c r="T2" s="637"/>
      <c r="U2" s="637"/>
      <c r="V2" s="635"/>
      <c r="W2" s="635"/>
      <c r="X2" s="635"/>
      <c r="Y2" s="643"/>
      <c r="Z2" s="644"/>
      <c r="AA2" s="644"/>
      <c r="AB2" s="645"/>
      <c r="AC2" s="644"/>
      <c r="AD2" s="644"/>
      <c r="AE2" s="644"/>
      <c r="AF2" s="635"/>
      <c r="AG2" s="635"/>
      <c r="AH2" s="635"/>
      <c r="AI2" s="635"/>
      <c r="AJ2" s="635"/>
      <c r="AK2" s="635"/>
      <c r="AL2" s="635"/>
      <c r="AM2" s="635"/>
      <c r="AN2" s="646"/>
      <c r="AO2" s="647"/>
      <c r="AP2" s="647"/>
      <c r="AQ2" s="647"/>
      <c r="AR2" s="647"/>
      <c r="AS2" s="647"/>
      <c r="AT2" s="647"/>
      <c r="AU2" s="647"/>
      <c r="AV2" s="644"/>
      <c r="AW2" s="542"/>
      <c r="AX2" s="541"/>
      <c r="AY2" s="541"/>
      <c r="AZ2" s="541"/>
      <c r="BA2" s="16"/>
      <c r="BO2" s="541"/>
      <c r="BP2" s="542"/>
      <c r="BQ2" s="541"/>
      <c r="BR2" s="541"/>
      <c r="BS2" s="541"/>
      <c r="BT2" s="16"/>
    </row>
    <row r="3" spans="1:112" x14ac:dyDescent="0.2">
      <c r="A3" s="637"/>
      <c r="B3" s="637"/>
      <c r="C3" s="638"/>
      <c r="D3" s="641"/>
      <c r="E3" s="639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38"/>
      <c r="S3" s="638"/>
      <c r="T3" s="642"/>
      <c r="U3" s="642"/>
      <c r="V3" s="636"/>
      <c r="W3" s="636"/>
      <c r="X3" s="636"/>
      <c r="Y3" s="648"/>
      <c r="Z3" s="644"/>
      <c r="AA3" s="644"/>
      <c r="AB3" s="645"/>
      <c r="AC3" s="644"/>
      <c r="AD3" s="644"/>
      <c r="AE3" s="644"/>
      <c r="AF3" s="635"/>
      <c r="AG3" s="635"/>
      <c r="AH3" s="635"/>
      <c r="AI3" s="635"/>
      <c r="AJ3" s="635"/>
      <c r="AK3" s="635"/>
      <c r="AL3" s="635"/>
      <c r="AM3" s="635"/>
      <c r="AN3" s="646"/>
      <c r="AO3" s="647"/>
      <c r="AP3" s="647"/>
      <c r="AQ3" s="647"/>
      <c r="AR3" s="647"/>
      <c r="AS3" s="647"/>
      <c r="AT3" s="647"/>
      <c r="AU3" s="647"/>
      <c r="AV3" s="644"/>
      <c r="AW3" s="542"/>
      <c r="AX3" s="541"/>
      <c r="AY3" s="541"/>
      <c r="AZ3" s="541"/>
      <c r="BA3" s="16"/>
      <c r="BO3" s="541"/>
      <c r="BP3" s="542"/>
      <c r="BQ3" s="541"/>
      <c r="BR3" s="541"/>
      <c r="BS3" s="541"/>
      <c r="BT3" s="16"/>
    </row>
    <row r="4" spans="1:112" x14ac:dyDescent="0.2">
      <c r="A4" s="637"/>
      <c r="B4" s="637" t="s">
        <v>309</v>
      </c>
      <c r="C4" s="638"/>
      <c r="D4" s="641"/>
      <c r="E4" s="639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38"/>
      <c r="S4" s="638"/>
      <c r="T4" s="642"/>
      <c r="U4" s="642"/>
      <c r="V4" s="636"/>
      <c r="W4" s="636"/>
      <c r="X4" s="636"/>
      <c r="Y4" s="648"/>
      <c r="Z4" s="644"/>
      <c r="AA4" s="644"/>
      <c r="AB4" s="645"/>
      <c r="AC4" s="644"/>
      <c r="AD4" s="644"/>
      <c r="AE4" s="644"/>
      <c r="AF4" s="635"/>
      <c r="AG4" s="635"/>
      <c r="AH4" s="635"/>
      <c r="AI4" s="635"/>
      <c r="AJ4" s="635"/>
      <c r="AK4" s="635"/>
      <c r="AL4" s="635"/>
      <c r="AM4" s="635"/>
      <c r="AN4" s="646"/>
      <c r="AO4" s="647"/>
      <c r="AP4" s="647"/>
      <c r="AQ4" s="647"/>
      <c r="AR4" s="647"/>
      <c r="AS4" s="647"/>
      <c r="AT4" s="647"/>
      <c r="AU4" s="647"/>
      <c r="AV4" s="644"/>
      <c r="AW4" s="542"/>
      <c r="AX4" s="541"/>
      <c r="AY4" s="541"/>
      <c r="AZ4" s="541"/>
      <c r="BA4" s="16"/>
      <c r="BO4" s="541"/>
      <c r="BP4" s="542"/>
      <c r="BQ4" s="541"/>
      <c r="BR4" s="541"/>
      <c r="BS4" s="541"/>
      <c r="BT4" s="16"/>
    </row>
    <row r="5" spans="1:112" x14ac:dyDescent="0.2">
      <c r="A5" s="637"/>
      <c r="B5" s="642" t="s">
        <v>361</v>
      </c>
      <c r="C5" s="637"/>
      <c r="D5" s="639"/>
      <c r="E5" s="639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40"/>
      <c r="S5" s="640"/>
      <c r="T5" s="637"/>
      <c r="U5" s="637"/>
      <c r="V5" s="635"/>
      <c r="W5" s="635"/>
      <c r="X5" s="635"/>
      <c r="Y5" s="643"/>
      <c r="Z5" s="644"/>
      <c r="AA5" s="644"/>
      <c r="AB5" s="645"/>
      <c r="AC5" s="644"/>
      <c r="AD5" s="644"/>
      <c r="AE5" s="644"/>
      <c r="AF5" s="635"/>
      <c r="AG5" s="635"/>
      <c r="AH5" s="635"/>
      <c r="AI5" s="635"/>
      <c r="AJ5" s="635"/>
      <c r="AK5" s="635"/>
      <c r="AL5" s="635"/>
      <c r="AM5" s="635"/>
      <c r="AN5" s="646"/>
      <c r="AO5" s="647"/>
      <c r="AP5" s="647"/>
      <c r="AQ5" s="647"/>
      <c r="AR5" s="647"/>
      <c r="AS5" s="647"/>
      <c r="AT5" s="647"/>
      <c r="AU5" s="647"/>
      <c r="AV5" s="644"/>
      <c r="AW5" s="542"/>
      <c r="AX5" s="541"/>
      <c r="AY5" s="541"/>
      <c r="AZ5" s="541"/>
      <c r="BA5" s="16"/>
      <c r="BO5" s="541"/>
      <c r="BP5" s="542"/>
      <c r="BQ5" s="541"/>
      <c r="BR5" s="541"/>
      <c r="BS5" s="541"/>
      <c r="BT5" s="16"/>
    </row>
    <row r="6" spans="1:112" x14ac:dyDescent="0.2">
      <c r="A6" s="637"/>
      <c r="B6" s="637" t="s">
        <v>1272</v>
      </c>
      <c r="C6" s="637"/>
      <c r="D6" s="639"/>
      <c r="E6" s="639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40"/>
      <c r="S6" s="640"/>
      <c r="T6" s="637"/>
      <c r="U6" s="637"/>
      <c r="V6" s="635"/>
      <c r="W6" s="635"/>
      <c r="X6" s="635"/>
      <c r="Y6" s="643"/>
      <c r="Z6" s="644"/>
      <c r="AA6" s="644"/>
      <c r="AB6" s="645"/>
      <c r="AC6" s="644"/>
      <c r="AD6" s="644"/>
      <c r="AE6" s="644"/>
      <c r="AF6" s="635"/>
      <c r="AG6" s="635"/>
      <c r="AH6" s="635"/>
      <c r="AI6" s="635"/>
      <c r="AJ6" s="635"/>
      <c r="AK6" s="635"/>
      <c r="AL6" s="635"/>
      <c r="AM6" s="635"/>
      <c r="AN6" s="646"/>
      <c r="AO6" s="647"/>
      <c r="AP6" s="647"/>
      <c r="AQ6" s="647"/>
      <c r="AR6" s="647"/>
      <c r="AS6" s="647"/>
      <c r="AT6" s="647"/>
      <c r="AU6" s="647"/>
      <c r="AV6" s="644"/>
      <c r="AW6" s="542"/>
      <c r="AX6" s="541"/>
      <c r="AY6" s="541"/>
      <c r="AZ6" s="541"/>
      <c r="BA6" s="16"/>
      <c r="BO6" s="541"/>
      <c r="BP6" s="542"/>
      <c r="BQ6" s="541"/>
      <c r="BR6" s="541"/>
      <c r="BS6" s="541"/>
      <c r="BT6" s="16"/>
    </row>
    <row r="7" spans="1:112" x14ac:dyDescent="0.2">
      <c r="A7" s="637"/>
      <c r="B7" s="637"/>
      <c r="C7" s="637"/>
      <c r="D7" s="639"/>
      <c r="E7" s="639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40"/>
      <c r="S7" s="640"/>
      <c r="T7" s="637"/>
      <c r="U7" s="637"/>
      <c r="V7" s="635"/>
      <c r="W7" s="635"/>
      <c r="X7" s="635"/>
      <c r="Y7" s="643"/>
      <c r="Z7" s="644"/>
      <c r="AA7" s="644"/>
      <c r="AB7" s="645"/>
      <c r="AC7" s="644"/>
      <c r="AD7" s="644"/>
      <c r="AE7" s="644"/>
      <c r="AF7" s="635"/>
      <c r="AG7" s="635"/>
      <c r="AH7" s="635"/>
      <c r="AI7" s="635"/>
      <c r="AJ7" s="635"/>
      <c r="AK7" s="635"/>
      <c r="AL7" s="635"/>
      <c r="AM7" s="635"/>
      <c r="AN7" s="646"/>
      <c r="AO7" s="647"/>
      <c r="AP7" s="647"/>
      <c r="AQ7" s="647"/>
      <c r="AR7" s="647"/>
      <c r="AS7" s="647"/>
      <c r="AT7" s="647"/>
      <c r="AU7" s="647"/>
      <c r="AV7" s="644"/>
      <c r="AW7" s="542"/>
      <c r="AX7" s="541"/>
      <c r="AY7" s="541"/>
      <c r="AZ7" s="541"/>
      <c r="BA7" s="16"/>
      <c r="BO7" s="541"/>
      <c r="BP7" s="542"/>
      <c r="BQ7" s="541"/>
      <c r="BR7" s="541"/>
      <c r="BS7" s="541"/>
      <c r="BT7" s="16"/>
    </row>
    <row r="8" spans="1:112" s="16" customFormat="1" x14ac:dyDescent="0.2">
      <c r="A8" s="647"/>
      <c r="B8" s="647"/>
      <c r="C8" s="647"/>
      <c r="D8" s="649"/>
      <c r="E8" s="649"/>
      <c r="F8" s="647"/>
      <c r="G8" s="647"/>
      <c r="H8" s="647"/>
      <c r="I8" s="647"/>
      <c r="J8" s="647"/>
      <c r="K8" s="647"/>
      <c r="L8" s="647"/>
      <c r="M8" s="647"/>
      <c r="N8" s="647"/>
      <c r="O8" s="647"/>
      <c r="P8" s="647"/>
      <c r="Q8" s="647"/>
      <c r="R8" s="650"/>
      <c r="S8" s="650"/>
      <c r="T8" s="651"/>
      <c r="U8" s="651"/>
      <c r="V8" s="651"/>
      <c r="W8" s="651"/>
      <c r="X8" s="651"/>
      <c r="Y8" s="652"/>
      <c r="Z8" s="653"/>
      <c r="AA8" s="653"/>
      <c r="AB8" s="654"/>
      <c r="AC8" s="653"/>
      <c r="AD8" s="653"/>
      <c r="AE8" s="653"/>
      <c r="AF8" s="647"/>
      <c r="AG8" s="647"/>
      <c r="AH8" s="647"/>
      <c r="AI8" s="647"/>
      <c r="AJ8" s="647"/>
      <c r="AK8" s="647"/>
      <c r="AL8" s="647"/>
      <c r="AM8" s="647"/>
      <c r="AN8" s="655"/>
      <c r="AO8" s="647"/>
      <c r="AP8" s="647"/>
      <c r="AQ8" s="647"/>
      <c r="AR8" s="647"/>
      <c r="AS8" s="647"/>
      <c r="AT8" s="647"/>
      <c r="AU8" s="647"/>
      <c r="AV8" s="653"/>
      <c r="AW8" s="76"/>
      <c r="AX8" s="39"/>
      <c r="AY8" s="39"/>
      <c r="AZ8" s="39"/>
      <c r="BO8" s="39"/>
      <c r="BP8" s="76"/>
      <c r="BQ8" s="39"/>
      <c r="BR8" s="39"/>
      <c r="BS8" s="39"/>
    </row>
    <row r="9" spans="1:112" s="16" customFormat="1" ht="20.25" customHeight="1" x14ac:dyDescent="0.2">
      <c r="D9" s="38"/>
      <c r="E9" s="38"/>
      <c r="R9" s="37"/>
      <c r="S9" s="37"/>
      <c r="T9" s="35"/>
      <c r="U9" s="35"/>
      <c r="V9" s="35"/>
      <c r="W9" s="35"/>
      <c r="X9" s="35"/>
      <c r="Y9" s="103"/>
      <c r="Z9" s="39"/>
      <c r="AA9" s="39"/>
      <c r="AB9" s="76"/>
      <c r="AC9" s="39"/>
      <c r="AD9" s="39"/>
      <c r="AE9" s="39"/>
      <c r="AN9" s="68"/>
      <c r="AV9" s="39"/>
      <c r="AW9" s="76"/>
      <c r="AX9" s="39"/>
      <c r="AY9" s="39"/>
      <c r="AZ9" s="39"/>
      <c r="BO9" s="39"/>
      <c r="BP9" s="76"/>
      <c r="BQ9" s="39"/>
      <c r="BR9" s="39"/>
      <c r="BS9" s="39"/>
    </row>
    <row r="10" spans="1:112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1068"/>
      <c r="V10" s="253"/>
      <c r="W10" s="1275" t="s">
        <v>450</v>
      </c>
      <c r="X10" s="1275"/>
      <c r="Y10" s="1275"/>
      <c r="Z10" s="1275"/>
      <c r="AA10" s="1275"/>
      <c r="AB10" s="1275"/>
      <c r="AC10" s="1275"/>
      <c r="AD10" s="1275"/>
      <c r="AE10" s="1275"/>
      <c r="AF10" s="1275"/>
      <c r="AG10" s="1275"/>
      <c r="AH10" s="1275"/>
      <c r="AI10" s="1275"/>
      <c r="AJ10" s="1275"/>
      <c r="AK10" s="1275"/>
      <c r="AL10" s="1275"/>
      <c r="AM10" s="1275"/>
      <c r="AN10" s="1275"/>
      <c r="AO10" s="1275"/>
      <c r="AP10" s="1275"/>
      <c r="AQ10" s="1275"/>
      <c r="AR10" s="1275"/>
      <c r="AS10" s="1275"/>
      <c r="AT10" s="1275"/>
      <c r="AU10" s="1275"/>
      <c r="AV10" s="1275"/>
      <c r="AW10" s="1275"/>
      <c r="AX10" s="1275"/>
      <c r="AY10" s="1275"/>
      <c r="AZ10" s="1275"/>
      <c r="BP10"/>
    </row>
    <row r="11" spans="1:112" ht="54" customHeight="1" x14ac:dyDescent="0.25">
      <c r="A11" s="1261" t="s">
        <v>57</v>
      </c>
      <c r="B11" s="1261" t="s">
        <v>0</v>
      </c>
      <c r="C11" s="1073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1126</v>
      </c>
      <c r="J11" s="1254" t="s">
        <v>1127</v>
      </c>
      <c r="K11" s="1254" t="s">
        <v>534</v>
      </c>
      <c r="L11" s="1254" t="s">
        <v>493</v>
      </c>
      <c r="M11" s="1254" t="s">
        <v>535</v>
      </c>
      <c r="N11" s="1069" t="s">
        <v>529</v>
      </c>
      <c r="O11" s="1254" t="s">
        <v>492</v>
      </c>
      <c r="P11" s="1070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1071"/>
      <c r="V11" s="1245" t="s">
        <v>595</v>
      </c>
      <c r="W11" s="1245" t="s">
        <v>596</v>
      </c>
      <c r="X11" s="1067"/>
      <c r="Y11" s="1268" t="s">
        <v>569</v>
      </c>
      <c r="Z11" s="1245" t="s">
        <v>599</v>
      </c>
      <c r="AA11" s="158" t="s">
        <v>15</v>
      </c>
      <c r="AB11" s="159" t="s">
        <v>15</v>
      </c>
      <c r="AC11" s="158" t="s">
        <v>16</v>
      </c>
      <c r="AD11" s="1245" t="s">
        <v>527</v>
      </c>
      <c r="AE11" s="1245" t="s">
        <v>536</v>
      </c>
      <c r="AF11" s="158" t="s">
        <v>8</v>
      </c>
      <c r="AG11" s="158" t="s">
        <v>9</v>
      </c>
      <c r="AH11" s="158" t="s">
        <v>10</v>
      </c>
      <c r="AI11" s="158" t="s">
        <v>11</v>
      </c>
      <c r="AJ11" s="158" t="s">
        <v>12</v>
      </c>
      <c r="AK11" s="158" t="s">
        <v>13</v>
      </c>
      <c r="AL11" s="158" t="s">
        <v>14</v>
      </c>
      <c r="AM11" s="1066" t="s">
        <v>531</v>
      </c>
      <c r="AN11" s="1066" t="s">
        <v>63</v>
      </c>
      <c r="AO11" s="1245" t="s">
        <v>976</v>
      </c>
      <c r="AP11" s="1245" t="s">
        <v>536</v>
      </c>
      <c r="AQ11" s="158" t="s">
        <v>3</v>
      </c>
      <c r="AR11" s="158" t="s">
        <v>4</v>
      </c>
      <c r="AS11" s="158" t="s">
        <v>5</v>
      </c>
      <c r="AT11" s="158" t="s">
        <v>6</v>
      </c>
      <c r="AU11" s="158" t="s">
        <v>7</v>
      </c>
      <c r="AV11" s="158" t="s">
        <v>15</v>
      </c>
      <c r="AW11" s="159" t="s">
        <v>15</v>
      </c>
      <c r="AX11" s="158" t="s">
        <v>16</v>
      </c>
      <c r="AY11" s="1245" t="s">
        <v>1059</v>
      </c>
      <c r="AZ11" s="1245" t="s">
        <v>536</v>
      </c>
      <c r="BA11" s="158" t="s">
        <v>8</v>
      </c>
      <c r="BB11" s="158" t="s">
        <v>9</v>
      </c>
      <c r="BC11" s="158" t="s">
        <v>10</v>
      </c>
      <c r="BD11" s="158" t="s">
        <v>11</v>
      </c>
      <c r="BE11" s="158" t="s">
        <v>12</v>
      </c>
      <c r="BF11" s="158" t="s">
        <v>13</v>
      </c>
      <c r="BG11" s="158" t="s">
        <v>14</v>
      </c>
      <c r="BH11" s="1066" t="s">
        <v>989</v>
      </c>
      <c r="BI11" s="1066" t="s">
        <v>63</v>
      </c>
      <c r="BJ11" s="158" t="s">
        <v>3</v>
      </c>
      <c r="BK11" s="158" t="s">
        <v>4</v>
      </c>
      <c r="BL11" s="158" t="s">
        <v>5</v>
      </c>
      <c r="BM11" s="158" t="s">
        <v>6</v>
      </c>
      <c r="BN11" s="158" t="s">
        <v>7</v>
      </c>
      <c r="BO11" s="158" t="s">
        <v>15</v>
      </c>
      <c r="BP11" s="159" t="s">
        <v>15</v>
      </c>
      <c r="BQ11" s="158" t="s">
        <v>16</v>
      </c>
      <c r="BR11" s="1245" t="s">
        <v>1147</v>
      </c>
      <c r="BS11" s="1245" t="s">
        <v>536</v>
      </c>
      <c r="BT11" s="158" t="s">
        <v>8</v>
      </c>
      <c r="BU11" s="158" t="s">
        <v>9</v>
      </c>
      <c r="BV11" s="158" t="s">
        <v>10</v>
      </c>
      <c r="BW11" s="158" t="s">
        <v>11</v>
      </c>
      <c r="BX11" s="158" t="s">
        <v>12</v>
      </c>
      <c r="BY11" s="158" t="s">
        <v>13</v>
      </c>
      <c r="BZ11" s="158" t="s">
        <v>14</v>
      </c>
      <c r="CA11" s="1066" t="s">
        <v>1058</v>
      </c>
      <c r="CB11" s="1066" t="s">
        <v>63</v>
      </c>
      <c r="CC11" s="158" t="s">
        <v>3</v>
      </c>
      <c r="CD11" s="158" t="s">
        <v>4</v>
      </c>
      <c r="CE11" s="158" t="s">
        <v>5</v>
      </c>
      <c r="CF11" s="158" t="s">
        <v>6</v>
      </c>
      <c r="CG11" s="158" t="s">
        <v>7</v>
      </c>
      <c r="CH11" s="1247" t="s">
        <v>1252</v>
      </c>
      <c r="CI11" s="1247" t="s">
        <v>1253</v>
      </c>
      <c r="CJ11" s="158" t="s">
        <v>15</v>
      </c>
      <c r="CK11" s="159" t="s">
        <v>15</v>
      </c>
      <c r="CL11" s="158" t="s">
        <v>16</v>
      </c>
      <c r="CM11" s="1245" t="s">
        <v>1254</v>
      </c>
      <c r="CN11" s="1245" t="s">
        <v>536</v>
      </c>
      <c r="CO11" s="158" t="s">
        <v>8</v>
      </c>
      <c r="CP11" s="158" t="s">
        <v>9</v>
      </c>
      <c r="CQ11" s="158" t="s">
        <v>10</v>
      </c>
      <c r="CR11" s="158" t="s">
        <v>11</v>
      </c>
      <c r="CS11" s="158" t="s">
        <v>12</v>
      </c>
      <c r="CT11" s="158" t="s">
        <v>13</v>
      </c>
      <c r="CU11" s="158" t="s">
        <v>14</v>
      </c>
      <c r="CV11" s="158" t="s">
        <v>3</v>
      </c>
      <c r="CW11" s="158" t="s">
        <v>4</v>
      </c>
      <c r="CX11" s="158" t="s">
        <v>5</v>
      </c>
      <c r="CY11" s="158" t="s">
        <v>6</v>
      </c>
      <c r="CZ11" s="158" t="s">
        <v>7</v>
      </c>
      <c r="DA11" s="158" t="s">
        <v>8</v>
      </c>
      <c r="DB11" s="158" t="s">
        <v>9</v>
      </c>
      <c r="DC11" s="158" t="s">
        <v>10</v>
      </c>
      <c r="DD11" s="158" t="s">
        <v>11</v>
      </c>
      <c r="DE11" s="158" t="s">
        <v>12</v>
      </c>
      <c r="DF11" s="158" t="s">
        <v>13</v>
      </c>
      <c r="DG11" s="1247" t="s">
        <v>1274</v>
      </c>
      <c r="DH11" s="1247" t="s">
        <v>1275</v>
      </c>
    </row>
    <row r="12" spans="1:112" ht="32.25" customHeight="1" x14ac:dyDescent="0.25">
      <c r="A12" s="1262"/>
      <c r="B12" s="1262"/>
      <c r="C12" s="161" t="s">
        <v>361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1072"/>
      <c r="V12" s="1267"/>
      <c r="W12" s="1267"/>
      <c r="X12" s="1074" t="s">
        <v>570</v>
      </c>
      <c r="Y12" s="1272"/>
      <c r="Z12" s="1246"/>
      <c r="AA12" s="162" t="s">
        <v>20</v>
      </c>
      <c r="AB12" s="163" t="s">
        <v>21</v>
      </c>
      <c r="AC12" s="162" t="s">
        <v>22</v>
      </c>
      <c r="AD12" s="1246"/>
      <c r="AE12" s="1246"/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 t="s">
        <v>64</v>
      </c>
      <c r="AO12" s="1265"/>
      <c r="AP12" s="1265"/>
      <c r="AQ12" s="430">
        <v>2016</v>
      </c>
      <c r="AR12" s="430">
        <v>2016</v>
      </c>
      <c r="AS12" s="430">
        <v>2016</v>
      </c>
      <c r="AT12" s="430">
        <v>2016</v>
      </c>
      <c r="AU12" s="430">
        <v>2016</v>
      </c>
      <c r="AV12" s="162" t="s">
        <v>20</v>
      </c>
      <c r="AW12" s="163" t="s">
        <v>21</v>
      </c>
      <c r="AX12" s="162" t="s">
        <v>22</v>
      </c>
      <c r="AY12" s="1246"/>
      <c r="AZ12" s="1246"/>
      <c r="BA12" s="430">
        <v>2016</v>
      </c>
      <c r="BB12" s="430">
        <v>2016</v>
      </c>
      <c r="BC12" s="430">
        <v>2016</v>
      </c>
      <c r="BD12" s="430">
        <v>2016</v>
      </c>
      <c r="BE12" s="430">
        <v>2016</v>
      </c>
      <c r="BF12" s="430">
        <v>2016</v>
      </c>
      <c r="BG12" s="430">
        <v>2016</v>
      </c>
      <c r="BH12" s="162">
        <v>2016</v>
      </c>
      <c r="BI12" s="162" t="s">
        <v>64</v>
      </c>
      <c r="BJ12" s="430">
        <v>2017</v>
      </c>
      <c r="BK12" s="430">
        <v>2017</v>
      </c>
      <c r="BL12" s="430">
        <v>2017</v>
      </c>
      <c r="BM12" s="430">
        <v>2017</v>
      </c>
      <c r="BN12" s="430">
        <v>2017</v>
      </c>
      <c r="BO12" s="162" t="s">
        <v>20</v>
      </c>
      <c r="BP12" s="163" t="s">
        <v>21</v>
      </c>
      <c r="BQ12" s="162" t="s">
        <v>22</v>
      </c>
      <c r="BR12" s="1246"/>
      <c r="BS12" s="1246"/>
      <c r="BT12" s="430">
        <v>2017</v>
      </c>
      <c r="BU12" s="430">
        <v>2017</v>
      </c>
      <c r="BV12" s="430">
        <v>2017</v>
      </c>
      <c r="BW12" s="430">
        <v>2017</v>
      </c>
      <c r="BX12" s="430">
        <v>2017</v>
      </c>
      <c r="BY12" s="430">
        <v>2017</v>
      </c>
      <c r="BZ12" s="430">
        <v>2017</v>
      </c>
      <c r="CA12" s="162">
        <v>2017</v>
      </c>
      <c r="CB12" s="162" t="s">
        <v>64</v>
      </c>
      <c r="CC12" s="162">
        <v>2018</v>
      </c>
      <c r="CD12" s="162">
        <v>2018</v>
      </c>
      <c r="CE12" s="162">
        <v>2018</v>
      </c>
      <c r="CF12" s="162">
        <v>2018</v>
      </c>
      <c r="CG12" s="162">
        <v>2018</v>
      </c>
      <c r="CH12" s="1248"/>
      <c r="CI12" s="1248"/>
      <c r="CJ12" s="162" t="s">
        <v>20</v>
      </c>
      <c r="CK12" s="163" t="s">
        <v>21</v>
      </c>
      <c r="CL12" s="162" t="s">
        <v>22</v>
      </c>
      <c r="CM12" s="1246"/>
      <c r="CN12" s="1246"/>
      <c r="CO12" s="162">
        <v>2018</v>
      </c>
      <c r="CP12" s="162">
        <v>2018</v>
      </c>
      <c r="CQ12" s="162">
        <v>2018</v>
      </c>
      <c r="CR12" s="162">
        <v>2018</v>
      </c>
      <c r="CS12" s="162">
        <v>2018</v>
      </c>
      <c r="CT12" s="162">
        <v>2018</v>
      </c>
      <c r="CU12" s="162">
        <v>2018</v>
      </c>
      <c r="CV12" s="162">
        <v>2019</v>
      </c>
      <c r="CW12" s="162">
        <v>2019</v>
      </c>
      <c r="CX12" s="162">
        <v>2019</v>
      </c>
      <c r="CY12" s="162">
        <v>2019</v>
      </c>
      <c r="CZ12" s="162">
        <v>2019</v>
      </c>
      <c r="DA12" s="162">
        <v>2019</v>
      </c>
      <c r="DB12" s="162">
        <v>2019</v>
      </c>
      <c r="DC12" s="162">
        <v>2019</v>
      </c>
      <c r="DD12" s="162">
        <v>2019</v>
      </c>
      <c r="DE12" s="162">
        <v>2019</v>
      </c>
      <c r="DF12" s="162">
        <v>2019</v>
      </c>
      <c r="DG12" s="1248"/>
      <c r="DH12" s="1248"/>
    </row>
    <row r="13" spans="1:112" s="16" customFormat="1" x14ac:dyDescent="0.2">
      <c r="A13" s="120" t="s">
        <v>168</v>
      </c>
      <c r="B13" s="120"/>
      <c r="C13" s="124"/>
      <c r="D13" s="111"/>
      <c r="E13" s="130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19"/>
      <c r="S13" s="119"/>
      <c r="T13" s="134"/>
      <c r="U13" s="134"/>
      <c r="V13" s="134"/>
      <c r="W13" s="134"/>
      <c r="X13" s="134"/>
      <c r="Y13" s="108"/>
      <c r="Z13" s="66"/>
      <c r="AA13" s="66"/>
      <c r="AB13" s="81"/>
      <c r="AC13" s="66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73"/>
      <c r="AO13" s="55"/>
      <c r="AP13" s="55"/>
      <c r="AQ13" s="55"/>
      <c r="AR13" s="55"/>
      <c r="AS13" s="55"/>
      <c r="AT13" s="55"/>
      <c r="AU13" s="55"/>
      <c r="AV13" s="66"/>
      <c r="AW13" s="81"/>
      <c r="AX13" s="66"/>
      <c r="AY13" s="65"/>
      <c r="AZ13" s="6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66"/>
      <c r="BP13" s="81"/>
      <c r="BQ13" s="66"/>
      <c r="BR13" s="65"/>
      <c r="BS13" s="65"/>
      <c r="BT13" s="55"/>
      <c r="BU13" s="55"/>
      <c r="BV13" s="55"/>
      <c r="BW13" s="55"/>
      <c r="BX13" s="55"/>
      <c r="BY13" s="55"/>
      <c r="BZ13" s="55"/>
      <c r="CA13" s="55"/>
      <c r="CB13" s="55"/>
      <c r="CC13" s="968"/>
      <c r="CD13" s="968"/>
      <c r="CE13" s="968"/>
      <c r="CF13" s="968"/>
      <c r="CG13" s="505"/>
      <c r="CH13" s="505"/>
      <c r="CI13" s="50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</row>
    <row r="14" spans="1:112" s="16" customFormat="1" x14ac:dyDescent="0.2">
      <c r="A14" s="120" t="s">
        <v>147</v>
      </c>
      <c r="B14" s="126"/>
      <c r="C14" s="45"/>
      <c r="D14" s="8"/>
      <c r="E14" s="130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19"/>
      <c r="S14" s="119"/>
      <c r="T14" s="134"/>
      <c r="U14" s="134"/>
      <c r="V14" s="134"/>
      <c r="W14" s="134"/>
      <c r="X14" s="134"/>
      <c r="Y14" s="108"/>
      <c r="Z14" s="66"/>
      <c r="AA14" s="66"/>
      <c r="AB14" s="112"/>
      <c r="AC14" s="66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73"/>
      <c r="AO14" s="55"/>
      <c r="AP14" s="55"/>
      <c r="AQ14" s="55"/>
      <c r="AR14" s="55"/>
      <c r="AS14" s="55"/>
      <c r="AT14" s="55"/>
      <c r="AU14" s="55"/>
      <c r="AV14" s="66"/>
      <c r="AW14" s="112"/>
      <c r="AX14" s="66"/>
      <c r="AY14" s="65"/>
      <c r="AZ14" s="6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66"/>
      <c r="BP14" s="112"/>
      <c r="BQ14" s="66"/>
      <c r="BR14" s="65"/>
      <c r="BS14" s="6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05"/>
      <c r="CI14" s="681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</row>
    <row r="15" spans="1:112" s="16" customFormat="1" x14ac:dyDescent="0.2">
      <c r="A15" s="119" t="s">
        <v>169</v>
      </c>
      <c r="B15" s="100" t="s">
        <v>170</v>
      </c>
      <c r="C15" s="45" t="s">
        <v>361</v>
      </c>
      <c r="D15" s="125">
        <v>3</v>
      </c>
      <c r="E15" s="127">
        <v>0.33329999999999999</v>
      </c>
      <c r="F15" s="46">
        <v>43281</v>
      </c>
      <c r="G15" s="58">
        <v>36</v>
      </c>
      <c r="H15" s="145">
        <f>100/G15</f>
        <v>2.7777777777777777</v>
      </c>
      <c r="I15" s="165">
        <f>H15*J15</f>
        <v>183.33333333333331</v>
      </c>
      <c r="J15" s="48">
        <f>(YEAR(F15)-YEAR(S15))*12+MONTH(F15)-MONTH(S15)</f>
        <v>66</v>
      </c>
      <c r="K15" s="165">
        <f>L15*H15</f>
        <v>-83.333333333333329</v>
      </c>
      <c r="L15" s="48">
        <f>G15-J15</f>
        <v>-30</v>
      </c>
      <c r="M15" s="165">
        <f>N15*H15</f>
        <v>16.666666666666664</v>
      </c>
      <c r="N15" s="48">
        <v>6</v>
      </c>
      <c r="O15" s="165">
        <f>K15-M15</f>
        <v>-100</v>
      </c>
      <c r="P15" s="48">
        <f>L15-N15</f>
        <v>-36</v>
      </c>
      <c r="Q15" s="462">
        <f>DATE(YEAR(S15),MONTH(S15)+G15,DAY(S15))</f>
        <v>42351</v>
      </c>
      <c r="R15" s="125" t="s">
        <v>360</v>
      </c>
      <c r="S15" s="128">
        <v>41256</v>
      </c>
      <c r="T15" s="7">
        <v>26913.06</v>
      </c>
      <c r="U15" s="72">
        <v>140.46</v>
      </c>
      <c r="V15" s="776">
        <v>8970.1209660000004</v>
      </c>
      <c r="W15" s="776">
        <v>8972.8161360000031</v>
      </c>
      <c r="X15" s="55">
        <v>747.51</v>
      </c>
      <c r="Y15" s="106">
        <f>X15*5</f>
        <v>3737.55</v>
      </c>
      <c r="Z15" s="258">
        <f>W15-Y15</f>
        <v>5235.2661360000029</v>
      </c>
      <c r="AA15" s="57">
        <v>115.958</v>
      </c>
      <c r="AB15" s="145">
        <v>107.246</v>
      </c>
      <c r="AC15" s="57">
        <f>AA15/AB15</f>
        <v>1.0812337989295639</v>
      </c>
      <c r="AD15" s="55">
        <f>Z15*M15/100/K15*100/7</f>
        <v>-149.57903245714292</v>
      </c>
      <c r="AE15" s="55">
        <f>AD15*AC15</f>
        <v>-161.72990550384517</v>
      </c>
      <c r="AF15" s="55">
        <f>AE15</f>
        <v>-161.72990550384517</v>
      </c>
      <c r="AG15" s="55">
        <v>808.64952751922624</v>
      </c>
      <c r="AH15" s="55">
        <v>808.64952751922624</v>
      </c>
      <c r="AI15" s="55">
        <v>808.64952751922624</v>
      </c>
      <c r="AJ15" s="55">
        <v>808.64952751922624</v>
      </c>
      <c r="AK15" s="55">
        <v>808.64952751922624</v>
      </c>
      <c r="AL15" s="55">
        <v>382.37</v>
      </c>
      <c r="AM15" s="55">
        <f>SUM(AF15:AL15)</f>
        <v>4263.8877320922866</v>
      </c>
      <c r="AN15" s="72">
        <f>Z15-AM15</f>
        <v>971.37840390771635</v>
      </c>
      <c r="AO15" s="55"/>
      <c r="AP15" s="55"/>
      <c r="AQ15" s="55"/>
      <c r="AR15" s="55"/>
      <c r="AS15" s="55"/>
      <c r="AT15" s="55"/>
      <c r="AU15" s="55"/>
      <c r="AV15" s="57">
        <v>118.901</v>
      </c>
      <c r="AW15" s="145">
        <v>107.246</v>
      </c>
      <c r="AX15" s="57">
        <f>AV15/AW15</f>
        <v>1.1086753818324226</v>
      </c>
      <c r="AY15" s="55">
        <f>T15/(D15*12)</f>
        <v>747.58500000000004</v>
      </c>
      <c r="AZ15" s="55">
        <f>AY15*AX15</f>
        <v>828.82908532719171</v>
      </c>
      <c r="BA15" s="55"/>
      <c r="BB15" s="55"/>
      <c r="BC15" s="55"/>
      <c r="BD15" s="55"/>
      <c r="BE15" s="55"/>
      <c r="BF15" s="55"/>
      <c r="BG15" s="55"/>
      <c r="BH15" s="55">
        <f>SUM((AQ15:AU15),(BA15:BG15))</f>
        <v>0</v>
      </c>
      <c r="BI15" s="448">
        <v>0.99897088464513217</v>
      </c>
      <c r="BJ15" s="55"/>
      <c r="BK15" s="55"/>
      <c r="BL15" s="55"/>
      <c r="BM15" s="55"/>
      <c r="BN15" s="55"/>
      <c r="BO15" s="57"/>
      <c r="BP15" s="145">
        <v>107.246</v>
      </c>
      <c r="BQ15" s="57">
        <f>BO15/BP15</f>
        <v>0</v>
      </c>
      <c r="BR15" s="55">
        <v>0</v>
      </c>
      <c r="BS15" s="55">
        <f>BR15*BQ15</f>
        <v>0</v>
      </c>
      <c r="BT15" s="55"/>
      <c r="BU15" s="55"/>
      <c r="BV15" s="55"/>
      <c r="BW15" s="55"/>
      <c r="BX15" s="55"/>
      <c r="BY15" s="55"/>
      <c r="BZ15" s="55"/>
      <c r="CA15" s="55">
        <f>SUM((BJ15:BN15),(BT15:BZ15))</f>
        <v>0</v>
      </c>
      <c r="CB15" s="448">
        <f>BI15-CA15</f>
        <v>0.99897088464513217</v>
      </c>
      <c r="CC15" s="55">
        <v>0</v>
      </c>
      <c r="CD15" s="55">
        <v>0</v>
      </c>
      <c r="CE15" s="55">
        <v>0</v>
      </c>
      <c r="CF15" s="55">
        <v>0</v>
      </c>
      <c r="CG15" s="55">
        <v>0</v>
      </c>
      <c r="CH15" s="505">
        <f>SUM(CC15:CG15)</f>
        <v>0</v>
      </c>
      <c r="CI15" s="679">
        <f>CB15-CH15</f>
        <v>0.99897088464513217</v>
      </c>
      <c r="CJ15" s="956">
        <v>132.28200000000001</v>
      </c>
      <c r="CK15" s="145">
        <v>107.246</v>
      </c>
      <c r="CL15" s="957">
        <f>CJ15/CK15</f>
        <v>1.2334446039945548</v>
      </c>
      <c r="CM15" s="511">
        <v>0</v>
      </c>
      <c r="CN15" s="511">
        <v>0</v>
      </c>
      <c r="CO15" s="1039">
        <v>0</v>
      </c>
      <c r="CP15" s="1039">
        <v>0</v>
      </c>
      <c r="CQ15" s="511"/>
      <c r="CR15" s="511"/>
      <c r="CS15" s="511"/>
      <c r="CT15" s="511"/>
      <c r="CU15" s="511"/>
      <c r="CV15" s="511"/>
      <c r="CW15" s="511"/>
      <c r="CX15" s="511"/>
      <c r="CY15" s="511"/>
      <c r="CZ15" s="511"/>
      <c r="DA15" s="511"/>
      <c r="DB15" s="511"/>
      <c r="DC15" s="511"/>
      <c r="DD15" s="511"/>
      <c r="DE15" s="511"/>
      <c r="DF15" s="511"/>
      <c r="DG15" s="511">
        <f>SUM(CO15:CU15)</f>
        <v>0</v>
      </c>
      <c r="DH15" s="756">
        <f>CI15-DG15</f>
        <v>0.99897088464513217</v>
      </c>
    </row>
    <row r="16" spans="1:112" s="16" customFormat="1" ht="13.5" x14ac:dyDescent="0.25">
      <c r="A16" s="120" t="s">
        <v>171</v>
      </c>
      <c r="B16" s="120"/>
      <c r="C16" s="45"/>
      <c r="D16" s="125"/>
      <c r="E16" s="32"/>
      <c r="F16" s="119"/>
      <c r="G16" s="58"/>
      <c r="H16" s="145"/>
      <c r="I16" s="165"/>
      <c r="J16" s="48"/>
      <c r="K16" s="165"/>
      <c r="L16" s="48"/>
      <c r="M16" s="165"/>
      <c r="N16" s="48"/>
      <c r="O16" s="165"/>
      <c r="P16" s="48"/>
      <c r="Q16" s="48"/>
      <c r="R16" s="125"/>
      <c r="S16" s="149"/>
      <c r="T16" s="116"/>
      <c r="U16" s="72"/>
      <c r="V16" s="776"/>
      <c r="W16" s="776"/>
      <c r="X16" s="55"/>
      <c r="Y16" s="106"/>
      <c r="Z16" s="258"/>
      <c r="AA16" s="57"/>
      <c r="AB16" s="145"/>
      <c r="AC16" s="57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72"/>
      <c r="AO16" s="55"/>
      <c r="AP16" s="55"/>
      <c r="AQ16" s="55"/>
      <c r="AR16" s="55"/>
      <c r="AS16" s="55"/>
      <c r="AT16" s="55"/>
      <c r="AU16" s="55"/>
      <c r="AV16" s="57"/>
      <c r="AW16" s="145"/>
      <c r="AX16" s="57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448"/>
      <c r="BJ16" s="55"/>
      <c r="BK16" s="55"/>
      <c r="BL16" s="55"/>
      <c r="BM16" s="55"/>
      <c r="BN16" s="55"/>
      <c r="BO16" s="57"/>
      <c r="BP16" s="145"/>
      <c r="BQ16" s="57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448"/>
      <c r="CC16" s="55"/>
      <c r="CD16" s="55"/>
      <c r="CE16" s="55"/>
      <c r="CF16" s="55"/>
      <c r="CG16" s="55"/>
      <c r="CH16" s="505"/>
      <c r="CI16" s="679"/>
      <c r="CJ16" s="511"/>
      <c r="CK16" s="145"/>
      <c r="CL16" s="957"/>
      <c r="CM16" s="511"/>
      <c r="CN16" s="511"/>
      <c r="CO16" s="1039"/>
      <c r="CP16" s="1039"/>
      <c r="CQ16" s="511"/>
      <c r="CR16" s="511"/>
      <c r="CS16" s="511"/>
      <c r="CT16" s="511"/>
      <c r="CU16" s="511"/>
      <c r="CV16" s="511"/>
      <c r="CW16" s="511"/>
      <c r="CX16" s="511"/>
      <c r="CY16" s="511"/>
      <c r="CZ16" s="511"/>
      <c r="DA16" s="511"/>
      <c r="DB16" s="511"/>
      <c r="DC16" s="511"/>
      <c r="DD16" s="511"/>
      <c r="DE16" s="511"/>
      <c r="DF16" s="511"/>
      <c r="DG16" s="511"/>
      <c r="DH16" s="511"/>
    </row>
    <row r="17" spans="1:115" s="16" customFormat="1" ht="13.5" x14ac:dyDescent="0.25">
      <c r="A17" s="120" t="s">
        <v>172</v>
      </c>
      <c r="B17" s="126"/>
      <c r="C17" s="45"/>
      <c r="D17" s="125"/>
      <c r="E17" s="32"/>
      <c r="F17" s="119"/>
      <c r="G17" s="58"/>
      <c r="H17" s="145"/>
      <c r="I17" s="165"/>
      <c r="J17" s="48"/>
      <c r="K17" s="165"/>
      <c r="L17" s="48"/>
      <c r="M17" s="165"/>
      <c r="N17" s="48"/>
      <c r="O17" s="165"/>
      <c r="P17" s="48"/>
      <c r="Q17" s="48"/>
      <c r="R17" s="125"/>
      <c r="S17" s="149"/>
      <c r="T17" s="116"/>
      <c r="U17" s="72"/>
      <c r="V17" s="776"/>
      <c r="W17" s="776"/>
      <c r="X17" s="55"/>
      <c r="Y17" s="106"/>
      <c r="Z17" s="258"/>
      <c r="AA17" s="57"/>
      <c r="AB17" s="145"/>
      <c r="AC17" s="57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72"/>
      <c r="AO17" s="55"/>
      <c r="AP17" s="55"/>
      <c r="AQ17" s="55"/>
      <c r="AR17" s="55"/>
      <c r="AS17" s="55"/>
      <c r="AT17" s="55"/>
      <c r="AU17" s="55"/>
      <c r="AV17" s="57"/>
      <c r="AW17" s="145"/>
      <c r="AX17" s="57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448"/>
      <c r="BJ17" s="55"/>
      <c r="BK17" s="55"/>
      <c r="BL17" s="55"/>
      <c r="BM17" s="55"/>
      <c r="BN17" s="55"/>
      <c r="BO17" s="57"/>
      <c r="BP17" s="145"/>
      <c r="BQ17" s="57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448"/>
      <c r="CC17" s="55"/>
      <c r="CD17" s="55"/>
      <c r="CE17" s="55"/>
      <c r="CF17" s="55"/>
      <c r="CG17" s="55"/>
      <c r="CH17" s="505"/>
      <c r="CI17" s="679"/>
      <c r="CJ17" s="623"/>
      <c r="CK17" s="145"/>
      <c r="CL17" s="957"/>
      <c r="CM17" s="511"/>
      <c r="CN17" s="511"/>
      <c r="CO17" s="1039"/>
      <c r="CP17" s="1039"/>
      <c r="CQ17" s="511"/>
      <c r="CR17" s="511"/>
      <c r="CS17" s="511"/>
      <c r="CT17" s="511"/>
      <c r="CU17" s="511"/>
      <c r="CV17" s="511"/>
      <c r="CW17" s="511"/>
      <c r="CX17" s="511"/>
      <c r="CY17" s="511"/>
      <c r="CZ17" s="511"/>
      <c r="DA17" s="511"/>
      <c r="DB17" s="511"/>
      <c r="DC17" s="511"/>
      <c r="DD17" s="511"/>
      <c r="DE17" s="511"/>
      <c r="DF17" s="511"/>
      <c r="DG17" s="511"/>
      <c r="DH17" s="511"/>
    </row>
    <row r="18" spans="1:115" s="16" customFormat="1" x14ac:dyDescent="0.2">
      <c r="A18" s="119" t="s">
        <v>173</v>
      </c>
      <c r="B18" s="100" t="s">
        <v>174</v>
      </c>
      <c r="C18" s="45" t="s">
        <v>361</v>
      </c>
      <c r="D18" s="125">
        <v>3</v>
      </c>
      <c r="E18" s="127">
        <v>0.33329999999999999</v>
      </c>
      <c r="F18" s="46">
        <v>43281</v>
      </c>
      <c r="G18" s="58">
        <v>36</v>
      </c>
      <c r="H18" s="145">
        <f>100/G18</f>
        <v>2.7777777777777777</v>
      </c>
      <c r="I18" s="165">
        <f>H18*J18</f>
        <v>183.33333333333331</v>
      </c>
      <c r="J18" s="48">
        <f>(YEAR(F18)-YEAR(S18))*12+MONTH(F18)-MONTH(S18)</f>
        <v>66</v>
      </c>
      <c r="K18" s="165">
        <f>L18*H18</f>
        <v>-83.333333333333329</v>
      </c>
      <c r="L18" s="48">
        <f>G18-J18</f>
        <v>-30</v>
      </c>
      <c r="M18" s="165">
        <f>N18*H18</f>
        <v>16.666666666666664</v>
      </c>
      <c r="N18" s="48">
        <v>6</v>
      </c>
      <c r="O18" s="165">
        <f>K18-M18</f>
        <v>-100</v>
      </c>
      <c r="P18" s="48">
        <f>L18-N18</f>
        <v>-36</v>
      </c>
      <c r="Q18" s="462">
        <f>DATE(YEAR(S18),MONTH(S18)+G18,DAY(S18))</f>
        <v>42351</v>
      </c>
      <c r="R18" s="125" t="s">
        <v>360</v>
      </c>
      <c r="S18" s="128">
        <v>41256</v>
      </c>
      <c r="T18" s="7">
        <v>1590</v>
      </c>
      <c r="U18" s="72">
        <v>270.45</v>
      </c>
      <c r="V18" s="776">
        <v>529.92899999999986</v>
      </c>
      <c r="W18" s="776">
        <v>530.12400000000002</v>
      </c>
      <c r="X18" s="55">
        <v>44.16</v>
      </c>
      <c r="Y18" s="106">
        <f>X18*5</f>
        <v>220.79999999999998</v>
      </c>
      <c r="Z18" s="258">
        <f>W18-Y18</f>
        <v>309.32400000000007</v>
      </c>
      <c r="AA18" s="57">
        <v>115.958</v>
      </c>
      <c r="AB18" s="145">
        <v>107.246</v>
      </c>
      <c r="AC18" s="57">
        <f>AA18/AB18</f>
        <v>1.0812337989295639</v>
      </c>
      <c r="AD18" s="55">
        <f>Z18*M18/100/K18*100/7</f>
        <v>-8.837828571428572</v>
      </c>
      <c r="AE18" s="55">
        <f>AD18*AC18</f>
        <v>-9.5557589605739555</v>
      </c>
      <c r="AF18" s="55">
        <f>AE18</f>
        <v>-9.5557589605739555</v>
      </c>
      <c r="AG18" s="55">
        <v>47.77879480286979</v>
      </c>
      <c r="AH18" s="55">
        <v>47.77879480286979</v>
      </c>
      <c r="AI18" s="55">
        <v>47.77879480286979</v>
      </c>
      <c r="AJ18" s="55">
        <v>47.77879480286979</v>
      </c>
      <c r="AK18" s="55">
        <v>47.77879480286979</v>
      </c>
      <c r="AL18" s="55">
        <v>21.65</v>
      </c>
      <c r="AM18" s="55">
        <f>SUM(AF18:AL18)</f>
        <v>250.98821505377498</v>
      </c>
      <c r="AN18" s="72">
        <f>Z18-AM18</f>
        <v>58.33578494622509</v>
      </c>
      <c r="AO18" s="55"/>
      <c r="AP18" s="55"/>
      <c r="AQ18" s="55"/>
      <c r="AR18" s="55"/>
      <c r="AS18" s="55"/>
      <c r="AT18" s="55"/>
      <c r="AU18" s="55"/>
      <c r="AV18" s="57">
        <v>118.901</v>
      </c>
      <c r="AW18" s="145">
        <v>107.246</v>
      </c>
      <c r="AX18" s="57">
        <f>AV18/AW18</f>
        <v>1.1086753818324226</v>
      </c>
      <c r="AY18" s="55">
        <f>T18/(D18*12)</f>
        <v>44.166666666666664</v>
      </c>
      <c r="AZ18" s="55">
        <f>AY18*AX18</f>
        <v>48.966496030931999</v>
      </c>
      <c r="BA18" s="55"/>
      <c r="BB18" s="55"/>
      <c r="BC18" s="55"/>
      <c r="BD18" s="55"/>
      <c r="BE18" s="55"/>
      <c r="BF18" s="55"/>
      <c r="BG18" s="55"/>
      <c r="BH18" s="55">
        <f>SUM((AQ18:AU18),(BA18:BG18))</f>
        <v>0</v>
      </c>
      <c r="BI18" s="448">
        <v>1.0012311827813392</v>
      </c>
      <c r="BJ18" s="55"/>
      <c r="BK18" s="55"/>
      <c r="BL18" s="55"/>
      <c r="BM18" s="55"/>
      <c r="BN18" s="55"/>
      <c r="BO18" s="57">
        <v>118.901</v>
      </c>
      <c r="BP18" s="145">
        <v>107.246</v>
      </c>
      <c r="BQ18" s="57">
        <f>BO18/BP18</f>
        <v>1.1086753818324226</v>
      </c>
      <c r="BR18" s="55">
        <v>0</v>
      </c>
      <c r="BS18" s="55">
        <f>BR18*BQ18</f>
        <v>0</v>
      </c>
      <c r="BT18" s="55">
        <v>0</v>
      </c>
      <c r="BU18" s="55">
        <v>0</v>
      </c>
      <c r="BV18" s="55"/>
      <c r="BW18" s="55"/>
      <c r="BX18" s="55"/>
      <c r="BY18" s="55"/>
      <c r="BZ18" s="55"/>
      <c r="CA18" s="55"/>
      <c r="CB18" s="448">
        <f>BI18-CA18</f>
        <v>1.0012311827813392</v>
      </c>
      <c r="CC18" s="55">
        <v>0</v>
      </c>
      <c r="CD18" s="55">
        <v>0</v>
      </c>
      <c r="CE18" s="55">
        <v>0</v>
      </c>
      <c r="CF18" s="55">
        <v>0</v>
      </c>
      <c r="CG18" s="55">
        <v>0</v>
      </c>
      <c r="CH18" s="505">
        <f t="shared" ref="CH18:CH37" si="0">SUM(CC18:CG18)</f>
        <v>0</v>
      </c>
      <c r="CI18" s="679">
        <f t="shared" ref="CI18:CI37" si="1">CB18-CH18</f>
        <v>1.0012311827813392</v>
      </c>
      <c r="CJ18" s="956">
        <v>132.28200000000001</v>
      </c>
      <c r="CK18" s="145">
        <v>107.246</v>
      </c>
      <c r="CL18" s="957">
        <f>CJ18/CK18</f>
        <v>1.2334446039945548</v>
      </c>
      <c r="CM18" s="511">
        <v>0</v>
      </c>
      <c r="CN18" s="511">
        <v>0</v>
      </c>
      <c r="CO18" s="1039">
        <v>0</v>
      </c>
      <c r="CP18" s="1039">
        <v>0</v>
      </c>
      <c r="CQ18" s="511">
        <v>0</v>
      </c>
      <c r="CR18" s="511">
        <v>0</v>
      </c>
      <c r="CS18" s="511">
        <v>0</v>
      </c>
      <c r="CT18" s="511">
        <v>0</v>
      </c>
      <c r="CU18" s="511">
        <v>0</v>
      </c>
      <c r="CV18" s="511">
        <v>0</v>
      </c>
      <c r="CW18" s="511">
        <v>0</v>
      </c>
      <c r="CX18" s="511">
        <v>0</v>
      </c>
      <c r="CY18" s="511">
        <v>0</v>
      </c>
      <c r="CZ18" s="511">
        <v>0</v>
      </c>
      <c r="DA18" s="511">
        <v>0</v>
      </c>
      <c r="DB18" s="511">
        <v>0</v>
      </c>
      <c r="DC18" s="511">
        <v>0</v>
      </c>
      <c r="DD18" s="511">
        <v>0</v>
      </c>
      <c r="DE18" s="511">
        <v>0</v>
      </c>
      <c r="DF18" s="511">
        <v>0</v>
      </c>
      <c r="DG18" s="511">
        <f>SUM(CO18:CU18)</f>
        <v>0</v>
      </c>
      <c r="DH18" s="756">
        <f>CI18-DG18</f>
        <v>1.0012311827813392</v>
      </c>
    </row>
    <row r="19" spans="1:115" s="16" customFormat="1" x14ac:dyDescent="0.2">
      <c r="A19" s="120" t="s">
        <v>146</v>
      </c>
      <c r="B19" s="120"/>
      <c r="C19" s="45"/>
      <c r="D19" s="125"/>
      <c r="E19" s="127"/>
      <c r="F19" s="119"/>
      <c r="G19" s="58"/>
      <c r="H19" s="145"/>
      <c r="I19" s="165"/>
      <c r="J19" s="48"/>
      <c r="K19" s="165"/>
      <c r="L19" s="48"/>
      <c r="M19" s="165"/>
      <c r="N19" s="48"/>
      <c r="O19" s="165"/>
      <c r="P19" s="48"/>
      <c r="Q19" s="48"/>
      <c r="R19" s="125"/>
      <c r="S19" s="128"/>
      <c r="T19" s="7"/>
      <c r="U19" s="72"/>
      <c r="V19" s="776"/>
      <c r="W19" s="776"/>
      <c r="X19" s="55"/>
      <c r="Y19" s="106"/>
      <c r="Z19" s="258"/>
      <c r="AA19" s="57"/>
      <c r="AB19" s="80"/>
      <c r="AC19" s="57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72"/>
      <c r="AO19" s="55"/>
      <c r="AP19" s="55"/>
      <c r="AQ19" s="55"/>
      <c r="AR19" s="55"/>
      <c r="AS19" s="55"/>
      <c r="AT19" s="55"/>
      <c r="AU19" s="55"/>
      <c r="AV19" s="57"/>
      <c r="AW19" s="80"/>
      <c r="AX19" s="57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448"/>
      <c r="BJ19" s="55"/>
      <c r="BK19" s="55"/>
      <c r="BL19" s="55"/>
      <c r="BM19" s="55"/>
      <c r="BN19" s="55"/>
      <c r="BO19" s="57"/>
      <c r="BP19" s="80"/>
      <c r="BQ19" s="57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448"/>
      <c r="CC19" s="55"/>
      <c r="CD19" s="55"/>
      <c r="CE19" s="55"/>
      <c r="CF19" s="55"/>
      <c r="CG19" s="55"/>
      <c r="CH19" s="505"/>
      <c r="CI19" s="679"/>
      <c r="CJ19" s="623"/>
      <c r="CK19" s="80"/>
      <c r="CL19" s="957"/>
      <c r="CM19" s="511"/>
      <c r="CN19" s="511"/>
      <c r="CO19" s="1039"/>
      <c r="CP19" s="1039"/>
      <c r="CQ19" s="511"/>
      <c r="CR19" s="511"/>
      <c r="CS19" s="511"/>
      <c r="CT19" s="511"/>
      <c r="CU19" s="511"/>
      <c r="CV19" s="511"/>
      <c r="CW19" s="511"/>
      <c r="CX19" s="511"/>
      <c r="CY19" s="511"/>
      <c r="CZ19" s="511"/>
      <c r="DA19" s="511"/>
      <c r="DB19" s="511"/>
      <c r="DC19" s="511"/>
      <c r="DD19" s="511"/>
      <c r="DE19" s="511"/>
      <c r="DF19" s="511"/>
      <c r="DG19" s="511"/>
      <c r="DH19" s="511"/>
    </row>
    <row r="20" spans="1:115" s="16" customFormat="1" x14ac:dyDescent="0.2">
      <c r="A20" s="120" t="s">
        <v>178</v>
      </c>
      <c r="B20" s="100"/>
      <c r="C20" s="45"/>
      <c r="D20" s="125"/>
      <c r="E20" s="127"/>
      <c r="F20" s="119"/>
      <c r="G20" s="8"/>
      <c r="H20" s="145"/>
      <c r="I20" s="165"/>
      <c r="J20" s="48"/>
      <c r="K20" s="165"/>
      <c r="L20" s="48"/>
      <c r="M20" s="165"/>
      <c r="N20" s="48"/>
      <c r="O20" s="165"/>
      <c r="P20" s="48"/>
      <c r="Q20" s="48"/>
      <c r="R20" s="125"/>
      <c r="S20" s="128"/>
      <c r="T20" s="7"/>
      <c r="U20" s="72"/>
      <c r="V20" s="776"/>
      <c r="W20" s="776"/>
      <c r="X20" s="55"/>
      <c r="Y20" s="106"/>
      <c r="Z20" s="258"/>
      <c r="AA20" s="57"/>
      <c r="AB20" s="80"/>
      <c r="AC20" s="57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72"/>
      <c r="AO20" s="55"/>
      <c r="AP20" s="55"/>
      <c r="AQ20" s="55"/>
      <c r="AR20" s="55"/>
      <c r="AS20" s="55"/>
      <c r="AT20" s="55"/>
      <c r="AU20" s="55"/>
      <c r="AV20" s="57"/>
      <c r="AW20" s="80"/>
      <c r="AX20" s="57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448"/>
      <c r="BJ20" s="55"/>
      <c r="BK20" s="55"/>
      <c r="BL20" s="55"/>
      <c r="BM20" s="55"/>
      <c r="BN20" s="55"/>
      <c r="BO20" s="57"/>
      <c r="BP20" s="80"/>
      <c r="BQ20" s="57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448"/>
      <c r="CC20" s="55"/>
      <c r="CD20" s="55"/>
      <c r="CE20" s="55"/>
      <c r="CF20" s="55"/>
      <c r="CG20" s="55"/>
      <c r="CH20" s="505"/>
      <c r="CI20" s="679"/>
      <c r="CJ20" s="505"/>
      <c r="CK20" s="80"/>
      <c r="CL20" s="505"/>
      <c r="CM20" s="55"/>
      <c r="CN20" s="55"/>
      <c r="CO20" s="1040"/>
      <c r="CP20" s="1040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394"/>
      <c r="DI20" s="479"/>
      <c r="DJ20" s="479"/>
      <c r="DK20" s="479"/>
    </row>
    <row r="21" spans="1:115" s="16" customFormat="1" x14ac:dyDescent="0.2">
      <c r="A21" s="119" t="s">
        <v>175</v>
      </c>
      <c r="B21" s="100" t="s">
        <v>30</v>
      </c>
      <c r="C21" s="45" t="s">
        <v>361</v>
      </c>
      <c r="D21" s="125">
        <v>10</v>
      </c>
      <c r="E21" s="127">
        <v>0.1</v>
      </c>
      <c r="F21" s="46">
        <v>43281</v>
      </c>
      <c r="G21" s="58">
        <v>120</v>
      </c>
      <c r="H21" s="145">
        <f>100/G21</f>
        <v>0.83333333333333337</v>
      </c>
      <c r="I21" s="165">
        <f>H21*J21</f>
        <v>55</v>
      </c>
      <c r="J21" s="48">
        <f>(YEAR(F21)-YEAR(S21))*12+MONTH(F21)-MONTH(S21)</f>
        <v>66</v>
      </c>
      <c r="K21" s="165">
        <f>L21*H21</f>
        <v>45</v>
      </c>
      <c r="L21" s="48">
        <f>G21-J21</f>
        <v>54</v>
      </c>
      <c r="M21" s="165">
        <f>N21*H21</f>
        <v>5.8333333333333339</v>
      </c>
      <c r="N21" s="48">
        <v>7</v>
      </c>
      <c r="O21" s="165">
        <f>K21-M21</f>
        <v>39.166666666666664</v>
      </c>
      <c r="P21" s="48">
        <f>L21-N21</f>
        <v>47</v>
      </c>
      <c r="Q21" s="462">
        <f>DATE(YEAR(S21),MONTH(S21)+G21,DAY(S21))</f>
        <v>44908</v>
      </c>
      <c r="R21" s="125" t="s">
        <v>360</v>
      </c>
      <c r="S21" s="128">
        <v>41256</v>
      </c>
      <c r="T21" s="7">
        <v>1170</v>
      </c>
      <c r="U21" s="72">
        <v>18.420000000000002</v>
      </c>
      <c r="V21" s="776">
        <v>117</v>
      </c>
      <c r="W21" s="776">
        <v>936</v>
      </c>
      <c r="X21" s="55">
        <v>9.75</v>
      </c>
      <c r="Y21" s="106">
        <f>X21*5</f>
        <v>48.75</v>
      </c>
      <c r="Z21" s="258">
        <f>W21-Y21</f>
        <v>887.25</v>
      </c>
      <c r="AA21" s="57">
        <v>115.958</v>
      </c>
      <c r="AB21" s="145">
        <v>107.246</v>
      </c>
      <c r="AC21" s="57">
        <f>AA21/AB21</f>
        <v>1.0812337989295639</v>
      </c>
      <c r="AD21" s="55">
        <f>Z21*M21/100/K21*100/7</f>
        <v>16.430555555555557</v>
      </c>
      <c r="AE21" s="55">
        <f>AD21*AC21</f>
        <v>17.765272001856587</v>
      </c>
      <c r="AF21" s="55">
        <f>AE21</f>
        <v>17.765272001856587</v>
      </c>
      <c r="AG21" s="55">
        <v>10.659163201113953</v>
      </c>
      <c r="AH21" s="55">
        <v>10.659163201113953</v>
      </c>
      <c r="AI21" s="55">
        <v>10.659163201113953</v>
      </c>
      <c r="AJ21" s="55">
        <v>10.659163201113953</v>
      </c>
      <c r="AK21" s="55">
        <v>10.659163201113953</v>
      </c>
      <c r="AL21" s="55">
        <v>10.659163201113953</v>
      </c>
      <c r="AM21" s="55">
        <f>SUM(AF21:AL21)</f>
        <v>81.720251208540319</v>
      </c>
      <c r="AN21" s="72">
        <f>Z21-AM21</f>
        <v>805.52974879145972</v>
      </c>
      <c r="AO21" s="55"/>
      <c r="AP21" s="55"/>
      <c r="AQ21" s="55">
        <f>$AM21</f>
        <v>81.720251208540319</v>
      </c>
      <c r="AR21" s="55">
        <f>$AM21</f>
        <v>81.720251208540319</v>
      </c>
      <c r="AS21" s="55">
        <f>$AM21</f>
        <v>81.720251208540319</v>
      </c>
      <c r="AT21" s="55">
        <f>$AM21</f>
        <v>81.720251208540319</v>
      </c>
      <c r="AU21" s="55">
        <f>$AM21</f>
        <v>81.720251208540319</v>
      </c>
      <c r="AV21" s="57">
        <v>118.901</v>
      </c>
      <c r="AW21" s="145">
        <v>107.246</v>
      </c>
      <c r="AX21" s="57">
        <f>AV21/AW21</f>
        <v>1.1086753818324226</v>
      </c>
      <c r="AY21" s="55">
        <f>T21/(D21*12)</f>
        <v>9.75</v>
      </c>
      <c r="AZ21" s="55">
        <f>AY21*AX21</f>
        <v>10.809584972866121</v>
      </c>
      <c r="BA21" s="55">
        <f t="shared" ref="BA21:BG22" si="2">$AZ21</f>
        <v>10.809584972866121</v>
      </c>
      <c r="BB21" s="55">
        <f t="shared" si="2"/>
        <v>10.809584972866121</v>
      </c>
      <c r="BC21" s="55">
        <f t="shared" si="2"/>
        <v>10.809584972866121</v>
      </c>
      <c r="BD21" s="55">
        <f t="shared" si="2"/>
        <v>10.809584972866121</v>
      </c>
      <c r="BE21" s="55">
        <f t="shared" si="2"/>
        <v>10.809584972866121</v>
      </c>
      <c r="BF21" s="55">
        <f t="shared" si="2"/>
        <v>10.809584972866121</v>
      </c>
      <c r="BG21" s="55">
        <f t="shared" si="2"/>
        <v>10.809584972866121</v>
      </c>
      <c r="BH21" s="55">
        <f>SUM((AQ21:AU21),(BA21:BG21))</f>
        <v>484.26835085276434</v>
      </c>
      <c r="BI21" s="448">
        <v>309.85012587882068</v>
      </c>
      <c r="BJ21" s="55">
        <f t="shared" ref="BJ21:BN22" si="3">$AZ21</f>
        <v>10.809584972866121</v>
      </c>
      <c r="BK21" s="55">
        <f t="shared" si="3"/>
        <v>10.809584972866121</v>
      </c>
      <c r="BL21" s="55">
        <f t="shared" si="3"/>
        <v>10.809584972866121</v>
      </c>
      <c r="BM21" s="55">
        <f t="shared" si="3"/>
        <v>10.809584972866121</v>
      </c>
      <c r="BN21" s="55">
        <f t="shared" si="3"/>
        <v>10.809584972866121</v>
      </c>
      <c r="BO21" s="57">
        <v>126.408</v>
      </c>
      <c r="BP21" s="145">
        <v>107.246</v>
      </c>
      <c r="BQ21" s="57">
        <f>BO21/BP21</f>
        <v>1.1786733304738639</v>
      </c>
      <c r="BR21" s="55">
        <f>BI21/L21</f>
        <v>5.737965294052235</v>
      </c>
      <c r="BS21" s="55">
        <f>BR21*BQ21</f>
        <v>6.7631866632839914</v>
      </c>
      <c r="BT21" s="55">
        <v>5.53</v>
      </c>
      <c r="BU21" s="55">
        <v>5.53</v>
      </c>
      <c r="BV21" s="55">
        <v>5.53</v>
      </c>
      <c r="BW21" s="55">
        <v>5.53</v>
      </c>
      <c r="BX21" s="55">
        <v>5.53</v>
      </c>
      <c r="BY21" s="55">
        <v>5.53</v>
      </c>
      <c r="BZ21" s="55">
        <v>5.53</v>
      </c>
      <c r="CA21" s="55">
        <f>SUM(BT21:BZ21)</f>
        <v>38.71</v>
      </c>
      <c r="CB21" s="448">
        <f>BI21-CA21</f>
        <v>271.1401258788207</v>
      </c>
      <c r="CC21" s="55">
        <v>5.53</v>
      </c>
      <c r="CD21" s="55">
        <v>5.53</v>
      </c>
      <c r="CE21" s="55">
        <v>5.53</v>
      </c>
      <c r="CF21" s="55">
        <v>5.53</v>
      </c>
      <c r="CG21" s="55">
        <v>5.53</v>
      </c>
      <c r="CH21" s="505">
        <f t="shared" si="0"/>
        <v>27.650000000000002</v>
      </c>
      <c r="CI21" s="679">
        <f t="shared" si="1"/>
        <v>243.49012587882069</v>
      </c>
      <c r="CJ21" s="956">
        <v>132.28200000000001</v>
      </c>
      <c r="CK21" s="145">
        <v>107.246</v>
      </c>
      <c r="CL21" s="957">
        <f>CJ21/CK21</f>
        <v>1.2334446039945548</v>
      </c>
      <c r="CM21" s="511">
        <f>CI21/L21</f>
        <v>4.5090764051633458</v>
      </c>
      <c r="CN21" s="511">
        <v>4.5090764051633458</v>
      </c>
      <c r="CO21" s="1039">
        <v>4.5090764051633458</v>
      </c>
      <c r="CP21" s="1039">
        <v>4.5090764051633458</v>
      </c>
      <c r="CQ21" s="511">
        <f>CP21*CO21</f>
        <v>20.3317700276008</v>
      </c>
      <c r="CR21" s="511">
        <v>4.51</v>
      </c>
      <c r="CS21" s="511">
        <v>4.51</v>
      </c>
      <c r="CT21" s="511">
        <v>4.51</v>
      </c>
      <c r="CU21" s="511">
        <v>4.51</v>
      </c>
      <c r="CV21" s="511">
        <v>4.51</v>
      </c>
      <c r="CW21" s="511">
        <v>4.51</v>
      </c>
      <c r="CX21" s="511">
        <v>4.51</v>
      </c>
      <c r="CY21" s="511">
        <v>4.51</v>
      </c>
      <c r="CZ21" s="511">
        <v>4.51</v>
      </c>
      <c r="DA21" s="511">
        <v>4.51</v>
      </c>
      <c r="DB21" s="511">
        <v>4.51</v>
      </c>
      <c r="DC21" s="511">
        <v>4.51</v>
      </c>
      <c r="DD21" s="511">
        <v>4.51</v>
      </c>
      <c r="DE21" s="511">
        <v>4.51</v>
      </c>
      <c r="DF21" s="511">
        <v>4.51</v>
      </c>
      <c r="DG21" s="511">
        <f>SUM(CO21:DF21)</f>
        <v>96.999922837927514</v>
      </c>
      <c r="DH21" s="756">
        <f>CI21-DG21</f>
        <v>146.49020304089316</v>
      </c>
      <c r="DI21" s="958"/>
      <c r="DJ21" s="958"/>
      <c r="DK21" s="962"/>
    </row>
    <row r="22" spans="1:115" s="16" customFormat="1" x14ac:dyDescent="0.2">
      <c r="A22" s="119" t="s">
        <v>176</v>
      </c>
      <c r="B22" s="100" t="s">
        <v>170</v>
      </c>
      <c r="C22" s="45" t="s">
        <v>361</v>
      </c>
      <c r="D22" s="125">
        <v>10</v>
      </c>
      <c r="E22" s="127">
        <v>0.1</v>
      </c>
      <c r="F22" s="46">
        <v>43281</v>
      </c>
      <c r="G22" s="58">
        <v>120</v>
      </c>
      <c r="H22" s="145">
        <f>100/G22</f>
        <v>0.83333333333333337</v>
      </c>
      <c r="I22" s="165">
        <f>H22*J22</f>
        <v>55</v>
      </c>
      <c r="J22" s="48">
        <f>(YEAR(F22)-YEAR(S22))*12+MONTH(F22)-MONTH(S22)</f>
        <v>66</v>
      </c>
      <c r="K22" s="165">
        <f>L22*H22</f>
        <v>45</v>
      </c>
      <c r="L22" s="48">
        <f>G22-J22</f>
        <v>54</v>
      </c>
      <c r="M22" s="165">
        <f>N22*H22</f>
        <v>5.8333333333333339</v>
      </c>
      <c r="N22" s="48">
        <v>7</v>
      </c>
      <c r="O22" s="165">
        <f>K22-M22</f>
        <v>39.166666666666664</v>
      </c>
      <c r="P22" s="48">
        <f>L22-N22</f>
        <v>47</v>
      </c>
      <c r="Q22" s="462">
        <f>DATE(YEAR(S22),MONTH(S22)+G22,DAY(S22))</f>
        <v>44908</v>
      </c>
      <c r="R22" s="125" t="s">
        <v>360</v>
      </c>
      <c r="S22" s="128">
        <v>41256</v>
      </c>
      <c r="T22" s="7">
        <v>850</v>
      </c>
      <c r="U22" s="72">
        <v>18.420000000000002</v>
      </c>
      <c r="V22" s="776">
        <v>84.973333333333329</v>
      </c>
      <c r="W22" s="776">
        <v>680.02666666666664</v>
      </c>
      <c r="X22" s="55">
        <v>7.08</v>
      </c>
      <c r="Y22" s="106">
        <f>X22*5</f>
        <v>35.4</v>
      </c>
      <c r="Z22" s="258">
        <f>W22-Y22</f>
        <v>644.62666666666667</v>
      </c>
      <c r="AA22" s="57">
        <v>115.958</v>
      </c>
      <c r="AB22" s="145">
        <v>107.246</v>
      </c>
      <c r="AC22" s="57">
        <f>AA22/AB22</f>
        <v>1.0812337989295639</v>
      </c>
      <c r="AD22" s="55">
        <f>Z22*M22/100/K22*100/7</f>
        <v>11.937530864197532</v>
      </c>
      <c r="AE22" s="55">
        <f>AD22*AC22</f>
        <v>12.907261846135219</v>
      </c>
      <c r="AF22" s="55">
        <f>AE22</f>
        <v>12.907261846135219</v>
      </c>
      <c r="AG22" s="55">
        <v>7.7443571076811315</v>
      </c>
      <c r="AH22" s="55">
        <v>7.7443571076811315</v>
      </c>
      <c r="AI22" s="55">
        <v>7.7443571076811315</v>
      </c>
      <c r="AJ22" s="55">
        <v>7.7443571076811315</v>
      </c>
      <c r="AK22" s="55">
        <v>7.7443571076811315</v>
      </c>
      <c r="AL22" s="55">
        <v>7.7443571076811315</v>
      </c>
      <c r="AM22" s="55">
        <f>SUM(AF22:AL22)</f>
        <v>59.373404492222008</v>
      </c>
      <c r="AN22" s="72">
        <f>Z22-AM22</f>
        <v>585.25326217444467</v>
      </c>
      <c r="AO22" s="55"/>
      <c r="AP22" s="55"/>
      <c r="AQ22" s="55">
        <f t="shared" ref="AQ22:AU36" si="4">$AM22</f>
        <v>59.373404492222008</v>
      </c>
      <c r="AR22" s="55">
        <f t="shared" si="4"/>
        <v>59.373404492222008</v>
      </c>
      <c r="AS22" s="55">
        <f t="shared" si="4"/>
        <v>59.373404492222008</v>
      </c>
      <c r="AT22" s="55">
        <f t="shared" si="4"/>
        <v>59.373404492222008</v>
      </c>
      <c r="AU22" s="55">
        <f t="shared" si="4"/>
        <v>59.373404492222008</v>
      </c>
      <c r="AV22" s="57">
        <v>118.901</v>
      </c>
      <c r="AW22" s="145">
        <v>107.246</v>
      </c>
      <c r="AX22" s="57">
        <f>AV22/AW22</f>
        <v>1.1086753818324226</v>
      </c>
      <c r="AY22" s="55">
        <f>T22/(D22*12)</f>
        <v>7.083333333333333</v>
      </c>
      <c r="AZ22" s="55">
        <f>AY22*AX22</f>
        <v>7.8531172879796598</v>
      </c>
      <c r="BA22" s="55">
        <f t="shared" si="2"/>
        <v>7.8531172879796598</v>
      </c>
      <c r="BB22" s="55">
        <f t="shared" si="2"/>
        <v>7.8531172879796598</v>
      </c>
      <c r="BC22" s="55">
        <f t="shared" si="2"/>
        <v>7.8531172879796598</v>
      </c>
      <c r="BD22" s="55">
        <f t="shared" si="2"/>
        <v>7.8531172879796598</v>
      </c>
      <c r="BE22" s="55">
        <f t="shared" si="2"/>
        <v>7.8531172879796598</v>
      </c>
      <c r="BF22" s="55">
        <f t="shared" si="2"/>
        <v>7.8531172879796598</v>
      </c>
      <c r="BG22" s="55">
        <f t="shared" si="2"/>
        <v>7.8531172879796598</v>
      </c>
      <c r="BH22" s="55">
        <f>SUM((AQ22:AU22),(BA22:BG22))</f>
        <v>351.83884347696772</v>
      </c>
      <c r="BI22" s="448">
        <v>225.12626068830309</v>
      </c>
      <c r="BJ22" s="55">
        <f t="shared" si="3"/>
        <v>7.8531172879796598</v>
      </c>
      <c r="BK22" s="55">
        <f t="shared" si="3"/>
        <v>7.8531172879796598</v>
      </c>
      <c r="BL22" s="55">
        <f t="shared" si="3"/>
        <v>7.8531172879796598</v>
      </c>
      <c r="BM22" s="55">
        <f t="shared" si="3"/>
        <v>7.8531172879796598</v>
      </c>
      <c r="BN22" s="55">
        <f t="shared" si="3"/>
        <v>7.8531172879796598</v>
      </c>
      <c r="BO22" s="57">
        <v>126.408</v>
      </c>
      <c r="BP22" s="145">
        <v>107.246</v>
      </c>
      <c r="BQ22" s="57">
        <f>BO22/BP22</f>
        <v>1.1786733304738639</v>
      </c>
      <c r="BR22" s="55">
        <f>BI22/L22</f>
        <v>4.1690048275611682</v>
      </c>
      <c r="BS22" s="55">
        <f>BR22*BQ22</f>
        <v>4.9138948048631388</v>
      </c>
      <c r="BT22" s="55">
        <v>4.0199999999999996</v>
      </c>
      <c r="BU22" s="55">
        <v>4.0199999999999996</v>
      </c>
      <c r="BV22" s="55">
        <v>4.0199999999999996</v>
      </c>
      <c r="BW22" s="55">
        <v>4.0199999999999996</v>
      </c>
      <c r="BX22" s="55">
        <v>4.0199999999999996</v>
      </c>
      <c r="BY22" s="55">
        <v>4.0199999999999996</v>
      </c>
      <c r="BZ22" s="55">
        <v>4.0199999999999996</v>
      </c>
      <c r="CA22" s="55">
        <f>SUM(BT22:BZ22)</f>
        <v>28.139999999999997</v>
      </c>
      <c r="CB22" s="448">
        <f>BI22-CA22</f>
        <v>196.9862606883031</v>
      </c>
      <c r="CC22" s="55">
        <v>4.0199999999999996</v>
      </c>
      <c r="CD22" s="55">
        <v>4.0199999999999996</v>
      </c>
      <c r="CE22" s="55">
        <v>4.0199999999999996</v>
      </c>
      <c r="CF22" s="55">
        <v>4.0199999999999996</v>
      </c>
      <c r="CG22" s="55">
        <v>4.0199999999999996</v>
      </c>
      <c r="CH22" s="505">
        <f t="shared" si="0"/>
        <v>20.099999999999998</v>
      </c>
      <c r="CI22" s="679">
        <f t="shared" si="1"/>
        <v>176.88626068830311</v>
      </c>
      <c r="CJ22" s="956">
        <v>132.28200000000001</v>
      </c>
      <c r="CK22" s="145">
        <v>107.246</v>
      </c>
      <c r="CL22" s="957">
        <f>CJ22/CK22</f>
        <v>1.2334446039945548</v>
      </c>
      <c r="CM22" s="511">
        <f>CI22/L22</f>
        <v>3.2756714942278355</v>
      </c>
      <c r="CN22" s="511">
        <v>3.2756714942278355</v>
      </c>
      <c r="CO22" s="1039">
        <v>3.2756714942278355</v>
      </c>
      <c r="CP22" s="1039">
        <v>3.2756714942278355</v>
      </c>
      <c r="CQ22" s="1039">
        <v>3.2756714942278355</v>
      </c>
      <c r="CR22" s="1039">
        <v>3.2756714942278355</v>
      </c>
      <c r="CS22" s="1039">
        <v>3.2756714942278355</v>
      </c>
      <c r="CT22" s="1039">
        <v>3.2756714942278355</v>
      </c>
      <c r="CU22" s="1039">
        <v>3.2756714942278355</v>
      </c>
      <c r="CV22" s="1039">
        <v>3.2756714942278355</v>
      </c>
      <c r="CW22" s="1039">
        <v>3.2756714942278355</v>
      </c>
      <c r="CX22" s="1039">
        <v>3.2756714942278355</v>
      </c>
      <c r="CY22" s="1039">
        <v>3.2756714942278355</v>
      </c>
      <c r="CZ22" s="1039">
        <v>3.2756714942278355</v>
      </c>
      <c r="DA22" s="1039">
        <v>3.2756714942278355</v>
      </c>
      <c r="DB22" s="1039">
        <v>3.2756714942278355</v>
      </c>
      <c r="DC22" s="1039">
        <v>3.2756714942278355</v>
      </c>
      <c r="DD22" s="1039">
        <v>3.2756714942278355</v>
      </c>
      <c r="DE22" s="1039">
        <v>3.2756714942278355</v>
      </c>
      <c r="DF22" s="1039">
        <v>3.2756714942278355</v>
      </c>
      <c r="DG22" s="511">
        <f t="shared" ref="DG22:DG37" si="5">SUM(CO22:DF22)</f>
        <v>58.962086896101049</v>
      </c>
      <c r="DH22" s="756">
        <f>CI22-DG22</f>
        <v>117.92417379220205</v>
      </c>
      <c r="DI22" s="958"/>
      <c r="DJ22" s="958"/>
      <c r="DK22" s="958"/>
    </row>
    <row r="23" spans="1:115" s="16" customFormat="1" x14ac:dyDescent="0.2">
      <c r="A23" s="120" t="s">
        <v>181</v>
      </c>
      <c r="B23" s="120"/>
      <c r="C23" s="45"/>
      <c r="D23" s="125"/>
      <c r="E23" s="127"/>
      <c r="F23" s="119"/>
      <c r="G23" s="58"/>
      <c r="H23" s="145"/>
      <c r="I23" s="165"/>
      <c r="J23" s="48"/>
      <c r="K23" s="165"/>
      <c r="L23" s="48"/>
      <c r="M23" s="165"/>
      <c r="N23" s="48"/>
      <c r="O23" s="165"/>
      <c r="P23" s="48"/>
      <c r="Q23" s="48"/>
      <c r="R23" s="125"/>
      <c r="S23" s="128"/>
      <c r="T23" s="7"/>
      <c r="U23" s="72"/>
      <c r="V23" s="776"/>
      <c r="W23" s="776"/>
      <c r="X23" s="55"/>
      <c r="Y23" s="106"/>
      <c r="Z23" s="258"/>
      <c r="AA23" s="57"/>
      <c r="AB23" s="57"/>
      <c r="AC23" s="57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72"/>
      <c r="AO23" s="55"/>
      <c r="AP23" s="55"/>
      <c r="AQ23" s="55">
        <f t="shared" si="4"/>
        <v>0</v>
      </c>
      <c r="AR23" s="55">
        <f t="shared" si="4"/>
        <v>0</v>
      </c>
      <c r="AS23" s="55">
        <f t="shared" si="4"/>
        <v>0</v>
      </c>
      <c r="AT23" s="55">
        <f t="shared" si="4"/>
        <v>0</v>
      </c>
      <c r="AU23" s="55">
        <f t="shared" si="4"/>
        <v>0</v>
      </c>
      <c r="AV23" s="57"/>
      <c r="AW23" s="57"/>
      <c r="AX23" s="57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448"/>
      <c r="BJ23" s="55"/>
      <c r="BK23" s="55"/>
      <c r="BL23" s="55"/>
      <c r="BM23" s="55"/>
      <c r="BN23" s="55"/>
      <c r="BO23" s="57"/>
      <c r="BP23" s="57"/>
      <c r="BQ23" s="57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448"/>
      <c r="CC23" s="55"/>
      <c r="CD23" s="55"/>
      <c r="CE23" s="55"/>
      <c r="CF23" s="55"/>
      <c r="CG23" s="55"/>
      <c r="CH23" s="505"/>
      <c r="CI23" s="679"/>
      <c r="CJ23" s="505"/>
      <c r="CK23" s="57"/>
      <c r="CL23" s="679"/>
      <c r="CM23" s="623"/>
      <c r="CN23" s="617"/>
      <c r="CO23" s="1078"/>
      <c r="CP23" s="1078"/>
      <c r="CQ23" s="1078"/>
      <c r="CR23" s="1078"/>
      <c r="CS23" s="1078"/>
      <c r="CT23" s="1078"/>
      <c r="CU23" s="1078"/>
      <c r="CV23" s="1078"/>
      <c r="CW23" s="1078"/>
      <c r="CX23" s="1078"/>
      <c r="CY23" s="1078"/>
      <c r="CZ23" s="1078"/>
      <c r="DA23" s="1078"/>
      <c r="DB23" s="1078"/>
      <c r="DC23" s="1078"/>
      <c r="DD23" s="1078"/>
      <c r="DE23" s="1078"/>
      <c r="DF23" s="1078"/>
      <c r="DG23" s="511">
        <f t="shared" si="5"/>
        <v>0</v>
      </c>
      <c r="DH23" s="995"/>
      <c r="DI23" s="958"/>
      <c r="DJ23" s="958"/>
      <c r="DK23" s="958"/>
    </row>
    <row r="24" spans="1:115" s="16" customFormat="1" x14ac:dyDescent="0.2">
      <c r="A24" s="120" t="s">
        <v>182</v>
      </c>
      <c r="B24" s="100"/>
      <c r="C24" s="45"/>
      <c r="D24" s="125"/>
      <c r="E24" s="127"/>
      <c r="F24" s="119"/>
      <c r="G24" s="58"/>
      <c r="H24" s="145"/>
      <c r="I24" s="165"/>
      <c r="J24" s="48"/>
      <c r="K24" s="165"/>
      <c r="L24" s="48"/>
      <c r="M24" s="165"/>
      <c r="N24" s="48"/>
      <c r="O24" s="165"/>
      <c r="P24" s="48"/>
      <c r="Q24" s="48"/>
      <c r="R24" s="125"/>
      <c r="S24" s="128"/>
      <c r="T24" s="7"/>
      <c r="U24" s="72"/>
      <c r="V24" s="776"/>
      <c r="W24" s="776"/>
      <c r="X24" s="55"/>
      <c r="Y24" s="106"/>
      <c r="Z24" s="258"/>
      <c r="AA24" s="57"/>
      <c r="AB24" s="57"/>
      <c r="AC24" s="57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72"/>
      <c r="AO24" s="55"/>
      <c r="AP24" s="55"/>
      <c r="AQ24" s="55">
        <f t="shared" si="4"/>
        <v>0</v>
      </c>
      <c r="AR24" s="55">
        <f t="shared" si="4"/>
        <v>0</v>
      </c>
      <c r="AS24" s="55">
        <f t="shared" si="4"/>
        <v>0</v>
      </c>
      <c r="AT24" s="55">
        <f t="shared" si="4"/>
        <v>0</v>
      </c>
      <c r="AU24" s="55">
        <f t="shared" si="4"/>
        <v>0</v>
      </c>
      <c r="AV24" s="57"/>
      <c r="AW24" s="57"/>
      <c r="AX24" s="57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448"/>
      <c r="BJ24" s="55"/>
      <c r="BK24" s="55"/>
      <c r="BL24" s="55"/>
      <c r="BM24" s="55"/>
      <c r="BN24" s="55"/>
      <c r="BO24" s="57"/>
      <c r="BP24" s="57"/>
      <c r="BQ24" s="57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448"/>
      <c r="CC24" s="55"/>
      <c r="CD24" s="55"/>
      <c r="CE24" s="55"/>
      <c r="CF24" s="55"/>
      <c r="CG24" s="55"/>
      <c r="CH24" s="505"/>
      <c r="CI24" s="679"/>
      <c r="CJ24" s="505"/>
      <c r="CK24" s="57"/>
      <c r="CL24" s="681"/>
      <c r="CM24" s="656"/>
      <c r="CN24" s="1057"/>
      <c r="CO24" s="1079"/>
      <c r="CP24" s="1079"/>
      <c r="CQ24" s="1079"/>
      <c r="CR24" s="1079"/>
      <c r="CS24" s="1079"/>
      <c r="CT24" s="1079"/>
      <c r="CU24" s="1079"/>
      <c r="CV24" s="1079"/>
      <c r="CW24" s="1079"/>
      <c r="CX24" s="1079"/>
      <c r="CY24" s="1079"/>
      <c r="CZ24" s="1079"/>
      <c r="DA24" s="1079"/>
      <c r="DB24" s="1079"/>
      <c r="DC24" s="1079"/>
      <c r="DD24" s="1079"/>
      <c r="DE24" s="1079"/>
      <c r="DF24" s="1079"/>
      <c r="DG24" s="511">
        <f t="shared" si="5"/>
        <v>0</v>
      </c>
      <c r="DH24" s="995">
        <v>0</v>
      </c>
      <c r="DI24" s="958"/>
      <c r="DJ24" s="958"/>
      <c r="DK24" s="958"/>
    </row>
    <row r="25" spans="1:115" s="16" customFormat="1" x14ac:dyDescent="0.2">
      <c r="A25" s="119" t="s">
        <v>179</v>
      </c>
      <c r="B25" s="100" t="s">
        <v>180</v>
      </c>
      <c r="C25" s="45" t="s">
        <v>361</v>
      </c>
      <c r="D25" s="125">
        <v>10</v>
      </c>
      <c r="E25" s="127">
        <v>0.1</v>
      </c>
      <c r="F25" s="46">
        <v>43281</v>
      </c>
      <c r="G25" s="58">
        <v>120</v>
      </c>
      <c r="H25" s="145">
        <f>100/G25</f>
        <v>0.83333333333333337</v>
      </c>
      <c r="I25" s="165">
        <f>H25*J25</f>
        <v>55</v>
      </c>
      <c r="J25" s="48">
        <f>(YEAR(F25)-YEAR(S25))*12+MONTH(F25)-MONTH(S25)</f>
        <v>66</v>
      </c>
      <c r="K25" s="165">
        <f>L25*H25</f>
        <v>45</v>
      </c>
      <c r="L25" s="48">
        <f>G25-J25</f>
        <v>54</v>
      </c>
      <c r="M25" s="165">
        <f>N25*H25</f>
        <v>5.8333333333333339</v>
      </c>
      <c r="N25" s="48">
        <v>7</v>
      </c>
      <c r="O25" s="165">
        <f>K25-M25</f>
        <v>39.166666666666664</v>
      </c>
      <c r="P25" s="48">
        <f>L25-N25</f>
        <v>47</v>
      </c>
      <c r="Q25" s="462">
        <f>DATE(YEAR(S25),MONTH(S25)+G25,DAY(S25))</f>
        <v>44908</v>
      </c>
      <c r="R25" s="125" t="s">
        <v>360</v>
      </c>
      <c r="S25" s="128">
        <v>41256</v>
      </c>
      <c r="T25" s="7">
        <v>339</v>
      </c>
      <c r="U25" s="72">
        <v>18.420000000000002</v>
      </c>
      <c r="V25" s="776">
        <v>33.944999999999993</v>
      </c>
      <c r="W25" s="776">
        <v>271.15500000000003</v>
      </c>
      <c r="X25" s="55">
        <v>2.83</v>
      </c>
      <c r="Y25" s="106">
        <f>X25*5</f>
        <v>14.15</v>
      </c>
      <c r="Z25" s="258">
        <f>W25-Y25</f>
        <v>257.00500000000005</v>
      </c>
      <c r="AA25" s="57">
        <v>115.958</v>
      </c>
      <c r="AB25" s="145">
        <v>107.246</v>
      </c>
      <c r="AC25" s="57">
        <f>AA25/AB25</f>
        <v>1.0812337989295639</v>
      </c>
      <c r="AD25" s="55">
        <f>Z25*M25/100/K25*100/7</f>
        <v>4.7593518518518527</v>
      </c>
      <c r="AE25" s="55">
        <f>AD25*AC25</f>
        <v>5.1459720832202338</v>
      </c>
      <c r="AF25" s="55">
        <f>AE25</f>
        <v>5.1459720832202338</v>
      </c>
      <c r="AG25" s="55">
        <v>3.0875832499321407</v>
      </c>
      <c r="AH25" s="55">
        <v>3.0875832499321407</v>
      </c>
      <c r="AI25" s="55">
        <v>3.0875832499321407</v>
      </c>
      <c r="AJ25" s="55">
        <v>3.0875832499321407</v>
      </c>
      <c r="AK25" s="55">
        <v>3.0875832499321407</v>
      </c>
      <c r="AL25" s="55">
        <v>3.0875832499321407</v>
      </c>
      <c r="AM25" s="55">
        <f>SUM(AF25:AL25)</f>
        <v>23.67147158281308</v>
      </c>
      <c r="AN25" s="72">
        <f>Z25-AM25</f>
        <v>233.33352841718698</v>
      </c>
      <c r="AO25" s="55"/>
      <c r="AP25" s="55"/>
      <c r="AQ25" s="55">
        <f t="shared" si="4"/>
        <v>23.67147158281308</v>
      </c>
      <c r="AR25" s="55">
        <f t="shared" si="4"/>
        <v>23.67147158281308</v>
      </c>
      <c r="AS25" s="55">
        <f t="shared" si="4"/>
        <v>23.67147158281308</v>
      </c>
      <c r="AT25" s="55">
        <f t="shared" si="4"/>
        <v>23.67147158281308</v>
      </c>
      <c r="AU25" s="55">
        <f t="shared" si="4"/>
        <v>23.67147158281308</v>
      </c>
      <c r="AV25" s="57">
        <v>118.901</v>
      </c>
      <c r="AW25" s="145">
        <v>107.246</v>
      </c>
      <c r="AX25" s="57">
        <f>AV25/AW25</f>
        <v>1.1086753818324226</v>
      </c>
      <c r="AY25" s="55">
        <f>T25/(D25*12)</f>
        <v>2.8250000000000002</v>
      </c>
      <c r="AZ25" s="55">
        <f>AY25*AX25</f>
        <v>3.1320079536765943</v>
      </c>
      <c r="BA25" s="55">
        <f t="shared" ref="BA25:BG25" si="6">$AZ25</f>
        <v>3.1320079536765943</v>
      </c>
      <c r="BB25" s="55">
        <f t="shared" si="6"/>
        <v>3.1320079536765943</v>
      </c>
      <c r="BC25" s="55">
        <f t="shared" si="6"/>
        <v>3.1320079536765943</v>
      </c>
      <c r="BD25" s="55">
        <f t="shared" si="6"/>
        <v>3.1320079536765943</v>
      </c>
      <c r="BE25" s="55">
        <f t="shared" si="6"/>
        <v>3.1320079536765943</v>
      </c>
      <c r="BF25" s="55">
        <f t="shared" si="6"/>
        <v>3.1320079536765943</v>
      </c>
      <c r="BG25" s="55">
        <f t="shared" si="6"/>
        <v>3.1320079536765943</v>
      </c>
      <c r="BH25" s="55">
        <f>SUM((AQ25:AU25),(BA25:BG25))</f>
        <v>140.28141358980159</v>
      </c>
      <c r="BI25" s="448">
        <v>89.74240805873103</v>
      </c>
      <c r="BJ25" s="55">
        <f>$AZ25</f>
        <v>3.1320079536765943</v>
      </c>
      <c r="BK25" s="55">
        <f>$AZ25</f>
        <v>3.1320079536765943</v>
      </c>
      <c r="BL25" s="55">
        <f>$AZ25</f>
        <v>3.1320079536765943</v>
      </c>
      <c r="BM25" s="55">
        <f>$AZ25</f>
        <v>3.1320079536765943</v>
      </c>
      <c r="BN25" s="55">
        <f>$AZ25</f>
        <v>3.1320079536765943</v>
      </c>
      <c r="BO25" s="57">
        <v>126.408</v>
      </c>
      <c r="BP25" s="145">
        <v>107.246</v>
      </c>
      <c r="BQ25" s="57">
        <f>BO25/BP25</f>
        <v>1.1786733304738639</v>
      </c>
      <c r="BR25" s="55">
        <f>BI25/L25</f>
        <v>1.6618964455320562</v>
      </c>
      <c r="BS25" s="55">
        <f>BR25*BQ25</f>
        <v>1.958833018357945</v>
      </c>
      <c r="BT25" s="55">
        <v>1.6</v>
      </c>
      <c r="BU25" s="55">
        <v>1.6</v>
      </c>
      <c r="BV25" s="55">
        <v>1.6</v>
      </c>
      <c r="BW25" s="55">
        <v>1.6</v>
      </c>
      <c r="BX25" s="55">
        <v>1.6</v>
      </c>
      <c r="BY25" s="55">
        <v>1.6</v>
      </c>
      <c r="BZ25" s="55">
        <v>1.6</v>
      </c>
      <c r="CA25" s="55">
        <f>SUM(BT25:BZ25)</f>
        <v>11.2</v>
      </c>
      <c r="CB25" s="448">
        <f>BI25-CA25</f>
        <v>78.542408058731027</v>
      </c>
      <c r="CC25" s="55">
        <v>1.6</v>
      </c>
      <c r="CD25" s="55">
        <v>1.6</v>
      </c>
      <c r="CE25" s="55">
        <v>1.6</v>
      </c>
      <c r="CF25" s="55">
        <v>1.6</v>
      </c>
      <c r="CG25" s="55">
        <v>1.6</v>
      </c>
      <c r="CH25" s="505">
        <f t="shared" si="0"/>
        <v>8</v>
      </c>
      <c r="CI25" s="679">
        <f t="shared" si="1"/>
        <v>70.542408058731027</v>
      </c>
      <c r="CJ25" s="956">
        <v>132.28200000000001</v>
      </c>
      <c r="CK25" s="145">
        <v>107.246</v>
      </c>
      <c r="CL25" s="957">
        <f>CJ25/CK25</f>
        <v>1.2334446039945548</v>
      </c>
      <c r="CM25" s="511">
        <f>CI25/L25</f>
        <v>1.3063408899765006</v>
      </c>
      <c r="CN25" s="511">
        <v>1.3063408899765006</v>
      </c>
      <c r="CO25" s="1039">
        <v>1.3063408899765006</v>
      </c>
      <c r="CP25" s="1039">
        <v>1.3063408899765006</v>
      </c>
      <c r="CQ25" s="1039">
        <v>1.3063408899765006</v>
      </c>
      <c r="CR25" s="1039">
        <v>1.3063408899765006</v>
      </c>
      <c r="CS25" s="1039">
        <v>1.3063408899765006</v>
      </c>
      <c r="CT25" s="1039">
        <v>1.3063408899765006</v>
      </c>
      <c r="CU25" s="1039">
        <v>1.3063408899765006</v>
      </c>
      <c r="CV25" s="1039">
        <v>1.3063408899765006</v>
      </c>
      <c r="CW25" s="1039">
        <v>1.3063408899765006</v>
      </c>
      <c r="CX25" s="1039">
        <v>1.3063408899765006</v>
      </c>
      <c r="CY25" s="1039">
        <v>1.3063408899765006</v>
      </c>
      <c r="CZ25" s="1039">
        <v>1.3063408899765006</v>
      </c>
      <c r="DA25" s="1039">
        <v>1.3063408899765006</v>
      </c>
      <c r="DB25" s="1039">
        <v>1.3063408899765006</v>
      </c>
      <c r="DC25" s="1039">
        <v>1.3063408899765006</v>
      </c>
      <c r="DD25" s="1039">
        <v>1.3063408899765006</v>
      </c>
      <c r="DE25" s="1039">
        <v>1.3063408899765006</v>
      </c>
      <c r="DF25" s="1039">
        <v>1.3063408899765006</v>
      </c>
      <c r="DG25" s="511">
        <f t="shared" si="5"/>
        <v>23.514136019577005</v>
      </c>
      <c r="DH25" s="756">
        <f>CI25-DG25</f>
        <v>47.028272039154018</v>
      </c>
      <c r="DI25" s="958"/>
      <c r="DJ25" s="958"/>
      <c r="DK25" s="958"/>
    </row>
    <row r="26" spans="1:115" s="16" customFormat="1" ht="13.5" x14ac:dyDescent="0.25">
      <c r="A26" s="120" t="s">
        <v>146</v>
      </c>
      <c r="B26" s="120"/>
      <c r="C26" s="45"/>
      <c r="D26" s="125"/>
      <c r="E26" s="127"/>
      <c r="F26" s="11"/>
      <c r="G26" s="58"/>
      <c r="H26" s="145"/>
      <c r="I26" s="165"/>
      <c r="J26" s="48"/>
      <c r="K26" s="165"/>
      <c r="L26" s="48"/>
      <c r="M26" s="165"/>
      <c r="N26" s="48"/>
      <c r="O26" s="165"/>
      <c r="P26" s="48"/>
      <c r="Q26" s="48"/>
      <c r="R26" s="125"/>
      <c r="S26" s="128"/>
      <c r="T26" s="7"/>
      <c r="U26" s="72"/>
      <c r="V26" s="776"/>
      <c r="W26" s="776"/>
      <c r="X26" s="55"/>
      <c r="Y26" s="106"/>
      <c r="Z26" s="258"/>
      <c r="AA26" s="57"/>
      <c r="AB26" s="80"/>
      <c r="AC26" s="57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72"/>
      <c r="AO26" s="55"/>
      <c r="AP26" s="55"/>
      <c r="AQ26" s="55">
        <f t="shared" si="4"/>
        <v>0</v>
      </c>
      <c r="AR26" s="55">
        <f t="shared" si="4"/>
        <v>0</v>
      </c>
      <c r="AS26" s="55">
        <f t="shared" si="4"/>
        <v>0</v>
      </c>
      <c r="AT26" s="55">
        <f t="shared" si="4"/>
        <v>0</v>
      </c>
      <c r="AU26" s="55">
        <f t="shared" si="4"/>
        <v>0</v>
      </c>
      <c r="AV26" s="57"/>
      <c r="AW26" s="80"/>
      <c r="AX26" s="57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448"/>
      <c r="BJ26" s="55"/>
      <c r="BK26" s="55"/>
      <c r="BL26" s="55"/>
      <c r="BM26" s="55"/>
      <c r="BN26" s="55"/>
      <c r="BO26" s="57"/>
      <c r="BP26" s="80"/>
      <c r="BQ26" s="57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448"/>
      <c r="CC26" s="55"/>
      <c r="CD26" s="55"/>
      <c r="CE26" s="55"/>
      <c r="CF26" s="55"/>
      <c r="CG26" s="55"/>
      <c r="CH26" s="505"/>
      <c r="CI26" s="679"/>
      <c r="CJ26" s="505"/>
      <c r="CK26" s="80"/>
      <c r="CL26" s="505"/>
      <c r="CM26" s="55"/>
      <c r="CN26" s="55"/>
      <c r="CO26" s="1040"/>
      <c r="CP26" s="1040"/>
      <c r="CQ26" s="1040"/>
      <c r="CR26" s="1040"/>
      <c r="CS26" s="1040"/>
      <c r="CT26" s="1040"/>
      <c r="CU26" s="1040"/>
      <c r="CV26" s="1040"/>
      <c r="CW26" s="1040"/>
      <c r="CX26" s="1040"/>
      <c r="CY26" s="1040"/>
      <c r="CZ26" s="1040"/>
      <c r="DA26" s="1040"/>
      <c r="DB26" s="1040"/>
      <c r="DC26" s="1040"/>
      <c r="DD26" s="1040"/>
      <c r="DE26" s="1040"/>
      <c r="DF26" s="1040"/>
      <c r="DG26" s="511">
        <f t="shared" si="5"/>
        <v>0</v>
      </c>
      <c r="DH26" s="394"/>
      <c r="DI26" s="479"/>
      <c r="DJ26" s="479"/>
      <c r="DK26" s="479"/>
    </row>
    <row r="27" spans="1:115" s="16" customFormat="1" x14ac:dyDescent="0.2">
      <c r="A27" s="120" t="s">
        <v>183</v>
      </c>
      <c r="B27" s="100"/>
      <c r="C27" s="45"/>
      <c r="D27" s="125"/>
      <c r="E27" s="127"/>
      <c r="F27" s="119"/>
      <c r="G27" s="58"/>
      <c r="H27" s="145"/>
      <c r="I27" s="165"/>
      <c r="J27" s="48"/>
      <c r="K27" s="165"/>
      <c r="L27" s="48"/>
      <c r="M27" s="165"/>
      <c r="N27" s="48"/>
      <c r="O27" s="165"/>
      <c r="P27" s="48"/>
      <c r="Q27" s="48"/>
      <c r="R27" s="125"/>
      <c r="S27" s="128"/>
      <c r="T27" s="7"/>
      <c r="U27" s="72"/>
      <c r="V27" s="776"/>
      <c r="W27" s="776"/>
      <c r="X27" s="55"/>
      <c r="Y27" s="106"/>
      <c r="Z27" s="258"/>
      <c r="AA27" s="57"/>
      <c r="AB27" s="80"/>
      <c r="AC27" s="57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72"/>
      <c r="AO27" s="55"/>
      <c r="AP27" s="55"/>
      <c r="AQ27" s="55">
        <f t="shared" si="4"/>
        <v>0</v>
      </c>
      <c r="AR27" s="55">
        <f t="shared" si="4"/>
        <v>0</v>
      </c>
      <c r="AS27" s="55">
        <f t="shared" si="4"/>
        <v>0</v>
      </c>
      <c r="AT27" s="55">
        <f t="shared" si="4"/>
        <v>0</v>
      </c>
      <c r="AU27" s="55">
        <f t="shared" si="4"/>
        <v>0</v>
      </c>
      <c r="AV27" s="57"/>
      <c r="AW27" s="80"/>
      <c r="AX27" s="57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448"/>
      <c r="BJ27" s="55"/>
      <c r="BK27" s="55"/>
      <c r="BL27" s="55"/>
      <c r="BM27" s="55"/>
      <c r="BN27" s="55"/>
      <c r="BO27" s="57"/>
      <c r="BP27" s="80"/>
      <c r="BQ27" s="57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448"/>
      <c r="CC27" s="55"/>
      <c r="CD27" s="55"/>
      <c r="CE27" s="55"/>
      <c r="CF27" s="55"/>
      <c r="CG27" s="55"/>
      <c r="CH27" s="505"/>
      <c r="CI27" s="679"/>
      <c r="CJ27" s="505"/>
      <c r="CK27" s="80"/>
      <c r="CL27" s="679"/>
      <c r="CM27" s="956"/>
      <c r="CN27" s="1058"/>
      <c r="CO27" s="1080"/>
      <c r="CP27" s="1080"/>
      <c r="CQ27" s="1080"/>
      <c r="CR27" s="1080"/>
      <c r="CS27" s="1080"/>
      <c r="CT27" s="1080"/>
      <c r="CU27" s="1080"/>
      <c r="CV27" s="1080"/>
      <c r="CW27" s="1080"/>
      <c r="CX27" s="1080"/>
      <c r="CY27" s="1080"/>
      <c r="CZ27" s="1080"/>
      <c r="DA27" s="1080"/>
      <c r="DB27" s="1080"/>
      <c r="DC27" s="1080"/>
      <c r="DD27" s="1080"/>
      <c r="DE27" s="1080"/>
      <c r="DF27" s="1080"/>
      <c r="DG27" s="511">
        <f t="shared" si="5"/>
        <v>0</v>
      </c>
      <c r="DH27" s="995"/>
      <c r="DI27" s="958"/>
      <c r="DJ27" s="958"/>
      <c r="DK27" s="962"/>
    </row>
    <row r="28" spans="1:115" s="16" customFormat="1" x14ac:dyDescent="0.2">
      <c r="A28" s="119" t="s">
        <v>185</v>
      </c>
      <c r="B28" s="100" t="s">
        <v>184</v>
      </c>
      <c r="C28" s="45" t="s">
        <v>361</v>
      </c>
      <c r="D28" s="125">
        <v>10</v>
      </c>
      <c r="E28" s="127">
        <v>0.1</v>
      </c>
      <c r="F28" s="46">
        <v>43281</v>
      </c>
      <c r="G28" s="58">
        <v>120</v>
      </c>
      <c r="H28" s="145">
        <f>100/G28</f>
        <v>0.83333333333333337</v>
      </c>
      <c r="I28" s="165">
        <f>H28*J28</f>
        <v>55</v>
      </c>
      <c r="J28" s="48">
        <f>(YEAR(F28)-YEAR(S28))*12+MONTH(F28)-MONTH(S28)</f>
        <v>66</v>
      </c>
      <c r="K28" s="165">
        <f>L28*H28</f>
        <v>45</v>
      </c>
      <c r="L28" s="48">
        <f>G28-J28</f>
        <v>54</v>
      </c>
      <c r="M28" s="165">
        <f>N28*H28</f>
        <v>5.8333333333333339</v>
      </c>
      <c r="N28" s="48">
        <v>7</v>
      </c>
      <c r="O28" s="165">
        <f>K28-M28</f>
        <v>39.166666666666664</v>
      </c>
      <c r="P28" s="48">
        <f>L28-N28</f>
        <v>47</v>
      </c>
      <c r="Q28" s="462">
        <f>DATE(YEAR(S28),MONTH(S28)+G28,DAY(S28))</f>
        <v>44908</v>
      </c>
      <c r="R28" s="125" t="s">
        <v>360</v>
      </c>
      <c r="S28" s="128">
        <v>41256</v>
      </c>
      <c r="T28" s="7">
        <v>480</v>
      </c>
      <c r="U28" s="72">
        <v>18.420000000000002</v>
      </c>
      <c r="V28" s="776">
        <v>48</v>
      </c>
      <c r="W28" s="776">
        <v>384</v>
      </c>
      <c r="X28" s="55">
        <v>4</v>
      </c>
      <c r="Y28" s="106">
        <f>X28*5</f>
        <v>20</v>
      </c>
      <c r="Z28" s="258">
        <f>W28-Y28</f>
        <v>364</v>
      </c>
      <c r="AA28" s="57">
        <v>115.958</v>
      </c>
      <c r="AB28" s="145">
        <v>107.246</v>
      </c>
      <c r="AC28" s="57">
        <f>AA28/AB28</f>
        <v>1.0812337989295639</v>
      </c>
      <c r="AD28" s="55">
        <f>Z28*M28/100/K28*100/7</f>
        <v>6.7407407407407405</v>
      </c>
      <c r="AE28" s="55">
        <f>AD28*AC28</f>
        <v>7.2883167187103934</v>
      </c>
      <c r="AF28" s="55">
        <f>AE28</f>
        <v>7.2883167187103934</v>
      </c>
      <c r="AG28" s="55">
        <v>4.3729900312262373</v>
      </c>
      <c r="AH28" s="55">
        <v>4.3729900312262373</v>
      </c>
      <c r="AI28" s="55">
        <v>4.3729900312262373</v>
      </c>
      <c r="AJ28" s="55">
        <v>4.3729900312262373</v>
      </c>
      <c r="AK28" s="55">
        <v>4.3729900312262373</v>
      </c>
      <c r="AL28" s="55">
        <v>4.3729900312262373</v>
      </c>
      <c r="AM28" s="55">
        <f>SUM(AF28:AL28)</f>
        <v>33.526256906067815</v>
      </c>
      <c r="AN28" s="72">
        <f>Z28-AM28</f>
        <v>330.47374309393217</v>
      </c>
      <c r="AO28" s="55"/>
      <c r="AP28" s="55"/>
      <c r="AQ28" s="55">
        <f t="shared" si="4"/>
        <v>33.526256906067815</v>
      </c>
      <c r="AR28" s="55">
        <f t="shared" si="4"/>
        <v>33.526256906067815</v>
      </c>
      <c r="AS28" s="55">
        <f t="shared" si="4"/>
        <v>33.526256906067815</v>
      </c>
      <c r="AT28" s="55">
        <f t="shared" si="4"/>
        <v>33.526256906067815</v>
      </c>
      <c r="AU28" s="55">
        <f t="shared" si="4"/>
        <v>33.526256906067815</v>
      </c>
      <c r="AV28" s="57">
        <v>118.901</v>
      </c>
      <c r="AW28" s="145">
        <v>107.246</v>
      </c>
      <c r="AX28" s="57">
        <f>AV28/AW28</f>
        <v>1.1086753818324226</v>
      </c>
      <c r="AY28" s="55">
        <f>T28/(D28*12)</f>
        <v>4</v>
      </c>
      <c r="AZ28" s="55">
        <f>AY28*AX28</f>
        <v>4.4347015273296906</v>
      </c>
      <c r="BA28" s="55">
        <f t="shared" ref="BA28:BG28" si="7">$AZ28</f>
        <v>4.4347015273296906</v>
      </c>
      <c r="BB28" s="55">
        <f t="shared" si="7"/>
        <v>4.4347015273296906</v>
      </c>
      <c r="BC28" s="55">
        <f t="shared" si="7"/>
        <v>4.4347015273296906</v>
      </c>
      <c r="BD28" s="55">
        <f t="shared" si="7"/>
        <v>4.4347015273296906</v>
      </c>
      <c r="BE28" s="55">
        <f t="shared" si="7"/>
        <v>4.4347015273296906</v>
      </c>
      <c r="BF28" s="55">
        <f t="shared" si="7"/>
        <v>4.4347015273296906</v>
      </c>
      <c r="BG28" s="55">
        <f t="shared" si="7"/>
        <v>4.4347015273296906</v>
      </c>
      <c r="BH28" s="55">
        <f>SUM((AQ28:AU28),(BA28:BG28))</f>
        <v>198.67419522164684</v>
      </c>
      <c r="BI28" s="448">
        <v>127.1180003605418</v>
      </c>
      <c r="BJ28" s="55">
        <f>$AZ28</f>
        <v>4.4347015273296906</v>
      </c>
      <c r="BK28" s="55">
        <f>$AZ28</f>
        <v>4.4347015273296906</v>
      </c>
      <c r="BL28" s="55">
        <f>$AZ28</f>
        <v>4.4347015273296906</v>
      </c>
      <c r="BM28" s="55">
        <f>$AZ28</f>
        <v>4.4347015273296906</v>
      </c>
      <c r="BN28" s="55">
        <f>$AZ28</f>
        <v>4.4347015273296906</v>
      </c>
      <c r="BO28" s="57">
        <v>126.408</v>
      </c>
      <c r="BP28" s="145">
        <v>107.246</v>
      </c>
      <c r="BQ28" s="57">
        <f>BO28/BP28</f>
        <v>1.1786733304738639</v>
      </c>
      <c r="BR28" s="55">
        <f>BI28/L28</f>
        <v>2.354037043713737</v>
      </c>
      <c r="BS28" s="55">
        <f>BR28*BQ28</f>
        <v>2.7746406823729193</v>
      </c>
      <c r="BT28" s="55">
        <v>2.27</v>
      </c>
      <c r="BU28" s="55">
        <v>2.27</v>
      </c>
      <c r="BV28" s="55">
        <v>2.27</v>
      </c>
      <c r="BW28" s="55">
        <v>2.27</v>
      </c>
      <c r="BX28" s="55">
        <v>2.27</v>
      </c>
      <c r="BY28" s="55">
        <v>2.27</v>
      </c>
      <c r="BZ28" s="55">
        <v>2.27</v>
      </c>
      <c r="CA28" s="55">
        <f>SUM(BT28:BZ28)</f>
        <v>15.889999999999999</v>
      </c>
      <c r="CB28" s="448">
        <f>BI28-CA28</f>
        <v>111.2280003605418</v>
      </c>
      <c r="CC28" s="55">
        <v>2.27</v>
      </c>
      <c r="CD28" s="55">
        <v>2.27</v>
      </c>
      <c r="CE28" s="55">
        <v>2.27</v>
      </c>
      <c r="CF28" s="55">
        <v>2.27</v>
      </c>
      <c r="CG28" s="55">
        <v>2.27</v>
      </c>
      <c r="CH28" s="505">
        <f t="shared" si="0"/>
        <v>11.35</v>
      </c>
      <c r="CI28" s="679">
        <f t="shared" si="1"/>
        <v>99.878000360541805</v>
      </c>
      <c r="CJ28" s="956">
        <v>132.28200000000001</v>
      </c>
      <c r="CK28" s="145">
        <v>107.246</v>
      </c>
      <c r="CL28" s="957">
        <f>CJ28/CK28</f>
        <v>1.2334446039945548</v>
      </c>
      <c r="CM28" s="511">
        <f>CI28/L28</f>
        <v>1.8495925992692928</v>
      </c>
      <c r="CN28" s="511">
        <v>1.8495925992692928</v>
      </c>
      <c r="CO28" s="1039">
        <v>1.8495925992692928</v>
      </c>
      <c r="CP28" s="1039">
        <v>1.8495925992692928</v>
      </c>
      <c r="CQ28" s="1039">
        <v>1.8495925992692928</v>
      </c>
      <c r="CR28" s="1039">
        <v>1.8495925992692928</v>
      </c>
      <c r="CS28" s="1039">
        <v>1.8495925992692928</v>
      </c>
      <c r="CT28" s="1039">
        <v>1.8495925992692928</v>
      </c>
      <c r="CU28" s="1039">
        <v>1.8495925992692928</v>
      </c>
      <c r="CV28" s="1039">
        <v>1.8495925992692928</v>
      </c>
      <c r="CW28" s="1039">
        <v>1.8495925992692928</v>
      </c>
      <c r="CX28" s="1039">
        <v>1.8495925992692928</v>
      </c>
      <c r="CY28" s="1039">
        <v>1.8495925992692928</v>
      </c>
      <c r="CZ28" s="1039">
        <v>1.8495925992692928</v>
      </c>
      <c r="DA28" s="1039">
        <v>1.8495925992692928</v>
      </c>
      <c r="DB28" s="1039">
        <v>1.8495925992692928</v>
      </c>
      <c r="DC28" s="1039">
        <v>1.8495925992692928</v>
      </c>
      <c r="DD28" s="1039">
        <v>1.8495925992692928</v>
      </c>
      <c r="DE28" s="1039">
        <v>1.8495925992692928</v>
      </c>
      <c r="DF28" s="1039">
        <v>1.8495925992692928</v>
      </c>
      <c r="DG28" s="511">
        <f t="shared" si="5"/>
        <v>33.292666786847271</v>
      </c>
      <c r="DH28" s="756">
        <f>CI28-DG28</f>
        <v>66.585333573694527</v>
      </c>
      <c r="DI28" s="958"/>
      <c r="DJ28" s="958"/>
      <c r="DK28" s="958"/>
    </row>
    <row r="29" spans="1:115" s="16" customFormat="1" x14ac:dyDescent="0.2">
      <c r="A29" s="120" t="s">
        <v>181</v>
      </c>
      <c r="B29" s="120"/>
      <c r="C29" s="45"/>
      <c r="D29" s="125"/>
      <c r="E29" s="130"/>
      <c r="F29" s="132"/>
      <c r="G29" s="8"/>
      <c r="H29" s="145"/>
      <c r="I29" s="165"/>
      <c r="J29" s="48"/>
      <c r="K29" s="165"/>
      <c r="L29" s="48"/>
      <c r="M29" s="165"/>
      <c r="N29" s="48"/>
      <c r="O29" s="165"/>
      <c r="P29" s="48"/>
      <c r="Q29" s="48"/>
      <c r="R29" s="46"/>
      <c r="S29" s="119"/>
      <c r="T29" s="7"/>
      <c r="U29" s="72"/>
      <c r="V29" s="776"/>
      <c r="W29" s="776"/>
      <c r="X29" s="55"/>
      <c r="Y29" s="106"/>
      <c r="Z29" s="258"/>
      <c r="AA29" s="57"/>
      <c r="AB29" s="80"/>
      <c r="AC29" s="57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72"/>
      <c r="AO29" s="55"/>
      <c r="AP29" s="55"/>
      <c r="AQ29" s="55">
        <f t="shared" si="4"/>
        <v>0</v>
      </c>
      <c r="AR29" s="55">
        <f t="shared" si="4"/>
        <v>0</v>
      </c>
      <c r="AS29" s="55">
        <f t="shared" si="4"/>
        <v>0</v>
      </c>
      <c r="AT29" s="55">
        <f t="shared" si="4"/>
        <v>0</v>
      </c>
      <c r="AU29" s="55">
        <f t="shared" si="4"/>
        <v>0</v>
      </c>
      <c r="AV29" s="57"/>
      <c r="AW29" s="80"/>
      <c r="AX29" s="57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448"/>
      <c r="BJ29" s="55"/>
      <c r="BK29" s="55"/>
      <c r="BL29" s="55"/>
      <c r="BM29" s="55"/>
      <c r="BN29" s="55"/>
      <c r="BO29" s="57"/>
      <c r="BP29" s="80"/>
      <c r="BQ29" s="57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448"/>
      <c r="CC29" s="55"/>
      <c r="CD29" s="55"/>
      <c r="CE29" s="55"/>
      <c r="CF29" s="55"/>
      <c r="CG29" s="55"/>
      <c r="CH29" s="505"/>
      <c r="CI29" s="679"/>
      <c r="CJ29" s="505"/>
      <c r="CK29" s="80"/>
      <c r="CL29" s="679"/>
      <c r="CM29" s="623"/>
      <c r="CN29" s="617"/>
      <c r="CO29" s="1078"/>
      <c r="CP29" s="1078"/>
      <c r="CQ29" s="1078"/>
      <c r="CR29" s="1078"/>
      <c r="CS29" s="1078"/>
      <c r="CT29" s="1078"/>
      <c r="CU29" s="1078"/>
      <c r="CV29" s="1078"/>
      <c r="CW29" s="1078"/>
      <c r="CX29" s="1078"/>
      <c r="CY29" s="1078"/>
      <c r="CZ29" s="1078"/>
      <c r="DA29" s="1078"/>
      <c r="DB29" s="1078"/>
      <c r="DC29" s="1078"/>
      <c r="DD29" s="1078"/>
      <c r="DE29" s="1078"/>
      <c r="DF29" s="1078"/>
      <c r="DG29" s="511">
        <f t="shared" si="5"/>
        <v>0</v>
      </c>
      <c r="DH29" s="995"/>
      <c r="DI29" s="958"/>
      <c r="DJ29" s="958"/>
      <c r="DK29" s="958"/>
    </row>
    <row r="30" spans="1:115" s="16" customFormat="1" x14ac:dyDescent="0.2">
      <c r="A30" s="120" t="s">
        <v>186</v>
      </c>
      <c r="B30" s="100"/>
      <c r="C30" s="45"/>
      <c r="D30" s="150"/>
      <c r="E30" s="130"/>
      <c r="F30" s="119"/>
      <c r="G30" s="58"/>
      <c r="H30" s="145"/>
      <c r="I30" s="165"/>
      <c r="J30" s="48"/>
      <c r="K30" s="165"/>
      <c r="L30" s="48"/>
      <c r="M30" s="165"/>
      <c r="N30" s="48"/>
      <c r="O30" s="165"/>
      <c r="P30" s="48"/>
      <c r="Q30" s="48"/>
      <c r="R30" s="125"/>
      <c r="S30" s="119"/>
      <c r="T30" s="7"/>
      <c r="U30" s="72"/>
      <c r="V30" s="776"/>
      <c r="W30" s="776"/>
      <c r="X30" s="55"/>
      <c r="Y30" s="106"/>
      <c r="Z30" s="258"/>
      <c r="AA30" s="57"/>
      <c r="AB30" s="80"/>
      <c r="AC30" s="57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72"/>
      <c r="AO30" s="55"/>
      <c r="AP30" s="55"/>
      <c r="AQ30" s="55">
        <f t="shared" si="4"/>
        <v>0</v>
      </c>
      <c r="AR30" s="55">
        <f t="shared" si="4"/>
        <v>0</v>
      </c>
      <c r="AS30" s="55">
        <f t="shared" si="4"/>
        <v>0</v>
      </c>
      <c r="AT30" s="55">
        <f t="shared" si="4"/>
        <v>0</v>
      </c>
      <c r="AU30" s="55">
        <f t="shared" si="4"/>
        <v>0</v>
      </c>
      <c r="AV30" s="57"/>
      <c r="AW30" s="80"/>
      <c r="AX30" s="57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448"/>
      <c r="BJ30" s="55"/>
      <c r="BK30" s="55"/>
      <c r="BL30" s="55"/>
      <c r="BM30" s="55"/>
      <c r="BN30" s="55"/>
      <c r="BO30" s="57"/>
      <c r="BP30" s="80"/>
      <c r="BQ30" s="57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448"/>
      <c r="CC30" s="55"/>
      <c r="CD30" s="55"/>
      <c r="CE30" s="55"/>
      <c r="CF30" s="55"/>
      <c r="CG30" s="55"/>
      <c r="CH30" s="505"/>
      <c r="CI30" s="679"/>
      <c r="CJ30" s="505"/>
      <c r="CK30" s="80"/>
      <c r="CL30" s="681"/>
      <c r="CM30" s="656"/>
      <c r="CN30" s="1057"/>
      <c r="CO30" s="1079"/>
      <c r="CP30" s="1079"/>
      <c r="CQ30" s="1079"/>
      <c r="CR30" s="1079"/>
      <c r="CS30" s="1079"/>
      <c r="CT30" s="1079"/>
      <c r="CU30" s="1079"/>
      <c r="CV30" s="1079"/>
      <c r="CW30" s="1079"/>
      <c r="CX30" s="1079"/>
      <c r="CY30" s="1079"/>
      <c r="CZ30" s="1079"/>
      <c r="DA30" s="1079"/>
      <c r="DB30" s="1079"/>
      <c r="DC30" s="1079"/>
      <c r="DD30" s="1079"/>
      <c r="DE30" s="1079"/>
      <c r="DF30" s="1079"/>
      <c r="DG30" s="511">
        <f t="shared" si="5"/>
        <v>0</v>
      </c>
      <c r="DH30" s="995">
        <v>0</v>
      </c>
      <c r="DI30" s="958"/>
      <c r="DJ30" s="958"/>
      <c r="DK30" s="958"/>
    </row>
    <row r="31" spans="1:115" s="16" customFormat="1" x14ac:dyDescent="0.2">
      <c r="A31" s="119" t="s">
        <v>187</v>
      </c>
      <c r="B31" s="100" t="s">
        <v>188</v>
      </c>
      <c r="C31" s="45" t="s">
        <v>361</v>
      </c>
      <c r="D31" s="125">
        <v>10</v>
      </c>
      <c r="E31" s="130">
        <v>0.1</v>
      </c>
      <c r="F31" s="46">
        <v>43281</v>
      </c>
      <c r="G31" s="58">
        <v>120</v>
      </c>
      <c r="H31" s="145">
        <f>100/G31</f>
        <v>0.83333333333333337</v>
      </c>
      <c r="I31" s="165">
        <f>H31*J31</f>
        <v>55</v>
      </c>
      <c r="J31" s="48">
        <f>(YEAR(F31)-YEAR(S31))*12+MONTH(F31)-MONTH(S31)</f>
        <v>66</v>
      </c>
      <c r="K31" s="165">
        <f>L31*H31</f>
        <v>45</v>
      </c>
      <c r="L31" s="48">
        <f>G31-J31</f>
        <v>54</v>
      </c>
      <c r="M31" s="165">
        <f>N31*H31</f>
        <v>5.8333333333333339</v>
      </c>
      <c r="N31" s="48">
        <v>7</v>
      </c>
      <c r="O31" s="165">
        <f>K31-M31</f>
        <v>39.166666666666664</v>
      </c>
      <c r="P31" s="48">
        <f>L31-N31</f>
        <v>47</v>
      </c>
      <c r="Q31" s="462">
        <f>DATE(YEAR(S31),MONTH(S31)+G31,DAY(S31))</f>
        <v>44908</v>
      </c>
      <c r="R31" s="125" t="s">
        <v>360</v>
      </c>
      <c r="S31" s="128">
        <v>41256</v>
      </c>
      <c r="T31" s="7">
        <v>1290</v>
      </c>
      <c r="U31" s="72">
        <v>18.420000000000002</v>
      </c>
      <c r="V31" s="776">
        <v>129</v>
      </c>
      <c r="W31" s="776">
        <v>1032</v>
      </c>
      <c r="X31" s="55">
        <v>10.75</v>
      </c>
      <c r="Y31" s="106">
        <f>X31*5</f>
        <v>53.75</v>
      </c>
      <c r="Z31" s="258">
        <f>W31-Y31</f>
        <v>978.25</v>
      </c>
      <c r="AA31" s="57">
        <v>115.958</v>
      </c>
      <c r="AB31" s="145">
        <v>107.246</v>
      </c>
      <c r="AC31" s="57">
        <f>AA31/AB31</f>
        <v>1.0812337989295639</v>
      </c>
      <c r="AD31" s="55">
        <f>Z31*M31/100/K31*100/7</f>
        <v>18.11574074074074</v>
      </c>
      <c r="AE31" s="55">
        <f>AD31*AC31</f>
        <v>19.587351181534185</v>
      </c>
      <c r="AF31" s="55">
        <f>AE31</f>
        <v>19.587351181534185</v>
      </c>
      <c r="AG31" s="55">
        <v>11.752410708920511</v>
      </c>
      <c r="AH31" s="55">
        <v>11.752410708920511</v>
      </c>
      <c r="AI31" s="55">
        <v>11.752410708920511</v>
      </c>
      <c r="AJ31" s="55">
        <v>11.752410708920511</v>
      </c>
      <c r="AK31" s="55">
        <v>11.752410708920511</v>
      </c>
      <c r="AL31" s="55">
        <v>11.752410708920511</v>
      </c>
      <c r="AM31" s="55">
        <f>SUM(AF31:AL31)</f>
        <v>90.101815435057233</v>
      </c>
      <c r="AN31" s="72">
        <f>Z31-AM31</f>
        <v>888.14818456494277</v>
      </c>
      <c r="AO31" s="55"/>
      <c r="AP31" s="55"/>
      <c r="AQ31" s="55">
        <f t="shared" si="4"/>
        <v>90.101815435057233</v>
      </c>
      <c r="AR31" s="55">
        <f t="shared" si="4"/>
        <v>90.101815435057233</v>
      </c>
      <c r="AS31" s="55">
        <f t="shared" si="4"/>
        <v>90.101815435057233</v>
      </c>
      <c r="AT31" s="55">
        <f t="shared" si="4"/>
        <v>90.101815435057233</v>
      </c>
      <c r="AU31" s="55">
        <f t="shared" si="4"/>
        <v>90.101815435057233</v>
      </c>
      <c r="AV31" s="57">
        <v>118.901</v>
      </c>
      <c r="AW31" s="145">
        <v>107.246</v>
      </c>
      <c r="AX31" s="57">
        <f>AV31/AW31</f>
        <v>1.1086753818324226</v>
      </c>
      <c r="AY31" s="55">
        <f>T31/(D31*12)</f>
        <v>10.75</v>
      </c>
      <c r="AZ31" s="55">
        <f>AY31*AX31</f>
        <v>11.918260354698543</v>
      </c>
      <c r="BA31" s="55">
        <f t="shared" ref="BA31:BG31" si="8">$AZ31</f>
        <v>11.918260354698543</v>
      </c>
      <c r="BB31" s="55">
        <f t="shared" si="8"/>
        <v>11.918260354698543</v>
      </c>
      <c r="BC31" s="55">
        <f t="shared" si="8"/>
        <v>11.918260354698543</v>
      </c>
      <c r="BD31" s="55">
        <f t="shared" si="8"/>
        <v>11.918260354698543</v>
      </c>
      <c r="BE31" s="55">
        <f t="shared" si="8"/>
        <v>11.918260354698543</v>
      </c>
      <c r="BF31" s="55">
        <f t="shared" si="8"/>
        <v>11.918260354698543</v>
      </c>
      <c r="BG31" s="55">
        <f t="shared" si="8"/>
        <v>11.918260354698543</v>
      </c>
      <c r="BH31" s="55">
        <f>SUM((AQ31:AU31),(BA31:BG31))</f>
        <v>533.93689965817589</v>
      </c>
      <c r="BI31" s="448">
        <v>341.62962596895613</v>
      </c>
      <c r="BJ31" s="55">
        <f>$AZ31</f>
        <v>11.918260354698543</v>
      </c>
      <c r="BK31" s="55">
        <f>$AZ31</f>
        <v>11.918260354698543</v>
      </c>
      <c r="BL31" s="55">
        <f>$AZ31</f>
        <v>11.918260354698543</v>
      </c>
      <c r="BM31" s="55">
        <f>$AZ31</f>
        <v>11.918260354698543</v>
      </c>
      <c r="BN31" s="55">
        <f>$AZ31</f>
        <v>11.918260354698543</v>
      </c>
      <c r="BO31" s="57">
        <v>126.408</v>
      </c>
      <c r="BP31" s="145">
        <v>107.246</v>
      </c>
      <c r="BQ31" s="57">
        <f>BO31/BP31</f>
        <v>1.1786733304738639</v>
      </c>
      <c r="BR31" s="55">
        <f>BI31/L31</f>
        <v>6.3264745549806696</v>
      </c>
      <c r="BS31" s="55">
        <f>BR31*BQ31</f>
        <v>7.456846833877222</v>
      </c>
      <c r="BT31" s="55">
        <v>6.1</v>
      </c>
      <c r="BU31" s="55">
        <v>6.1</v>
      </c>
      <c r="BV31" s="55">
        <v>6.1</v>
      </c>
      <c r="BW31" s="55">
        <v>6.1</v>
      </c>
      <c r="BX31" s="55">
        <v>6.1</v>
      </c>
      <c r="BY31" s="55">
        <v>6.1</v>
      </c>
      <c r="BZ31" s="55">
        <v>6.1</v>
      </c>
      <c r="CA31" s="55">
        <f>SUM(BT31:BZ31)</f>
        <v>42.7</v>
      </c>
      <c r="CB31" s="448">
        <f>BI31-CA31</f>
        <v>298.92962596895615</v>
      </c>
      <c r="CC31" s="55">
        <v>6.1</v>
      </c>
      <c r="CD31" s="55">
        <v>6.1</v>
      </c>
      <c r="CE31" s="55">
        <v>6.1</v>
      </c>
      <c r="CF31" s="55">
        <v>6.1</v>
      </c>
      <c r="CG31" s="55">
        <v>6.1</v>
      </c>
      <c r="CH31" s="505">
        <f t="shared" si="0"/>
        <v>30.5</v>
      </c>
      <c r="CI31" s="679">
        <f t="shared" si="1"/>
        <v>268.42962596895615</v>
      </c>
      <c r="CJ31" s="956">
        <v>132.28200000000001</v>
      </c>
      <c r="CK31" s="145">
        <v>107.246</v>
      </c>
      <c r="CL31" s="957">
        <f>CJ31/CK31</f>
        <v>1.2334446039945548</v>
      </c>
      <c r="CM31" s="511">
        <f>CI31/L31</f>
        <v>4.9709189994251135</v>
      </c>
      <c r="CN31" s="511">
        <v>4.9709189994251135</v>
      </c>
      <c r="CO31" s="1039">
        <v>4.9709189994251135</v>
      </c>
      <c r="CP31" s="1039">
        <v>4.9709189994251135</v>
      </c>
      <c r="CQ31" s="1039">
        <v>4.9709189994251135</v>
      </c>
      <c r="CR31" s="1039">
        <v>4.9709189994251135</v>
      </c>
      <c r="CS31" s="1039">
        <v>4.9709189994251135</v>
      </c>
      <c r="CT31" s="1039">
        <v>4.9709189994251135</v>
      </c>
      <c r="CU31" s="1039">
        <v>4.9709189994251135</v>
      </c>
      <c r="CV31" s="1039">
        <v>4.9709189994251135</v>
      </c>
      <c r="CW31" s="1039">
        <v>4.9709189994251135</v>
      </c>
      <c r="CX31" s="1039">
        <v>4.9709189994251135</v>
      </c>
      <c r="CY31" s="1039">
        <v>4.9709189994251135</v>
      </c>
      <c r="CZ31" s="1039">
        <v>4.9709189994251135</v>
      </c>
      <c r="DA31" s="1039">
        <v>4.9709189994251135</v>
      </c>
      <c r="DB31" s="1039">
        <v>4.9709189994251135</v>
      </c>
      <c r="DC31" s="1039">
        <v>4.9709189994251135</v>
      </c>
      <c r="DD31" s="1039">
        <v>4.9709189994251135</v>
      </c>
      <c r="DE31" s="1039">
        <v>4.9709189994251135</v>
      </c>
      <c r="DF31" s="1039">
        <v>4.9709189994251135</v>
      </c>
      <c r="DG31" s="511">
        <f t="shared" si="5"/>
        <v>89.476541989652034</v>
      </c>
      <c r="DH31" s="756">
        <f>CI31-DG31</f>
        <v>178.9530839793041</v>
      </c>
      <c r="DI31" s="958"/>
      <c r="DJ31" s="958"/>
      <c r="DK31" s="958"/>
    </row>
    <row r="32" spans="1:115" s="16" customFormat="1" x14ac:dyDescent="0.2">
      <c r="A32" s="120" t="s">
        <v>181</v>
      </c>
      <c r="B32" s="120"/>
      <c r="C32" s="45"/>
      <c r="D32" s="125"/>
      <c r="E32" s="127"/>
      <c r="F32" s="119"/>
      <c r="G32" s="8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19"/>
      <c r="S32" s="128"/>
      <c r="T32" s="7"/>
      <c r="U32" s="72"/>
      <c r="V32" s="134"/>
      <c r="W32" s="134"/>
      <c r="X32" s="55"/>
      <c r="Y32" s="108"/>
      <c r="Z32" s="257"/>
      <c r="AA32" s="66"/>
      <c r="AB32" s="145"/>
      <c r="AC32" s="66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73"/>
      <c r="AO32" s="55"/>
      <c r="AP32" s="55"/>
      <c r="AQ32" s="55">
        <f t="shared" si="4"/>
        <v>0</v>
      </c>
      <c r="AR32" s="55">
        <f t="shared" si="4"/>
        <v>0</v>
      </c>
      <c r="AS32" s="55">
        <f t="shared" si="4"/>
        <v>0</v>
      </c>
      <c r="AT32" s="55">
        <f t="shared" si="4"/>
        <v>0</v>
      </c>
      <c r="AU32" s="55">
        <f t="shared" si="4"/>
        <v>0</v>
      </c>
      <c r="AV32" s="66"/>
      <c r="AW32" s="145"/>
      <c r="AX32" s="57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448"/>
      <c r="BJ32" s="55"/>
      <c r="BK32" s="55"/>
      <c r="BL32" s="55"/>
      <c r="BM32" s="55"/>
      <c r="BN32" s="55"/>
      <c r="BO32" s="66"/>
      <c r="BP32" s="145"/>
      <c r="BQ32" s="57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448"/>
      <c r="CC32" s="55"/>
      <c r="CD32" s="55"/>
      <c r="CE32" s="55"/>
      <c r="CF32" s="55"/>
      <c r="CG32" s="55"/>
      <c r="CH32" s="505"/>
      <c r="CI32" s="679"/>
      <c r="CJ32" s="505"/>
      <c r="CK32" s="145"/>
      <c r="CL32" s="505"/>
      <c r="CM32" s="55"/>
      <c r="CN32" s="55"/>
      <c r="CO32" s="1040"/>
      <c r="CP32" s="1040"/>
      <c r="CQ32" s="1040"/>
      <c r="CR32" s="1040"/>
      <c r="CS32" s="1040"/>
      <c r="CT32" s="1040"/>
      <c r="CU32" s="1040"/>
      <c r="CV32" s="1040"/>
      <c r="CW32" s="1040"/>
      <c r="CX32" s="1040"/>
      <c r="CY32" s="1040"/>
      <c r="CZ32" s="1040"/>
      <c r="DA32" s="1040"/>
      <c r="DB32" s="1040"/>
      <c r="DC32" s="1040"/>
      <c r="DD32" s="1040"/>
      <c r="DE32" s="1040"/>
      <c r="DF32" s="1040"/>
      <c r="DG32" s="511">
        <f t="shared" si="5"/>
        <v>0</v>
      </c>
      <c r="DH32" s="394"/>
      <c r="DI32" s="479"/>
      <c r="DJ32" s="479"/>
      <c r="DK32" s="479"/>
    </row>
    <row r="33" spans="1:115" s="16" customFormat="1" x14ac:dyDescent="0.2">
      <c r="A33" s="120" t="s">
        <v>190</v>
      </c>
      <c r="B33" s="100"/>
      <c r="C33" s="124"/>
      <c r="D33" s="150"/>
      <c r="E33" s="127"/>
      <c r="F33" s="119"/>
      <c r="G33" s="58"/>
      <c r="H33" s="145"/>
      <c r="I33" s="165"/>
      <c r="J33" s="48"/>
      <c r="K33" s="165"/>
      <c r="L33" s="48"/>
      <c r="M33" s="165"/>
      <c r="N33" s="48"/>
      <c r="O33" s="165"/>
      <c r="P33" s="48"/>
      <c r="Q33" s="48"/>
      <c r="R33" s="125"/>
      <c r="S33" s="128"/>
      <c r="T33" s="7"/>
      <c r="U33" s="72"/>
      <c r="V33" s="776"/>
      <c r="W33" s="776"/>
      <c r="X33" s="113"/>
      <c r="Y33" s="106"/>
      <c r="Z33" s="258"/>
      <c r="AA33" s="57"/>
      <c r="AB33" s="146"/>
      <c r="AC33" s="57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72"/>
      <c r="AO33" s="55"/>
      <c r="AP33" s="55"/>
      <c r="AQ33" s="55">
        <f t="shared" si="4"/>
        <v>0</v>
      </c>
      <c r="AR33" s="55">
        <f t="shared" si="4"/>
        <v>0</v>
      </c>
      <c r="AS33" s="55">
        <f t="shared" si="4"/>
        <v>0</v>
      </c>
      <c r="AT33" s="55">
        <f t="shared" si="4"/>
        <v>0</v>
      </c>
      <c r="AU33" s="55">
        <f t="shared" si="4"/>
        <v>0</v>
      </c>
      <c r="AV33" s="57"/>
      <c r="AW33" s="146"/>
      <c r="AX33" s="57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448"/>
      <c r="BJ33" s="55"/>
      <c r="BK33" s="55"/>
      <c r="BL33" s="55"/>
      <c r="BM33" s="55"/>
      <c r="BN33" s="55"/>
      <c r="BO33" s="57"/>
      <c r="BP33" s="146"/>
      <c r="BQ33" s="57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448"/>
      <c r="CC33" s="55"/>
      <c r="CD33" s="55"/>
      <c r="CE33" s="55"/>
      <c r="CF33" s="55"/>
      <c r="CG33" s="55"/>
      <c r="CH33" s="505"/>
      <c r="CI33" s="679"/>
      <c r="CJ33" s="505"/>
      <c r="CK33" s="146"/>
      <c r="CL33" s="679"/>
      <c r="CM33" s="956"/>
      <c r="CN33" s="1058"/>
      <c r="CO33" s="1080"/>
      <c r="CP33" s="1080"/>
      <c r="CQ33" s="1080"/>
      <c r="CR33" s="1080"/>
      <c r="CS33" s="1080"/>
      <c r="CT33" s="1080"/>
      <c r="CU33" s="1080"/>
      <c r="CV33" s="1080"/>
      <c r="CW33" s="1080"/>
      <c r="CX33" s="1080"/>
      <c r="CY33" s="1080"/>
      <c r="CZ33" s="1080"/>
      <c r="DA33" s="1080"/>
      <c r="DB33" s="1080"/>
      <c r="DC33" s="1080"/>
      <c r="DD33" s="1080"/>
      <c r="DE33" s="1080"/>
      <c r="DF33" s="1080"/>
      <c r="DG33" s="511">
        <f t="shared" si="5"/>
        <v>0</v>
      </c>
      <c r="DH33" s="995"/>
      <c r="DI33" s="958"/>
      <c r="DJ33" s="958"/>
      <c r="DK33" s="962"/>
    </row>
    <row r="34" spans="1:115" s="16" customFormat="1" x14ac:dyDescent="0.2">
      <c r="A34" s="119" t="s">
        <v>189</v>
      </c>
      <c r="B34" s="100" t="s">
        <v>191</v>
      </c>
      <c r="C34" s="45" t="s">
        <v>361</v>
      </c>
      <c r="D34" s="125">
        <v>10</v>
      </c>
      <c r="E34" s="127">
        <v>0.1</v>
      </c>
      <c r="F34" s="46">
        <v>43281</v>
      </c>
      <c r="G34" s="58">
        <v>120</v>
      </c>
      <c r="H34" s="145">
        <f>100/G34</f>
        <v>0.83333333333333337</v>
      </c>
      <c r="I34" s="165">
        <f>H34*J34</f>
        <v>55</v>
      </c>
      <c r="J34" s="48">
        <f>(YEAR(F34)-YEAR(S34))*12+MONTH(F34)-MONTH(S34)</f>
        <v>66</v>
      </c>
      <c r="K34" s="165">
        <f>L34*H34</f>
        <v>45</v>
      </c>
      <c r="L34" s="48">
        <f>G34-J34</f>
        <v>54</v>
      </c>
      <c r="M34" s="165">
        <f>N34*H34</f>
        <v>5.8333333333333339</v>
      </c>
      <c r="N34" s="48">
        <v>7</v>
      </c>
      <c r="O34" s="165">
        <f>K34-M34</f>
        <v>39.166666666666664</v>
      </c>
      <c r="P34" s="48">
        <f>L34-N34</f>
        <v>47</v>
      </c>
      <c r="Q34" s="462">
        <f>DATE(YEAR(S34),MONTH(S34)+G34,DAY(S34))</f>
        <v>44908</v>
      </c>
      <c r="R34" s="125" t="s">
        <v>360</v>
      </c>
      <c r="S34" s="128">
        <v>41256</v>
      </c>
      <c r="T34" s="7">
        <v>249</v>
      </c>
      <c r="U34" s="72">
        <v>89.18</v>
      </c>
      <c r="V34" s="776">
        <v>24.944999999999993</v>
      </c>
      <c r="W34" s="776">
        <v>199.155</v>
      </c>
      <c r="X34" s="55">
        <v>2.08</v>
      </c>
      <c r="Y34" s="106">
        <f>X34*5</f>
        <v>10.4</v>
      </c>
      <c r="Z34" s="258">
        <f>W34-Y34</f>
        <v>188.755</v>
      </c>
      <c r="AA34" s="57">
        <v>115.958</v>
      </c>
      <c r="AB34" s="145">
        <v>107.246</v>
      </c>
      <c r="AC34" s="57">
        <f>AA34/AB34</f>
        <v>1.0812337989295639</v>
      </c>
      <c r="AD34" s="55">
        <f>Z34*M34/100/K34*100/7</f>
        <v>3.495462962962963</v>
      </c>
      <c r="AE34" s="55">
        <f>AD34*AC34</f>
        <v>3.7794126984620342</v>
      </c>
      <c r="AF34" s="55">
        <f>AE34</f>
        <v>3.7794126984620342</v>
      </c>
      <c r="AG34" s="55">
        <v>2.2676476190772203</v>
      </c>
      <c r="AH34" s="55">
        <v>2.2676476190772203</v>
      </c>
      <c r="AI34" s="55">
        <v>2.2676476190772203</v>
      </c>
      <c r="AJ34" s="55">
        <v>2.2676476190772203</v>
      </c>
      <c r="AK34" s="55">
        <v>2.2676476190772203</v>
      </c>
      <c r="AL34" s="55">
        <v>2.2676476190772203</v>
      </c>
      <c r="AM34" s="55">
        <f>SUM(AF34:AL34)</f>
        <v>17.385298412925355</v>
      </c>
      <c r="AN34" s="72">
        <f>Z34-AM34</f>
        <v>171.36970158707464</v>
      </c>
      <c r="AO34" s="55"/>
      <c r="AP34" s="55"/>
      <c r="AQ34" s="55">
        <f t="shared" si="4"/>
        <v>17.385298412925355</v>
      </c>
      <c r="AR34" s="55">
        <f t="shared" si="4"/>
        <v>17.385298412925355</v>
      </c>
      <c r="AS34" s="55">
        <f t="shared" si="4"/>
        <v>17.385298412925355</v>
      </c>
      <c r="AT34" s="55">
        <f t="shared" si="4"/>
        <v>17.385298412925355</v>
      </c>
      <c r="AU34" s="55">
        <f t="shared" si="4"/>
        <v>17.385298412925355</v>
      </c>
      <c r="AV34" s="57">
        <v>118.901</v>
      </c>
      <c r="AW34" s="145">
        <v>107.246</v>
      </c>
      <c r="AX34" s="57">
        <f>AV34/AW34</f>
        <v>1.1086753818324226</v>
      </c>
      <c r="AY34" s="55">
        <f>T34/(D34*12)</f>
        <v>2.0750000000000002</v>
      </c>
      <c r="AZ34" s="55">
        <f>AY34*AX34</f>
        <v>2.3005014173022773</v>
      </c>
      <c r="BA34" s="55">
        <f t="shared" ref="BA34:BG34" si="9">$AZ34</f>
        <v>2.3005014173022773</v>
      </c>
      <c r="BB34" s="55">
        <f t="shared" si="9"/>
        <v>2.3005014173022773</v>
      </c>
      <c r="BC34" s="55">
        <f t="shared" si="9"/>
        <v>2.3005014173022773</v>
      </c>
      <c r="BD34" s="55">
        <f t="shared" si="9"/>
        <v>2.3005014173022773</v>
      </c>
      <c r="BE34" s="55">
        <f t="shared" si="9"/>
        <v>2.3005014173022773</v>
      </c>
      <c r="BF34" s="55">
        <f t="shared" si="9"/>
        <v>2.3005014173022773</v>
      </c>
      <c r="BG34" s="55">
        <f t="shared" si="9"/>
        <v>2.3005014173022773</v>
      </c>
      <c r="BH34" s="55">
        <f>SUM((AQ34:AU34),(BA34:BG34))</f>
        <v>103.03000198574267</v>
      </c>
      <c r="BI34" s="448">
        <v>65.907782991129466</v>
      </c>
      <c r="BJ34" s="55">
        <f>$AZ34</f>
        <v>2.3005014173022773</v>
      </c>
      <c r="BK34" s="55">
        <f>$AZ34</f>
        <v>2.3005014173022773</v>
      </c>
      <c r="BL34" s="55">
        <f>$AZ34</f>
        <v>2.3005014173022773</v>
      </c>
      <c r="BM34" s="55">
        <f>$AZ34</f>
        <v>2.3005014173022773</v>
      </c>
      <c r="BN34" s="55">
        <f>$AZ34</f>
        <v>2.3005014173022773</v>
      </c>
      <c r="BO34" s="57">
        <v>126.408</v>
      </c>
      <c r="BP34" s="145">
        <v>107.246</v>
      </c>
      <c r="BQ34" s="57">
        <f>BO34/BP34</f>
        <v>1.1786733304738639</v>
      </c>
      <c r="BR34" s="55">
        <f>BI34/L34</f>
        <v>1.2205144998357309</v>
      </c>
      <c r="BS34" s="55">
        <f>BR34*BQ34</f>
        <v>1.4385878904130232</v>
      </c>
      <c r="BT34" s="55">
        <f>BS34*BR34</f>
        <v>1.7558173795371903</v>
      </c>
      <c r="BU34" s="55">
        <v>1.18</v>
      </c>
      <c r="BV34" s="55">
        <v>1.18</v>
      </c>
      <c r="BW34" s="55">
        <v>1.18</v>
      </c>
      <c r="BX34" s="55">
        <v>1.18</v>
      </c>
      <c r="BY34" s="55">
        <v>1.18</v>
      </c>
      <c r="BZ34" s="55">
        <v>1.18</v>
      </c>
      <c r="CA34" s="55">
        <f>SUM(BT34:BZ34)</f>
        <v>8.8358173795371897</v>
      </c>
      <c r="CB34" s="448">
        <f>BI34-CA34</f>
        <v>57.071965611592276</v>
      </c>
      <c r="CC34" s="55">
        <v>1.18</v>
      </c>
      <c r="CD34" s="55">
        <v>1.18</v>
      </c>
      <c r="CE34" s="55">
        <v>1.18</v>
      </c>
      <c r="CF34" s="55">
        <v>1.18</v>
      </c>
      <c r="CG34" s="55">
        <v>1.18</v>
      </c>
      <c r="CH34" s="505">
        <f t="shared" si="0"/>
        <v>5.8999999999999995</v>
      </c>
      <c r="CI34" s="679">
        <f t="shared" si="1"/>
        <v>51.171965611592277</v>
      </c>
      <c r="CJ34" s="956">
        <v>132.28200000000001</v>
      </c>
      <c r="CK34" s="145">
        <v>107.246</v>
      </c>
      <c r="CL34" s="957">
        <f>CJ34/CK34</f>
        <v>1.2334446039945548</v>
      </c>
      <c r="CM34" s="511">
        <f>CI34/L34</f>
        <v>0.94762899280726443</v>
      </c>
      <c r="CN34" s="511">
        <v>0.94762899280726443</v>
      </c>
      <c r="CO34" s="1039">
        <v>0.94762899280726443</v>
      </c>
      <c r="CP34" s="1039">
        <v>0.94762899280726443</v>
      </c>
      <c r="CQ34" s="1039">
        <v>0.94762899280726443</v>
      </c>
      <c r="CR34" s="1039">
        <v>0.94762899280726443</v>
      </c>
      <c r="CS34" s="1039">
        <v>0.94762899280726443</v>
      </c>
      <c r="CT34" s="1039">
        <v>0.94762899280726443</v>
      </c>
      <c r="CU34" s="1039">
        <v>0.94762899280726443</v>
      </c>
      <c r="CV34" s="1039">
        <v>0.94762899280726443</v>
      </c>
      <c r="CW34" s="1039">
        <v>0.94762899280726443</v>
      </c>
      <c r="CX34" s="1039">
        <v>0.94762899280726443</v>
      </c>
      <c r="CY34" s="1039">
        <v>0.94762899280726443</v>
      </c>
      <c r="CZ34" s="1039">
        <v>0.94762899280726443</v>
      </c>
      <c r="DA34" s="1039">
        <v>0.94762899280726443</v>
      </c>
      <c r="DB34" s="1039">
        <v>0.94762899280726443</v>
      </c>
      <c r="DC34" s="1039">
        <v>0.94762899280726443</v>
      </c>
      <c r="DD34" s="1039">
        <v>0.94762899280726443</v>
      </c>
      <c r="DE34" s="1039">
        <v>0.94762899280726443</v>
      </c>
      <c r="DF34" s="1039">
        <v>0.94762899280726443</v>
      </c>
      <c r="DG34" s="511">
        <f t="shared" si="5"/>
        <v>17.057321870530757</v>
      </c>
      <c r="DH34" s="756">
        <f>CI34-DG34</f>
        <v>34.114643741061521</v>
      </c>
      <c r="DI34" s="958"/>
      <c r="DJ34" s="958"/>
      <c r="DK34" s="958"/>
    </row>
    <row r="35" spans="1:115" s="16" customFormat="1" x14ac:dyDescent="0.2">
      <c r="A35" s="120" t="s">
        <v>177</v>
      </c>
      <c r="B35" s="120"/>
      <c r="C35" s="45"/>
      <c r="D35" s="125"/>
      <c r="E35" s="127"/>
      <c r="F35" s="119"/>
      <c r="G35" s="58"/>
      <c r="H35" s="145"/>
      <c r="I35" s="165"/>
      <c r="J35" s="48"/>
      <c r="K35" s="165"/>
      <c r="L35" s="48"/>
      <c r="M35" s="165"/>
      <c r="N35" s="48"/>
      <c r="O35" s="165"/>
      <c r="P35" s="48"/>
      <c r="Q35" s="48"/>
      <c r="R35" s="125"/>
      <c r="S35" s="128"/>
      <c r="T35" s="7"/>
      <c r="U35" s="72"/>
      <c r="V35" s="776"/>
      <c r="W35" s="776"/>
      <c r="X35" s="55"/>
      <c r="Y35" s="106"/>
      <c r="Z35" s="258"/>
      <c r="AA35" s="57"/>
      <c r="AB35" s="145"/>
      <c r="AC35" s="57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72"/>
      <c r="AO35" s="55"/>
      <c r="AP35" s="55"/>
      <c r="AQ35" s="55">
        <f t="shared" si="4"/>
        <v>0</v>
      </c>
      <c r="AR35" s="55"/>
      <c r="AS35" s="55"/>
      <c r="AT35" s="55"/>
      <c r="AU35" s="55"/>
      <c r="AV35" s="57"/>
      <c r="AW35" s="145"/>
      <c r="AX35" s="57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448"/>
      <c r="BJ35" s="55"/>
      <c r="BK35" s="55"/>
      <c r="BL35" s="55"/>
      <c r="BM35" s="55"/>
      <c r="BN35" s="55"/>
      <c r="BO35" s="57"/>
      <c r="BP35" s="145"/>
      <c r="BQ35" s="57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448"/>
      <c r="CC35" s="55"/>
      <c r="CD35" s="55"/>
      <c r="CE35" s="55"/>
      <c r="CF35" s="55"/>
      <c r="CG35" s="55"/>
      <c r="CH35" s="505"/>
      <c r="CI35" s="679"/>
      <c r="CJ35" s="505"/>
      <c r="CK35" s="145"/>
      <c r="CL35" s="679"/>
      <c r="CM35" s="623"/>
      <c r="CN35" s="617"/>
      <c r="CO35" s="1078"/>
      <c r="CP35" s="1078"/>
      <c r="CQ35" s="1078"/>
      <c r="CR35" s="1078"/>
      <c r="CS35" s="1078"/>
      <c r="CT35" s="1078"/>
      <c r="CU35" s="1078"/>
      <c r="CV35" s="1078"/>
      <c r="CW35" s="1078"/>
      <c r="CX35" s="1078"/>
      <c r="CY35" s="1078"/>
      <c r="CZ35" s="1078"/>
      <c r="DA35" s="1078"/>
      <c r="DB35" s="1078"/>
      <c r="DC35" s="1078"/>
      <c r="DD35" s="1078"/>
      <c r="DE35" s="1078"/>
      <c r="DF35" s="1078"/>
      <c r="DG35" s="511">
        <f t="shared" si="5"/>
        <v>0</v>
      </c>
      <c r="DH35" s="995"/>
      <c r="DI35" s="958"/>
      <c r="DJ35" s="958"/>
      <c r="DK35" s="958"/>
    </row>
    <row r="36" spans="1:115" s="16" customFormat="1" x14ac:dyDescent="0.2">
      <c r="A36" s="120" t="s">
        <v>192</v>
      </c>
      <c r="B36" s="100"/>
      <c r="C36" s="45"/>
      <c r="D36" s="125"/>
      <c r="E36" s="127"/>
      <c r="F36" s="119"/>
      <c r="G36" s="58"/>
      <c r="H36" s="145"/>
      <c r="I36" s="165"/>
      <c r="J36" s="48"/>
      <c r="K36" s="165"/>
      <c r="L36" s="48"/>
      <c r="M36" s="165"/>
      <c r="N36" s="48"/>
      <c r="O36" s="165"/>
      <c r="P36" s="48"/>
      <c r="Q36" s="48"/>
      <c r="R36" s="46"/>
      <c r="S36" s="128"/>
      <c r="T36" s="7"/>
      <c r="U36" s="113"/>
      <c r="V36" s="776"/>
      <c r="W36" s="776"/>
      <c r="X36" s="55"/>
      <c r="Y36" s="106"/>
      <c r="Z36" s="258"/>
      <c r="AA36" s="57"/>
      <c r="AB36" s="145"/>
      <c r="AC36" s="57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72"/>
      <c r="AO36" s="55"/>
      <c r="AP36" s="55"/>
      <c r="AQ36" s="55">
        <f t="shared" si="4"/>
        <v>0</v>
      </c>
      <c r="AR36" s="55"/>
      <c r="AS36" s="55"/>
      <c r="AT36" s="55"/>
      <c r="AU36" s="55"/>
      <c r="AV36" s="57"/>
      <c r="AW36" s="145"/>
      <c r="AX36" s="57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448"/>
      <c r="BJ36" s="55"/>
      <c r="BK36" s="55"/>
      <c r="BL36" s="55"/>
      <c r="BM36" s="55"/>
      <c r="BN36" s="55"/>
      <c r="BO36" s="57"/>
      <c r="BP36" s="145"/>
      <c r="BQ36" s="57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448"/>
      <c r="CC36" s="55"/>
      <c r="CD36" s="55"/>
      <c r="CE36" s="55"/>
      <c r="CF36" s="55"/>
      <c r="CG36" s="55"/>
      <c r="CH36" s="505"/>
      <c r="CI36" s="679"/>
      <c r="CJ36" s="505"/>
      <c r="CK36" s="145"/>
      <c r="CL36" s="681"/>
      <c r="CM36" s="656"/>
      <c r="CN36" s="1057"/>
      <c r="CO36" s="1079"/>
      <c r="CP36" s="1079"/>
      <c r="CQ36" s="1079"/>
      <c r="CR36" s="1079"/>
      <c r="CS36" s="1079"/>
      <c r="CT36" s="1079"/>
      <c r="CU36" s="1079"/>
      <c r="CV36" s="1079"/>
      <c r="CW36" s="1079"/>
      <c r="CX36" s="1079"/>
      <c r="CY36" s="1079"/>
      <c r="CZ36" s="1079"/>
      <c r="DA36" s="1079"/>
      <c r="DB36" s="1079"/>
      <c r="DC36" s="1079"/>
      <c r="DD36" s="1079"/>
      <c r="DE36" s="1079"/>
      <c r="DF36" s="1079"/>
      <c r="DG36" s="511">
        <f t="shared" si="5"/>
        <v>0</v>
      </c>
      <c r="DH36" s="995">
        <v>0</v>
      </c>
      <c r="DI36" s="958"/>
      <c r="DJ36" s="958"/>
      <c r="DK36" s="958"/>
    </row>
    <row r="37" spans="1:115" s="16" customFormat="1" x14ac:dyDescent="0.2">
      <c r="A37" s="119" t="s">
        <v>193</v>
      </c>
      <c r="B37" s="100" t="s">
        <v>362</v>
      </c>
      <c r="C37" s="45" t="s">
        <v>361</v>
      </c>
      <c r="D37" s="125">
        <v>3</v>
      </c>
      <c r="E37" s="127">
        <v>0.33329999999999999</v>
      </c>
      <c r="F37" s="46">
        <v>43281</v>
      </c>
      <c r="G37" s="58">
        <v>36</v>
      </c>
      <c r="H37" s="145">
        <f>100/G37</f>
        <v>2.7777777777777777</v>
      </c>
      <c r="I37" s="165">
        <f>H37*J37</f>
        <v>183.33333333333331</v>
      </c>
      <c r="J37" s="48">
        <f>(YEAR(F37)-YEAR(S37))*12+MONTH(F37)-MONTH(S37)</f>
        <v>66</v>
      </c>
      <c r="K37" s="165">
        <f>L37*H37</f>
        <v>-83.333333333333329</v>
      </c>
      <c r="L37" s="48">
        <f>G37-J37</f>
        <v>-30</v>
      </c>
      <c r="M37" s="165">
        <f>N37*H37</f>
        <v>16.666666666666664</v>
      </c>
      <c r="N37" s="48">
        <v>6</v>
      </c>
      <c r="O37" s="165">
        <f>K37-M37</f>
        <v>-100</v>
      </c>
      <c r="P37" s="48">
        <f>L37-N37</f>
        <v>-36</v>
      </c>
      <c r="Q37" s="462">
        <f>DATE(YEAR(S37),MONTH(S37)+G37,DAY(S37))</f>
        <v>42351</v>
      </c>
      <c r="R37" s="125" t="s">
        <v>360</v>
      </c>
      <c r="S37" s="128">
        <v>41256</v>
      </c>
      <c r="T37" s="7">
        <v>780</v>
      </c>
      <c r="U37" s="72">
        <v>270.45</v>
      </c>
      <c r="V37" s="776">
        <v>259.93349999999998</v>
      </c>
      <c r="W37" s="776">
        <v>260.09250000000009</v>
      </c>
      <c r="X37" s="55">
        <v>21.66</v>
      </c>
      <c r="Y37" s="106">
        <f>X37*5</f>
        <v>108.3</v>
      </c>
      <c r="Z37" s="258">
        <f>W37-Y37</f>
        <v>151.79250000000008</v>
      </c>
      <c r="AA37" s="57">
        <v>115.958</v>
      </c>
      <c r="AB37" s="145">
        <v>107.246</v>
      </c>
      <c r="AC37" s="57">
        <f>AA37/AB37</f>
        <v>1.0812337989295639</v>
      </c>
      <c r="AD37" s="55">
        <f>Z37*M37/100/K37*100/7</f>
        <v>-4.3369285714285732</v>
      </c>
      <c r="AE37" s="55">
        <f>AD37*AC37</f>
        <v>-4.689233754971883</v>
      </c>
      <c r="AF37" s="55">
        <f>AE37</f>
        <v>-4.689233754971883</v>
      </c>
      <c r="AG37" s="55">
        <v>23.446168774859419</v>
      </c>
      <c r="AH37" s="55">
        <v>23.446168774859419</v>
      </c>
      <c r="AI37" s="55">
        <v>23.446168774859419</v>
      </c>
      <c r="AJ37" s="55">
        <v>23.446168774859419</v>
      </c>
      <c r="AK37" s="55">
        <v>23.446168774859419</v>
      </c>
      <c r="AL37" s="55">
        <v>10.119999999999999</v>
      </c>
      <c r="AM37" s="55">
        <f>SUM(AF37:AL37)</f>
        <v>122.6616101193252</v>
      </c>
      <c r="AN37" s="72">
        <f>Z37-AM37</f>
        <v>29.130889880674872</v>
      </c>
      <c r="AO37" s="55"/>
      <c r="AP37" s="55"/>
      <c r="AQ37" s="55">
        <v>0</v>
      </c>
      <c r="AR37" s="55"/>
      <c r="AS37" s="55"/>
      <c r="AT37" s="55"/>
      <c r="AU37" s="55"/>
      <c r="AV37" s="57">
        <v>118.901</v>
      </c>
      <c r="AW37" s="145">
        <v>107.246</v>
      </c>
      <c r="AX37" s="57">
        <f>AV37/AW37</f>
        <v>1.1086753818324226</v>
      </c>
      <c r="AY37" s="55">
        <f>T37/(D37*12)</f>
        <v>21.666666666666668</v>
      </c>
      <c r="AZ37" s="55">
        <f>AY37*AX37</f>
        <v>24.021299939702491</v>
      </c>
      <c r="BA37" s="55"/>
      <c r="BB37" s="55"/>
      <c r="BC37" s="55"/>
      <c r="BD37" s="55"/>
      <c r="BE37" s="55"/>
      <c r="BF37" s="55"/>
      <c r="BG37" s="55"/>
      <c r="BH37" s="55">
        <f>SUM((AQ37:AU37),(BA37:BG37))</f>
        <v>0</v>
      </c>
      <c r="BI37" s="448">
        <v>0.99548735084354689</v>
      </c>
      <c r="BJ37" s="55"/>
      <c r="BK37" s="55"/>
      <c r="BL37" s="55"/>
      <c r="BM37" s="55"/>
      <c r="BN37" s="55"/>
      <c r="BO37" s="57">
        <v>126.408</v>
      </c>
      <c r="BP37" s="145">
        <v>107.246</v>
      </c>
      <c r="BQ37" s="57">
        <f>BO37/BP37</f>
        <v>1.1786733304738639</v>
      </c>
      <c r="BR37" s="55">
        <v>0</v>
      </c>
      <c r="BS37" s="55">
        <f t="shared" ref="BS37:BZ37" si="10">BR37*BQ37</f>
        <v>0</v>
      </c>
      <c r="BT37" s="55">
        <f t="shared" si="10"/>
        <v>0</v>
      </c>
      <c r="BU37" s="55">
        <f t="shared" si="10"/>
        <v>0</v>
      </c>
      <c r="BV37" s="55">
        <f t="shared" si="10"/>
        <v>0</v>
      </c>
      <c r="BW37" s="55">
        <f t="shared" si="10"/>
        <v>0</v>
      </c>
      <c r="BX37" s="55">
        <f t="shared" si="10"/>
        <v>0</v>
      </c>
      <c r="BY37" s="55">
        <f t="shared" si="10"/>
        <v>0</v>
      </c>
      <c r="BZ37" s="55">
        <f t="shared" si="10"/>
        <v>0</v>
      </c>
      <c r="CA37" s="55">
        <f>SUM(BT37:BZ37)</f>
        <v>0</v>
      </c>
      <c r="CB37" s="448">
        <f>BI37-CA37</f>
        <v>0.99548735084354689</v>
      </c>
      <c r="CC37" s="55"/>
      <c r="CD37" s="55"/>
      <c r="CE37" s="55"/>
      <c r="CF37" s="55"/>
      <c r="CG37" s="55"/>
      <c r="CH37" s="505">
        <f t="shared" si="0"/>
        <v>0</v>
      </c>
      <c r="CI37" s="679">
        <f t="shared" si="1"/>
        <v>0.99548735084354689</v>
      </c>
      <c r="CJ37" s="956">
        <v>132.28200000000001</v>
      </c>
      <c r="CK37" s="145">
        <v>107.246</v>
      </c>
      <c r="CL37" s="957">
        <v>0</v>
      </c>
      <c r="CM37" s="511">
        <v>0</v>
      </c>
      <c r="CN37" s="511">
        <v>0</v>
      </c>
      <c r="CO37" s="1039">
        <v>0</v>
      </c>
      <c r="CP37" s="1039">
        <v>0</v>
      </c>
      <c r="CQ37" s="1039">
        <v>0</v>
      </c>
      <c r="CR37" s="1039">
        <v>0</v>
      </c>
      <c r="CS37" s="1039">
        <v>0</v>
      </c>
      <c r="CT37" s="1039">
        <v>0</v>
      </c>
      <c r="CU37" s="1039">
        <v>0</v>
      </c>
      <c r="CV37" s="1039">
        <v>0</v>
      </c>
      <c r="CW37" s="1039">
        <v>0</v>
      </c>
      <c r="CX37" s="1039">
        <v>0</v>
      </c>
      <c r="CY37" s="1039">
        <v>0</v>
      </c>
      <c r="CZ37" s="1039">
        <v>0</v>
      </c>
      <c r="DA37" s="1039">
        <v>0</v>
      </c>
      <c r="DB37" s="1039">
        <v>0</v>
      </c>
      <c r="DC37" s="1039">
        <v>0</v>
      </c>
      <c r="DD37" s="1039">
        <v>0</v>
      </c>
      <c r="DE37" s="1039">
        <v>0</v>
      </c>
      <c r="DF37" s="1039">
        <v>0</v>
      </c>
      <c r="DG37" s="511">
        <f t="shared" si="5"/>
        <v>0</v>
      </c>
      <c r="DH37" s="756">
        <f>CI37-DG37</f>
        <v>0.99548735084354689</v>
      </c>
      <c r="DI37" s="958"/>
      <c r="DJ37" s="958"/>
      <c r="DK37" s="958"/>
    </row>
    <row r="38" spans="1:115" ht="15" x14ac:dyDescent="0.2">
      <c r="R38" s="175"/>
      <c r="V38" s="254"/>
      <c r="W38" s="254"/>
      <c r="Y38" s="103"/>
      <c r="Z38" s="268"/>
      <c r="AD38" s="195"/>
      <c r="AE38" s="195"/>
      <c r="AF38" s="195">
        <f t="shared" ref="AF38:AM38" si="11">SUM(AF15:AF37)</f>
        <v>-109.50131168947233</v>
      </c>
      <c r="AG38" s="195"/>
      <c r="AH38" s="195"/>
      <c r="AI38" s="195"/>
      <c r="AJ38" s="195"/>
      <c r="AK38" s="195">
        <f t="shared" si="11"/>
        <v>919.75864301490662</v>
      </c>
      <c r="AL38" s="195">
        <f t="shared" si="11"/>
        <v>454.02415191795114</v>
      </c>
      <c r="AM38" s="195">
        <f t="shared" si="11"/>
        <v>4943.3160553030129</v>
      </c>
      <c r="AN38" s="195">
        <f>SUM(AN15:AN37)</f>
        <v>4072.9532473636573</v>
      </c>
      <c r="AQ38" s="13">
        <f>SUM(AQ14:AQ37)</f>
        <v>305.77849803762581</v>
      </c>
      <c r="AR38" s="13">
        <f>SUM(AR18:AR37)</f>
        <v>305.77849803762581</v>
      </c>
      <c r="AS38" s="13">
        <f>SUM(AS15:AS37)</f>
        <v>305.77849803762581</v>
      </c>
      <c r="AT38" s="13">
        <f>SUM(AT17:AT37)</f>
        <v>305.77849803762581</v>
      </c>
      <c r="AU38" s="13">
        <f>SUM(AU17:AU37)</f>
        <v>305.77849803762581</v>
      </c>
      <c r="AY38" s="195"/>
      <c r="AZ38" s="195"/>
      <c r="BA38" s="13">
        <f t="shared" ref="BA38:BF38" si="12">SUM(BA14:BA37)</f>
        <v>40.448173513852886</v>
      </c>
      <c r="BB38" s="13">
        <f t="shared" si="12"/>
        <v>40.448173513852886</v>
      </c>
      <c r="BC38" s="13">
        <f t="shared" si="12"/>
        <v>40.448173513852886</v>
      </c>
      <c r="BD38" s="13">
        <f t="shared" si="12"/>
        <v>40.448173513852886</v>
      </c>
      <c r="BE38" s="13">
        <f t="shared" si="12"/>
        <v>40.448173513852886</v>
      </c>
      <c r="BF38" s="13">
        <f t="shared" si="12"/>
        <v>40.448173513852886</v>
      </c>
      <c r="BG38" s="13">
        <f>SUM(BG14:BG37)</f>
        <v>40.448173513852886</v>
      </c>
      <c r="BH38" s="13">
        <f>SUM(BH14:BH37)</f>
        <v>1812.0297047850991</v>
      </c>
      <c r="BI38" s="13">
        <f>SUM(BI14:BI37)</f>
        <v>1162.3698933647524</v>
      </c>
      <c r="BJ38" s="13">
        <f>SUM(BJ13:BJ37)</f>
        <v>40.448173513852886</v>
      </c>
      <c r="BK38" s="13">
        <f>SUM(BK18:BK37)</f>
        <v>40.448173513852886</v>
      </c>
      <c r="BL38" s="13">
        <f>SUM(BL15:BL37)</f>
        <v>40.448173513852886</v>
      </c>
      <c r="BM38" s="13">
        <f>SUM(BM17:BM37)</f>
        <v>40.448173513852886</v>
      </c>
      <c r="BN38" s="13">
        <f>SUM(BN17:BN37)</f>
        <v>40.448173513852886</v>
      </c>
      <c r="BR38" s="195"/>
      <c r="BS38" s="195"/>
      <c r="BT38" s="13">
        <f>SUM(BT14:BT37)</f>
        <v>21.275817379537191</v>
      </c>
      <c r="BU38" s="13">
        <f>SUM(BU14:BU37)</f>
        <v>20.7</v>
      </c>
      <c r="BV38" s="13">
        <f t="shared" ref="BV38:CI38" si="13">SUM(BV14:BV37)</f>
        <v>20.7</v>
      </c>
      <c r="BW38" s="13">
        <f>SUM(BW13:BW37)</f>
        <v>20.7</v>
      </c>
      <c r="BX38" s="13">
        <f>SUM(BX13:BX37)</f>
        <v>20.7</v>
      </c>
      <c r="BY38" s="524">
        <f t="shared" si="13"/>
        <v>20.7</v>
      </c>
      <c r="BZ38" s="524">
        <f t="shared" si="13"/>
        <v>20.7</v>
      </c>
      <c r="CA38" s="13">
        <f t="shared" si="13"/>
        <v>145.47581737953718</v>
      </c>
      <c r="CB38" s="13">
        <f t="shared" si="13"/>
        <v>1016.8940759852152</v>
      </c>
      <c r="CC38" s="13">
        <f>SUM(CC21:CC37)</f>
        <v>20.7</v>
      </c>
      <c r="CD38" s="13">
        <f>SUM(CD21:CD37)</f>
        <v>20.7</v>
      </c>
      <c r="CE38" s="524">
        <f>SUM(CE21:CE37)</f>
        <v>20.7</v>
      </c>
      <c r="CF38" s="524">
        <f>SUM(CF21:CF37)</f>
        <v>20.7</v>
      </c>
      <c r="CG38" s="524">
        <f>SUM(CG21:CG37)</f>
        <v>20.7</v>
      </c>
      <c r="CH38" s="13">
        <f t="shared" si="13"/>
        <v>103.5</v>
      </c>
      <c r="CI38" s="104">
        <f t="shared" si="13"/>
        <v>913.39407598521507</v>
      </c>
      <c r="CO38" s="13">
        <f t="shared" ref="CO38:CU38" si="14">SUM(CO15:CO37)</f>
        <v>16.859229380869351</v>
      </c>
      <c r="CP38" s="13">
        <f t="shared" si="14"/>
        <v>16.859229380869351</v>
      </c>
      <c r="CQ38" s="13">
        <f t="shared" si="14"/>
        <v>32.681923003306807</v>
      </c>
      <c r="CR38" s="13">
        <f t="shared" si="14"/>
        <v>16.860152975706008</v>
      </c>
      <c r="CS38" s="13">
        <f t="shared" si="14"/>
        <v>16.860152975706008</v>
      </c>
      <c r="CT38" s="524">
        <f t="shared" si="14"/>
        <v>16.860152975706008</v>
      </c>
      <c r="CU38" s="524">
        <f t="shared" si="14"/>
        <v>16.860152975706008</v>
      </c>
      <c r="CV38" s="524">
        <f t="shared" ref="CV38:CW38" si="15">SUM(CV15:CV37)</f>
        <v>16.860152975706008</v>
      </c>
      <c r="CW38" s="524">
        <f t="shared" si="15"/>
        <v>16.860152975706008</v>
      </c>
      <c r="CX38" s="524">
        <f t="shared" ref="CX38:CY38" si="16">SUM(CX15:CX37)</f>
        <v>16.860152975706008</v>
      </c>
      <c r="CY38" s="524">
        <f t="shared" si="16"/>
        <v>16.860152975706008</v>
      </c>
      <c r="CZ38" s="524">
        <f t="shared" ref="CZ38:DF38" si="17">SUM(CZ15:CZ37)</f>
        <v>16.860152975706008</v>
      </c>
      <c r="DA38" s="524">
        <f t="shared" ref="DA38:DE38" si="18">SUM(DA15:DA37)</f>
        <v>16.860152975706008</v>
      </c>
      <c r="DB38" s="524">
        <f t="shared" si="18"/>
        <v>16.860152975706008</v>
      </c>
      <c r="DC38" s="524">
        <f t="shared" si="18"/>
        <v>16.860152975706008</v>
      </c>
      <c r="DD38" s="524">
        <f t="shared" si="18"/>
        <v>16.860152975706008</v>
      </c>
      <c r="DE38" s="524">
        <f t="shared" si="18"/>
        <v>16.860152975706008</v>
      </c>
      <c r="DF38" s="524">
        <f t="shared" si="17"/>
        <v>16.860152975706008</v>
      </c>
      <c r="DG38" s="13">
        <f>SUM(DG15:DG37)</f>
        <v>319.30267640063562</v>
      </c>
      <c r="DH38" s="13">
        <f>SUM(DH13:DH37)</f>
        <v>594.09139958457945</v>
      </c>
      <c r="DI38" s="434"/>
      <c r="DJ38" s="434"/>
      <c r="DK38" s="434"/>
    </row>
    <row r="39" spans="1:115" s="104" customFormat="1" ht="15" x14ac:dyDescent="0.2">
      <c r="A39" s="110" t="s">
        <v>315</v>
      </c>
      <c r="B39" s="87"/>
      <c r="C39" s="87"/>
      <c r="D39" s="88"/>
      <c r="E39" s="88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9"/>
      <c r="S39" s="89"/>
      <c r="T39" s="90"/>
      <c r="U39" s="90"/>
      <c r="V39" s="90"/>
      <c r="W39" s="90"/>
      <c r="X39" s="90"/>
      <c r="Z39"/>
      <c r="AA39"/>
      <c r="AB39" s="77"/>
      <c r="AC39"/>
      <c r="AD39"/>
      <c r="AE39"/>
      <c r="AF39"/>
      <c r="AG39"/>
      <c r="AH39"/>
      <c r="AI39"/>
      <c r="AJ39"/>
      <c r="AK39"/>
      <c r="AL39"/>
      <c r="AM39"/>
      <c r="AN39" s="69"/>
      <c r="AV39"/>
      <c r="AW39" s="77"/>
      <c r="AX39"/>
      <c r="AY39"/>
      <c r="AZ39"/>
      <c r="BO39"/>
      <c r="BP39" s="77"/>
      <c r="BQ39"/>
      <c r="BR39"/>
      <c r="BS39"/>
      <c r="CC39" s="524"/>
      <c r="CI39" s="104">
        <f>CB38-CH38</f>
        <v>913.39407598521518</v>
      </c>
      <c r="DH39" s="104">
        <f>CI38-DG38</f>
        <v>594.09139958457945</v>
      </c>
    </row>
    <row r="40" spans="1:115" s="104" customFormat="1" x14ac:dyDescent="0.2">
      <c r="A40" s="238" t="s">
        <v>568</v>
      </c>
      <c r="B40" s="239"/>
      <c r="C40" s="239"/>
      <c r="D40" s="240"/>
      <c r="E40" s="240"/>
      <c r="F40"/>
      <c r="G40"/>
      <c r="H40"/>
      <c r="I40"/>
      <c r="J40"/>
      <c r="K40"/>
      <c r="L40"/>
      <c r="M40"/>
      <c r="N40"/>
      <c r="O40"/>
      <c r="P40"/>
      <c r="Q40"/>
      <c r="R40" s="19"/>
      <c r="S40" s="19"/>
      <c r="T40" s="12"/>
      <c r="U40" s="12"/>
      <c r="V40" s="12"/>
      <c r="W40" s="12"/>
      <c r="X40" s="12"/>
      <c r="Z40"/>
      <c r="AA40"/>
      <c r="AB40" s="85"/>
      <c r="AC40"/>
      <c r="AD40"/>
      <c r="AE40" s="12"/>
      <c r="AF40"/>
      <c r="AG40"/>
      <c r="AH40"/>
      <c r="AI40"/>
      <c r="AJ40"/>
      <c r="AK40"/>
      <c r="AL40"/>
      <c r="AM40" s="386"/>
      <c r="AN40" s="69"/>
      <c r="AV40"/>
      <c r="AW40" s="85"/>
      <c r="AX40"/>
      <c r="AY40"/>
      <c r="AZ40" s="12"/>
      <c r="BO40"/>
      <c r="BP40" s="85"/>
      <c r="BQ40"/>
      <c r="BR40"/>
      <c r="BS40" s="12"/>
      <c r="CB40" s="104">
        <f>BI38-CA38</f>
        <v>1016.8940759852153</v>
      </c>
    </row>
    <row r="41" spans="1:115" ht="30.75" hidden="1" customHeight="1" x14ac:dyDescent="0.2">
      <c r="A41" s="1271" t="s">
        <v>462</v>
      </c>
      <c r="B41" s="1271"/>
      <c r="C41" s="1271"/>
      <c r="D41" s="1271"/>
      <c r="E41" s="1271"/>
      <c r="F41" s="1271"/>
      <c r="G41" s="1271"/>
      <c r="H41" s="1271"/>
      <c r="I41" s="1271"/>
      <c r="J41" s="1271"/>
      <c r="K41" s="1271"/>
      <c r="L41" s="1271"/>
      <c r="M41" s="1271"/>
      <c r="N41" s="1271"/>
      <c r="O41" s="1271"/>
      <c r="P41" s="1271"/>
      <c r="Q41" s="1271"/>
      <c r="R41" s="1271"/>
      <c r="S41" s="1271"/>
      <c r="T41" s="1271"/>
      <c r="U41" s="1271"/>
      <c r="V41" s="1271"/>
      <c r="W41" s="1271"/>
      <c r="X41" s="1271"/>
      <c r="Y41" s="1271"/>
      <c r="Z41" s="1271"/>
      <c r="AA41" s="1271"/>
      <c r="AB41" s="171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W41" s="171"/>
      <c r="AX41" s="170"/>
      <c r="AY41" s="170"/>
      <c r="AZ41" s="170"/>
      <c r="BP41" s="171"/>
      <c r="BQ41" s="170"/>
      <c r="BR41" s="170"/>
      <c r="BS41" s="170"/>
    </row>
    <row r="42" spans="1:115" hidden="1" x14ac:dyDescent="0.2">
      <c r="A42" s="1271"/>
      <c r="B42" s="1271"/>
      <c r="C42" s="1271"/>
      <c r="D42" s="1271"/>
      <c r="E42" s="1271"/>
      <c r="F42" s="1271"/>
      <c r="G42" s="1271"/>
      <c r="H42" s="1271"/>
      <c r="I42" s="1271"/>
      <c r="J42" s="1271"/>
      <c r="K42" s="1271"/>
      <c r="L42" s="1271"/>
      <c r="M42" s="1271"/>
      <c r="N42" s="1271"/>
      <c r="O42" s="1271"/>
      <c r="P42" s="1271"/>
      <c r="Q42" s="1271"/>
      <c r="R42" s="1271"/>
      <c r="S42" s="1271"/>
      <c r="T42" s="1271"/>
      <c r="U42" s="1271"/>
      <c r="V42" s="1271"/>
      <c r="W42" s="1271"/>
      <c r="X42" s="1271"/>
      <c r="Y42" s="1271"/>
      <c r="Z42" s="1271"/>
      <c r="AA42" s="1271"/>
    </row>
    <row r="43" spans="1:115" x14ac:dyDescent="0.2">
      <c r="BI43" s="289"/>
    </row>
  </sheetData>
  <mergeCells count="38">
    <mergeCell ref="A41:AA42"/>
    <mergeCell ref="R11:R12"/>
    <mergeCell ref="S11:S12"/>
    <mergeCell ref="T11:T12"/>
    <mergeCell ref="V11:V12"/>
    <mergeCell ref="W11:W12"/>
    <mergeCell ref="Y11:Y12"/>
    <mergeCell ref="J11:J12"/>
    <mergeCell ref="K11:K12"/>
    <mergeCell ref="L11:L12"/>
    <mergeCell ref="M11:M12"/>
    <mergeCell ref="O11:O12"/>
    <mergeCell ref="Q11:Q12"/>
    <mergeCell ref="A11:A12"/>
    <mergeCell ref="B11:B12"/>
    <mergeCell ref="E11:E12"/>
    <mergeCell ref="D10:P10"/>
    <mergeCell ref="R10:T10"/>
    <mergeCell ref="H11:H12"/>
    <mergeCell ref="I11:I12"/>
    <mergeCell ref="Z11:Z12"/>
    <mergeCell ref="W10:AZ10"/>
    <mergeCell ref="AY11:AY12"/>
    <mergeCell ref="AZ11:AZ12"/>
    <mergeCell ref="BR11:BR12"/>
    <mergeCell ref="BS11:BS12"/>
    <mergeCell ref="F11:F12"/>
    <mergeCell ref="G11:G12"/>
    <mergeCell ref="AO11:AO12"/>
    <mergeCell ref="AP11:AP12"/>
    <mergeCell ref="AD11:AD12"/>
    <mergeCell ref="AE11:AE12"/>
    <mergeCell ref="DH11:DH12"/>
    <mergeCell ref="CH11:CH12"/>
    <mergeCell ref="CI11:CI12"/>
    <mergeCell ref="CM11:CM12"/>
    <mergeCell ref="CN11:CN12"/>
    <mergeCell ref="DG11:DG12"/>
  </mergeCells>
  <printOptions horizontalCentered="1"/>
  <pageMargins left="0.19685039370078741" right="0.19685039370078741" top="0.39370078740157483" bottom="0.39370078740157483" header="0" footer="0"/>
  <pageSetup scale="45" orientation="landscape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DN39"/>
  <sheetViews>
    <sheetView topLeftCell="B10" workbookViewId="0">
      <selection activeCell="CX32" sqref="CX32"/>
    </sheetView>
  </sheetViews>
  <sheetFormatPr baseColWidth="10" defaultRowHeight="12.75" x14ac:dyDescent="0.2"/>
  <cols>
    <col min="1" max="1" width="19.42578125" customWidth="1"/>
    <col min="2" max="2" width="21.7109375" customWidth="1"/>
    <col min="3" max="3" width="16.85546875" customWidth="1"/>
    <col min="4" max="4" width="6.7109375" style="18" customWidth="1"/>
    <col min="5" max="5" width="7.42578125" style="18" customWidth="1"/>
    <col min="6" max="6" width="9.7109375" customWidth="1"/>
    <col min="7" max="7" width="8.5703125" customWidth="1"/>
    <col min="8" max="9" width="8.5703125" hidden="1" customWidth="1"/>
    <col min="10" max="10" width="6.85546875" hidden="1" customWidth="1"/>
    <col min="11" max="11" width="8.5703125" hidden="1" customWidth="1"/>
    <col min="12" max="12" width="8" hidden="1" customWidth="1"/>
    <col min="13" max="13" width="8.5703125" hidden="1" customWidth="1"/>
    <col min="14" max="14" width="8.5703125" customWidth="1"/>
    <col min="15" max="15" width="8.42578125" hidden="1" customWidth="1"/>
    <col min="16" max="16" width="8.140625" hidden="1" customWidth="1"/>
    <col min="17" max="17" width="11" customWidth="1"/>
    <col min="18" max="18" width="10.140625" style="19" customWidth="1"/>
    <col min="19" max="19" width="9.5703125" style="19" customWidth="1"/>
    <col min="20" max="20" width="8.42578125" style="12" customWidth="1"/>
    <col min="21" max="24" width="8.42578125" style="12" hidden="1" customWidth="1"/>
    <col min="25" max="25" width="9.140625" style="104" hidden="1" customWidth="1"/>
    <col min="26" max="27" width="8.7109375" hidden="1" customWidth="1"/>
    <col min="28" max="28" width="8.7109375" style="77" hidden="1" customWidth="1"/>
    <col min="29" max="29" width="7.42578125" hidden="1" customWidth="1"/>
    <col min="30" max="30" width="9.28515625" hidden="1" customWidth="1"/>
    <col min="31" max="31" width="9.42578125" hidden="1" customWidth="1"/>
    <col min="32" max="36" width="7.7109375" hidden="1" customWidth="1"/>
    <col min="37" max="37" width="11.28515625" hidden="1" customWidth="1"/>
    <col min="38" max="39" width="7.7109375" hidden="1" customWidth="1"/>
    <col min="40" max="40" width="8.7109375" hidden="1" customWidth="1"/>
    <col min="41" max="43" width="7.7109375" hidden="1" customWidth="1"/>
    <col min="44" max="44" width="9.28515625" hidden="1" customWidth="1"/>
    <col min="45" max="45" width="10" style="69" hidden="1" customWidth="1"/>
    <col min="46" max="46" width="7" hidden="1" customWidth="1"/>
    <col min="47" max="47" width="7.28515625" hidden="1" customWidth="1"/>
    <col min="48" max="48" width="8.7109375" hidden="1" customWidth="1"/>
    <col min="49" max="49" width="9.5703125" hidden="1" customWidth="1"/>
    <col min="50" max="50" width="9.42578125" hidden="1" customWidth="1"/>
    <col min="51" max="51" width="9" hidden="1" customWidth="1"/>
    <col min="52" max="52" width="10.28515625" hidden="1" customWidth="1"/>
    <col min="53" max="53" width="8.7109375" hidden="1" customWidth="1"/>
    <col min="54" max="54" width="8.7109375" style="77" hidden="1" customWidth="1"/>
    <col min="55" max="55" width="7.42578125" hidden="1" customWidth="1"/>
    <col min="56" max="56" width="9.28515625" hidden="1" customWidth="1"/>
    <col min="57" max="57" width="9.42578125" hidden="1" customWidth="1"/>
    <col min="58" max="63" width="9" hidden="1" customWidth="1"/>
    <col min="64" max="64" width="8.7109375" hidden="1" customWidth="1"/>
    <col min="65" max="65" width="9" hidden="1" customWidth="1"/>
    <col min="66" max="66" width="10.140625" hidden="1" customWidth="1"/>
    <col min="67" max="67" width="8.7109375" hidden="1" customWidth="1"/>
    <col min="68" max="68" width="9.5703125" hidden="1" customWidth="1"/>
    <col min="69" max="70" width="9.42578125" hidden="1" customWidth="1"/>
    <col min="71" max="71" width="12.28515625" hidden="1" customWidth="1"/>
    <col min="72" max="72" width="9.28515625" style="436" bestFit="1" customWidth="1"/>
    <col min="73" max="73" width="8.7109375" customWidth="1"/>
    <col min="74" max="74" width="8.7109375" style="77" customWidth="1"/>
    <col min="75" max="75" width="7.42578125" customWidth="1"/>
    <col min="76" max="76" width="9.28515625" customWidth="1"/>
    <col min="77" max="77" width="9.42578125" customWidth="1"/>
    <col min="78" max="83" width="9" hidden="1" customWidth="1"/>
    <col min="84" max="84" width="8.7109375" hidden="1" customWidth="1"/>
    <col min="85" max="85" width="9" hidden="1" customWidth="1"/>
    <col min="86" max="86" width="12.7109375" hidden="1" customWidth="1"/>
    <col min="87" max="101" width="11.42578125" hidden="1" customWidth="1"/>
    <col min="102" max="102" width="11.42578125" customWidth="1"/>
    <col min="105" max="118" width="0" hidden="1" customWidth="1"/>
  </cols>
  <sheetData>
    <row r="1" spans="1:118" x14ac:dyDescent="0.2">
      <c r="A1" s="637"/>
      <c r="B1" s="638" t="s">
        <v>27</v>
      </c>
      <c r="C1" s="637"/>
      <c r="D1" s="639"/>
      <c r="E1" s="639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40"/>
      <c r="S1" s="640"/>
      <c r="T1" s="637"/>
      <c r="U1" s="637"/>
      <c r="V1" s="637"/>
      <c r="W1" s="637"/>
      <c r="X1" s="637"/>
      <c r="Y1" s="661"/>
      <c r="Z1" s="662"/>
      <c r="AA1" s="662"/>
      <c r="AB1" s="663"/>
      <c r="AC1" s="662"/>
      <c r="AD1" s="662"/>
      <c r="AE1" s="662"/>
      <c r="AF1" s="662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62"/>
      <c r="AR1" s="637"/>
      <c r="AS1" s="664"/>
      <c r="AT1" s="637"/>
      <c r="AU1" s="637"/>
      <c r="AV1" s="637"/>
      <c r="AW1" s="637"/>
      <c r="AX1" s="637"/>
      <c r="AY1" s="637"/>
      <c r="AZ1" s="637"/>
      <c r="BA1" s="662"/>
      <c r="BB1" s="663"/>
      <c r="BC1" s="662"/>
      <c r="BD1" s="662"/>
      <c r="BE1" s="662"/>
      <c r="BU1" s="541"/>
      <c r="BV1" s="542"/>
      <c r="BW1" s="541"/>
      <c r="BX1" s="541"/>
      <c r="BY1" s="541"/>
    </row>
    <row r="2" spans="1:118" x14ac:dyDescent="0.2">
      <c r="A2" s="637"/>
      <c r="B2" s="638" t="s">
        <v>1273</v>
      </c>
      <c r="C2" s="637"/>
      <c r="D2" s="639"/>
      <c r="E2" s="639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40"/>
      <c r="S2" s="640"/>
      <c r="T2" s="637"/>
      <c r="U2" s="637"/>
      <c r="V2" s="637"/>
      <c r="W2" s="637"/>
      <c r="X2" s="637"/>
      <c r="Y2" s="661"/>
      <c r="Z2" s="662"/>
      <c r="AA2" s="662"/>
      <c r="AB2" s="663"/>
      <c r="AC2" s="662"/>
      <c r="AD2" s="662"/>
      <c r="AE2" s="662"/>
      <c r="AF2" s="662"/>
      <c r="AG2" s="637"/>
      <c r="AH2" s="637"/>
      <c r="AI2" s="637"/>
      <c r="AJ2" s="637"/>
      <c r="AK2" s="637"/>
      <c r="AL2" s="637"/>
      <c r="AM2" s="637"/>
      <c r="AN2" s="637"/>
      <c r="AO2" s="637"/>
      <c r="AP2" s="637"/>
      <c r="AQ2" s="637"/>
      <c r="AR2" s="637"/>
      <c r="AS2" s="664"/>
      <c r="AT2" s="637"/>
      <c r="AU2" s="637"/>
      <c r="AV2" s="637"/>
      <c r="AW2" s="637"/>
      <c r="AX2" s="637"/>
      <c r="AY2" s="637"/>
      <c r="AZ2" s="637"/>
      <c r="BA2" s="662"/>
      <c r="BB2" s="663"/>
      <c r="BC2" s="662"/>
      <c r="BD2" s="662"/>
      <c r="BE2" s="662"/>
      <c r="BU2" s="541"/>
      <c r="BV2" s="542"/>
      <c r="BW2" s="541"/>
      <c r="BX2" s="541"/>
      <c r="BY2" s="541"/>
    </row>
    <row r="3" spans="1:118" x14ac:dyDescent="0.2">
      <c r="A3" s="637"/>
      <c r="B3" s="637"/>
      <c r="C3" s="638"/>
      <c r="D3" s="641"/>
      <c r="E3" s="639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38"/>
      <c r="S3" s="638"/>
      <c r="T3" s="642"/>
      <c r="U3" s="642"/>
      <c r="V3" s="642"/>
      <c r="W3" s="642"/>
      <c r="X3" s="642"/>
      <c r="Y3" s="665"/>
      <c r="Z3" s="662"/>
      <c r="AA3" s="662"/>
      <c r="AB3" s="663"/>
      <c r="AC3" s="662"/>
      <c r="AD3" s="662"/>
      <c r="AE3" s="662"/>
      <c r="AF3" s="662"/>
      <c r="AG3" s="637"/>
      <c r="AH3" s="637"/>
      <c r="AI3" s="637"/>
      <c r="AJ3" s="637"/>
      <c r="AK3" s="637"/>
      <c r="AL3" s="637"/>
      <c r="AM3" s="637"/>
      <c r="AN3" s="637"/>
      <c r="AO3" s="637"/>
      <c r="AP3" s="637"/>
      <c r="AQ3" s="637"/>
      <c r="AR3" s="637"/>
      <c r="AS3" s="664"/>
      <c r="AT3" s="637"/>
      <c r="AU3" s="637"/>
      <c r="AV3" s="637"/>
      <c r="AW3" s="637"/>
      <c r="AX3" s="637"/>
      <c r="AY3" s="637"/>
      <c r="AZ3" s="637"/>
      <c r="BA3" s="662"/>
      <c r="BB3" s="663"/>
      <c r="BC3" s="662"/>
      <c r="BD3" s="662"/>
      <c r="BE3" s="662"/>
      <c r="BU3" s="541"/>
      <c r="BV3" s="542"/>
      <c r="BW3" s="541"/>
      <c r="BX3" s="541"/>
      <c r="BY3" s="541"/>
    </row>
    <row r="4" spans="1:118" x14ac:dyDescent="0.2">
      <c r="A4" s="637"/>
      <c r="B4" s="637" t="s">
        <v>309</v>
      </c>
      <c r="C4" s="638"/>
      <c r="D4" s="641"/>
      <c r="E4" s="639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38"/>
      <c r="S4" s="638"/>
      <c r="T4" s="642"/>
      <c r="U4" s="642"/>
      <c r="V4" s="642"/>
      <c r="W4" s="642"/>
      <c r="X4" s="642"/>
      <c r="Y4" s="665"/>
      <c r="Z4" s="662"/>
      <c r="AA4" s="662"/>
      <c r="AB4" s="663"/>
      <c r="AC4" s="662"/>
      <c r="AD4" s="662"/>
      <c r="AE4" s="662"/>
      <c r="AF4" s="662"/>
      <c r="AG4" s="637"/>
      <c r="AH4" s="637"/>
      <c r="AI4" s="637"/>
      <c r="AJ4" s="637"/>
      <c r="AK4" s="637"/>
      <c r="AL4" s="637"/>
      <c r="AM4" s="637"/>
      <c r="AN4" s="637"/>
      <c r="AO4" s="637"/>
      <c r="AP4" s="637"/>
      <c r="AQ4" s="637"/>
      <c r="AR4" s="637"/>
      <c r="AS4" s="664"/>
      <c r="AT4" s="637"/>
      <c r="AU4" s="637"/>
      <c r="AV4" s="637"/>
      <c r="AW4" s="637"/>
      <c r="AX4" s="637"/>
      <c r="AY4" s="637"/>
      <c r="AZ4" s="637"/>
      <c r="BA4" s="662"/>
      <c r="BB4" s="663"/>
      <c r="BC4" s="662"/>
      <c r="BD4" s="662"/>
      <c r="BE4" s="662"/>
      <c r="BU4" s="541"/>
      <c r="BV4" s="542"/>
      <c r="BW4" s="541"/>
      <c r="BX4" s="541"/>
      <c r="BY4" s="541"/>
    </row>
    <row r="5" spans="1:118" x14ac:dyDescent="0.2">
      <c r="A5" s="637"/>
      <c r="B5" s="642" t="s">
        <v>363</v>
      </c>
      <c r="C5" s="637"/>
      <c r="D5" s="639"/>
      <c r="E5" s="639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40"/>
      <c r="S5" s="640"/>
      <c r="T5" s="637"/>
      <c r="U5" s="637"/>
      <c r="V5" s="637"/>
      <c r="W5" s="637"/>
      <c r="X5" s="637"/>
      <c r="Y5" s="661"/>
      <c r="Z5" s="662"/>
      <c r="AA5" s="662"/>
      <c r="AB5" s="663"/>
      <c r="AC5" s="662"/>
      <c r="AD5" s="662"/>
      <c r="AE5" s="662"/>
      <c r="AF5" s="662"/>
      <c r="AG5" s="637"/>
      <c r="AH5" s="637"/>
      <c r="AI5" s="637"/>
      <c r="AJ5" s="637"/>
      <c r="AK5" s="637"/>
      <c r="AL5" s="637"/>
      <c r="AM5" s="637"/>
      <c r="AN5" s="637"/>
      <c r="AO5" s="637"/>
      <c r="AP5" s="637"/>
      <c r="AQ5" s="637"/>
      <c r="AR5" s="637"/>
      <c r="AS5" s="664"/>
      <c r="AT5" s="637"/>
      <c r="AU5" s="637"/>
      <c r="AV5" s="637"/>
      <c r="AW5" s="637"/>
      <c r="AX5" s="637"/>
      <c r="AY5" s="637"/>
      <c r="AZ5" s="637"/>
      <c r="BA5" s="662"/>
      <c r="BB5" s="663"/>
      <c r="BC5" s="662"/>
      <c r="BD5" s="662"/>
      <c r="BE5" s="662"/>
      <c r="BU5" s="541"/>
      <c r="BV5" s="542"/>
      <c r="BW5" s="541"/>
      <c r="BX5" s="541"/>
      <c r="BY5" s="541"/>
    </row>
    <row r="6" spans="1:118" x14ac:dyDescent="0.2">
      <c r="A6" s="637"/>
      <c r="B6" s="637" t="s">
        <v>1272</v>
      </c>
      <c r="C6" s="637"/>
      <c r="D6" s="639"/>
      <c r="E6" s="639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40"/>
      <c r="S6" s="640"/>
      <c r="T6" s="637"/>
      <c r="U6" s="637"/>
      <c r="V6" s="637"/>
      <c r="W6" s="637"/>
      <c r="X6" s="637"/>
      <c r="Y6" s="661"/>
      <c r="Z6" s="662"/>
      <c r="AA6" s="662"/>
      <c r="AB6" s="663"/>
      <c r="AC6" s="662"/>
      <c r="AD6" s="662"/>
      <c r="AE6" s="662"/>
      <c r="AF6" s="662"/>
      <c r="AG6" s="637"/>
      <c r="AH6" s="637"/>
      <c r="AI6" s="637"/>
      <c r="AJ6" s="637"/>
      <c r="AK6" s="637"/>
      <c r="AL6" s="637"/>
      <c r="AM6" s="637"/>
      <c r="AN6" s="637"/>
      <c r="AO6" s="637"/>
      <c r="AP6" s="637"/>
      <c r="AQ6" s="637"/>
      <c r="AR6" s="637"/>
      <c r="AS6" s="664"/>
      <c r="AT6" s="637"/>
      <c r="AU6" s="637"/>
      <c r="AV6" s="637"/>
      <c r="AW6" s="637"/>
      <c r="AX6" s="637"/>
      <c r="AY6" s="637"/>
      <c r="AZ6" s="637"/>
      <c r="BA6" s="662"/>
      <c r="BB6" s="663"/>
      <c r="BC6" s="662"/>
      <c r="BD6" s="662"/>
      <c r="BE6" s="662"/>
      <c r="BU6" s="541"/>
      <c r="BV6" s="542"/>
      <c r="BW6" s="541"/>
      <c r="BX6" s="541"/>
      <c r="BY6" s="541"/>
    </row>
    <row r="7" spans="1:118" x14ac:dyDescent="0.2">
      <c r="A7" s="637"/>
      <c r="B7" s="637"/>
      <c r="C7" s="637"/>
      <c r="D7" s="639"/>
      <c r="E7" s="639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40"/>
      <c r="S7" s="640"/>
      <c r="T7" s="637"/>
      <c r="U7" s="637"/>
      <c r="V7" s="637"/>
      <c r="W7" s="637"/>
      <c r="X7" s="637"/>
      <c r="Y7" s="661"/>
      <c r="Z7" s="662"/>
      <c r="AA7" s="662"/>
      <c r="AB7" s="663"/>
      <c r="AC7" s="662"/>
      <c r="AD7" s="662"/>
      <c r="AE7" s="662"/>
      <c r="AF7" s="662"/>
      <c r="AG7" s="637"/>
      <c r="AH7" s="637"/>
      <c r="AI7" s="637"/>
      <c r="AJ7" s="637"/>
      <c r="AK7" s="637"/>
      <c r="AL7" s="637"/>
      <c r="AM7" s="637"/>
      <c r="AN7" s="637"/>
      <c r="AO7" s="637"/>
      <c r="AP7" s="637"/>
      <c r="AQ7" s="637"/>
      <c r="AR7" s="637"/>
      <c r="AS7" s="664"/>
      <c r="AT7" s="637"/>
      <c r="AU7" s="637"/>
      <c r="AV7" s="637"/>
      <c r="AW7" s="637"/>
      <c r="AX7" s="637"/>
      <c r="AY7" s="637"/>
      <c r="AZ7" s="637"/>
      <c r="BA7" s="662"/>
      <c r="BB7" s="663"/>
      <c r="BC7" s="662"/>
      <c r="BD7" s="662"/>
      <c r="BE7" s="662"/>
      <c r="BU7" s="541"/>
      <c r="BV7" s="542"/>
      <c r="BW7" s="541"/>
      <c r="BX7" s="541"/>
      <c r="BY7" s="541"/>
    </row>
    <row r="8" spans="1:118" s="16" customFormat="1" x14ac:dyDescent="0.2">
      <c r="D8" s="38"/>
      <c r="E8" s="38"/>
      <c r="R8" s="37"/>
      <c r="S8" s="37"/>
      <c r="T8" s="35"/>
      <c r="U8" s="35"/>
      <c r="V8" s="35"/>
      <c r="W8" s="35"/>
      <c r="X8" s="35"/>
      <c r="Y8" s="103"/>
      <c r="Z8" s="39"/>
      <c r="AA8" s="39"/>
      <c r="AB8" s="76"/>
      <c r="AC8" s="39"/>
      <c r="AD8" s="39"/>
      <c r="AE8" s="39"/>
      <c r="AF8" s="39"/>
      <c r="AS8" s="68"/>
      <c r="BA8" s="39"/>
      <c r="BB8" s="76"/>
      <c r="BC8" s="39"/>
      <c r="BD8" s="39"/>
      <c r="BE8" s="39"/>
      <c r="BT8" s="437"/>
      <c r="BU8" s="39"/>
      <c r="BV8" s="76"/>
      <c r="BW8" s="39"/>
      <c r="BX8" s="39"/>
      <c r="BY8" s="39"/>
    </row>
    <row r="9" spans="1:118" s="16" customFormat="1" ht="20.25" customHeight="1" x14ac:dyDescent="0.2">
      <c r="D9" s="38"/>
      <c r="E9" s="38"/>
      <c r="R9" s="37"/>
      <c r="S9" s="37"/>
      <c r="T9" s="35"/>
      <c r="U9" s="35"/>
      <c r="V9" s="35"/>
      <c r="W9" s="35"/>
      <c r="X9" s="35"/>
      <c r="Y9" s="103"/>
      <c r="Z9" s="39"/>
      <c r="AA9" s="39"/>
      <c r="AB9" s="76"/>
      <c r="AC9" s="39"/>
      <c r="AD9" s="39"/>
      <c r="AE9" s="39"/>
      <c r="AF9" s="39"/>
      <c r="AS9" s="68"/>
      <c r="BA9" s="39"/>
      <c r="BB9" s="76"/>
      <c r="BC9" s="39"/>
      <c r="BD9" s="39"/>
      <c r="BE9" s="39"/>
      <c r="BT9" s="437"/>
      <c r="BU9" s="39"/>
      <c r="BV9" s="76"/>
      <c r="BW9" s="39"/>
      <c r="BX9" s="39"/>
      <c r="BY9" s="39"/>
      <c r="CH9" s="35"/>
    </row>
    <row r="10" spans="1:118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260"/>
      <c r="V10" s="253"/>
      <c r="W10" s="1260" t="s">
        <v>450</v>
      </c>
      <c r="X10" s="1260"/>
      <c r="Y10" s="1260"/>
      <c r="Z10" s="1260"/>
      <c r="AA10" s="1260"/>
      <c r="AB10" s="1260"/>
      <c r="AC10" s="1260"/>
      <c r="AD10" s="1260"/>
      <c r="AE10" s="1260"/>
      <c r="AF10" s="1260"/>
      <c r="AG10" s="1260"/>
      <c r="AH10" s="1260"/>
      <c r="AI10" s="1260"/>
      <c r="AJ10" s="1260"/>
      <c r="AK10" s="1260"/>
      <c r="AL10" s="1260"/>
      <c r="AM10" s="1260"/>
      <c r="AN10" s="1260"/>
      <c r="AO10" s="1260"/>
      <c r="AP10" s="1260"/>
      <c r="AQ10" s="1260"/>
      <c r="AR10" s="1260"/>
      <c r="AS10" s="1260"/>
      <c r="AT10" s="1260"/>
      <c r="AU10" s="1260"/>
      <c r="AV10" s="1260"/>
      <c r="AW10" s="1260"/>
      <c r="AX10" s="1260"/>
      <c r="AY10" s="1260"/>
      <c r="AZ10" s="1260"/>
      <c r="BA10" s="1260"/>
      <c r="BB10" s="1260"/>
      <c r="BC10" s="1260"/>
      <c r="BD10" s="1260"/>
      <c r="BV10"/>
    </row>
    <row r="11" spans="1:118" ht="54" customHeight="1" x14ac:dyDescent="0.25">
      <c r="A11" s="1261" t="s">
        <v>57</v>
      </c>
      <c r="B11" s="1261" t="s">
        <v>0</v>
      </c>
      <c r="C11" s="261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1126</v>
      </c>
      <c r="J11" s="1254" t="s">
        <v>1127</v>
      </c>
      <c r="K11" s="1254" t="s">
        <v>534</v>
      </c>
      <c r="L11" s="1254" t="s">
        <v>493</v>
      </c>
      <c r="M11" s="1254" t="s">
        <v>1148</v>
      </c>
      <c r="N11" s="262" t="s">
        <v>529</v>
      </c>
      <c r="O11" s="1254" t="s">
        <v>492</v>
      </c>
      <c r="P11" s="267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264"/>
      <c r="V11" s="1245" t="s">
        <v>595</v>
      </c>
      <c r="W11" s="1245" t="s">
        <v>596</v>
      </c>
      <c r="X11" s="263"/>
      <c r="Y11" s="1268" t="s">
        <v>569</v>
      </c>
      <c r="Z11" s="1245" t="s">
        <v>599</v>
      </c>
      <c r="AA11" s="158" t="s">
        <v>15</v>
      </c>
      <c r="AB11" s="159" t="s">
        <v>15</v>
      </c>
      <c r="AC11" s="158" t="s">
        <v>16</v>
      </c>
      <c r="AD11" s="1245" t="s">
        <v>527</v>
      </c>
      <c r="AE11" s="1245" t="s">
        <v>536</v>
      </c>
      <c r="AF11" s="158" t="s">
        <v>3</v>
      </c>
      <c r="AG11" s="158" t="s">
        <v>4</v>
      </c>
      <c r="AH11" s="158" t="s">
        <v>5</v>
      </c>
      <c r="AI11" s="158" t="s">
        <v>6</v>
      </c>
      <c r="AJ11" s="158" t="s">
        <v>7</v>
      </c>
      <c r="AK11" s="158" t="s">
        <v>8</v>
      </c>
      <c r="AL11" s="158" t="s">
        <v>9</v>
      </c>
      <c r="AM11" s="158" t="s">
        <v>10</v>
      </c>
      <c r="AN11" s="158" t="s">
        <v>11</v>
      </c>
      <c r="AO11" s="158" t="s">
        <v>12</v>
      </c>
      <c r="AP11" s="158" t="s">
        <v>13</v>
      </c>
      <c r="AQ11" s="158" t="s">
        <v>14</v>
      </c>
      <c r="AR11" s="196" t="s">
        <v>531</v>
      </c>
      <c r="AS11" s="196" t="s">
        <v>63</v>
      </c>
      <c r="AT11" s="1245" t="s">
        <v>976</v>
      </c>
      <c r="AU11" s="1245" t="s">
        <v>536</v>
      </c>
      <c r="AV11" s="158" t="s">
        <v>3</v>
      </c>
      <c r="AW11" s="158" t="s">
        <v>4</v>
      </c>
      <c r="AX11" s="158" t="s">
        <v>5</v>
      </c>
      <c r="AY11" s="158" t="s">
        <v>6</v>
      </c>
      <c r="AZ11" s="158" t="s">
        <v>7</v>
      </c>
      <c r="BA11" s="158" t="s">
        <v>15</v>
      </c>
      <c r="BB11" s="159" t="s">
        <v>15</v>
      </c>
      <c r="BC11" s="158" t="s">
        <v>16</v>
      </c>
      <c r="BD11" s="1245" t="s">
        <v>1059</v>
      </c>
      <c r="BE11" s="1245" t="s">
        <v>536</v>
      </c>
      <c r="BF11" s="158" t="s">
        <v>8</v>
      </c>
      <c r="BG11" s="158" t="s">
        <v>9</v>
      </c>
      <c r="BH11" s="158" t="s">
        <v>10</v>
      </c>
      <c r="BI11" s="158" t="s">
        <v>11</v>
      </c>
      <c r="BJ11" s="158" t="s">
        <v>12</v>
      </c>
      <c r="BK11" s="158" t="s">
        <v>13</v>
      </c>
      <c r="BL11" s="158" t="s">
        <v>14</v>
      </c>
      <c r="BM11" s="196" t="s">
        <v>989</v>
      </c>
      <c r="BN11" s="196" t="s">
        <v>63</v>
      </c>
      <c r="BO11" s="158" t="s">
        <v>3</v>
      </c>
      <c r="BP11" s="158" t="s">
        <v>4</v>
      </c>
      <c r="BQ11" s="158" t="s">
        <v>5</v>
      </c>
      <c r="BR11" s="158" t="s">
        <v>6</v>
      </c>
      <c r="BS11" s="158" t="s">
        <v>7</v>
      </c>
      <c r="BT11" s="1247" t="s">
        <v>1253</v>
      </c>
      <c r="BU11" s="158" t="s">
        <v>15</v>
      </c>
      <c r="BV11" s="159" t="s">
        <v>15</v>
      </c>
      <c r="BW11" s="158" t="s">
        <v>16</v>
      </c>
      <c r="BX11" s="1245" t="s">
        <v>1254</v>
      </c>
      <c r="BY11" s="1245" t="s">
        <v>536</v>
      </c>
      <c r="BZ11" s="158" t="s">
        <v>8</v>
      </c>
      <c r="CA11" s="158" t="s">
        <v>9</v>
      </c>
      <c r="CB11" s="158" t="s">
        <v>10</v>
      </c>
      <c r="CC11" s="158" t="s">
        <v>11</v>
      </c>
      <c r="CD11" s="158" t="s">
        <v>12</v>
      </c>
      <c r="CE11" s="158" t="s">
        <v>13</v>
      </c>
      <c r="CF11" s="158" t="s">
        <v>14</v>
      </c>
      <c r="CG11" s="1031" t="s">
        <v>1266</v>
      </c>
      <c r="CH11" s="1031" t="s">
        <v>9</v>
      </c>
      <c r="CI11" s="158" t="s">
        <v>1267</v>
      </c>
      <c r="CJ11" s="158" t="s">
        <v>11</v>
      </c>
      <c r="CK11" s="158" t="s">
        <v>12</v>
      </c>
      <c r="CL11" s="158" t="s">
        <v>13</v>
      </c>
      <c r="CM11" s="158" t="s">
        <v>14</v>
      </c>
      <c r="CN11" s="158" t="s">
        <v>3</v>
      </c>
      <c r="CO11" s="158" t="s">
        <v>4</v>
      </c>
      <c r="CP11" s="158" t="s">
        <v>5</v>
      </c>
      <c r="CQ11" s="158" t="s">
        <v>6</v>
      </c>
      <c r="CR11" s="158" t="s">
        <v>7</v>
      </c>
      <c r="CS11" s="158" t="s">
        <v>8</v>
      </c>
      <c r="CT11" s="158" t="s">
        <v>9</v>
      </c>
      <c r="CU11" s="158" t="s">
        <v>10</v>
      </c>
      <c r="CV11" s="158" t="s">
        <v>11</v>
      </c>
      <c r="CW11" s="158" t="s">
        <v>12</v>
      </c>
      <c r="CX11" s="158" t="s">
        <v>13</v>
      </c>
      <c r="CY11" s="1247" t="s">
        <v>1274</v>
      </c>
      <c r="CZ11" s="1247" t="s">
        <v>1275</v>
      </c>
      <c r="DA11" s="158" t="s">
        <v>15</v>
      </c>
      <c r="DB11" s="159" t="s">
        <v>15</v>
      </c>
      <c r="DC11" s="158" t="s">
        <v>16</v>
      </c>
      <c r="DD11" s="1245" t="s">
        <v>1254</v>
      </c>
      <c r="DE11" s="1245" t="s">
        <v>536</v>
      </c>
      <c r="DF11" s="158" t="s">
        <v>8</v>
      </c>
      <c r="DG11" s="158" t="s">
        <v>9</v>
      </c>
      <c r="DH11" s="158" t="s">
        <v>10</v>
      </c>
      <c r="DI11" s="158" t="s">
        <v>11</v>
      </c>
      <c r="DJ11" s="158" t="s">
        <v>12</v>
      </c>
      <c r="DK11" s="158" t="s">
        <v>13</v>
      </c>
      <c r="DL11" s="158" t="s">
        <v>14</v>
      </c>
      <c r="DM11" s="1247" t="s">
        <v>1252</v>
      </c>
      <c r="DN11" s="1247" t="s">
        <v>1253</v>
      </c>
    </row>
    <row r="12" spans="1:118" ht="32.25" customHeight="1" x14ac:dyDescent="0.25">
      <c r="A12" s="1262"/>
      <c r="B12" s="1262"/>
      <c r="C12" s="161" t="s">
        <v>363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/>
      <c r="O12" s="1255"/>
      <c r="P12" s="193"/>
      <c r="Q12" s="1257"/>
      <c r="R12" s="1251" t="s">
        <v>18</v>
      </c>
      <c r="S12" s="1251" t="s">
        <v>18</v>
      </c>
      <c r="T12" s="1253"/>
      <c r="U12" s="265"/>
      <c r="V12" s="1267"/>
      <c r="W12" s="1267"/>
      <c r="X12" s="266" t="s">
        <v>570</v>
      </c>
      <c r="Y12" s="1272"/>
      <c r="Z12" s="1246"/>
      <c r="AA12" s="162" t="s">
        <v>20</v>
      </c>
      <c r="AB12" s="163" t="s">
        <v>21</v>
      </c>
      <c r="AC12" s="162" t="s">
        <v>22</v>
      </c>
      <c r="AD12" s="1246"/>
      <c r="AE12" s="1246"/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>
        <v>2015</v>
      </c>
      <c r="AQ12" s="162">
        <v>2015</v>
      </c>
      <c r="AR12" s="162">
        <v>2015</v>
      </c>
      <c r="AS12" s="162" t="s">
        <v>64</v>
      </c>
      <c r="AT12" s="1246"/>
      <c r="AU12" s="1246"/>
      <c r="AV12" s="162">
        <v>2016</v>
      </c>
      <c r="AW12" s="162">
        <v>2016</v>
      </c>
      <c r="AX12" s="162">
        <v>2016</v>
      </c>
      <c r="AY12" s="162">
        <v>2016</v>
      </c>
      <c r="AZ12" s="162">
        <v>2016</v>
      </c>
      <c r="BA12" s="162" t="s">
        <v>20</v>
      </c>
      <c r="BB12" s="163" t="s">
        <v>21</v>
      </c>
      <c r="BC12" s="162" t="s">
        <v>22</v>
      </c>
      <c r="BD12" s="1246"/>
      <c r="BE12" s="1246"/>
      <c r="BF12" s="162">
        <v>2016</v>
      </c>
      <c r="BG12" s="162">
        <v>2016</v>
      </c>
      <c r="BH12" s="162">
        <v>2016</v>
      </c>
      <c r="BI12" s="162">
        <v>2016</v>
      </c>
      <c r="BJ12" s="162">
        <v>2016</v>
      </c>
      <c r="BK12" s="162">
        <v>2016</v>
      </c>
      <c r="BL12" s="162">
        <v>2016</v>
      </c>
      <c r="BM12" s="162">
        <v>2016</v>
      </c>
      <c r="BN12" s="162" t="s">
        <v>64</v>
      </c>
      <c r="BO12" s="162">
        <v>2017</v>
      </c>
      <c r="BP12" s="162">
        <v>2017</v>
      </c>
      <c r="BQ12" s="162">
        <v>2017</v>
      </c>
      <c r="BR12" s="162">
        <v>2017</v>
      </c>
      <c r="BS12" s="162">
        <v>2017</v>
      </c>
      <c r="BT12" s="1248"/>
      <c r="BU12" s="162" t="s">
        <v>20</v>
      </c>
      <c r="BV12" s="163" t="s">
        <v>21</v>
      </c>
      <c r="BW12" s="162" t="s">
        <v>22</v>
      </c>
      <c r="BX12" s="1246"/>
      <c r="BY12" s="1246"/>
      <c r="BZ12" s="162">
        <v>2017</v>
      </c>
      <c r="CA12" s="162">
        <v>2017</v>
      </c>
      <c r="CB12" s="162">
        <v>2017</v>
      </c>
      <c r="CC12" s="162">
        <v>2017</v>
      </c>
      <c r="CD12" s="162">
        <v>2017</v>
      </c>
      <c r="CE12" s="162">
        <v>2017</v>
      </c>
      <c r="CF12" s="162">
        <v>2017</v>
      </c>
      <c r="CG12" s="1041">
        <v>2018</v>
      </c>
      <c r="CH12" s="1041">
        <v>2018</v>
      </c>
      <c r="CI12" s="162">
        <v>2018</v>
      </c>
      <c r="CJ12" s="162">
        <v>2018</v>
      </c>
      <c r="CK12" s="162">
        <v>2018</v>
      </c>
      <c r="CL12" s="162">
        <v>2018</v>
      </c>
      <c r="CM12" s="162">
        <v>2018</v>
      </c>
      <c r="CN12" s="162">
        <v>2019</v>
      </c>
      <c r="CO12" s="162">
        <v>2019</v>
      </c>
      <c r="CP12" s="162">
        <v>2019</v>
      </c>
      <c r="CQ12" s="162">
        <v>2019</v>
      </c>
      <c r="CR12" s="162">
        <v>2019</v>
      </c>
      <c r="CS12" s="162">
        <v>2019</v>
      </c>
      <c r="CT12" s="162">
        <v>2019</v>
      </c>
      <c r="CU12" s="162">
        <v>2019</v>
      </c>
      <c r="CV12" s="162">
        <v>2019</v>
      </c>
      <c r="CW12" s="162">
        <v>2019</v>
      </c>
      <c r="CX12" s="162">
        <v>2019</v>
      </c>
      <c r="CY12" s="1248"/>
      <c r="CZ12" s="1248"/>
      <c r="DA12" s="162" t="s">
        <v>20</v>
      </c>
      <c r="DB12" s="163" t="s">
        <v>21</v>
      </c>
      <c r="DC12" s="162" t="s">
        <v>22</v>
      </c>
      <c r="DD12" s="1246"/>
      <c r="DE12" s="1246"/>
      <c r="DF12" s="162">
        <v>2018</v>
      </c>
      <c r="DG12" s="162">
        <v>2018</v>
      </c>
      <c r="DH12" s="162">
        <v>2018</v>
      </c>
      <c r="DI12" s="162">
        <v>2018</v>
      </c>
      <c r="DJ12" s="162">
        <v>2018</v>
      </c>
      <c r="DK12" s="162">
        <v>2018</v>
      </c>
      <c r="DL12" s="162">
        <v>2018</v>
      </c>
      <c r="DM12" s="1248"/>
      <c r="DN12" s="1248"/>
    </row>
    <row r="13" spans="1:118" s="16" customFormat="1" x14ac:dyDescent="0.2">
      <c r="A13" s="120" t="s">
        <v>65</v>
      </c>
      <c r="B13" s="120" t="s">
        <v>24</v>
      </c>
      <c r="C13" s="124"/>
      <c r="D13" s="27"/>
      <c r="E13" s="25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20"/>
      <c r="S13" s="20"/>
      <c r="T13" s="14"/>
      <c r="U13" s="14"/>
      <c r="V13" s="14"/>
      <c r="W13" s="14"/>
      <c r="X13" s="14"/>
      <c r="Y13" s="108"/>
      <c r="Z13" s="66"/>
      <c r="AA13" s="66"/>
      <c r="AB13" s="81"/>
      <c r="AC13" s="66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73"/>
      <c r="AT13" s="55"/>
      <c r="AU13" s="55"/>
      <c r="AV13" s="55"/>
      <c r="AW13" s="55"/>
      <c r="AX13" s="55"/>
      <c r="AY13" s="55"/>
      <c r="AZ13" s="55"/>
      <c r="BA13" s="66"/>
      <c r="BB13" s="81"/>
      <c r="BC13" s="66"/>
      <c r="BD13" s="65"/>
      <c r="BE13" s="6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668"/>
      <c r="BU13" s="257"/>
      <c r="BV13" s="757"/>
      <c r="BW13" s="257"/>
      <c r="BX13" s="758"/>
      <c r="BY13" s="758"/>
      <c r="BZ13" s="56"/>
      <c r="CA13" s="56"/>
      <c r="CB13" s="56"/>
      <c r="CC13" s="56"/>
      <c r="CD13" s="56"/>
      <c r="CE13" s="56"/>
      <c r="CF13" s="56"/>
      <c r="CG13" s="56"/>
      <c r="CH13" s="56"/>
      <c r="CI13" s="968"/>
      <c r="CJ13" s="968"/>
      <c r="CK13" s="968"/>
      <c r="CL13" s="968"/>
      <c r="CM13" s="968"/>
      <c r="CN13" s="968"/>
      <c r="CO13" s="968"/>
      <c r="CP13" s="968"/>
      <c r="CQ13" s="968"/>
      <c r="CR13" s="968"/>
      <c r="CS13" s="968"/>
      <c r="CT13" s="968"/>
      <c r="CU13" s="968"/>
      <c r="CV13" s="968"/>
      <c r="CW13" s="968"/>
      <c r="CX13" s="968"/>
      <c r="CY13" s="505"/>
      <c r="CZ13" s="50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</row>
    <row r="14" spans="1:118" s="16" customFormat="1" x14ac:dyDescent="0.2">
      <c r="A14" s="120" t="s">
        <v>66</v>
      </c>
      <c r="B14" s="126"/>
      <c r="C14" s="45"/>
      <c r="D14" s="150"/>
      <c r="E14" s="25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20"/>
      <c r="S14" s="20"/>
      <c r="T14" s="14"/>
      <c r="U14" s="14"/>
      <c r="V14" s="14"/>
      <c r="W14" s="14"/>
      <c r="X14" s="14"/>
      <c r="Y14" s="108"/>
      <c r="Z14" s="66"/>
      <c r="AA14" s="66"/>
      <c r="AB14" s="112"/>
      <c r="AC14" s="66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73"/>
      <c r="AT14" s="55"/>
      <c r="AU14" s="55"/>
      <c r="AV14" s="55"/>
      <c r="AW14" s="55"/>
      <c r="AX14" s="55"/>
      <c r="AY14" s="55"/>
      <c r="AZ14" s="55"/>
      <c r="BA14" s="66"/>
      <c r="BB14" s="112"/>
      <c r="BC14" s="66"/>
      <c r="BD14" s="65"/>
      <c r="BE14" s="6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668"/>
      <c r="BU14" s="257"/>
      <c r="BV14" s="759"/>
      <c r="BW14" s="257"/>
      <c r="BX14" s="758"/>
      <c r="BY14" s="758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05"/>
      <c r="CZ14" s="50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</row>
    <row r="15" spans="1:118" s="16" customFormat="1" x14ac:dyDescent="0.2">
      <c r="A15" s="119" t="s">
        <v>228</v>
      </c>
      <c r="B15" s="100" t="s">
        <v>605</v>
      </c>
      <c r="C15" s="45" t="s">
        <v>363</v>
      </c>
      <c r="D15" s="125">
        <v>3</v>
      </c>
      <c r="E15" s="127">
        <v>0.33329999999999999</v>
      </c>
      <c r="F15" s="46">
        <v>43281</v>
      </c>
      <c r="G15" s="125">
        <v>36</v>
      </c>
      <c r="H15" s="145">
        <f>100/G15</f>
        <v>2.7777777777777777</v>
      </c>
      <c r="I15" s="165">
        <f>H15*J15</f>
        <v>147.22222222222223</v>
      </c>
      <c r="J15" s="48">
        <f>(YEAR(F15)-YEAR(S15))*12+MONTH(F15)-MONTH(S15)</f>
        <v>53</v>
      </c>
      <c r="K15" s="165">
        <f>L15*H15</f>
        <v>-47.222222222222221</v>
      </c>
      <c r="L15" s="48">
        <f>G15-J15</f>
        <v>-17</v>
      </c>
      <c r="M15" s="165">
        <f>N15*H15</f>
        <v>-47.222222222222221</v>
      </c>
      <c r="N15" s="48">
        <f>G15-J15</f>
        <v>-17</v>
      </c>
      <c r="O15" s="165">
        <f>K15-M15</f>
        <v>0</v>
      </c>
      <c r="P15" s="48">
        <f>L15-N15</f>
        <v>0</v>
      </c>
      <c r="Q15" s="462">
        <f>DATE(YEAR(S15),MONTH(S15)+G15,DAY(S15))</f>
        <v>42736</v>
      </c>
      <c r="R15" s="125" t="s">
        <v>360</v>
      </c>
      <c r="S15" s="128">
        <v>41640</v>
      </c>
      <c r="T15" s="5">
        <v>26913.06</v>
      </c>
      <c r="U15" s="72">
        <v>140.46</v>
      </c>
      <c r="V15" s="154">
        <v>99.967499999999987</v>
      </c>
      <c r="W15" s="154">
        <v>200.03250000000003</v>
      </c>
      <c r="X15" s="55">
        <v>8.33</v>
      </c>
      <c r="Y15" s="106">
        <f>X15*5</f>
        <v>41.65</v>
      </c>
      <c r="Z15" s="258">
        <f>W15-Y15</f>
        <v>158.38250000000002</v>
      </c>
      <c r="AA15" s="57">
        <v>115.958</v>
      </c>
      <c r="AB15" s="145">
        <v>112.505</v>
      </c>
      <c r="AC15" s="57">
        <f>AA15/AB15</f>
        <v>1.0306919692458114</v>
      </c>
      <c r="AD15" s="55">
        <f>Z15*M15/100/K15*100/7</f>
        <v>22.626071428571432</v>
      </c>
      <c r="AE15" s="55">
        <f>AD15*AC15</f>
        <v>23.320510117010677</v>
      </c>
      <c r="AF15" s="55"/>
      <c r="AG15" s="55"/>
      <c r="AH15" s="55"/>
      <c r="AI15" s="55"/>
      <c r="AJ15" s="55"/>
      <c r="AK15" s="55">
        <f>AE15</f>
        <v>23.320510117010677</v>
      </c>
      <c r="AL15" s="55">
        <v>8.591766885214458</v>
      </c>
      <c r="AM15" s="55">
        <v>8.591766885214458</v>
      </c>
      <c r="AN15" s="55">
        <v>8.591766885214458</v>
      </c>
      <c r="AO15" s="55">
        <v>8.591766885214458</v>
      </c>
      <c r="AP15" s="55">
        <v>8.591766885214458</v>
      </c>
      <c r="AQ15" s="55">
        <v>8.591766885214458</v>
      </c>
      <c r="AR15" s="55">
        <f>SUM(AF15:AQ15)</f>
        <v>74.871111428297411</v>
      </c>
      <c r="AS15" s="72">
        <f>Z15-AR15</f>
        <v>83.511388571702611</v>
      </c>
      <c r="AT15" s="55"/>
      <c r="AU15" s="55"/>
      <c r="AV15" s="55">
        <f>$AQ15</f>
        <v>8.591766885214458</v>
      </c>
      <c r="AW15" s="55">
        <f>$AQ15</f>
        <v>8.591766885214458</v>
      </c>
      <c r="AX15" s="55">
        <f>$AQ15</f>
        <v>8.591766885214458</v>
      </c>
      <c r="AY15" s="55">
        <f>$AQ15</f>
        <v>8.591766885214458</v>
      </c>
      <c r="AZ15" s="55">
        <f>$AQ15</f>
        <v>8.591766885214458</v>
      </c>
      <c r="BA15" s="57">
        <v>118.901</v>
      </c>
      <c r="BB15" s="145">
        <v>112.505</v>
      </c>
      <c r="BC15" s="57">
        <f>BA15/BB15</f>
        <v>1.0568508066308164</v>
      </c>
      <c r="BD15" s="55">
        <f>T15/(D15*12)</f>
        <v>747.58500000000004</v>
      </c>
      <c r="BE15" s="55">
        <f>BD15*BC15</f>
        <v>790.08581027509899</v>
      </c>
      <c r="BF15" s="55">
        <v>54.28</v>
      </c>
      <c r="BG15" s="55"/>
      <c r="BH15" s="55"/>
      <c r="BI15" s="55"/>
      <c r="BJ15" s="55"/>
      <c r="BK15" s="55"/>
      <c r="BL15" s="55"/>
      <c r="BM15" s="55">
        <f>SUM((AV15:AZ15),(BF15:BL15))</f>
        <v>97.238834426072287</v>
      </c>
      <c r="BN15" s="448">
        <f>(AS15-BM15)</f>
        <v>-13.727445854369677</v>
      </c>
      <c r="BO15" s="55"/>
      <c r="BP15" s="55"/>
      <c r="BQ15" s="55"/>
      <c r="BR15" s="55"/>
      <c r="BS15" s="55"/>
      <c r="BT15" s="668">
        <v>1.001297377426539</v>
      </c>
      <c r="BU15" s="258">
        <v>132.28200000000001</v>
      </c>
      <c r="BV15" s="258">
        <v>112.505</v>
      </c>
      <c r="BW15" s="957">
        <f>BU15/BV15</f>
        <v>1.1757877427669883</v>
      </c>
      <c r="BX15" s="511">
        <v>0</v>
      </c>
      <c r="BY15" s="511">
        <f>BX15*BW15</f>
        <v>0</v>
      </c>
      <c r="BZ15" s="56">
        <v>0</v>
      </c>
      <c r="CA15" s="56">
        <v>0</v>
      </c>
      <c r="CB15" s="56">
        <v>0</v>
      </c>
      <c r="CC15" s="56">
        <v>0</v>
      </c>
      <c r="CD15" s="56">
        <v>0</v>
      </c>
      <c r="CE15" s="56">
        <v>0</v>
      </c>
      <c r="CF15" s="56">
        <v>0</v>
      </c>
      <c r="CG15" s="511"/>
      <c r="CH15" s="511"/>
      <c r="CI15" s="511"/>
      <c r="CJ15" s="511"/>
      <c r="CK15" s="511"/>
      <c r="CL15" s="511"/>
      <c r="CM15" s="511"/>
      <c r="CN15" s="511"/>
      <c r="CO15" s="511"/>
      <c r="CP15" s="511"/>
      <c r="CQ15" s="511"/>
      <c r="CR15" s="511"/>
      <c r="CS15" s="511"/>
      <c r="CT15" s="511"/>
      <c r="CU15" s="511"/>
      <c r="CV15" s="511"/>
      <c r="CW15" s="511"/>
      <c r="CX15" s="511"/>
      <c r="CY15" s="511">
        <f>SUM(CG15:CM15)</f>
        <v>0</v>
      </c>
      <c r="CZ15" s="756">
        <f>BT15-CY15</f>
        <v>1.001297377426539</v>
      </c>
      <c r="DA15" s="956"/>
      <c r="DB15" s="957">
        <v>118.051</v>
      </c>
      <c r="DC15" s="957">
        <f>DA15/DB15</f>
        <v>0</v>
      </c>
      <c r="DD15" s="511">
        <f>CZ15/AL15</f>
        <v>0.11654149731991312</v>
      </c>
      <c r="DE15" s="511">
        <f>DD15*DC15</f>
        <v>0</v>
      </c>
      <c r="DF15" s="511"/>
      <c r="DG15" s="511"/>
      <c r="DH15" s="511"/>
      <c r="DI15" s="511"/>
      <c r="DJ15" s="511"/>
      <c r="DK15" s="511"/>
      <c r="DL15" s="511">
        <v>0</v>
      </c>
      <c r="DM15" s="511"/>
      <c r="DN15" s="756"/>
    </row>
    <row r="16" spans="1:118" s="16" customFormat="1" ht="13.5" x14ac:dyDescent="0.25">
      <c r="A16" s="120" t="s">
        <v>65</v>
      </c>
      <c r="B16" s="120" t="s">
        <v>89</v>
      </c>
      <c r="C16" s="45"/>
      <c r="D16" s="125"/>
      <c r="E16" s="127"/>
      <c r="F16" s="20"/>
      <c r="G16" s="125"/>
      <c r="H16" s="145"/>
      <c r="I16" s="165"/>
      <c r="J16" s="48"/>
      <c r="K16" s="165"/>
      <c r="L16" s="48"/>
      <c r="M16" s="165"/>
      <c r="N16" s="48"/>
      <c r="O16" s="165"/>
      <c r="P16" s="48"/>
      <c r="Q16" s="48"/>
      <c r="R16" s="125"/>
      <c r="S16" s="128"/>
      <c r="T16" s="116"/>
      <c r="U16" s="72"/>
      <c r="V16" s="154"/>
      <c r="W16" s="154"/>
      <c r="X16" s="55"/>
      <c r="Y16" s="106"/>
      <c r="Z16" s="258"/>
      <c r="AA16" s="57"/>
      <c r="AB16" s="145"/>
      <c r="AC16" s="57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72"/>
      <c r="AT16" s="55"/>
      <c r="AU16" s="55"/>
      <c r="AV16" s="55">
        <f t="shared" ref="AV16:AZ29" si="0">$AQ16</f>
        <v>0</v>
      </c>
      <c r="AW16" s="55">
        <f t="shared" si="0"/>
        <v>0</v>
      </c>
      <c r="AX16" s="55">
        <f t="shared" si="0"/>
        <v>0</v>
      </c>
      <c r="AY16" s="55">
        <f t="shared" si="0"/>
        <v>0</v>
      </c>
      <c r="AZ16" s="55">
        <f t="shared" si="0"/>
        <v>0</v>
      </c>
      <c r="BA16" s="57"/>
      <c r="BB16" s="145"/>
      <c r="BC16" s="57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448"/>
      <c r="BO16" s="55"/>
      <c r="BP16" s="55"/>
      <c r="BQ16" s="55"/>
      <c r="BR16" s="55"/>
      <c r="BS16" s="55"/>
      <c r="BT16" s="668"/>
      <c r="BU16" s="258"/>
      <c r="BV16" s="258"/>
      <c r="BW16" s="258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05"/>
      <c r="CZ16" s="681"/>
      <c r="DA16" s="511"/>
      <c r="DB16" s="957"/>
      <c r="DC16" s="957"/>
      <c r="DD16" s="511"/>
      <c r="DE16" s="511"/>
      <c r="DF16" s="511"/>
      <c r="DG16" s="511"/>
      <c r="DH16" s="511"/>
      <c r="DI16" s="511"/>
      <c r="DJ16" s="511"/>
      <c r="DK16" s="511"/>
      <c r="DL16" s="511"/>
      <c r="DM16" s="511"/>
      <c r="DN16" s="511"/>
    </row>
    <row r="17" spans="1:118" s="16" customFormat="1" ht="13.5" x14ac:dyDescent="0.25">
      <c r="A17" s="120" t="s">
        <v>82</v>
      </c>
      <c r="B17" s="100"/>
      <c r="C17" s="45"/>
      <c r="D17" s="252"/>
      <c r="E17" s="127"/>
      <c r="F17" s="20"/>
      <c r="G17" s="252"/>
      <c r="H17" s="145"/>
      <c r="I17" s="165"/>
      <c r="J17" s="48"/>
      <c r="K17" s="165"/>
      <c r="L17" s="48"/>
      <c r="M17" s="165"/>
      <c r="N17" s="48"/>
      <c r="O17" s="165"/>
      <c r="P17" s="48"/>
      <c r="Q17" s="48"/>
      <c r="R17" s="125"/>
      <c r="S17" s="128"/>
      <c r="T17" s="116"/>
      <c r="U17" s="72"/>
      <c r="V17" s="154"/>
      <c r="W17" s="154"/>
      <c r="X17" s="55"/>
      <c r="Y17" s="106"/>
      <c r="Z17" s="258"/>
      <c r="AA17" s="57"/>
      <c r="AB17" s="145"/>
      <c r="AC17" s="57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72"/>
      <c r="AT17" s="55"/>
      <c r="AU17" s="55"/>
      <c r="AV17" s="55">
        <f t="shared" si="0"/>
        <v>0</v>
      </c>
      <c r="AW17" s="55">
        <f t="shared" si="0"/>
        <v>0</v>
      </c>
      <c r="AX17" s="55">
        <f t="shared" si="0"/>
        <v>0</v>
      </c>
      <c r="AY17" s="55">
        <f t="shared" si="0"/>
        <v>0</v>
      </c>
      <c r="AZ17" s="55">
        <f t="shared" si="0"/>
        <v>0</v>
      </c>
      <c r="BA17" s="57"/>
      <c r="BB17" s="145"/>
      <c r="BC17" s="57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448"/>
      <c r="BO17" s="55"/>
      <c r="BP17" s="55"/>
      <c r="BQ17" s="55"/>
      <c r="BR17" s="55"/>
      <c r="BS17" s="55"/>
      <c r="BT17" s="668"/>
      <c r="BU17" s="258"/>
      <c r="BV17" s="258"/>
      <c r="BW17" s="258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05"/>
      <c r="CZ17" s="679"/>
      <c r="DA17" s="623"/>
      <c r="DB17" s="957">
        <v>118.77</v>
      </c>
      <c r="DC17" s="957">
        <f>DA17/DB17</f>
        <v>0</v>
      </c>
      <c r="DD17" s="511" t="e">
        <f>CZ17/AL17</f>
        <v>#DIV/0!</v>
      </c>
      <c r="DE17" s="511"/>
      <c r="DF17" s="511"/>
      <c r="DG17" s="511"/>
      <c r="DH17" s="511"/>
      <c r="DI17" s="511"/>
      <c r="DJ17" s="511"/>
      <c r="DK17" s="511"/>
      <c r="DL17" s="511"/>
      <c r="DM17" s="511"/>
      <c r="DN17" s="511"/>
    </row>
    <row r="18" spans="1:118" s="16" customFormat="1" x14ac:dyDescent="0.2">
      <c r="A18" s="119" t="s">
        <v>229</v>
      </c>
      <c r="B18" s="100" t="s">
        <v>606</v>
      </c>
      <c r="C18" s="45" t="s">
        <v>363</v>
      </c>
      <c r="D18" s="125">
        <v>10</v>
      </c>
      <c r="E18" s="127">
        <v>0.1</v>
      </c>
      <c r="F18" s="46">
        <v>43281</v>
      </c>
      <c r="G18" s="125">
        <v>120</v>
      </c>
      <c r="H18" s="145">
        <f>100/G18</f>
        <v>0.83333333333333337</v>
      </c>
      <c r="I18" s="165">
        <f>H18*J18</f>
        <v>104.16666666666667</v>
      </c>
      <c r="J18" s="48">
        <f>(YEAR(F18)-YEAR(S18))*12+MONTH(F18)-MONTH(S18)</f>
        <v>125</v>
      </c>
      <c r="K18" s="165">
        <f>L18*H18</f>
        <v>-4.166666666666667</v>
      </c>
      <c r="L18" s="48">
        <f>G18-J18</f>
        <v>-5</v>
      </c>
      <c r="M18" s="165">
        <f>N18*H18</f>
        <v>-4.166666666666667</v>
      </c>
      <c r="N18" s="48">
        <f>G18-J18</f>
        <v>-5</v>
      </c>
      <c r="O18" s="165">
        <f>K18-M18</f>
        <v>0</v>
      </c>
      <c r="P18" s="48">
        <f>L18-N18</f>
        <v>0</v>
      </c>
      <c r="Q18" s="462">
        <f>DATE(YEAR(S18),MONTH(S18)+G18,DAY(S18))</f>
        <v>43101</v>
      </c>
      <c r="R18" s="125" t="s">
        <v>360</v>
      </c>
      <c r="S18" s="128">
        <v>39448</v>
      </c>
      <c r="T18" s="5">
        <v>1590</v>
      </c>
      <c r="U18" s="72">
        <v>270.45</v>
      </c>
      <c r="V18" s="154">
        <v>89.030000000000015</v>
      </c>
      <c r="W18" s="154">
        <v>266.96999999999997</v>
      </c>
      <c r="X18" s="55">
        <v>7.42</v>
      </c>
      <c r="Y18" s="106">
        <f>X18*5</f>
        <v>37.1</v>
      </c>
      <c r="Z18" s="258">
        <f>W18-Y18</f>
        <v>229.86999999999998</v>
      </c>
      <c r="AA18" s="57">
        <v>115.958</v>
      </c>
      <c r="AB18" s="145">
        <v>126.146</v>
      </c>
      <c r="AC18" s="57">
        <f>AA18/AB18</f>
        <v>0.91923644031519036</v>
      </c>
      <c r="AD18" s="55">
        <f>Z18*M18/100/K18*100/7</f>
        <v>32.838571428571427</v>
      </c>
      <c r="AE18" s="55">
        <f>AD18*AC18</f>
        <v>30.186411505036116</v>
      </c>
      <c r="AF18" s="55"/>
      <c r="AG18" s="55"/>
      <c r="AH18" s="55"/>
      <c r="AI18" s="55"/>
      <c r="AJ18" s="55"/>
      <c r="AK18" s="55">
        <f>AE18</f>
        <v>30.186411505036116</v>
      </c>
      <c r="AL18" s="55">
        <v>6.8162864688791229</v>
      </c>
      <c r="AM18" s="55">
        <v>6.8162864688791229</v>
      </c>
      <c r="AN18" s="55">
        <v>6.8162864688791229</v>
      </c>
      <c r="AO18" s="55">
        <v>6.8162864688791229</v>
      </c>
      <c r="AP18" s="55">
        <v>6.8162864688791229</v>
      </c>
      <c r="AQ18" s="55">
        <v>6.8162864688791229</v>
      </c>
      <c r="AR18" s="55">
        <f>SUM(AF18:AQ18)</f>
        <v>71.084130318310855</v>
      </c>
      <c r="AS18" s="72">
        <f>Z18-AR18</f>
        <v>158.78586968168912</v>
      </c>
      <c r="AT18" s="55"/>
      <c r="AU18" s="55"/>
      <c r="AV18" s="55">
        <f t="shared" si="0"/>
        <v>6.8162864688791229</v>
      </c>
      <c r="AW18" s="55">
        <f t="shared" si="0"/>
        <v>6.8162864688791229</v>
      </c>
      <c r="AX18" s="55">
        <f t="shared" si="0"/>
        <v>6.8162864688791229</v>
      </c>
      <c r="AY18" s="55">
        <f t="shared" si="0"/>
        <v>6.8162864688791229</v>
      </c>
      <c r="AZ18" s="55">
        <f t="shared" si="0"/>
        <v>6.8162864688791229</v>
      </c>
      <c r="BA18" s="57">
        <v>118.901</v>
      </c>
      <c r="BB18" s="145">
        <v>126.146</v>
      </c>
      <c r="BC18" s="57">
        <f>BA18/BB18</f>
        <v>0.94256654987078459</v>
      </c>
      <c r="BD18" s="55">
        <f>T18/(D18*12)</f>
        <v>13.25</v>
      </c>
      <c r="BE18" s="55">
        <f>BD18*BC18</f>
        <v>12.489006785787895</v>
      </c>
      <c r="BF18" s="55">
        <f t="shared" ref="BF18:BL18" si="1">$BE18</f>
        <v>12.489006785787895</v>
      </c>
      <c r="BG18" s="55">
        <f t="shared" si="1"/>
        <v>12.489006785787895</v>
      </c>
      <c r="BH18" s="55">
        <f t="shared" si="1"/>
        <v>12.489006785787895</v>
      </c>
      <c r="BI18" s="55">
        <f t="shared" si="1"/>
        <v>12.489006785787895</v>
      </c>
      <c r="BJ18" s="55">
        <f t="shared" si="1"/>
        <v>12.489006785787895</v>
      </c>
      <c r="BK18" s="55">
        <f t="shared" si="1"/>
        <v>12.489006785787895</v>
      </c>
      <c r="BL18" s="55">
        <f t="shared" si="1"/>
        <v>12.489006785787895</v>
      </c>
      <c r="BM18" s="55">
        <f>SUM((AV18:AZ18),(BF18:BL18))</f>
        <v>121.50447984491088</v>
      </c>
      <c r="BN18" s="448">
        <f>(AS18-BM18)</f>
        <v>37.281389836778246</v>
      </c>
      <c r="BO18" s="55">
        <f>$BE18</f>
        <v>12.489006785787895</v>
      </c>
      <c r="BP18" s="55">
        <f>$BE18</f>
        <v>12.489006785787895</v>
      </c>
      <c r="BQ18" s="55">
        <f>$BE18</f>
        <v>12.489006785787895</v>
      </c>
      <c r="BR18" s="55">
        <f>$BE18</f>
        <v>12.489006785787895</v>
      </c>
      <c r="BS18" s="55">
        <v>9.6999999999999993</v>
      </c>
      <c r="BT18" s="668">
        <v>0.99548772978366173</v>
      </c>
      <c r="BU18" s="258">
        <v>132.28200000000001</v>
      </c>
      <c r="BV18" s="258">
        <v>126.146</v>
      </c>
      <c r="BW18" s="957">
        <f>BU18/BV18</f>
        <v>1.0486420496884563</v>
      </c>
      <c r="BX18" s="511">
        <v>0</v>
      </c>
      <c r="BY18" s="511">
        <f>BX18*BW18</f>
        <v>0</v>
      </c>
      <c r="BZ18" s="56">
        <v>0</v>
      </c>
      <c r="CA18" s="56">
        <v>0</v>
      </c>
      <c r="CB18" s="56">
        <v>0</v>
      </c>
      <c r="CC18" s="56">
        <v>0</v>
      </c>
      <c r="CD18" s="56">
        <v>0</v>
      </c>
      <c r="CE18" s="56">
        <v>0</v>
      </c>
      <c r="CF18" s="56">
        <v>0</v>
      </c>
      <c r="CG18" s="511">
        <v>0</v>
      </c>
      <c r="CH18" s="511">
        <v>0</v>
      </c>
      <c r="CI18" s="511">
        <v>0</v>
      </c>
      <c r="CJ18" s="511">
        <v>0</v>
      </c>
      <c r="CK18" s="511">
        <v>0</v>
      </c>
      <c r="CL18" s="511">
        <v>0</v>
      </c>
      <c r="CM18" s="511">
        <v>0</v>
      </c>
      <c r="CN18" s="511">
        <v>0</v>
      </c>
      <c r="CO18" s="511">
        <v>0</v>
      </c>
      <c r="CP18" s="511">
        <v>0</v>
      </c>
      <c r="CQ18" s="511">
        <v>0</v>
      </c>
      <c r="CR18" s="511">
        <v>0</v>
      </c>
      <c r="CS18" s="511">
        <v>0</v>
      </c>
      <c r="CT18" s="511">
        <v>0</v>
      </c>
      <c r="CU18" s="511">
        <v>0</v>
      </c>
      <c r="CV18" s="511">
        <v>0</v>
      </c>
      <c r="CW18" s="511">
        <v>0</v>
      </c>
      <c r="CX18" s="511">
        <v>0</v>
      </c>
      <c r="CY18" s="511">
        <f>SUM(CG18:CM18)</f>
        <v>0</v>
      </c>
      <c r="CZ18" s="756">
        <f>BT18-CY18</f>
        <v>0.99548772978366173</v>
      </c>
      <c r="DA18" s="656"/>
      <c r="DB18" s="957"/>
      <c r="DC18" s="957"/>
      <c r="DD18" s="511"/>
      <c r="DE18" s="511"/>
      <c r="DF18" s="511">
        <v>0</v>
      </c>
      <c r="DG18" s="511">
        <v>0</v>
      </c>
      <c r="DH18" s="511">
        <v>0</v>
      </c>
      <c r="DI18" s="511">
        <v>0</v>
      </c>
      <c r="DJ18" s="511">
        <v>0</v>
      </c>
      <c r="DK18" s="511">
        <v>0</v>
      </c>
      <c r="DL18" s="511">
        <v>0</v>
      </c>
      <c r="DM18" s="511">
        <f>SUM(DF18:DL18)</f>
        <v>0</v>
      </c>
      <c r="DN18" s="511">
        <f>DG18-DM18</f>
        <v>0</v>
      </c>
    </row>
    <row r="19" spans="1:118" s="16" customFormat="1" x14ac:dyDescent="0.2">
      <c r="A19" s="119" t="s">
        <v>229</v>
      </c>
      <c r="B19" s="100" t="s">
        <v>606</v>
      </c>
      <c r="C19" s="45" t="s">
        <v>363</v>
      </c>
      <c r="D19" s="125">
        <v>10</v>
      </c>
      <c r="E19" s="127">
        <v>0.1</v>
      </c>
      <c r="F19" s="46">
        <v>43281</v>
      </c>
      <c r="G19" s="125">
        <v>120</v>
      </c>
      <c r="H19" s="145">
        <f>100/G19</f>
        <v>0.83333333333333337</v>
      </c>
      <c r="I19" s="165">
        <f>H19*J19</f>
        <v>114.16666666666667</v>
      </c>
      <c r="J19" s="48">
        <f>(YEAR(F19)-YEAR(S19))*12+MONTH(F19)-MONTH(S19)</f>
        <v>137</v>
      </c>
      <c r="K19" s="165">
        <f>L19*H19</f>
        <v>-14.166666666666668</v>
      </c>
      <c r="L19" s="48">
        <f>G19-J19</f>
        <v>-17</v>
      </c>
      <c r="M19" s="165">
        <f>N19*H19</f>
        <v>-14.166666666666668</v>
      </c>
      <c r="N19" s="48">
        <f>G19-J19</f>
        <v>-17</v>
      </c>
      <c r="O19" s="165">
        <f>K19-M19</f>
        <v>0</v>
      </c>
      <c r="P19" s="48">
        <f>L19-N19</f>
        <v>0</v>
      </c>
      <c r="Q19" s="462">
        <f>DATE(YEAR(S19),MONTH(S19)+G19,DAY(S19))</f>
        <v>42736</v>
      </c>
      <c r="R19" s="125" t="s">
        <v>360</v>
      </c>
      <c r="S19" s="128">
        <v>39083</v>
      </c>
      <c r="T19" s="5">
        <v>1590</v>
      </c>
      <c r="U19" s="72">
        <v>270.45</v>
      </c>
      <c r="V19" s="154">
        <v>110.03000000000002</v>
      </c>
      <c r="W19" s="154">
        <v>219.96999999999997</v>
      </c>
      <c r="X19" s="55">
        <v>9.17</v>
      </c>
      <c r="Y19" s="106">
        <f>X19*5</f>
        <v>45.85</v>
      </c>
      <c r="Z19" s="258">
        <f>W19-Y19</f>
        <v>174.11999999999998</v>
      </c>
      <c r="AA19" s="57">
        <v>115.958</v>
      </c>
      <c r="AB19" s="145">
        <v>121.64</v>
      </c>
      <c r="AC19" s="57">
        <f>AA19/AB19</f>
        <v>0.95328839197632353</v>
      </c>
      <c r="AD19" s="55">
        <f>Z19*M19/100/K19*100/7</f>
        <v>24.874285714285712</v>
      </c>
      <c r="AE19" s="55">
        <f>AD19*AC19</f>
        <v>23.712367830131061</v>
      </c>
      <c r="AF19" s="55"/>
      <c r="AG19" s="55"/>
      <c r="AH19" s="55"/>
      <c r="AI19" s="55"/>
      <c r="AJ19" s="55"/>
      <c r="AK19" s="55">
        <f>AE19</f>
        <v>23.712367830131061</v>
      </c>
      <c r="AL19" s="55">
        <v>8.7361355163640759</v>
      </c>
      <c r="AM19" s="55">
        <v>8.7361355163640759</v>
      </c>
      <c r="AN19" s="55">
        <v>8.7361355163640759</v>
      </c>
      <c r="AO19" s="55">
        <v>8.7361355163640759</v>
      </c>
      <c r="AP19" s="55">
        <v>8.7361355163640759</v>
      </c>
      <c r="AQ19" s="55">
        <v>8.7361355163640759</v>
      </c>
      <c r="AR19" s="55">
        <f>SUM(AF19:AQ19)</f>
        <v>76.129180928315506</v>
      </c>
      <c r="AS19" s="72">
        <f>Z19-AR19</f>
        <v>97.99081907168447</v>
      </c>
      <c r="AT19" s="55"/>
      <c r="AU19" s="55"/>
      <c r="AV19" s="55">
        <f t="shared" si="0"/>
        <v>8.7361355163640759</v>
      </c>
      <c r="AW19" s="55">
        <f t="shared" si="0"/>
        <v>8.7361355163640759</v>
      </c>
      <c r="AX19" s="55">
        <f t="shared" si="0"/>
        <v>8.7361355163640759</v>
      </c>
      <c r="AY19" s="55">
        <f t="shared" si="0"/>
        <v>8.7361355163640759</v>
      </c>
      <c r="AZ19" s="55">
        <f t="shared" si="0"/>
        <v>8.7361355163640759</v>
      </c>
      <c r="BA19" s="57">
        <v>118.901</v>
      </c>
      <c r="BB19" s="145">
        <v>121.64</v>
      </c>
      <c r="BC19" s="57">
        <f>BA19/BB19</f>
        <v>0.97748273594212431</v>
      </c>
      <c r="BD19" s="55">
        <f>T19/(D19*12)</f>
        <v>13.25</v>
      </c>
      <c r="BE19" s="55">
        <f>BD19*BC19</f>
        <v>12.951646251233147</v>
      </c>
      <c r="BF19" s="55">
        <f>$BE19</f>
        <v>12.951646251233147</v>
      </c>
      <c r="BG19" s="55">
        <f>$BE19</f>
        <v>12.951646251233147</v>
      </c>
      <c r="BH19" s="55">
        <f>$BE19</f>
        <v>12.951646251233147</v>
      </c>
      <c r="BI19" s="55">
        <f>$BE19</f>
        <v>12.951646251233147</v>
      </c>
      <c r="BJ19" s="55">
        <f>$BE19</f>
        <v>12.951646251233147</v>
      </c>
      <c r="BK19" s="55">
        <v>3.53</v>
      </c>
      <c r="BL19" s="55">
        <v>3.53</v>
      </c>
      <c r="BM19" s="55">
        <f>SUM((AV19:AZ19),(BF19:BL19))</f>
        <v>115.49890883798609</v>
      </c>
      <c r="BN19" s="448">
        <v>1</v>
      </c>
      <c r="BO19" s="55">
        <v>0</v>
      </c>
      <c r="BP19" s="55">
        <v>0</v>
      </c>
      <c r="BQ19" s="55">
        <v>0</v>
      </c>
      <c r="BR19" s="55">
        <v>0</v>
      </c>
      <c r="BS19" s="55">
        <v>0</v>
      </c>
      <c r="BT19" s="668">
        <v>1</v>
      </c>
      <c r="BU19" s="258">
        <v>132.28200000000001</v>
      </c>
      <c r="BV19" s="258">
        <v>121.64</v>
      </c>
      <c r="BW19" s="957">
        <f>BU19/BV19</f>
        <v>1.0874876685300889</v>
      </c>
      <c r="BX19" s="511"/>
      <c r="BY19" s="511"/>
      <c r="BZ19" s="56"/>
      <c r="CA19" s="56"/>
      <c r="CB19" s="56"/>
      <c r="CC19" s="56"/>
      <c r="CD19" s="56"/>
      <c r="CE19" s="56"/>
      <c r="CF19" s="56"/>
      <c r="CG19" s="511"/>
      <c r="CH19" s="511"/>
      <c r="CI19" s="511"/>
      <c r="CJ19" s="511"/>
      <c r="CK19" s="511"/>
      <c r="CL19" s="511"/>
      <c r="CM19" s="511"/>
      <c r="CN19" s="511"/>
      <c r="CO19" s="511"/>
      <c r="CP19" s="511"/>
      <c r="CQ19" s="511"/>
      <c r="CR19" s="511"/>
      <c r="CS19" s="511"/>
      <c r="CT19" s="511"/>
      <c r="CU19" s="511"/>
      <c r="CV19" s="511"/>
      <c r="CW19" s="511"/>
      <c r="CX19" s="511"/>
      <c r="CY19" s="511">
        <f>SUM(CG19:CM19)</f>
        <v>0</v>
      </c>
      <c r="CZ19" s="756">
        <f>BT19-CY19</f>
        <v>1</v>
      </c>
      <c r="DA19" s="623"/>
      <c r="DB19" s="957">
        <v>118.901</v>
      </c>
      <c r="DC19" s="957">
        <f>DA19/DB19</f>
        <v>0</v>
      </c>
      <c r="DD19" s="511">
        <f>CZ19/AL19</f>
        <v>0.11446708880910236</v>
      </c>
      <c r="DE19" s="511"/>
      <c r="DF19" s="511"/>
      <c r="DG19" s="511"/>
      <c r="DH19" s="511"/>
      <c r="DI19" s="511"/>
      <c r="DJ19" s="511"/>
      <c r="DK19" s="511"/>
      <c r="DL19" s="511"/>
      <c r="DM19" s="511"/>
      <c r="DN19" s="511"/>
    </row>
    <row r="20" spans="1:118" s="16" customFormat="1" x14ac:dyDescent="0.2">
      <c r="A20" s="26" t="s">
        <v>65</v>
      </c>
      <c r="B20" s="120" t="s">
        <v>1110</v>
      </c>
      <c r="C20" s="45"/>
      <c r="D20" s="17"/>
      <c r="E20" s="30"/>
      <c r="F20" s="46"/>
      <c r="G20" s="125"/>
      <c r="H20" s="145"/>
      <c r="I20" s="165"/>
      <c r="J20" s="48"/>
      <c r="K20" s="165"/>
      <c r="L20" s="48"/>
      <c r="M20" s="165"/>
      <c r="N20" s="48"/>
      <c r="O20" s="165"/>
      <c r="P20" s="48"/>
      <c r="Q20" s="48"/>
      <c r="R20" s="125"/>
      <c r="S20" s="128"/>
      <c r="T20" s="5"/>
      <c r="U20" s="72"/>
      <c r="V20" s="154"/>
      <c r="W20" s="154"/>
      <c r="X20" s="55"/>
      <c r="Y20" s="106"/>
      <c r="Z20" s="258"/>
      <c r="AA20" s="57"/>
      <c r="AB20" s="145"/>
      <c r="AC20" s="57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72"/>
      <c r="AT20" s="55"/>
      <c r="AU20" s="55"/>
      <c r="AV20" s="55">
        <f t="shared" si="0"/>
        <v>0</v>
      </c>
      <c r="AW20" s="55">
        <f t="shared" si="0"/>
        <v>0</v>
      </c>
      <c r="AX20" s="55">
        <f t="shared" si="0"/>
        <v>0</v>
      </c>
      <c r="AY20" s="55">
        <f t="shared" si="0"/>
        <v>0</v>
      </c>
      <c r="AZ20" s="55">
        <f t="shared" si="0"/>
        <v>0</v>
      </c>
      <c r="BA20" s="57"/>
      <c r="BB20" s="145"/>
      <c r="BC20" s="57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448"/>
      <c r="BO20" s="55"/>
      <c r="BP20" s="55"/>
      <c r="BQ20" s="55"/>
      <c r="BR20" s="55"/>
      <c r="BS20" s="55"/>
      <c r="BT20" s="668"/>
      <c r="BU20" s="258"/>
      <c r="BV20" s="258"/>
      <c r="BW20" s="258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05"/>
      <c r="CZ20" s="679"/>
      <c r="DA20" s="956"/>
      <c r="DB20" s="957">
        <v>118.051</v>
      </c>
      <c r="DC20" s="957">
        <f>DA20/DB20</f>
        <v>0</v>
      </c>
      <c r="DD20" s="511" t="e">
        <f>CZ20/AL20</f>
        <v>#DIV/0!</v>
      </c>
      <c r="DE20" s="511" t="e">
        <f>DD20*DC20</f>
        <v>#DIV/0!</v>
      </c>
      <c r="DF20" s="511"/>
      <c r="DG20" s="511"/>
      <c r="DH20" s="511"/>
      <c r="DI20" s="511"/>
      <c r="DJ20" s="511"/>
      <c r="DK20" s="511"/>
      <c r="DL20" s="511">
        <v>0</v>
      </c>
      <c r="DM20" s="511"/>
      <c r="DN20" s="756"/>
    </row>
    <row r="21" spans="1:118" s="16" customFormat="1" x14ac:dyDescent="0.2">
      <c r="A21" s="120" t="s">
        <v>1111</v>
      </c>
      <c r="B21" s="9"/>
      <c r="C21" s="45"/>
      <c r="D21" s="17"/>
      <c r="E21" s="30"/>
      <c r="F21" s="46"/>
      <c r="G21" s="125"/>
      <c r="H21" s="145"/>
      <c r="I21" s="165"/>
      <c r="J21" s="48"/>
      <c r="K21" s="165"/>
      <c r="L21" s="48"/>
      <c r="M21" s="165"/>
      <c r="N21" s="48"/>
      <c r="O21" s="165"/>
      <c r="P21" s="48"/>
      <c r="Q21" s="48"/>
      <c r="R21" s="125"/>
      <c r="S21" s="128"/>
      <c r="T21" s="5"/>
      <c r="U21" s="72"/>
      <c r="V21" s="154"/>
      <c r="W21" s="154"/>
      <c r="X21" s="55"/>
      <c r="Y21" s="106"/>
      <c r="Z21" s="258"/>
      <c r="AA21" s="57"/>
      <c r="AB21" s="145"/>
      <c r="AC21" s="57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72"/>
      <c r="AT21" s="55"/>
      <c r="AU21" s="55"/>
      <c r="AV21" s="55">
        <f t="shared" si="0"/>
        <v>0</v>
      </c>
      <c r="AW21" s="55">
        <f t="shared" si="0"/>
        <v>0</v>
      </c>
      <c r="AX21" s="55">
        <f t="shared" si="0"/>
        <v>0</v>
      </c>
      <c r="AY21" s="55">
        <f t="shared" si="0"/>
        <v>0</v>
      </c>
      <c r="AZ21" s="55">
        <f t="shared" si="0"/>
        <v>0</v>
      </c>
      <c r="BA21" s="57"/>
      <c r="BB21" s="145"/>
      <c r="BC21" s="57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448"/>
      <c r="BO21" s="55"/>
      <c r="BP21" s="55"/>
      <c r="BQ21" s="55"/>
      <c r="BR21" s="55"/>
      <c r="BS21" s="55"/>
      <c r="BT21" s="668"/>
      <c r="BU21" s="258"/>
      <c r="BV21" s="258"/>
      <c r="BW21" s="258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05"/>
      <c r="CZ21" s="681"/>
      <c r="DA21" s="511"/>
      <c r="DB21" s="957"/>
      <c r="DC21" s="957"/>
      <c r="DD21" s="511"/>
      <c r="DE21" s="511"/>
      <c r="DF21" s="511"/>
      <c r="DG21" s="511"/>
      <c r="DH21" s="511"/>
      <c r="DI21" s="511"/>
      <c r="DJ21" s="511"/>
      <c r="DK21" s="511"/>
      <c r="DL21" s="511"/>
      <c r="DM21" s="511"/>
      <c r="DN21" s="511"/>
    </row>
    <row r="22" spans="1:118" s="16" customFormat="1" x14ac:dyDescent="0.2">
      <c r="A22" s="8" t="s">
        <v>1112</v>
      </c>
      <c r="B22" s="100" t="s">
        <v>1110</v>
      </c>
      <c r="C22" s="45" t="s">
        <v>363</v>
      </c>
      <c r="D22" s="58">
        <v>10</v>
      </c>
      <c r="E22" s="53">
        <v>0.1</v>
      </c>
      <c r="F22" s="46">
        <v>43281</v>
      </c>
      <c r="G22" s="48">
        <v>120</v>
      </c>
      <c r="H22" s="145">
        <f>100/G22</f>
        <v>0.83333333333333337</v>
      </c>
      <c r="I22" s="165">
        <v>0</v>
      </c>
      <c r="J22" s="48">
        <f>(YEAR(F22)-YEAR(S22))*12+MONTH(F22)-MONTH(S22)</f>
        <v>16</v>
      </c>
      <c r="K22" s="165">
        <f>L22*H22</f>
        <v>86.666666666666671</v>
      </c>
      <c r="L22" s="48">
        <f>G22-J22</f>
        <v>104</v>
      </c>
      <c r="M22" s="165">
        <v>0</v>
      </c>
      <c r="N22" s="48">
        <f>G22-J22</f>
        <v>104</v>
      </c>
      <c r="O22" s="165">
        <f>P22*H22</f>
        <v>0</v>
      </c>
      <c r="P22" s="48">
        <f>L22-N22</f>
        <v>0</v>
      </c>
      <c r="Q22" s="462">
        <f>DATE(YEAR(S22),MONTH(S22)+G22,DAY(S22))</f>
        <v>46430</v>
      </c>
      <c r="R22" s="48" t="s">
        <v>1104</v>
      </c>
      <c r="S22" s="46">
        <v>42778</v>
      </c>
      <c r="T22" s="47">
        <v>1392</v>
      </c>
      <c r="U22" s="57">
        <v>0</v>
      </c>
      <c r="V22" s="55">
        <v>0</v>
      </c>
      <c r="W22" s="55">
        <v>0</v>
      </c>
      <c r="X22" s="57">
        <v>0</v>
      </c>
      <c r="Y22" s="55">
        <v>0</v>
      </c>
      <c r="Z22" s="57">
        <v>0</v>
      </c>
      <c r="AA22" s="57">
        <v>115.958</v>
      </c>
      <c r="AB22" s="55">
        <v>118.051</v>
      </c>
      <c r="AC22" s="55">
        <f>AA22/AB22</f>
        <v>0.98227037466857536</v>
      </c>
      <c r="AD22" s="55">
        <f>H22*T22/100</f>
        <v>11.6</v>
      </c>
      <c r="AE22" s="55">
        <f>AD22*AC22</f>
        <v>11.394336346155473</v>
      </c>
      <c r="AF22" s="55"/>
      <c r="AG22" s="55"/>
      <c r="AH22" s="55"/>
      <c r="AI22" s="55"/>
      <c r="AJ22" s="55"/>
      <c r="AK22" s="72"/>
      <c r="AL22" s="72"/>
      <c r="AM22" s="72"/>
      <c r="AN22" s="72"/>
      <c r="AO22" s="72"/>
      <c r="AP22" s="72"/>
      <c r="AQ22" s="55">
        <f>AE22</f>
        <v>11.394336346155473</v>
      </c>
      <c r="AR22" s="55">
        <f>AQ22</f>
        <v>11.394336346155473</v>
      </c>
      <c r="AS22" s="72">
        <f>T22-AR22</f>
        <v>1380.6056636538444</v>
      </c>
      <c r="AT22" s="55"/>
      <c r="AU22" s="55"/>
      <c r="AV22" s="55">
        <f t="shared" si="0"/>
        <v>11.394336346155473</v>
      </c>
      <c r="AW22" s="55">
        <f t="shared" si="0"/>
        <v>11.394336346155473</v>
      </c>
      <c r="AX22" s="55">
        <f t="shared" si="0"/>
        <v>11.394336346155473</v>
      </c>
      <c r="AY22" s="55">
        <f t="shared" si="0"/>
        <v>11.394336346155473</v>
      </c>
      <c r="AZ22" s="55">
        <f t="shared" si="0"/>
        <v>11.394336346155473</v>
      </c>
      <c r="BA22" s="57">
        <v>118.901</v>
      </c>
      <c r="BB22" s="55">
        <v>125.318</v>
      </c>
      <c r="BC22" s="57">
        <f>BA22/BB22</f>
        <v>0.9487942673837757</v>
      </c>
      <c r="BD22" s="55">
        <f>T22/(D22*12)</f>
        <v>11.6</v>
      </c>
      <c r="BE22" s="55">
        <f>BD22*BC22</f>
        <v>11.006013501651799</v>
      </c>
      <c r="BF22" s="55">
        <f t="shared" ref="BF22:BL22" si="2">$BE22</f>
        <v>11.006013501651799</v>
      </c>
      <c r="BG22" s="55">
        <f t="shared" si="2"/>
        <v>11.006013501651799</v>
      </c>
      <c r="BH22" s="55">
        <f t="shared" si="2"/>
        <v>11.006013501651799</v>
      </c>
      <c r="BI22" s="55">
        <f t="shared" si="2"/>
        <v>11.006013501651799</v>
      </c>
      <c r="BJ22" s="55">
        <f t="shared" si="2"/>
        <v>11.006013501651799</v>
      </c>
      <c r="BK22" s="55">
        <f t="shared" si="2"/>
        <v>11.006013501651799</v>
      </c>
      <c r="BL22" s="55">
        <f t="shared" si="2"/>
        <v>11.006013501651799</v>
      </c>
      <c r="BM22" s="55">
        <f>SUM((AV22:AZ22),(BF22:BL22))</f>
        <v>134.01377624233993</v>
      </c>
      <c r="BN22" s="448">
        <v>1392</v>
      </c>
      <c r="BO22" s="55">
        <v>0</v>
      </c>
      <c r="BP22" s="55">
        <v>0</v>
      </c>
      <c r="BQ22" s="55">
        <v>11.01</v>
      </c>
      <c r="BR22" s="55">
        <v>11.01</v>
      </c>
      <c r="BS22" s="55">
        <v>11.01</v>
      </c>
      <c r="BT22" s="668">
        <v>1358.97</v>
      </c>
      <c r="BU22" s="258">
        <v>132.28200000000001</v>
      </c>
      <c r="BV22" s="56">
        <v>118.051</v>
      </c>
      <c r="BW22" s="957">
        <f>BU22/BV22</f>
        <v>1.1205495929725289</v>
      </c>
      <c r="BX22" s="511">
        <f>BU22/N22</f>
        <v>1.2719423076923078</v>
      </c>
      <c r="BY22" s="511">
        <v>1.2719423076923078</v>
      </c>
      <c r="BZ22" s="56">
        <v>12.126445332949318</v>
      </c>
      <c r="CA22" s="56">
        <v>12.126445332949318</v>
      </c>
      <c r="CB22" s="56">
        <v>12.126445332949318</v>
      </c>
      <c r="CC22" s="56">
        <v>12.126445332949318</v>
      </c>
      <c r="CD22" s="56">
        <v>12.126445332949318</v>
      </c>
      <c r="CE22" s="56">
        <v>12.126445332949318</v>
      </c>
      <c r="CF22" s="56">
        <v>12.126445332949318</v>
      </c>
      <c r="CG22" s="511">
        <v>12.689944003015647</v>
      </c>
      <c r="CH22" s="511">
        <v>12.689944003015647</v>
      </c>
      <c r="CI22" s="511">
        <v>12.689944003015647</v>
      </c>
      <c r="CJ22" s="511">
        <v>12.689944003015647</v>
      </c>
      <c r="CK22" s="511">
        <v>12.689944003015647</v>
      </c>
      <c r="CL22" s="511">
        <v>12.689944003015647</v>
      </c>
      <c r="CM22" s="511">
        <v>12.689944003015647</v>
      </c>
      <c r="CN22" s="511">
        <v>12.689944003015647</v>
      </c>
      <c r="CO22" s="511">
        <v>12.689944003015647</v>
      </c>
      <c r="CP22" s="511">
        <v>12.689944003015647</v>
      </c>
      <c r="CQ22" s="511">
        <v>12.689944003015647</v>
      </c>
      <c r="CR22" s="511">
        <v>12.689944003015647</v>
      </c>
      <c r="CS22" s="511">
        <v>12.689944003015647</v>
      </c>
      <c r="CT22" s="511">
        <v>12.689944003015647</v>
      </c>
      <c r="CU22" s="511">
        <v>12.689944003015647</v>
      </c>
      <c r="CV22" s="511">
        <v>12.689944003015647</v>
      </c>
      <c r="CW22" s="511">
        <v>12.689944003015647</v>
      </c>
      <c r="CX22" s="511">
        <v>12.689944003015647</v>
      </c>
      <c r="CY22" s="511">
        <f>SUM(CG22:CX22)</f>
        <v>228.41899205428172</v>
      </c>
      <c r="CZ22" s="756">
        <f>BT22-CY22</f>
        <v>1130.5510079457183</v>
      </c>
      <c r="DA22" s="623"/>
      <c r="DB22" s="957">
        <v>118.77</v>
      </c>
      <c r="DC22" s="957">
        <f>DA22/DB22</f>
        <v>0</v>
      </c>
      <c r="DD22" s="511" t="e">
        <f>CZ22/AL22</f>
        <v>#DIV/0!</v>
      </c>
      <c r="DE22" s="511"/>
      <c r="DF22" s="511"/>
      <c r="DG22" s="511"/>
      <c r="DH22" s="511"/>
      <c r="DI22" s="511"/>
      <c r="DJ22" s="511"/>
      <c r="DK22" s="511"/>
      <c r="DL22" s="511"/>
      <c r="DM22" s="511"/>
      <c r="DN22" s="511"/>
    </row>
    <row r="23" spans="1:118" s="16" customFormat="1" x14ac:dyDescent="0.2">
      <c r="A23" s="26" t="s">
        <v>65</v>
      </c>
      <c r="B23" s="26" t="s">
        <v>87</v>
      </c>
      <c r="C23" s="45"/>
      <c r="D23" s="17"/>
      <c r="E23" s="30"/>
      <c r="F23" s="46"/>
      <c r="G23" s="125"/>
      <c r="H23" s="145"/>
      <c r="I23" s="165"/>
      <c r="J23" s="48"/>
      <c r="K23" s="165"/>
      <c r="L23" s="48"/>
      <c r="M23" s="165"/>
      <c r="N23" s="48"/>
      <c r="O23" s="165"/>
      <c r="P23" s="48"/>
      <c r="Q23" s="48"/>
      <c r="R23" s="125"/>
      <c r="S23" s="128"/>
      <c r="T23" s="5"/>
      <c r="U23" s="72"/>
      <c r="V23" s="154"/>
      <c r="W23" s="154"/>
      <c r="X23" s="55"/>
      <c r="Y23" s="106"/>
      <c r="Z23" s="258"/>
      <c r="AA23" s="57"/>
      <c r="AB23" s="145"/>
      <c r="AC23" s="57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72"/>
      <c r="AT23" s="55"/>
      <c r="AU23" s="55"/>
      <c r="AV23" s="55">
        <f t="shared" si="0"/>
        <v>0</v>
      </c>
      <c r="AW23" s="55">
        <f t="shared" si="0"/>
        <v>0</v>
      </c>
      <c r="AX23" s="55">
        <f t="shared" si="0"/>
        <v>0</v>
      </c>
      <c r="AY23" s="55">
        <f t="shared" si="0"/>
        <v>0</v>
      </c>
      <c r="AZ23" s="55">
        <f t="shared" si="0"/>
        <v>0</v>
      </c>
      <c r="BA23" s="57"/>
      <c r="BB23" s="145"/>
      <c r="BC23" s="57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448"/>
      <c r="BO23" s="55"/>
      <c r="BP23" s="55"/>
      <c r="BQ23" s="55"/>
      <c r="BR23" s="55"/>
      <c r="BS23" s="55"/>
      <c r="BT23" s="668"/>
      <c r="BU23" s="258"/>
      <c r="BV23" s="258"/>
      <c r="BW23" s="258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11">
        <f t="shared" ref="CY23:CY29" si="3">SUM(CG23:CX23)</f>
        <v>0</v>
      </c>
      <c r="CZ23" s="681"/>
      <c r="DA23" s="656"/>
      <c r="DB23" s="957"/>
      <c r="DC23" s="957"/>
      <c r="DD23" s="511"/>
      <c r="DE23" s="511"/>
      <c r="DF23" s="511">
        <v>0</v>
      </c>
      <c r="DG23" s="511">
        <v>0</v>
      </c>
      <c r="DH23" s="511">
        <v>0</v>
      </c>
      <c r="DI23" s="511">
        <v>0</v>
      </c>
      <c r="DJ23" s="511">
        <v>0</v>
      </c>
      <c r="DK23" s="511">
        <v>0</v>
      </c>
      <c r="DL23" s="511">
        <v>0</v>
      </c>
      <c r="DM23" s="511">
        <f>SUM(DF23:DL23)</f>
        <v>0</v>
      </c>
      <c r="DN23" s="511">
        <f>DG23-DM23</f>
        <v>0</v>
      </c>
    </row>
    <row r="24" spans="1:118" s="16" customFormat="1" x14ac:dyDescent="0.2">
      <c r="A24" s="26" t="s">
        <v>83</v>
      </c>
      <c r="B24" s="9"/>
      <c r="C24" s="45"/>
      <c r="D24" s="17"/>
      <c r="E24" s="30"/>
      <c r="F24" s="46"/>
      <c r="G24" s="125"/>
      <c r="H24" s="145"/>
      <c r="I24" s="165"/>
      <c r="J24" s="48"/>
      <c r="K24" s="165"/>
      <c r="L24" s="48"/>
      <c r="M24" s="165"/>
      <c r="N24" s="48"/>
      <c r="O24" s="165"/>
      <c r="P24" s="48"/>
      <c r="Q24" s="48"/>
      <c r="R24" s="125"/>
      <c r="S24" s="128"/>
      <c r="T24" s="5"/>
      <c r="U24" s="72"/>
      <c r="V24" s="154"/>
      <c r="W24" s="154"/>
      <c r="X24" s="55"/>
      <c r="Y24" s="106"/>
      <c r="Z24" s="258"/>
      <c r="AA24" s="57"/>
      <c r="AB24" s="145"/>
      <c r="AC24" s="57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72"/>
      <c r="AT24" s="55"/>
      <c r="AU24" s="55"/>
      <c r="AV24" s="55">
        <f t="shared" si="0"/>
        <v>0</v>
      </c>
      <c r="AW24" s="55">
        <f t="shared" si="0"/>
        <v>0</v>
      </c>
      <c r="AX24" s="55">
        <f t="shared" si="0"/>
        <v>0</v>
      </c>
      <c r="AY24" s="55">
        <f t="shared" si="0"/>
        <v>0</v>
      </c>
      <c r="AZ24" s="55">
        <f t="shared" si="0"/>
        <v>0</v>
      </c>
      <c r="BA24" s="57"/>
      <c r="BB24" s="145"/>
      <c r="BC24" s="57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448"/>
      <c r="BO24" s="55"/>
      <c r="BP24" s="55"/>
      <c r="BQ24" s="55"/>
      <c r="BR24" s="55"/>
      <c r="BS24" s="55"/>
      <c r="BT24" s="668"/>
      <c r="BU24" s="258"/>
      <c r="BV24" s="258"/>
      <c r="BW24" s="258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11">
        <f t="shared" si="3"/>
        <v>0</v>
      </c>
      <c r="CZ24" s="679"/>
      <c r="DA24" s="956"/>
      <c r="DB24" s="957">
        <v>118.051</v>
      </c>
      <c r="DC24" s="957">
        <f>DA24/DB24</f>
        <v>0</v>
      </c>
      <c r="DD24" s="511" t="e">
        <f>CZ24/AL24</f>
        <v>#DIV/0!</v>
      </c>
      <c r="DE24" s="511" t="e">
        <f>DD24*DC24</f>
        <v>#DIV/0!</v>
      </c>
      <c r="DF24" s="511"/>
      <c r="DG24" s="511"/>
      <c r="DH24" s="511"/>
      <c r="DI24" s="511"/>
      <c r="DJ24" s="511"/>
      <c r="DK24" s="511"/>
      <c r="DL24" s="511">
        <v>0</v>
      </c>
      <c r="DM24" s="511"/>
      <c r="DN24" s="756"/>
    </row>
    <row r="25" spans="1:118" s="16" customFormat="1" x14ac:dyDescent="0.2">
      <c r="A25" s="8" t="s">
        <v>676</v>
      </c>
      <c r="B25" s="100" t="s">
        <v>713</v>
      </c>
      <c r="C25" s="45" t="s">
        <v>332</v>
      </c>
      <c r="D25" s="58">
        <v>10</v>
      </c>
      <c r="E25" s="53">
        <v>0.1</v>
      </c>
      <c r="F25" s="46">
        <v>43281</v>
      </c>
      <c r="G25" s="48">
        <v>120</v>
      </c>
      <c r="H25" s="145">
        <f>100/G25</f>
        <v>0.83333333333333337</v>
      </c>
      <c r="I25" s="165">
        <f>H25*J25</f>
        <v>25.833333333333336</v>
      </c>
      <c r="J25" s="48">
        <f>(YEAR(F25)-YEAR(S25))*12+MONTH(F25)-MONTH(S25)</f>
        <v>31</v>
      </c>
      <c r="K25" s="165">
        <f>L25*H25</f>
        <v>74.166666666666671</v>
      </c>
      <c r="L25" s="48">
        <f>G25-J25</f>
        <v>89</v>
      </c>
      <c r="M25" s="165">
        <f>N25*H25</f>
        <v>74.166666666666671</v>
      </c>
      <c r="N25" s="48">
        <f>G25-J25</f>
        <v>89</v>
      </c>
      <c r="O25" s="165">
        <f>P25*H25</f>
        <v>0</v>
      </c>
      <c r="P25" s="48">
        <f>L25-N25</f>
        <v>0</v>
      </c>
      <c r="Q25" s="462">
        <f>DATE(YEAR(S25),MONTH(S25)+G25,DAY(S25))</f>
        <v>45988</v>
      </c>
      <c r="R25" s="48">
        <v>4658</v>
      </c>
      <c r="S25" s="46">
        <v>42335</v>
      </c>
      <c r="T25" s="47">
        <v>734</v>
      </c>
      <c r="U25" s="57">
        <v>0</v>
      </c>
      <c r="V25" s="55">
        <v>0</v>
      </c>
      <c r="W25" s="55">
        <v>0</v>
      </c>
      <c r="X25" s="57">
        <v>0</v>
      </c>
      <c r="Y25" s="55">
        <v>0</v>
      </c>
      <c r="Z25" s="57">
        <v>0</v>
      </c>
      <c r="AA25" s="57">
        <v>115.958</v>
      </c>
      <c r="AB25" s="55">
        <v>118.051</v>
      </c>
      <c r="AC25" s="55">
        <f>AA25/AB25</f>
        <v>0.98227037466857536</v>
      </c>
      <c r="AD25" s="55">
        <f>H25*T25/100</f>
        <v>6.1166666666666671</v>
      </c>
      <c r="AE25" s="55">
        <f>AD25*AC25</f>
        <v>6.0082204583894532</v>
      </c>
      <c r="AF25" s="55"/>
      <c r="AG25" s="55"/>
      <c r="AH25" s="55"/>
      <c r="AI25" s="55"/>
      <c r="AJ25" s="55"/>
      <c r="AK25" s="72"/>
      <c r="AL25" s="72"/>
      <c r="AM25" s="72"/>
      <c r="AN25" s="72"/>
      <c r="AO25" s="72"/>
      <c r="AP25" s="72"/>
      <c r="AQ25" s="55">
        <f>AE25</f>
        <v>6.0082204583894532</v>
      </c>
      <c r="AR25" s="55">
        <f>AQ25</f>
        <v>6.0082204583894532</v>
      </c>
      <c r="AS25" s="72">
        <f>T25-AR25</f>
        <v>727.99177954161053</v>
      </c>
      <c r="AT25" s="55"/>
      <c r="AU25" s="55"/>
      <c r="AV25" s="55">
        <f t="shared" si="0"/>
        <v>6.0082204583894532</v>
      </c>
      <c r="AW25" s="55">
        <f t="shared" si="0"/>
        <v>6.0082204583894532</v>
      </c>
      <c r="AX25" s="55">
        <f t="shared" si="0"/>
        <v>6.0082204583894532</v>
      </c>
      <c r="AY25" s="55">
        <f t="shared" si="0"/>
        <v>6.0082204583894532</v>
      </c>
      <c r="AZ25" s="55">
        <f t="shared" si="0"/>
        <v>6.0082204583894532</v>
      </c>
      <c r="BA25" s="57">
        <v>118.901</v>
      </c>
      <c r="BB25" s="55">
        <v>118.051</v>
      </c>
      <c r="BC25" s="57">
        <f>BA25/BB25</f>
        <v>1.0072002778460156</v>
      </c>
      <c r="BD25" s="55">
        <f>T25/(D25*12)</f>
        <v>6.1166666666666663</v>
      </c>
      <c r="BE25" s="55">
        <f>BD25*BC25</f>
        <v>6.1607083661581283</v>
      </c>
      <c r="BF25" s="55">
        <f t="shared" ref="BF25:BL26" si="4">$BE25</f>
        <v>6.1607083661581283</v>
      </c>
      <c r="BG25" s="55">
        <f t="shared" si="4"/>
        <v>6.1607083661581283</v>
      </c>
      <c r="BH25" s="55">
        <f t="shared" si="4"/>
        <v>6.1607083661581283</v>
      </c>
      <c r="BI25" s="55">
        <f t="shared" si="4"/>
        <v>6.1607083661581283</v>
      </c>
      <c r="BJ25" s="55">
        <f t="shared" si="4"/>
        <v>6.1607083661581283</v>
      </c>
      <c r="BK25" s="55">
        <f t="shared" si="4"/>
        <v>6.1607083661581283</v>
      </c>
      <c r="BL25" s="55">
        <f t="shared" si="4"/>
        <v>6.1607083661581283</v>
      </c>
      <c r="BM25" s="55">
        <f>SUM((AV25:AZ25),(BF25:BL25))</f>
        <v>73.166060855054155</v>
      </c>
      <c r="BN25" s="448">
        <f>(AS25-BM25)</f>
        <v>654.82571868655634</v>
      </c>
      <c r="BO25" s="55">
        <f t="shared" ref="BO25:BS26" si="5">$BE25</f>
        <v>6.1607083661581283</v>
      </c>
      <c r="BP25" s="55">
        <f t="shared" si="5"/>
        <v>6.1607083661581283</v>
      </c>
      <c r="BQ25" s="55">
        <f t="shared" si="5"/>
        <v>6.1607083661581283</v>
      </c>
      <c r="BR25" s="55">
        <f t="shared" si="5"/>
        <v>6.1607083661581283</v>
      </c>
      <c r="BS25" s="55">
        <f t="shared" si="5"/>
        <v>6.1607083661581283</v>
      </c>
      <c r="BT25" s="668">
        <v>624.02217685576568</v>
      </c>
      <c r="BU25" s="258">
        <v>132.28200000000001</v>
      </c>
      <c r="BV25" s="56">
        <v>118.051</v>
      </c>
      <c r="BW25" s="957">
        <f>BU25/BV25</f>
        <v>1.1205495929725289</v>
      </c>
      <c r="BX25" s="511">
        <f>BU25/N25</f>
        <v>1.4863146067415731</v>
      </c>
      <c r="BY25" s="511">
        <v>1.4863146067415731</v>
      </c>
      <c r="BZ25" s="56">
        <v>6.62</v>
      </c>
      <c r="CA25" s="56">
        <v>6.62</v>
      </c>
      <c r="CB25" s="56">
        <v>6.62</v>
      </c>
      <c r="CC25" s="56">
        <v>6.62</v>
      </c>
      <c r="CD25" s="56">
        <v>6.62</v>
      </c>
      <c r="CE25" s="56">
        <v>6.62</v>
      </c>
      <c r="CF25" s="56">
        <v>6.62</v>
      </c>
      <c r="CG25" s="511">
        <v>7.8567168121523565</v>
      </c>
      <c r="CH25" s="511">
        <v>7.8567168121523565</v>
      </c>
      <c r="CI25" s="511">
        <v>7.8567168121523565</v>
      </c>
      <c r="CJ25" s="511">
        <v>7.8567168121523565</v>
      </c>
      <c r="CK25" s="511">
        <v>7.8567168121523565</v>
      </c>
      <c r="CL25" s="511">
        <v>7.8567168121523565</v>
      </c>
      <c r="CM25" s="511">
        <v>7.8567168121523565</v>
      </c>
      <c r="CN25" s="511">
        <v>7.8567168121523565</v>
      </c>
      <c r="CO25" s="511">
        <v>7.8567168121523565</v>
      </c>
      <c r="CP25" s="511">
        <v>7.8567168121523565</v>
      </c>
      <c r="CQ25" s="511">
        <v>7.8567168121523565</v>
      </c>
      <c r="CR25" s="511">
        <v>7.8567168121523565</v>
      </c>
      <c r="CS25" s="511">
        <v>7.8567168121523565</v>
      </c>
      <c r="CT25" s="511">
        <v>7.8567168121523565</v>
      </c>
      <c r="CU25" s="511">
        <v>7.8567168121523565</v>
      </c>
      <c r="CV25" s="511">
        <v>7.8567168121523565</v>
      </c>
      <c r="CW25" s="511">
        <v>7.8567168121523565</v>
      </c>
      <c r="CX25" s="511">
        <v>7.8567168121523565</v>
      </c>
      <c r="CY25" s="511">
        <f t="shared" si="3"/>
        <v>141.42090261874239</v>
      </c>
      <c r="CZ25" s="756">
        <f>BT25-CY25</f>
        <v>482.60127423702329</v>
      </c>
      <c r="DA25" s="511"/>
      <c r="DB25" s="957"/>
      <c r="DC25" s="957"/>
      <c r="DD25" s="511"/>
      <c r="DE25" s="511"/>
      <c r="DF25" s="511"/>
      <c r="DG25" s="511"/>
      <c r="DH25" s="511"/>
      <c r="DI25" s="511"/>
      <c r="DJ25" s="511"/>
      <c r="DK25" s="511"/>
      <c r="DL25" s="511"/>
      <c r="DM25" s="511"/>
      <c r="DN25" s="511"/>
    </row>
    <row r="26" spans="1:118" s="16" customFormat="1" x14ac:dyDescent="0.2">
      <c r="A26" s="119" t="s">
        <v>676</v>
      </c>
      <c r="B26" s="100" t="s">
        <v>677</v>
      </c>
      <c r="C26" s="45" t="s">
        <v>363</v>
      </c>
      <c r="D26" s="17">
        <v>10</v>
      </c>
      <c r="E26" s="30">
        <v>0.1</v>
      </c>
      <c r="F26" s="46">
        <v>43281</v>
      </c>
      <c r="G26" s="125">
        <v>123</v>
      </c>
      <c r="H26" s="145">
        <f>100/G26</f>
        <v>0.81300813008130079</v>
      </c>
      <c r="I26" s="165">
        <f>H26*J26</f>
        <v>30.894308943089431</v>
      </c>
      <c r="J26" s="48">
        <f>(YEAR(F26)-YEAR(S26))*12+MONTH(F26)-MONTH(S26)</f>
        <v>38</v>
      </c>
      <c r="K26" s="165">
        <f>L26*H26</f>
        <v>69.105691056910572</v>
      </c>
      <c r="L26" s="48">
        <f>G26-J26</f>
        <v>85</v>
      </c>
      <c r="M26" s="165">
        <f>N26*H26</f>
        <v>69.105691056910572</v>
      </c>
      <c r="N26" s="48">
        <f>G26-J26</f>
        <v>85</v>
      </c>
      <c r="O26" s="165">
        <f>K26-M26</f>
        <v>0</v>
      </c>
      <c r="P26" s="48">
        <f>L26-N26</f>
        <v>0</v>
      </c>
      <c r="Q26" s="462">
        <f>DATE(YEAR(S26),MONTH(S26)+G26,DAY(S26))</f>
        <v>45858</v>
      </c>
      <c r="R26" s="125" t="s">
        <v>360</v>
      </c>
      <c r="S26" s="128">
        <v>42114</v>
      </c>
      <c r="T26" s="5">
        <v>1798</v>
      </c>
      <c r="U26" s="72">
        <v>273.45</v>
      </c>
      <c r="V26" s="154"/>
      <c r="W26" s="154"/>
      <c r="X26" s="55"/>
      <c r="Y26" s="106">
        <f>H26*T26/100</f>
        <v>14.617886178861788</v>
      </c>
      <c r="Z26" s="258">
        <f>T26-Y26</f>
        <v>1783.3821138211383</v>
      </c>
      <c r="AA26" s="57">
        <v>115.958</v>
      </c>
      <c r="AB26" s="145">
        <v>121.64</v>
      </c>
      <c r="AC26" s="57">
        <f>AA26/AB26</f>
        <v>0.95328839197632353</v>
      </c>
      <c r="AD26" s="55">
        <f>Z26*M26/100/K26*100/7</f>
        <v>254.76887340301977</v>
      </c>
      <c r="AE26" s="55">
        <f>AD26*AC26</f>
        <v>242.86820965198424</v>
      </c>
      <c r="AF26" s="55"/>
      <c r="AG26" s="55"/>
      <c r="AH26" s="55"/>
      <c r="AI26" s="55"/>
      <c r="AJ26" s="55"/>
      <c r="AK26" s="55">
        <f>14.05</f>
        <v>14.05</v>
      </c>
      <c r="AL26" s="55">
        <f t="shared" ref="AL26:AQ26" si="6">14.05</f>
        <v>14.05</v>
      </c>
      <c r="AM26" s="55">
        <f t="shared" si="6"/>
        <v>14.05</v>
      </c>
      <c r="AN26" s="55">
        <f t="shared" si="6"/>
        <v>14.05</v>
      </c>
      <c r="AO26" s="55">
        <f t="shared" si="6"/>
        <v>14.05</v>
      </c>
      <c r="AP26" s="55">
        <f t="shared" si="6"/>
        <v>14.05</v>
      </c>
      <c r="AQ26" s="55">
        <f t="shared" si="6"/>
        <v>14.05</v>
      </c>
      <c r="AR26" s="55">
        <f>SUM(AF26:AQ26)</f>
        <v>98.35</v>
      </c>
      <c r="AS26" s="72">
        <f>Z26-AR26</f>
        <v>1685.0321138211384</v>
      </c>
      <c r="AT26" s="55"/>
      <c r="AU26" s="55"/>
      <c r="AV26" s="55">
        <f t="shared" si="0"/>
        <v>14.05</v>
      </c>
      <c r="AW26" s="55">
        <f t="shared" si="0"/>
        <v>14.05</v>
      </c>
      <c r="AX26" s="55">
        <f t="shared" si="0"/>
        <v>14.05</v>
      </c>
      <c r="AY26" s="55">
        <f t="shared" si="0"/>
        <v>14.05</v>
      </c>
      <c r="AZ26" s="55">
        <f t="shared" si="0"/>
        <v>14.05</v>
      </c>
      <c r="BA26" s="57">
        <v>118.901</v>
      </c>
      <c r="BB26" s="145">
        <v>121.64</v>
      </c>
      <c r="BC26" s="57">
        <f>BA26/BB26</f>
        <v>0.97748273594212431</v>
      </c>
      <c r="BD26" s="55">
        <f>T26/(D26*12)</f>
        <v>14.983333333333333</v>
      </c>
      <c r="BE26" s="55">
        <f>BD26*BC26</f>
        <v>14.645949660199495</v>
      </c>
      <c r="BF26" s="55">
        <f t="shared" si="4"/>
        <v>14.645949660199495</v>
      </c>
      <c r="BG26" s="55">
        <f t="shared" si="4"/>
        <v>14.645949660199495</v>
      </c>
      <c r="BH26" s="55">
        <f t="shared" si="4"/>
        <v>14.645949660199495</v>
      </c>
      <c r="BI26" s="55">
        <f t="shared" si="4"/>
        <v>14.645949660199495</v>
      </c>
      <c r="BJ26" s="55">
        <f t="shared" si="4"/>
        <v>14.645949660199495</v>
      </c>
      <c r="BK26" s="55">
        <f t="shared" si="4"/>
        <v>14.645949660199495</v>
      </c>
      <c r="BL26" s="55">
        <f t="shared" si="4"/>
        <v>14.645949660199495</v>
      </c>
      <c r="BM26" s="55">
        <f>SUM((AV26:AZ26),(BF26:BL26))</f>
        <v>172.77164762139648</v>
      </c>
      <c r="BN26" s="448">
        <f>(AS26-BM26)</f>
        <v>1512.260466199742</v>
      </c>
      <c r="BO26" s="55">
        <f t="shared" si="5"/>
        <v>14.645949660199495</v>
      </c>
      <c r="BP26" s="55">
        <f t="shared" si="5"/>
        <v>14.645949660199495</v>
      </c>
      <c r="BQ26" s="55">
        <f t="shared" si="5"/>
        <v>14.645949660199495</v>
      </c>
      <c r="BR26" s="55">
        <f t="shared" si="5"/>
        <v>14.645949660199495</v>
      </c>
      <c r="BS26" s="55">
        <f t="shared" si="5"/>
        <v>14.645949660199495</v>
      </c>
      <c r="BT26" s="668">
        <v>1439.0307178987446</v>
      </c>
      <c r="BU26" s="258">
        <v>132.28200000000001</v>
      </c>
      <c r="BV26" s="258">
        <v>121.64</v>
      </c>
      <c r="BW26" s="957">
        <f>BU26/BV26</f>
        <v>1.0874876685300889</v>
      </c>
      <c r="BX26" s="511">
        <f>BU26/N26</f>
        <v>1.5562588235294119</v>
      </c>
      <c r="BY26" s="511">
        <v>1.5562588235294119</v>
      </c>
      <c r="BZ26" s="56">
        <v>15.42</v>
      </c>
      <c r="CA26" s="56">
        <v>15.42</v>
      </c>
      <c r="CB26" s="56">
        <v>15.42</v>
      </c>
      <c r="CC26" s="56">
        <v>15.42</v>
      </c>
      <c r="CD26" s="56">
        <v>15.42</v>
      </c>
      <c r="CE26" s="56">
        <v>15.42</v>
      </c>
      <c r="CF26" s="56">
        <v>15.42</v>
      </c>
      <c r="CG26" s="511">
        <v>18.410919533539833</v>
      </c>
      <c r="CH26" s="511">
        <v>18.410919533539833</v>
      </c>
      <c r="CI26" s="511">
        <v>18.410919533539833</v>
      </c>
      <c r="CJ26" s="511">
        <v>18.410919533539833</v>
      </c>
      <c r="CK26" s="511">
        <v>18.410919533539833</v>
      </c>
      <c r="CL26" s="511">
        <v>18.410919533539833</v>
      </c>
      <c r="CM26" s="511">
        <v>18.410919533539833</v>
      </c>
      <c r="CN26" s="511">
        <v>18.410919533539833</v>
      </c>
      <c r="CO26" s="511">
        <v>18.410919533539833</v>
      </c>
      <c r="CP26" s="511">
        <v>18.410919533539833</v>
      </c>
      <c r="CQ26" s="511">
        <v>18.410919533539833</v>
      </c>
      <c r="CR26" s="511">
        <v>18.410919533539833</v>
      </c>
      <c r="CS26" s="511">
        <v>18.410919533539833</v>
      </c>
      <c r="CT26" s="511">
        <v>18.410919533539833</v>
      </c>
      <c r="CU26" s="511">
        <v>18.410919533539833</v>
      </c>
      <c r="CV26" s="511">
        <v>18.410919533539833</v>
      </c>
      <c r="CW26" s="511">
        <v>18.410919533539833</v>
      </c>
      <c r="CX26" s="511">
        <v>18.410919533539833</v>
      </c>
      <c r="CY26" s="511">
        <f t="shared" si="3"/>
        <v>331.39655160371694</v>
      </c>
      <c r="CZ26" s="756">
        <f>BT26-CY26</f>
        <v>1107.6341662950276</v>
      </c>
      <c r="DA26" s="623"/>
      <c r="DB26" s="957">
        <v>118.77</v>
      </c>
      <c r="DC26" s="957">
        <f>DA26/DB26</f>
        <v>0</v>
      </c>
      <c r="DD26" s="511">
        <f>CZ26/AL26</f>
        <v>78.835171978293772</v>
      </c>
      <c r="DE26" s="511"/>
      <c r="DF26" s="511"/>
      <c r="DG26" s="511"/>
      <c r="DH26" s="511"/>
      <c r="DI26" s="511"/>
      <c r="DJ26" s="511"/>
      <c r="DK26" s="511"/>
      <c r="DL26" s="511"/>
      <c r="DM26" s="511"/>
      <c r="DN26" s="511"/>
    </row>
    <row r="27" spans="1:118" s="16" customFormat="1" x14ac:dyDescent="0.2">
      <c r="A27" s="120" t="s">
        <v>71</v>
      </c>
      <c r="B27" s="120"/>
      <c r="C27" s="45"/>
      <c r="D27" s="125"/>
      <c r="E27" s="130"/>
      <c r="F27" s="20"/>
      <c r="G27" s="125"/>
      <c r="H27" s="145"/>
      <c r="I27" s="165"/>
      <c r="J27" s="48"/>
      <c r="K27" s="165"/>
      <c r="L27" s="48"/>
      <c r="M27" s="165"/>
      <c r="N27" s="48"/>
      <c r="O27" s="165"/>
      <c r="P27" s="48"/>
      <c r="Q27" s="48"/>
      <c r="R27" s="125"/>
      <c r="S27" s="119"/>
      <c r="T27" s="5"/>
      <c r="U27" s="72"/>
      <c r="V27" s="154"/>
      <c r="W27" s="154"/>
      <c r="X27" s="55"/>
      <c r="Y27" s="106"/>
      <c r="Z27" s="258"/>
      <c r="AA27" s="57"/>
      <c r="AB27" s="80"/>
      <c r="AC27" s="57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72"/>
      <c r="AT27" s="55"/>
      <c r="AU27" s="55"/>
      <c r="AV27" s="55">
        <f t="shared" si="0"/>
        <v>0</v>
      </c>
      <c r="AW27" s="55">
        <f t="shared" si="0"/>
        <v>0</v>
      </c>
      <c r="AX27" s="55">
        <f t="shared" si="0"/>
        <v>0</v>
      </c>
      <c r="AY27" s="55">
        <f t="shared" si="0"/>
        <v>0</v>
      </c>
      <c r="AZ27" s="55">
        <f t="shared" si="0"/>
        <v>0</v>
      </c>
      <c r="BA27" s="57"/>
      <c r="BB27" s="80"/>
      <c r="BC27" s="57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448"/>
      <c r="BO27" s="55"/>
      <c r="BP27" s="55"/>
      <c r="BQ27" s="55"/>
      <c r="BR27" s="55"/>
      <c r="BS27" s="55"/>
      <c r="BT27" s="668"/>
      <c r="BU27" s="258"/>
      <c r="BV27" s="258"/>
      <c r="BW27" s="258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11">
        <f t="shared" si="3"/>
        <v>0</v>
      </c>
      <c r="CZ27" s="681"/>
      <c r="DA27" s="656"/>
      <c r="DB27" s="957"/>
      <c r="DC27" s="957"/>
      <c r="DD27" s="511"/>
      <c r="DE27" s="511"/>
      <c r="DF27" s="511">
        <v>0</v>
      </c>
      <c r="DG27" s="511">
        <v>0</v>
      </c>
      <c r="DH27" s="511">
        <v>0</v>
      </c>
      <c r="DI27" s="511">
        <v>0</v>
      </c>
      <c r="DJ27" s="511">
        <v>0</v>
      </c>
      <c r="DK27" s="511">
        <v>0</v>
      </c>
      <c r="DL27" s="511">
        <v>0</v>
      </c>
      <c r="DM27" s="511">
        <f>SUM(DF27:DL27)</f>
        <v>0</v>
      </c>
      <c r="DN27" s="511">
        <f>DG27-DM27</f>
        <v>0</v>
      </c>
    </row>
    <row r="28" spans="1:118" s="16" customFormat="1" x14ac:dyDescent="0.2">
      <c r="A28" s="120" t="s">
        <v>130</v>
      </c>
      <c r="B28" s="100"/>
      <c r="C28" s="45"/>
      <c r="D28" s="125"/>
      <c r="E28" s="130"/>
      <c r="F28" s="46"/>
      <c r="G28" s="125"/>
      <c r="H28" s="145"/>
      <c r="I28" s="165"/>
      <c r="J28" s="48"/>
      <c r="K28" s="165"/>
      <c r="L28" s="48"/>
      <c r="M28" s="165"/>
      <c r="N28" s="48"/>
      <c r="O28" s="165"/>
      <c r="P28" s="48"/>
      <c r="Q28" s="48"/>
      <c r="R28" s="125"/>
      <c r="S28" s="119"/>
      <c r="T28" s="5"/>
      <c r="U28" s="72"/>
      <c r="V28" s="154"/>
      <c r="W28" s="154"/>
      <c r="X28" s="55"/>
      <c r="Y28" s="106"/>
      <c r="Z28" s="258"/>
      <c r="AA28" s="57"/>
      <c r="AB28" s="145"/>
      <c r="AC28" s="57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72"/>
      <c r="AT28" s="55"/>
      <c r="AU28" s="55"/>
      <c r="AV28" s="55">
        <f t="shared" si="0"/>
        <v>0</v>
      </c>
      <c r="AW28" s="55">
        <f t="shared" si="0"/>
        <v>0</v>
      </c>
      <c r="AX28" s="55">
        <f t="shared" si="0"/>
        <v>0</v>
      </c>
      <c r="AY28" s="55">
        <f t="shared" si="0"/>
        <v>0</v>
      </c>
      <c r="AZ28" s="55">
        <f t="shared" si="0"/>
        <v>0</v>
      </c>
      <c r="BA28" s="57"/>
      <c r="BB28" s="145"/>
      <c r="BC28" s="57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448"/>
      <c r="BO28" s="55"/>
      <c r="BP28" s="55"/>
      <c r="BQ28" s="55"/>
      <c r="BR28" s="55"/>
      <c r="BS28" s="55"/>
      <c r="BT28" s="668"/>
      <c r="BU28" s="258"/>
      <c r="BV28" s="258"/>
      <c r="BW28" s="258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11">
        <f t="shared" si="3"/>
        <v>0</v>
      </c>
      <c r="CZ28" s="681"/>
      <c r="DA28" s="511"/>
      <c r="DB28" s="957"/>
      <c r="DC28" s="957"/>
      <c r="DD28" s="511"/>
      <c r="DE28" s="511"/>
      <c r="DF28" s="511"/>
      <c r="DG28" s="511"/>
      <c r="DH28" s="511"/>
      <c r="DI28" s="511"/>
      <c r="DJ28" s="511"/>
      <c r="DK28" s="511"/>
      <c r="DL28" s="511"/>
      <c r="DM28" s="511"/>
      <c r="DN28" s="511"/>
    </row>
    <row r="29" spans="1:118" s="35" customFormat="1" x14ac:dyDescent="0.2">
      <c r="A29" s="119" t="s">
        <v>232</v>
      </c>
      <c r="B29" s="100" t="s">
        <v>607</v>
      </c>
      <c r="C29" s="100" t="s">
        <v>363</v>
      </c>
      <c r="D29" s="125">
        <v>10</v>
      </c>
      <c r="E29" s="130">
        <v>0.1</v>
      </c>
      <c r="F29" s="119">
        <v>43281</v>
      </c>
      <c r="G29" s="125">
        <v>120</v>
      </c>
      <c r="H29" s="146">
        <f>100/G29</f>
        <v>0.83333333333333337</v>
      </c>
      <c r="I29" s="1167">
        <f>H29*J29</f>
        <v>94.166666666666671</v>
      </c>
      <c r="J29" s="125">
        <f>(YEAR(F29)-YEAR(S29))*12+MONTH(F29)-MONTH(S29)</f>
        <v>113</v>
      </c>
      <c r="K29" s="1167">
        <f>L29*H29</f>
        <v>5.8333333333333339</v>
      </c>
      <c r="L29" s="125">
        <f>G29-J29</f>
        <v>7</v>
      </c>
      <c r="M29" s="1167">
        <f>N29*H29</f>
        <v>5.8333333333333339</v>
      </c>
      <c r="N29" s="125">
        <f>G29-J29</f>
        <v>7</v>
      </c>
      <c r="O29" s="1167">
        <f>K29-M29</f>
        <v>0</v>
      </c>
      <c r="P29" s="125">
        <f>L29-N29</f>
        <v>0</v>
      </c>
      <c r="Q29" s="367">
        <f>DATE(YEAR(S29),MONTH(S29)+G29,DAY(S29))</f>
        <v>43466</v>
      </c>
      <c r="R29" s="125" t="s">
        <v>360</v>
      </c>
      <c r="S29" s="119">
        <v>39814</v>
      </c>
      <c r="T29" s="7">
        <v>850</v>
      </c>
      <c r="U29" s="1169">
        <v>18.420000000000002</v>
      </c>
      <c r="V29" s="776">
        <v>87.485000000000014</v>
      </c>
      <c r="W29" s="776">
        <v>350.01499999999999</v>
      </c>
      <c r="X29" s="62">
        <v>7.29</v>
      </c>
      <c r="Y29" s="7">
        <f>X29*5</f>
        <v>36.450000000000003</v>
      </c>
      <c r="Z29" s="129">
        <f>W29-Y29</f>
        <v>313.565</v>
      </c>
      <c r="AA29" s="64">
        <v>115.958</v>
      </c>
      <c r="AB29" s="146">
        <v>134.071</v>
      </c>
      <c r="AC29" s="64">
        <f>AA29/AB29</f>
        <v>0.8648999410759971</v>
      </c>
      <c r="AD29" s="62">
        <f>Z29*M29/100/K29*100/7</f>
        <v>44.795000000000002</v>
      </c>
      <c r="AE29" s="62">
        <f>AD29*AC29</f>
        <v>38.743192860499292</v>
      </c>
      <c r="AF29" s="62"/>
      <c r="AG29" s="62"/>
      <c r="AH29" s="62"/>
      <c r="AI29" s="62"/>
      <c r="AJ29" s="62"/>
      <c r="AK29" s="62">
        <f>AE29</f>
        <v>38.743192860499292</v>
      </c>
      <c r="AL29" s="62">
        <v>6.3070313958952342</v>
      </c>
      <c r="AM29" s="62">
        <v>6.3070313958952342</v>
      </c>
      <c r="AN29" s="62">
        <v>6.3070313958952342</v>
      </c>
      <c r="AO29" s="62">
        <v>6.3070313958952342</v>
      </c>
      <c r="AP29" s="62">
        <v>6.3070313958952342</v>
      </c>
      <c r="AQ29" s="62">
        <v>6.3070313958952342</v>
      </c>
      <c r="AR29" s="62">
        <f>SUM(AF29:AQ29)</f>
        <v>76.585381235870713</v>
      </c>
      <c r="AS29" s="1169">
        <f>Z29-AR29</f>
        <v>236.97961876412927</v>
      </c>
      <c r="AT29" s="62"/>
      <c r="AU29" s="62"/>
      <c r="AV29" s="62">
        <f t="shared" si="0"/>
        <v>6.3070313958952342</v>
      </c>
      <c r="AW29" s="62">
        <f t="shared" si="0"/>
        <v>6.3070313958952342</v>
      </c>
      <c r="AX29" s="62">
        <f t="shared" si="0"/>
        <v>6.3070313958952342</v>
      </c>
      <c r="AY29" s="62">
        <f t="shared" si="0"/>
        <v>6.3070313958952342</v>
      </c>
      <c r="AZ29" s="62">
        <f t="shared" si="0"/>
        <v>6.3070313958952342</v>
      </c>
      <c r="BA29" s="64">
        <v>118.901</v>
      </c>
      <c r="BB29" s="146">
        <v>134.071</v>
      </c>
      <c r="BC29" s="64">
        <f>BA29/BB29</f>
        <v>0.88685099685987279</v>
      </c>
      <c r="BD29" s="62">
        <f>T29/(D29*12)</f>
        <v>7.083333333333333</v>
      </c>
      <c r="BE29" s="62">
        <f>BD29*BC29</f>
        <v>6.2818612277574317</v>
      </c>
      <c r="BF29" s="62">
        <f t="shared" ref="BF29:BL29" si="7">$BE29</f>
        <v>6.2818612277574317</v>
      </c>
      <c r="BG29" s="62">
        <f t="shared" si="7"/>
        <v>6.2818612277574317</v>
      </c>
      <c r="BH29" s="62">
        <f t="shared" si="7"/>
        <v>6.2818612277574317</v>
      </c>
      <c r="BI29" s="62">
        <f t="shared" si="7"/>
        <v>6.2818612277574317</v>
      </c>
      <c r="BJ29" s="62">
        <f t="shared" si="7"/>
        <v>6.2818612277574317</v>
      </c>
      <c r="BK29" s="62">
        <f t="shared" si="7"/>
        <v>6.2818612277574317</v>
      </c>
      <c r="BL29" s="62">
        <f t="shared" si="7"/>
        <v>6.2818612277574317</v>
      </c>
      <c r="BM29" s="62">
        <f>SUM((AV29:AZ29),(BF29:BL29))</f>
        <v>75.508185573778192</v>
      </c>
      <c r="BN29" s="927">
        <f>(AS29-BM29)</f>
        <v>161.47143319035109</v>
      </c>
      <c r="BO29" s="62">
        <f>$BE29</f>
        <v>6.2818612277574317</v>
      </c>
      <c r="BP29" s="62">
        <f>$BE29</f>
        <v>6.2818612277574317</v>
      </c>
      <c r="BQ29" s="62">
        <f>$BE29</f>
        <v>6.2818612277574317</v>
      </c>
      <c r="BR29" s="62">
        <f>$BE29</f>
        <v>6.2818612277574317</v>
      </c>
      <c r="BS29" s="62">
        <f>$BE29</f>
        <v>6.2818612277574317</v>
      </c>
      <c r="BT29" s="1213">
        <v>162.49828851616803</v>
      </c>
      <c r="BU29" s="129">
        <v>132.28200000000001</v>
      </c>
      <c r="BV29" s="129">
        <v>134.071</v>
      </c>
      <c r="BW29" s="1200">
        <f>BU29/BV29</f>
        <v>0.98665632388808922</v>
      </c>
      <c r="BX29" s="510">
        <f>BU29/N29</f>
        <v>18.897428571428573</v>
      </c>
      <c r="BY29" s="510">
        <v>18.897428571428573</v>
      </c>
      <c r="BZ29" s="63">
        <v>8.06</v>
      </c>
      <c r="CA29" s="63">
        <v>8.06</v>
      </c>
      <c r="CB29" s="63">
        <v>8.06</v>
      </c>
      <c r="CC29" s="63">
        <v>8.06</v>
      </c>
      <c r="CD29" s="63">
        <v>8.06</v>
      </c>
      <c r="CE29" s="63">
        <v>8.06</v>
      </c>
      <c r="CF29" s="63">
        <v>8.06</v>
      </c>
      <c r="CG29" s="510">
        <v>22.904280569352636</v>
      </c>
      <c r="CH29" s="510">
        <v>22.904280569352636</v>
      </c>
      <c r="CI29" s="510">
        <v>22.904280569352636</v>
      </c>
      <c r="CJ29" s="510">
        <v>22.904280569352636</v>
      </c>
      <c r="CK29" s="510">
        <v>22.904280569352636</v>
      </c>
      <c r="CL29" s="510">
        <v>22.904280569352636</v>
      </c>
      <c r="CM29" s="510">
        <v>22.904280569352636</v>
      </c>
      <c r="CN29" s="510">
        <v>1.17</v>
      </c>
      <c r="CO29" s="510">
        <v>0</v>
      </c>
      <c r="CP29" s="510">
        <v>0</v>
      </c>
      <c r="CQ29" s="510">
        <v>0</v>
      </c>
      <c r="CR29" s="510">
        <v>0</v>
      </c>
      <c r="CS29" s="510">
        <v>0</v>
      </c>
      <c r="CT29" s="510">
        <v>0</v>
      </c>
      <c r="CU29" s="510">
        <v>0</v>
      </c>
      <c r="CV29" s="510">
        <v>0</v>
      </c>
      <c r="CW29" s="510">
        <v>0</v>
      </c>
      <c r="CX29" s="510">
        <v>0</v>
      </c>
      <c r="CY29" s="510">
        <f t="shared" si="3"/>
        <v>161.49996398546844</v>
      </c>
      <c r="CZ29" s="756">
        <f>BT29-CY29</f>
        <v>0.99832453069959115</v>
      </c>
      <c r="DA29" s="510"/>
      <c r="DB29" s="1200">
        <v>118.77</v>
      </c>
      <c r="DC29" s="1200">
        <f>DA29/DB29</f>
        <v>0</v>
      </c>
      <c r="DD29" s="510">
        <f>CZ29/AL29</f>
        <v>0.15828754734744535</v>
      </c>
      <c r="DE29" s="510"/>
      <c r="DF29" s="510"/>
      <c r="DG29" s="510"/>
      <c r="DH29" s="510"/>
      <c r="DI29" s="510"/>
      <c r="DJ29" s="510"/>
      <c r="DK29" s="510"/>
      <c r="DL29" s="510"/>
      <c r="DM29" s="510"/>
      <c r="DN29" s="510"/>
    </row>
    <row r="30" spans="1:118" ht="15" x14ac:dyDescent="0.2">
      <c r="R30" s="175"/>
      <c r="V30" s="254"/>
      <c r="W30" s="254"/>
      <c r="Y30" s="103"/>
      <c r="Z30" s="268"/>
      <c r="AA30" s="16"/>
      <c r="AB30" s="388"/>
      <c r="AC30" s="16"/>
      <c r="AD30" s="385"/>
      <c r="AE30" s="385"/>
      <c r="AF30" s="385" t="e">
        <f>SUM(#REF!)</f>
        <v>#REF!</v>
      </c>
      <c r="AG30" s="385" t="e">
        <f>SUM(#REF!)</f>
        <v>#REF!</v>
      </c>
      <c r="AH30" s="385" t="e">
        <f>SUM(#REF!)</f>
        <v>#REF!</v>
      </c>
      <c r="AI30" s="385" t="e">
        <f>SUM(#REF!)</f>
        <v>#REF!</v>
      </c>
      <c r="AJ30" s="385" t="e">
        <f>SUM(#REF!)</f>
        <v>#REF!</v>
      </c>
      <c r="AK30" s="385">
        <f t="shared" ref="AK30:AR30" si="8">SUM(AK15:AK29)</f>
        <v>130.01248231267715</v>
      </c>
      <c r="AL30" s="385"/>
      <c r="AM30" s="385"/>
      <c r="AN30" s="385"/>
      <c r="AO30" s="385"/>
      <c r="AP30" s="385">
        <f t="shared" si="8"/>
        <v>44.501220266352895</v>
      </c>
      <c r="AQ30" s="195">
        <f t="shared" si="8"/>
        <v>61.903777070897817</v>
      </c>
      <c r="AR30" s="195">
        <f t="shared" si="8"/>
        <v>414.42236071533944</v>
      </c>
      <c r="AS30" s="195">
        <f>SUM(AS15:AS29)</f>
        <v>4370.8972531057989</v>
      </c>
      <c r="AV30" s="13">
        <f>SUM(AV14:AV29)</f>
        <v>61.903777070897817</v>
      </c>
      <c r="AW30" s="13">
        <f>SUM(AW14:AW29)</f>
        <v>61.903777070897817</v>
      </c>
      <c r="AX30" s="13">
        <f>SUM(AX14:AX29)</f>
        <v>61.903777070897817</v>
      </c>
      <c r="AY30" s="13">
        <f>SUM(AY14:AY29)</f>
        <v>61.903777070897817</v>
      </c>
      <c r="AZ30" s="13">
        <f>SUM(AZ14:AZ29)</f>
        <v>61.903777070897817</v>
      </c>
      <c r="BA30" s="16"/>
      <c r="BB30" s="388"/>
      <c r="BC30" s="16"/>
      <c r="BD30" s="385"/>
      <c r="BE30" s="385"/>
      <c r="BF30" s="13">
        <f>SUM(BF15:BF29)</f>
        <v>117.81518579278789</v>
      </c>
      <c r="BG30" s="13">
        <f t="shared" ref="BG30:BL30" si="9">SUM(BG14:BG29)</f>
        <v>63.5351857927879</v>
      </c>
      <c r="BH30" s="13">
        <f t="shared" si="9"/>
        <v>63.5351857927879</v>
      </c>
      <c r="BI30" s="13">
        <f t="shared" si="9"/>
        <v>63.5351857927879</v>
      </c>
      <c r="BJ30" s="13">
        <f t="shared" si="9"/>
        <v>63.5351857927879</v>
      </c>
      <c r="BK30" s="13">
        <f t="shared" si="9"/>
        <v>54.113539541554744</v>
      </c>
      <c r="BL30" s="13">
        <f t="shared" si="9"/>
        <v>54.113539541554744</v>
      </c>
      <c r="BM30" s="459">
        <f>SUM(AV30:BL30)</f>
        <v>789.70189340153797</v>
      </c>
      <c r="BN30" s="460">
        <f>SUM(BN13:BN29)</f>
        <v>3745.1115620590581</v>
      </c>
      <c r="BO30" s="13">
        <f>SUM(BO14:BO29)</f>
        <v>39.577526039902949</v>
      </c>
      <c r="BP30" s="13">
        <f>SUM(BP14:BP29)</f>
        <v>39.577526039902949</v>
      </c>
      <c r="BQ30" s="13">
        <f>SUM(BQ14:BQ29)</f>
        <v>50.587526039902954</v>
      </c>
      <c r="BR30" s="13">
        <f>SUM(BR14:BR29)</f>
        <v>50.587526039902954</v>
      </c>
      <c r="BS30" s="13">
        <f>SUM(BS18+(BS22)+(BS25)+(BS26)+(BS29))</f>
        <v>47.798519254115057</v>
      </c>
      <c r="BT30" s="441">
        <f>SUM(BT13:BT29)</f>
        <v>3587.5179683778883</v>
      </c>
      <c r="BU30" s="103"/>
      <c r="BV30" s="103"/>
      <c r="BW30" s="103"/>
      <c r="BX30" s="268"/>
      <c r="BY30" s="104"/>
      <c r="BZ30" s="104">
        <f>SUM(BZ15:BZ29)</f>
        <v>42.226445332949318</v>
      </c>
      <c r="CA30" s="104">
        <f>SUM(CA15:CA29)</f>
        <v>42.226445332949318</v>
      </c>
      <c r="CB30" s="104">
        <f>SUM(CB15:CB29)</f>
        <v>42.226445332949318</v>
      </c>
      <c r="CC30" s="104">
        <f>SUM(CC13:CC29)</f>
        <v>42.226445332949318</v>
      </c>
      <c r="CD30" s="104">
        <f>SUM(CD13:CD29)</f>
        <v>42.226445332949318</v>
      </c>
      <c r="CE30" s="522">
        <f>SUM(CE15:CE29)</f>
        <v>42.226445332949318</v>
      </c>
      <c r="CF30" s="522">
        <f>SUM(CF15:CF29)</f>
        <v>42.226445332949318</v>
      </c>
      <c r="CG30" s="104">
        <f t="shared" ref="CG30:CL30" si="10">SUM(CG13:CG29)</f>
        <v>61.861860918060472</v>
      </c>
      <c r="CH30" s="104">
        <f t="shared" si="10"/>
        <v>61.861860918060472</v>
      </c>
      <c r="CI30" s="104">
        <f t="shared" si="10"/>
        <v>61.861860918060472</v>
      </c>
      <c r="CJ30" s="104">
        <f t="shared" si="10"/>
        <v>61.861860918060472</v>
      </c>
      <c r="CK30" s="104">
        <f t="shared" si="10"/>
        <v>61.861860918060472</v>
      </c>
      <c r="CL30" s="522">
        <f t="shared" si="10"/>
        <v>61.861860918060472</v>
      </c>
      <c r="CM30" s="522">
        <f t="shared" ref="CM30:CX30" si="11">SUM(CM14:CM29)</f>
        <v>61.861860918060472</v>
      </c>
      <c r="CN30" s="522">
        <f t="shared" si="11"/>
        <v>40.127580348707838</v>
      </c>
      <c r="CO30" s="522">
        <f t="shared" si="11"/>
        <v>38.957580348707836</v>
      </c>
      <c r="CP30" s="522">
        <f t="shared" si="11"/>
        <v>38.957580348707836</v>
      </c>
      <c r="CQ30" s="522">
        <f t="shared" si="11"/>
        <v>38.957580348707836</v>
      </c>
      <c r="CR30" s="522">
        <f t="shared" ref="CR30:CW30" si="12">SUM(CR14:CR29)</f>
        <v>38.957580348707836</v>
      </c>
      <c r="CS30" s="522">
        <f t="shared" si="12"/>
        <v>38.957580348707836</v>
      </c>
      <c r="CT30" s="522">
        <f t="shared" si="12"/>
        <v>38.957580348707836</v>
      </c>
      <c r="CU30" s="522">
        <f t="shared" si="12"/>
        <v>38.957580348707836</v>
      </c>
      <c r="CV30" s="522">
        <f t="shared" si="12"/>
        <v>38.957580348707836</v>
      </c>
      <c r="CW30" s="522">
        <f t="shared" si="12"/>
        <v>38.957580348707836</v>
      </c>
      <c r="CX30" s="522">
        <f t="shared" si="11"/>
        <v>38.957580348707836</v>
      </c>
      <c r="CY30" s="522">
        <f>SUM(CY15:CY29)</f>
        <v>862.73641026220946</v>
      </c>
      <c r="CZ30" s="684">
        <f>SUM(CZ13:CZ29)</f>
        <v>2724.7815581156788</v>
      </c>
      <c r="DA30" s="104">
        <f t="shared" ref="DA30:DN30" si="13">SUM(DA14:DA29)</f>
        <v>0</v>
      </c>
      <c r="DB30" s="104">
        <f t="shared" si="13"/>
        <v>948.13400000000001</v>
      </c>
      <c r="DC30" s="104">
        <f t="shared" si="13"/>
        <v>0</v>
      </c>
      <c r="DD30" s="104" t="e">
        <f t="shared" si="13"/>
        <v>#DIV/0!</v>
      </c>
      <c r="DE30" s="104" t="e">
        <f t="shared" si="13"/>
        <v>#DIV/0!</v>
      </c>
      <c r="DF30" s="104">
        <f t="shared" si="13"/>
        <v>0</v>
      </c>
      <c r="DG30" s="104">
        <f t="shared" si="13"/>
        <v>0</v>
      </c>
      <c r="DH30" s="104">
        <f t="shared" si="13"/>
        <v>0</v>
      </c>
      <c r="DI30" s="104">
        <f t="shared" si="13"/>
        <v>0</v>
      </c>
      <c r="DJ30" s="104">
        <f t="shared" si="13"/>
        <v>0</v>
      </c>
      <c r="DK30" s="104">
        <f t="shared" si="13"/>
        <v>0</v>
      </c>
      <c r="DL30" s="104">
        <f t="shared" si="13"/>
        <v>0</v>
      </c>
      <c r="DM30" s="104">
        <f t="shared" si="13"/>
        <v>0</v>
      </c>
      <c r="DN30" s="104">
        <f t="shared" si="13"/>
        <v>0</v>
      </c>
    </row>
    <row r="31" spans="1:118" s="104" customFormat="1" x14ac:dyDescent="0.2">
      <c r="A31" s="110" t="s">
        <v>315</v>
      </c>
      <c r="B31" s="87"/>
      <c r="C31" s="87"/>
      <c r="D31" s="88"/>
      <c r="E31" s="88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9"/>
      <c r="S31" s="89"/>
      <c r="T31" s="90"/>
      <c r="U31" s="90"/>
      <c r="V31" s="90"/>
      <c r="W31" s="90"/>
      <c r="X31" s="90"/>
      <c r="Z31"/>
      <c r="AA31"/>
      <c r="AB31" s="77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 s="69"/>
      <c r="BA31"/>
      <c r="BB31" s="77"/>
      <c r="BC31"/>
      <c r="BD31"/>
      <c r="BE31"/>
      <c r="BT31" s="441"/>
      <c r="BU31"/>
      <c r="BV31" s="77"/>
      <c r="BW31"/>
      <c r="BX31"/>
      <c r="BY31"/>
      <c r="CZ31" s="104">
        <f>BT30-CG30</f>
        <v>3525.656107459828</v>
      </c>
    </row>
    <row r="32" spans="1:118" s="104" customFormat="1" x14ac:dyDescent="0.2">
      <c r="A32" s="238" t="s">
        <v>568</v>
      </c>
      <c r="B32" s="239"/>
      <c r="C32" s="239"/>
      <c r="D32" s="240"/>
      <c r="E32" s="240"/>
      <c r="F32"/>
      <c r="G32"/>
      <c r="H32"/>
      <c r="I32"/>
      <c r="J32"/>
      <c r="K32"/>
      <c r="L32"/>
      <c r="M32"/>
      <c r="N32"/>
      <c r="O32"/>
      <c r="P32"/>
      <c r="Q32"/>
      <c r="R32" s="19"/>
      <c r="S32" s="19"/>
      <c r="T32" s="12"/>
      <c r="U32" s="12"/>
      <c r="V32" s="12"/>
      <c r="W32" s="12"/>
      <c r="X32" s="12"/>
      <c r="Z32"/>
      <c r="AA32"/>
      <c r="AB32" s="85"/>
      <c r="AC32"/>
      <c r="AD32"/>
      <c r="AE32" s="12"/>
      <c r="AF32"/>
      <c r="AG32"/>
      <c r="AH32"/>
      <c r="AI32"/>
      <c r="AJ32"/>
      <c r="AK32"/>
      <c r="AL32"/>
      <c r="AM32"/>
      <c r="AN32"/>
      <c r="AO32"/>
      <c r="AP32"/>
      <c r="AQ32"/>
      <c r="AR32" s="386"/>
      <c r="AS32" s="69"/>
      <c r="BA32"/>
      <c r="BB32" s="85"/>
      <c r="BC32"/>
      <c r="BD32"/>
      <c r="BE32" s="12"/>
      <c r="BN32" s="104">
        <f>BN30-BO30-BP30</f>
        <v>3665.9565099792526</v>
      </c>
      <c r="BT32" s="441"/>
      <c r="BU32"/>
      <c r="BV32" s="85"/>
      <c r="BW32"/>
      <c r="BX32"/>
      <c r="BY32" s="12"/>
    </row>
    <row r="33" spans="1:77" ht="30.75" hidden="1" customHeight="1" x14ac:dyDescent="0.2">
      <c r="A33" s="1271" t="s">
        <v>462</v>
      </c>
      <c r="B33" s="1271"/>
      <c r="C33" s="1271"/>
      <c r="D33" s="1271"/>
      <c r="E33" s="1271"/>
      <c r="F33" s="1271"/>
      <c r="G33" s="1271"/>
      <c r="H33" s="1271"/>
      <c r="I33" s="1271"/>
      <c r="J33" s="1271"/>
      <c r="K33" s="1271"/>
      <c r="L33" s="1271"/>
      <c r="M33" s="1271"/>
      <c r="N33" s="1271"/>
      <c r="O33" s="1271"/>
      <c r="P33" s="1271"/>
      <c r="Q33" s="1271"/>
      <c r="R33" s="1271"/>
      <c r="S33" s="1271"/>
      <c r="T33" s="1271"/>
      <c r="U33" s="1271"/>
      <c r="V33" s="1271"/>
      <c r="W33" s="1271"/>
      <c r="X33" s="1271"/>
      <c r="Y33" s="1271"/>
      <c r="Z33" s="1271"/>
      <c r="AA33" s="1271"/>
      <c r="AB33" s="171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BB33" s="171"/>
      <c r="BC33" s="170"/>
      <c r="BD33" s="170"/>
      <c r="BE33" s="170"/>
      <c r="BV33" s="171"/>
      <c r="BW33" s="170"/>
      <c r="BX33" s="170"/>
      <c r="BY33" s="170"/>
    </row>
    <row r="34" spans="1:77" hidden="1" x14ac:dyDescent="0.2">
      <c r="A34" s="1271"/>
      <c r="B34" s="1271"/>
      <c r="C34" s="1271"/>
      <c r="D34" s="1271"/>
      <c r="E34" s="1271"/>
      <c r="F34" s="1271"/>
      <c r="G34" s="1271"/>
      <c r="H34" s="1271"/>
      <c r="I34" s="1271"/>
      <c r="J34" s="1271"/>
      <c r="K34" s="1271"/>
      <c r="L34" s="1271"/>
      <c r="M34" s="1271"/>
      <c r="N34" s="1271"/>
      <c r="O34" s="1271"/>
      <c r="P34" s="1271"/>
      <c r="Q34" s="1271"/>
      <c r="R34" s="1271"/>
      <c r="S34" s="1271"/>
      <c r="T34" s="1271"/>
      <c r="U34" s="1271"/>
      <c r="V34" s="1271"/>
      <c r="W34" s="1271"/>
      <c r="X34" s="1271"/>
      <c r="Y34" s="1271"/>
      <c r="Z34" s="1271"/>
      <c r="AA34" s="1271"/>
    </row>
    <row r="36" spans="1:77" x14ac:dyDescent="0.2">
      <c r="AA36" s="1266"/>
      <c r="AB36" s="1270"/>
      <c r="AC36" s="1270"/>
      <c r="AD36" s="1270"/>
      <c r="AE36" s="1270"/>
      <c r="AR36" s="399">
        <f>SUM(AQ30-AQ26-AQ25)</f>
        <v>41.845556612508368</v>
      </c>
      <c r="BA36" s="1266"/>
      <c r="BB36" s="1270"/>
      <c r="BC36" s="1270"/>
      <c r="BD36" s="1270"/>
      <c r="BE36" s="1270"/>
      <c r="BU36" s="1266"/>
      <c r="BV36" s="1270"/>
      <c r="BW36" s="1270"/>
      <c r="BX36" s="1270"/>
      <c r="BY36" s="1270"/>
    </row>
    <row r="37" spans="1:77" x14ac:dyDescent="0.2">
      <c r="AA37" s="1270"/>
      <c r="AB37" s="1270"/>
      <c r="AC37" s="1270"/>
      <c r="AD37" s="1270"/>
      <c r="AE37" s="1270"/>
      <c r="AR37" s="13"/>
      <c r="BA37" s="1270"/>
      <c r="BB37" s="1270"/>
      <c r="BC37" s="1270"/>
      <c r="BD37" s="1270"/>
      <c r="BE37" s="1270"/>
      <c r="BU37" s="1270"/>
      <c r="BV37" s="1270"/>
      <c r="BW37" s="1270"/>
      <c r="BX37" s="1270"/>
      <c r="BY37" s="1270"/>
    </row>
    <row r="38" spans="1:77" x14ac:dyDescent="0.2">
      <c r="AA38" s="1270"/>
      <c r="AB38" s="1270"/>
      <c r="AC38" s="1270"/>
      <c r="AD38" s="1270"/>
      <c r="AE38" s="1270"/>
      <c r="BA38" s="1270"/>
      <c r="BB38" s="1270"/>
      <c r="BC38" s="1270"/>
      <c r="BD38" s="1270"/>
      <c r="BE38" s="1270"/>
      <c r="BU38" s="1270"/>
      <c r="BV38" s="1270"/>
      <c r="BW38" s="1270"/>
      <c r="BX38" s="1270"/>
      <c r="BY38" s="1270"/>
    </row>
    <row r="39" spans="1:77" x14ac:dyDescent="0.2">
      <c r="AA39" s="1270"/>
      <c r="AB39" s="1270"/>
      <c r="AC39" s="1270"/>
      <c r="AD39" s="1270"/>
      <c r="AE39" s="1270"/>
      <c r="BA39" s="1270"/>
      <c r="BB39" s="1270"/>
      <c r="BC39" s="1270"/>
      <c r="BD39" s="1270"/>
      <c r="BE39" s="1270"/>
      <c r="BU39" s="1270"/>
      <c r="BV39" s="1270"/>
      <c r="BW39" s="1270"/>
      <c r="BX39" s="1270"/>
      <c r="BY39" s="1270"/>
    </row>
  </sheetData>
  <mergeCells count="42">
    <mergeCell ref="BX11:BX12"/>
    <mergeCell ref="BY11:BY12"/>
    <mergeCell ref="BE11:BE12"/>
    <mergeCell ref="H11:H12"/>
    <mergeCell ref="M11:M12"/>
    <mergeCell ref="O11:O12"/>
    <mergeCell ref="BT11:BT12"/>
    <mergeCell ref="BU36:BY39"/>
    <mergeCell ref="BA36:BE39"/>
    <mergeCell ref="W11:W12"/>
    <mergeCell ref="Y11:Y12"/>
    <mergeCell ref="AT11:AT12"/>
    <mergeCell ref="AU11:AU12"/>
    <mergeCell ref="AA36:AE39"/>
    <mergeCell ref="A33:AA34"/>
    <mergeCell ref="A11:A12"/>
    <mergeCell ref="B11:B12"/>
    <mergeCell ref="E11:E12"/>
    <mergeCell ref="F11:F12"/>
    <mergeCell ref="G11:G12"/>
    <mergeCell ref="AD11:AD12"/>
    <mergeCell ref="L11:L12"/>
    <mergeCell ref="I11:I12"/>
    <mergeCell ref="W10:BD10"/>
    <mergeCell ref="BD11:BD12"/>
    <mergeCell ref="Z11:Z12"/>
    <mergeCell ref="D10:P10"/>
    <mergeCell ref="R10:T10"/>
    <mergeCell ref="AE11:AE12"/>
    <mergeCell ref="R11:R12"/>
    <mergeCell ref="S11:S12"/>
    <mergeCell ref="T11:T12"/>
    <mergeCell ref="V11:V12"/>
    <mergeCell ref="Q11:Q12"/>
    <mergeCell ref="J11:J12"/>
    <mergeCell ref="K11:K12"/>
    <mergeCell ref="DN11:DN12"/>
    <mergeCell ref="CY11:CY12"/>
    <mergeCell ref="CZ11:CZ12"/>
    <mergeCell ref="DD11:DD12"/>
    <mergeCell ref="DE11:DE12"/>
    <mergeCell ref="DM11:DM12"/>
  </mergeCells>
  <printOptions horizontalCentered="1"/>
  <pageMargins left="0.19685039370078741" right="0.19685039370078741" top="0.39370078740157483" bottom="0.39370078740157483" header="0" footer="0"/>
  <pageSetup scale="45" orientation="landscape" r:id="rId1"/>
  <headerFooter alignWithMargins="0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DP82"/>
  <sheetViews>
    <sheetView topLeftCell="C41" zoomScaleNormal="100" workbookViewId="0">
      <selection activeCell="DN75" sqref="DN75"/>
    </sheetView>
  </sheetViews>
  <sheetFormatPr baseColWidth="10" defaultRowHeight="12.75" x14ac:dyDescent="0.2"/>
  <cols>
    <col min="1" max="1" width="19.42578125" customWidth="1"/>
    <col min="2" max="2" width="22.140625" customWidth="1"/>
    <col min="3" max="3" width="15.5703125" customWidth="1"/>
    <col min="4" max="4" width="6" style="18" customWidth="1"/>
    <col min="5" max="5" width="7.42578125" style="18" customWidth="1"/>
    <col min="6" max="6" width="9.7109375" customWidth="1"/>
    <col min="7" max="7" width="6.7109375" customWidth="1"/>
    <col min="8" max="9" width="8.5703125" hidden="1" customWidth="1"/>
    <col min="10" max="10" width="6.85546875" hidden="1" customWidth="1"/>
    <col min="11" max="11" width="8.5703125" hidden="1" customWidth="1"/>
    <col min="12" max="12" width="7.28515625" customWidth="1"/>
    <col min="13" max="13" width="7.85546875" customWidth="1"/>
    <col min="14" max="14" width="8.5703125" hidden="1" customWidth="1"/>
    <col min="15" max="15" width="8.42578125" hidden="1" customWidth="1"/>
    <col min="16" max="16" width="8.5703125" hidden="1" customWidth="1"/>
    <col min="17" max="17" width="11" customWidth="1"/>
    <col min="18" max="18" width="9.85546875" style="19" customWidth="1"/>
    <col min="19" max="19" width="9.5703125" style="19" customWidth="1"/>
    <col min="20" max="20" width="8.42578125" style="12" customWidth="1"/>
    <col min="21" max="24" width="8.42578125" style="12" hidden="1" customWidth="1"/>
    <col min="25" max="25" width="9.140625" style="104" hidden="1" customWidth="1"/>
    <col min="26" max="27" width="8.7109375" hidden="1" customWidth="1"/>
    <col min="28" max="28" width="8.7109375" style="77" hidden="1" customWidth="1"/>
    <col min="29" max="29" width="7.42578125" hidden="1" customWidth="1"/>
    <col min="30" max="30" width="9.42578125" hidden="1" customWidth="1"/>
    <col min="31" max="31" width="8.7109375" hidden="1" customWidth="1"/>
    <col min="32" max="36" width="7.7109375" hidden="1" customWidth="1"/>
    <col min="37" max="37" width="11.28515625" hidden="1" customWidth="1"/>
    <col min="38" max="39" width="7.7109375" hidden="1" customWidth="1"/>
    <col min="40" max="40" width="9.140625" hidden="1" customWidth="1"/>
    <col min="41" max="43" width="7.7109375" hidden="1" customWidth="1"/>
    <col min="44" max="44" width="8.85546875" hidden="1" customWidth="1"/>
    <col min="45" max="45" width="9.7109375" style="69" hidden="1" customWidth="1"/>
    <col min="46" max="47" width="8" style="16" hidden="1" customWidth="1"/>
    <col min="48" max="50" width="9.7109375" hidden="1" customWidth="1"/>
    <col min="51" max="51" width="9.140625" hidden="1" customWidth="1"/>
    <col min="52" max="52" width="10.42578125" hidden="1" customWidth="1"/>
    <col min="53" max="53" width="8.7109375" hidden="1" customWidth="1"/>
    <col min="54" max="54" width="8.7109375" style="77" hidden="1" customWidth="1"/>
    <col min="55" max="55" width="6.85546875" hidden="1" customWidth="1"/>
    <col min="56" max="56" width="8.7109375" hidden="1" customWidth="1"/>
    <col min="57" max="57" width="8.28515625" hidden="1" customWidth="1"/>
    <col min="58" max="63" width="9" hidden="1" customWidth="1"/>
    <col min="64" max="64" width="8.7109375" hidden="1" customWidth="1"/>
    <col min="65" max="65" width="9.28515625" hidden="1" customWidth="1"/>
    <col min="66" max="66" width="9.85546875" hidden="1" customWidth="1"/>
    <col min="67" max="67" width="11.140625" hidden="1" customWidth="1"/>
    <col min="68" max="68" width="11" hidden="1" customWidth="1"/>
    <col min="69" max="70" width="9.7109375" hidden="1" customWidth="1"/>
    <col min="71" max="71" width="10.42578125" hidden="1" customWidth="1"/>
    <col min="72" max="72" width="9.7109375" hidden="1" customWidth="1"/>
    <col min="73" max="73" width="11.7109375" hidden="1" customWidth="1"/>
    <col min="74" max="74" width="12.28515625" hidden="1" customWidth="1"/>
    <col min="75" max="75" width="9.28515625" hidden="1" customWidth="1"/>
    <col min="76" max="76" width="9.28515625" style="77" hidden="1" customWidth="1"/>
    <col min="77" max="77" width="6.85546875" hidden="1" customWidth="1"/>
    <col min="78" max="78" width="9.5703125" hidden="1" customWidth="1"/>
    <col min="79" max="79" width="9.85546875" hidden="1" customWidth="1"/>
    <col min="80" max="81" width="9" hidden="1" customWidth="1"/>
    <col min="82" max="82" width="10.140625" hidden="1" customWidth="1"/>
    <col min="83" max="83" width="10.42578125" hidden="1" customWidth="1"/>
    <col min="84" max="84" width="9.42578125" hidden="1" customWidth="1"/>
    <col min="85" max="86" width="11.42578125" hidden="1" customWidth="1"/>
    <col min="87" max="87" width="11" hidden="1" customWidth="1"/>
    <col min="88" max="88" width="11.140625" hidden="1" customWidth="1"/>
    <col min="89" max="89" width="10.140625" hidden="1" customWidth="1"/>
    <col min="90" max="93" width="11.42578125" hidden="1" customWidth="1"/>
    <col min="94" max="94" width="9.28515625" hidden="1" customWidth="1"/>
    <col min="96" max="100" width="11.42578125" customWidth="1"/>
    <col min="101" max="117" width="11.42578125" hidden="1" customWidth="1"/>
    <col min="118" max="120" width="11.42578125" customWidth="1"/>
  </cols>
  <sheetData>
    <row r="1" spans="1:120" x14ac:dyDescent="0.2">
      <c r="A1" s="637"/>
      <c r="B1" s="638" t="s">
        <v>27</v>
      </c>
      <c r="C1" s="637"/>
      <c r="D1" s="639"/>
      <c r="E1" s="639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40"/>
      <c r="S1" s="640"/>
      <c r="T1" s="637"/>
      <c r="U1" s="637"/>
      <c r="V1" s="637"/>
      <c r="W1" s="637"/>
      <c r="X1" s="637"/>
      <c r="Y1" s="661"/>
      <c r="Z1" s="662"/>
      <c r="AA1" s="662"/>
      <c r="AB1" s="663"/>
      <c r="AC1" s="662"/>
      <c r="AD1" s="662"/>
      <c r="AE1" s="662"/>
      <c r="AF1" s="662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62"/>
      <c r="AR1" s="637"/>
      <c r="AS1" s="664"/>
      <c r="AT1" s="637"/>
      <c r="AU1" s="637"/>
      <c r="AV1" s="637"/>
      <c r="AW1" s="637"/>
      <c r="AX1" s="637"/>
      <c r="AY1" s="637"/>
      <c r="AZ1" s="637"/>
      <c r="BA1" s="662"/>
      <c r="BB1" s="663"/>
      <c r="BC1" s="662"/>
      <c r="BD1" s="662"/>
      <c r="BE1" s="662"/>
      <c r="BF1" s="637"/>
      <c r="BG1" s="637"/>
      <c r="BH1" s="637"/>
      <c r="BI1" s="637"/>
      <c r="BJ1" s="637"/>
      <c r="BK1" s="637"/>
      <c r="BL1" s="637"/>
      <c r="BM1" s="637"/>
      <c r="BN1" s="637"/>
      <c r="BO1" s="637"/>
      <c r="BP1" s="637"/>
      <c r="BQ1" s="637"/>
      <c r="BR1" s="637"/>
      <c r="BS1" s="637"/>
      <c r="BT1" s="662"/>
      <c r="BU1" s="662"/>
      <c r="BV1" s="637"/>
      <c r="BW1" s="662"/>
      <c r="BX1" s="663"/>
      <c r="BY1" s="662"/>
      <c r="BZ1" s="662"/>
      <c r="CA1" s="662"/>
      <c r="CB1" s="637"/>
      <c r="CC1" s="637"/>
      <c r="CD1" s="637"/>
      <c r="CE1" s="637"/>
      <c r="CF1" s="637"/>
      <c r="CG1" s="637"/>
      <c r="CH1" s="637"/>
      <c r="CI1" s="637"/>
      <c r="CJ1" s="637"/>
    </row>
    <row r="2" spans="1:120" x14ac:dyDescent="0.2">
      <c r="A2" s="637"/>
      <c r="B2" s="638" t="s">
        <v>1273</v>
      </c>
      <c r="C2" s="637"/>
      <c r="D2" s="639"/>
      <c r="E2" s="639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40"/>
      <c r="S2" s="640"/>
      <c r="T2" s="637"/>
      <c r="U2" s="637"/>
      <c r="V2" s="637"/>
      <c r="W2" s="637"/>
      <c r="X2" s="637"/>
      <c r="Y2" s="661"/>
      <c r="Z2" s="662"/>
      <c r="AA2" s="662"/>
      <c r="AB2" s="663"/>
      <c r="AC2" s="662"/>
      <c r="AD2" s="662"/>
      <c r="AE2" s="662"/>
      <c r="AF2" s="662"/>
      <c r="AG2" s="637"/>
      <c r="AH2" s="637"/>
      <c r="AI2" s="637"/>
      <c r="AJ2" s="637"/>
      <c r="AK2" s="637"/>
      <c r="AL2" s="637"/>
      <c r="AM2" s="637"/>
      <c r="AN2" s="637"/>
      <c r="AO2" s="637"/>
      <c r="AP2" s="637"/>
      <c r="AQ2" s="637"/>
      <c r="AR2" s="637"/>
      <c r="AS2" s="664"/>
      <c r="AT2" s="637"/>
      <c r="AU2" s="637"/>
      <c r="AV2" s="637"/>
      <c r="AW2" s="637"/>
      <c r="AX2" s="637"/>
      <c r="AY2" s="637"/>
      <c r="AZ2" s="637"/>
      <c r="BA2" s="662"/>
      <c r="BB2" s="663"/>
      <c r="BC2" s="662"/>
      <c r="BD2" s="662"/>
      <c r="BE2" s="662"/>
      <c r="BF2" s="637"/>
      <c r="BG2" s="637"/>
      <c r="BH2" s="637"/>
      <c r="BI2" s="637"/>
      <c r="BJ2" s="637"/>
      <c r="BK2" s="637"/>
      <c r="BL2" s="637"/>
      <c r="BM2" s="637"/>
      <c r="BN2" s="637"/>
      <c r="BO2" s="637"/>
      <c r="BP2" s="637"/>
      <c r="BQ2" s="637"/>
      <c r="BR2" s="637"/>
      <c r="BS2" s="637"/>
      <c r="BT2" s="662"/>
      <c r="BU2" s="662"/>
      <c r="BV2" s="637"/>
      <c r="BW2" s="662"/>
      <c r="BX2" s="663"/>
      <c r="BY2" s="662"/>
      <c r="BZ2" s="662"/>
      <c r="CA2" s="662"/>
      <c r="CB2" s="637"/>
      <c r="CC2" s="637"/>
      <c r="CD2" s="637"/>
      <c r="CE2" s="637"/>
      <c r="CF2" s="637"/>
      <c r="CG2" s="637"/>
      <c r="CH2" s="637"/>
      <c r="CI2" s="637"/>
      <c r="CJ2" s="637"/>
    </row>
    <row r="3" spans="1:120" x14ac:dyDescent="0.2">
      <c r="A3" s="637"/>
      <c r="B3" s="637"/>
      <c r="C3" s="638"/>
      <c r="D3" s="641"/>
      <c r="E3" s="639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38"/>
      <c r="S3" s="638"/>
      <c r="T3" s="642"/>
      <c r="U3" s="642"/>
      <c r="V3" s="642"/>
      <c r="W3" s="642"/>
      <c r="X3" s="642"/>
      <c r="Y3" s="665"/>
      <c r="Z3" s="662"/>
      <c r="AA3" s="662"/>
      <c r="AB3" s="663"/>
      <c r="AC3" s="662"/>
      <c r="AD3" s="662"/>
      <c r="AE3" s="662"/>
      <c r="AF3" s="662"/>
      <c r="AG3" s="637"/>
      <c r="AH3" s="637"/>
      <c r="AI3" s="637"/>
      <c r="AJ3" s="637"/>
      <c r="AK3" s="637"/>
      <c r="AL3" s="637"/>
      <c r="AM3" s="637"/>
      <c r="AN3" s="637"/>
      <c r="AO3" s="637"/>
      <c r="AP3" s="637"/>
      <c r="AQ3" s="637"/>
      <c r="AR3" s="637"/>
      <c r="AS3" s="664"/>
      <c r="AT3" s="637"/>
      <c r="AU3" s="637"/>
      <c r="AV3" s="637"/>
      <c r="AW3" s="637"/>
      <c r="AX3" s="637"/>
      <c r="AY3" s="637"/>
      <c r="AZ3" s="637"/>
      <c r="BA3" s="662"/>
      <c r="BB3" s="663"/>
      <c r="BC3" s="662"/>
      <c r="BD3" s="662"/>
      <c r="BE3" s="662"/>
      <c r="BF3" s="637"/>
      <c r="BG3" s="637"/>
      <c r="BH3" s="637"/>
      <c r="BI3" s="637"/>
      <c r="BJ3" s="637"/>
      <c r="BK3" s="637"/>
      <c r="BL3" s="637"/>
      <c r="BM3" s="637"/>
      <c r="BN3" s="637"/>
      <c r="BO3" s="637"/>
      <c r="BP3" s="637"/>
      <c r="BQ3" s="637"/>
      <c r="BR3" s="637"/>
      <c r="BS3" s="637"/>
      <c r="BT3" s="662"/>
      <c r="BU3" s="662"/>
      <c r="BV3" s="637"/>
      <c r="BW3" s="662"/>
      <c r="BX3" s="663"/>
      <c r="BY3" s="662"/>
      <c r="BZ3" s="662"/>
      <c r="CA3" s="662"/>
      <c r="CB3" s="637"/>
      <c r="CC3" s="637"/>
      <c r="CD3" s="637"/>
      <c r="CE3" s="637"/>
      <c r="CF3" s="637"/>
      <c r="CG3" s="637"/>
      <c r="CH3" s="637"/>
      <c r="CI3" s="637"/>
      <c r="CJ3" s="637"/>
    </row>
    <row r="4" spans="1:120" x14ac:dyDescent="0.2">
      <c r="A4" s="637"/>
      <c r="B4" s="637" t="s">
        <v>309</v>
      </c>
      <c r="C4" s="638"/>
      <c r="D4" s="641"/>
      <c r="E4" s="639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38"/>
      <c r="S4" s="638"/>
      <c r="T4" s="642"/>
      <c r="U4" s="642"/>
      <c r="V4" s="642"/>
      <c r="W4" s="642"/>
      <c r="X4" s="642"/>
      <c r="Y4" s="665"/>
      <c r="Z4" s="662"/>
      <c r="AA4" s="662"/>
      <c r="AB4" s="663"/>
      <c r="AC4" s="662"/>
      <c r="AD4" s="662"/>
      <c r="AE4" s="662"/>
      <c r="AF4" s="662"/>
      <c r="AG4" s="637"/>
      <c r="AH4" s="637"/>
      <c r="AI4" s="637"/>
      <c r="AJ4" s="637"/>
      <c r="AK4" s="637"/>
      <c r="AL4" s="637"/>
      <c r="AM4" s="637"/>
      <c r="AN4" s="637"/>
      <c r="AO4" s="637"/>
      <c r="AP4" s="637"/>
      <c r="AQ4" s="637"/>
      <c r="AR4" s="637"/>
      <c r="AS4" s="664"/>
      <c r="AT4" s="637"/>
      <c r="AU4" s="637"/>
      <c r="AV4" s="637"/>
      <c r="AW4" s="637"/>
      <c r="AX4" s="637"/>
      <c r="AY4" s="637"/>
      <c r="AZ4" s="637"/>
      <c r="BA4" s="662"/>
      <c r="BB4" s="663"/>
      <c r="BC4" s="662"/>
      <c r="BD4" s="662"/>
      <c r="BE4" s="662"/>
      <c r="BF4" s="637"/>
      <c r="BG4" s="637"/>
      <c r="BH4" s="637"/>
      <c r="BI4" s="637"/>
      <c r="BJ4" s="637"/>
      <c r="BK4" s="637"/>
      <c r="BL4" s="637"/>
      <c r="BM4" s="637"/>
      <c r="BN4" s="637"/>
      <c r="BO4" s="637"/>
      <c r="BP4" s="637"/>
      <c r="BQ4" s="637"/>
      <c r="BR4" s="637"/>
      <c r="BS4" s="637"/>
      <c r="BT4" s="662"/>
      <c r="BU4" s="662"/>
      <c r="BV4" s="637"/>
      <c r="BW4" s="662"/>
      <c r="BX4" s="663"/>
      <c r="BY4" s="662"/>
      <c r="BZ4" s="662"/>
      <c r="CA4" s="662"/>
      <c r="CB4" s="637"/>
      <c r="CC4" s="637"/>
      <c r="CD4" s="637"/>
      <c r="CE4" s="637"/>
      <c r="CF4" s="637"/>
      <c r="CG4" s="637"/>
      <c r="CH4" s="637"/>
      <c r="CI4" s="637"/>
      <c r="CJ4" s="637"/>
    </row>
    <row r="5" spans="1:120" x14ac:dyDescent="0.2">
      <c r="A5" s="637"/>
      <c r="B5" s="642" t="s">
        <v>352</v>
      </c>
      <c r="C5" s="637"/>
      <c r="D5" s="639"/>
      <c r="E5" s="639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40"/>
      <c r="S5" s="640"/>
      <c r="T5" s="637"/>
      <c r="U5" s="637"/>
      <c r="V5" s="637"/>
      <c r="W5" s="637"/>
      <c r="X5" s="637"/>
      <c r="Y5" s="661"/>
      <c r="Z5" s="662"/>
      <c r="AA5" s="662"/>
      <c r="AB5" s="663"/>
      <c r="AC5" s="662"/>
      <c r="AD5" s="662"/>
      <c r="AE5" s="662"/>
      <c r="AF5" s="662"/>
      <c r="AG5" s="637"/>
      <c r="AH5" s="637"/>
      <c r="AI5" s="637"/>
      <c r="AJ5" s="637"/>
      <c r="AK5" s="637"/>
      <c r="AL5" s="637"/>
      <c r="AM5" s="637"/>
      <c r="AN5" s="637"/>
      <c r="AO5" s="637"/>
      <c r="AP5" s="637"/>
      <c r="AQ5" s="637"/>
      <c r="AR5" s="637"/>
      <c r="AS5" s="664"/>
      <c r="AT5" s="637"/>
      <c r="AU5" s="637"/>
      <c r="AV5" s="637"/>
      <c r="AW5" s="637"/>
      <c r="AX5" s="637"/>
      <c r="AY5" s="637"/>
      <c r="AZ5" s="637"/>
      <c r="BA5" s="662"/>
      <c r="BB5" s="663"/>
      <c r="BC5" s="662"/>
      <c r="BD5" s="662"/>
      <c r="BE5" s="662"/>
      <c r="BF5" s="637"/>
      <c r="BG5" s="637"/>
      <c r="BH5" s="637"/>
      <c r="BI5" s="637"/>
      <c r="BJ5" s="637"/>
      <c r="BK5" s="637"/>
      <c r="BL5" s="637"/>
      <c r="BM5" s="637"/>
      <c r="BN5" s="637"/>
      <c r="BO5" s="637"/>
      <c r="BP5" s="637"/>
      <c r="BQ5" s="637"/>
      <c r="BR5" s="637"/>
      <c r="BS5" s="637"/>
      <c r="BT5" s="662"/>
      <c r="BU5" s="662"/>
      <c r="BV5" s="637"/>
      <c r="BW5" s="662"/>
      <c r="BX5" s="663"/>
      <c r="BY5" s="662"/>
      <c r="BZ5" s="662"/>
      <c r="CA5" s="662"/>
      <c r="CB5" s="637"/>
      <c r="CC5" s="637"/>
      <c r="CD5" s="637"/>
      <c r="CE5" s="637"/>
      <c r="CF5" s="637"/>
      <c r="CG5" s="637"/>
      <c r="CH5" s="637"/>
      <c r="CI5" s="637"/>
      <c r="CJ5" s="637"/>
    </row>
    <row r="6" spans="1:120" x14ac:dyDescent="0.2">
      <c r="A6" s="637"/>
      <c r="B6" s="637" t="s">
        <v>1272</v>
      </c>
      <c r="C6" s="637"/>
      <c r="D6" s="639"/>
      <c r="E6" s="639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40"/>
      <c r="S6" s="640"/>
      <c r="T6" s="637"/>
      <c r="U6" s="637"/>
      <c r="V6" s="637"/>
      <c r="W6" s="637"/>
      <c r="X6" s="637"/>
      <c r="Y6" s="661"/>
      <c r="Z6" s="662"/>
      <c r="AA6" s="662"/>
      <c r="AB6" s="663"/>
      <c r="AC6" s="662"/>
      <c r="AD6" s="662"/>
      <c r="AE6" s="662"/>
      <c r="AF6" s="662"/>
      <c r="AG6" s="637"/>
      <c r="AH6" s="637"/>
      <c r="AI6" s="637"/>
      <c r="AJ6" s="637"/>
      <c r="AK6" s="637"/>
      <c r="AL6" s="637"/>
      <c r="AM6" s="637"/>
      <c r="AN6" s="637"/>
      <c r="AO6" s="637"/>
      <c r="AP6" s="637"/>
      <c r="AQ6" s="637"/>
      <c r="AR6" s="637"/>
      <c r="AS6" s="664"/>
      <c r="AT6" s="637"/>
      <c r="AU6" s="637"/>
      <c r="AV6" s="637"/>
      <c r="AW6" s="637"/>
      <c r="AX6" s="637"/>
      <c r="AY6" s="637"/>
      <c r="AZ6" s="637"/>
      <c r="BA6" s="662"/>
      <c r="BB6" s="663"/>
      <c r="BC6" s="662"/>
      <c r="BD6" s="662"/>
      <c r="BE6" s="662"/>
      <c r="BF6" s="637"/>
      <c r="BG6" s="637"/>
      <c r="BH6" s="637"/>
      <c r="BI6" s="637"/>
      <c r="BJ6" s="637"/>
      <c r="BK6" s="637"/>
      <c r="BL6" s="637"/>
      <c r="BM6" s="637"/>
      <c r="BN6" s="637"/>
      <c r="BO6" s="637"/>
      <c r="BP6" s="637"/>
      <c r="BQ6" s="637"/>
      <c r="BR6" s="637"/>
      <c r="BS6" s="637"/>
      <c r="BT6" s="662"/>
      <c r="BU6" s="662"/>
      <c r="BV6" s="637"/>
      <c r="BW6" s="662"/>
      <c r="BX6" s="663"/>
      <c r="BY6" s="662"/>
      <c r="BZ6" s="662"/>
      <c r="CA6" s="662"/>
      <c r="CB6" s="637"/>
      <c r="CC6" s="637"/>
      <c r="CD6" s="637"/>
      <c r="CE6" s="637"/>
      <c r="CF6" s="637"/>
      <c r="CG6" s="637"/>
      <c r="CH6" s="637"/>
      <c r="CI6" s="637"/>
      <c r="CJ6" s="637"/>
    </row>
    <row r="7" spans="1:120" x14ac:dyDescent="0.2">
      <c r="A7" s="637"/>
      <c r="B7" s="637"/>
      <c r="C7" s="637"/>
      <c r="D7" s="639"/>
      <c r="E7" s="639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40"/>
      <c r="S7" s="640"/>
      <c r="T7" s="637"/>
      <c r="U7" s="637"/>
      <c r="V7" s="637"/>
      <c r="W7" s="637"/>
      <c r="X7" s="637"/>
      <c r="Y7" s="661"/>
      <c r="Z7" s="662"/>
      <c r="AA7" s="662"/>
      <c r="AB7" s="663"/>
      <c r="AC7" s="662"/>
      <c r="AD7" s="662"/>
      <c r="AE7" s="662"/>
      <c r="AF7" s="662"/>
      <c r="AG7" s="637"/>
      <c r="AH7" s="637"/>
      <c r="AI7" s="637"/>
      <c r="AJ7" s="637"/>
      <c r="AK7" s="637"/>
      <c r="AL7" s="637"/>
      <c r="AM7" s="637"/>
      <c r="AN7" s="637"/>
      <c r="AO7" s="637"/>
      <c r="AP7" s="637"/>
      <c r="AQ7" s="637"/>
      <c r="AR7" s="637"/>
      <c r="AS7" s="664"/>
      <c r="AT7" s="637"/>
      <c r="AU7" s="637"/>
      <c r="AV7" s="637"/>
      <c r="AW7" s="637"/>
      <c r="AX7" s="637"/>
      <c r="AY7" s="637"/>
      <c r="AZ7" s="637"/>
      <c r="BA7" s="662"/>
      <c r="BB7" s="663"/>
      <c r="BC7" s="662"/>
      <c r="BD7" s="662"/>
      <c r="BE7" s="662"/>
      <c r="BF7" s="637"/>
      <c r="BG7" s="637"/>
      <c r="BH7" s="637"/>
      <c r="BI7" s="637"/>
      <c r="BJ7" s="637"/>
      <c r="BK7" s="637"/>
      <c r="BL7" s="637"/>
      <c r="BM7" s="637"/>
      <c r="BN7" s="637"/>
      <c r="BO7" s="637"/>
      <c r="BP7" s="637"/>
      <c r="BQ7" s="637"/>
      <c r="BR7" s="637"/>
      <c r="BS7" s="637"/>
      <c r="BT7" s="662"/>
      <c r="BU7" s="662"/>
      <c r="BV7" s="637"/>
      <c r="BW7" s="662"/>
      <c r="BX7" s="663"/>
      <c r="BY7" s="662"/>
      <c r="BZ7" s="662"/>
      <c r="CA7" s="662"/>
      <c r="CB7" s="637"/>
      <c r="CC7" s="637"/>
      <c r="CD7" s="637"/>
      <c r="CE7" s="637"/>
      <c r="CF7" s="637"/>
      <c r="CG7" s="637"/>
      <c r="CH7" s="637"/>
      <c r="CI7" s="637"/>
      <c r="CJ7" s="637"/>
    </row>
    <row r="8" spans="1:120" s="16" customFormat="1" x14ac:dyDescent="0.2">
      <c r="D8" s="38"/>
      <c r="E8" s="38"/>
      <c r="R8" s="37"/>
      <c r="S8" s="37"/>
      <c r="T8" s="35"/>
      <c r="U8" s="35"/>
      <c r="V8" s="35"/>
      <c r="W8" s="35"/>
      <c r="X8" s="35"/>
      <c r="Y8" s="103"/>
      <c r="Z8" s="39"/>
      <c r="AA8" s="39"/>
      <c r="AB8" s="76"/>
      <c r="AC8" s="39"/>
      <c r="AD8" s="39"/>
      <c r="AE8" s="39"/>
      <c r="AF8" s="39"/>
      <c r="AS8" s="68"/>
      <c r="BA8" s="39"/>
      <c r="BB8" s="76"/>
      <c r="BC8" s="39"/>
      <c r="BD8" s="39"/>
      <c r="BE8" s="39"/>
      <c r="BT8" s="39"/>
      <c r="BU8" s="39"/>
      <c r="BW8" s="39"/>
      <c r="BX8" s="76"/>
      <c r="BY8" s="39"/>
      <c r="BZ8" s="39"/>
      <c r="CA8" s="39"/>
    </row>
    <row r="9" spans="1:120" s="16" customFormat="1" ht="20.25" customHeight="1" x14ac:dyDescent="0.2">
      <c r="D9" s="38"/>
      <c r="E9" s="38"/>
      <c r="R9" s="37"/>
      <c r="S9" s="37"/>
      <c r="T9" s="35"/>
      <c r="U9" s="35"/>
      <c r="V9" s="35"/>
      <c r="W9" s="35"/>
      <c r="X9" s="35"/>
      <c r="Y9" s="103"/>
      <c r="Z9" s="39"/>
      <c r="AA9" s="39"/>
      <c r="AB9" s="76"/>
      <c r="AC9" s="39"/>
      <c r="AD9" s="39"/>
      <c r="AE9" s="39"/>
      <c r="AF9" s="39"/>
      <c r="AS9" s="68"/>
      <c r="BA9" s="39"/>
      <c r="BB9" s="76"/>
      <c r="BC9" s="39"/>
      <c r="BD9" s="39"/>
      <c r="BE9" s="39"/>
      <c r="BT9" s="39"/>
      <c r="BU9" s="39"/>
      <c r="BW9" s="39"/>
      <c r="BX9" s="76"/>
      <c r="BY9" s="39"/>
      <c r="BZ9" s="39"/>
      <c r="CA9" s="39"/>
    </row>
    <row r="10" spans="1:120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269"/>
      <c r="V10" s="253"/>
      <c r="W10" s="1275" t="s">
        <v>450</v>
      </c>
      <c r="X10" s="1275"/>
      <c r="Y10" s="1275"/>
      <c r="Z10" s="1275"/>
      <c r="AA10" s="1275"/>
      <c r="AB10" s="1275"/>
      <c r="AC10" s="1275"/>
      <c r="AD10" s="1275"/>
      <c r="AE10" s="1275"/>
      <c r="AF10" s="1275"/>
      <c r="AG10" s="1275"/>
      <c r="AH10" s="1275"/>
      <c r="AI10" s="1275"/>
      <c r="AJ10" s="1275"/>
      <c r="AK10" s="1275"/>
      <c r="AL10" s="1275"/>
      <c r="AM10" s="1275"/>
      <c r="AN10" s="1275"/>
      <c r="AO10" s="1275"/>
      <c r="AP10" s="1275"/>
      <c r="AQ10" s="1275"/>
      <c r="AR10" s="1275"/>
      <c r="AS10" s="1275"/>
      <c r="AT10" s="1275"/>
      <c r="AU10" s="1275"/>
      <c r="AV10" s="1275"/>
      <c r="AW10" s="1275"/>
      <c r="AX10" s="1275"/>
      <c r="AY10" s="1275"/>
      <c r="AZ10" s="1275"/>
      <c r="BA10" s="1275"/>
      <c r="BB10" s="1275"/>
      <c r="BC10" s="1275"/>
      <c r="BD10" s="1275"/>
      <c r="BX10"/>
    </row>
    <row r="11" spans="1:120" ht="54" customHeight="1" x14ac:dyDescent="0.25">
      <c r="A11" s="1261" t="s">
        <v>57</v>
      </c>
      <c r="B11" s="1261" t="s">
        <v>0</v>
      </c>
      <c r="C11" s="270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526</v>
      </c>
      <c r="J11" s="1254" t="s">
        <v>525</v>
      </c>
      <c r="K11" s="1254" t="s">
        <v>534</v>
      </c>
      <c r="L11" s="1254" t="s">
        <v>493</v>
      </c>
      <c r="M11" s="1254" t="s">
        <v>535</v>
      </c>
      <c r="N11" s="271" t="s">
        <v>529</v>
      </c>
      <c r="O11" s="1254" t="s">
        <v>492</v>
      </c>
      <c r="P11" s="276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273"/>
      <c r="V11" s="1245" t="s">
        <v>595</v>
      </c>
      <c r="W11" s="1245" t="s">
        <v>596</v>
      </c>
      <c r="X11" s="272"/>
      <c r="Y11" s="1268" t="s">
        <v>569</v>
      </c>
      <c r="Z11" s="1245" t="s">
        <v>599</v>
      </c>
      <c r="AA11" s="158" t="s">
        <v>15</v>
      </c>
      <c r="AB11" s="159" t="s">
        <v>15</v>
      </c>
      <c r="AC11" s="158" t="s">
        <v>16</v>
      </c>
      <c r="AD11" s="1245" t="s">
        <v>527</v>
      </c>
      <c r="AE11" s="1245" t="s">
        <v>536</v>
      </c>
      <c r="AF11" s="158" t="s">
        <v>3</v>
      </c>
      <c r="AG11" s="158" t="s">
        <v>4</v>
      </c>
      <c r="AH11" s="158" t="s">
        <v>5</v>
      </c>
      <c r="AI11" s="158" t="s">
        <v>6</v>
      </c>
      <c r="AJ11" s="158" t="s">
        <v>7</v>
      </c>
      <c r="AK11" s="158" t="s">
        <v>8</v>
      </c>
      <c r="AL11" s="158" t="s">
        <v>9</v>
      </c>
      <c r="AM11" s="158" t="s">
        <v>10</v>
      </c>
      <c r="AN11" s="158" t="s">
        <v>11</v>
      </c>
      <c r="AO11" s="158" t="s">
        <v>12</v>
      </c>
      <c r="AP11" s="158" t="s">
        <v>13</v>
      </c>
      <c r="AQ11" s="158" t="s">
        <v>14</v>
      </c>
      <c r="AR11" s="196" t="s">
        <v>531</v>
      </c>
      <c r="AS11" s="486" t="s">
        <v>63</v>
      </c>
      <c r="AT11" s="1245" t="s">
        <v>976</v>
      </c>
      <c r="AU11" s="1245" t="s">
        <v>536</v>
      </c>
      <c r="AV11" s="158" t="s">
        <v>3</v>
      </c>
      <c r="AW11" s="158" t="s">
        <v>4</v>
      </c>
      <c r="AX11" s="158" t="s">
        <v>5</v>
      </c>
      <c r="AY11" s="158" t="s">
        <v>6</v>
      </c>
      <c r="AZ11" s="158" t="s">
        <v>7</v>
      </c>
      <c r="BA11" s="158" t="s">
        <v>15</v>
      </c>
      <c r="BB11" s="159" t="s">
        <v>15</v>
      </c>
      <c r="BC11" s="158" t="s">
        <v>16</v>
      </c>
      <c r="BD11" s="1245" t="s">
        <v>1059</v>
      </c>
      <c r="BE11" s="1245" t="s">
        <v>536</v>
      </c>
      <c r="BF11" s="158" t="s">
        <v>8</v>
      </c>
      <c r="BG11" s="158" t="s">
        <v>9</v>
      </c>
      <c r="BH11" s="158" t="s">
        <v>10</v>
      </c>
      <c r="BI11" s="158" t="s">
        <v>11</v>
      </c>
      <c r="BJ11" s="158" t="s">
        <v>12</v>
      </c>
      <c r="BK11" s="158" t="s">
        <v>13</v>
      </c>
      <c r="BL11" s="158" t="s">
        <v>14</v>
      </c>
      <c r="BM11" s="196" t="s">
        <v>989</v>
      </c>
      <c r="BN11" s="196" t="s">
        <v>63</v>
      </c>
      <c r="BO11" s="158" t="s">
        <v>3</v>
      </c>
      <c r="BP11" s="158" t="s">
        <v>4</v>
      </c>
      <c r="BQ11" s="158" t="s">
        <v>5</v>
      </c>
      <c r="BR11" s="158" t="s">
        <v>6</v>
      </c>
      <c r="BS11" s="158" t="s">
        <v>7</v>
      </c>
      <c r="BT11" s="736" t="s">
        <v>1150</v>
      </c>
      <c r="BU11" s="1245" t="s">
        <v>1152</v>
      </c>
      <c r="BV11" s="196" t="s">
        <v>63</v>
      </c>
      <c r="BW11" s="158" t="s">
        <v>15</v>
      </c>
      <c r="BX11" s="159" t="s">
        <v>15</v>
      </c>
      <c r="BY11" s="158" t="s">
        <v>16</v>
      </c>
      <c r="BZ11" s="1245" t="s">
        <v>1124</v>
      </c>
      <c r="CA11" s="1245" t="s">
        <v>536</v>
      </c>
      <c r="CB11" s="158" t="s">
        <v>8</v>
      </c>
      <c r="CC11" s="158" t="s">
        <v>9</v>
      </c>
      <c r="CD11" s="158" t="s">
        <v>10</v>
      </c>
      <c r="CE11" s="158" t="s">
        <v>11</v>
      </c>
      <c r="CF11" s="158" t="s">
        <v>12</v>
      </c>
      <c r="CG11" s="158" t="s">
        <v>13</v>
      </c>
      <c r="CH11" s="158" t="s">
        <v>14</v>
      </c>
      <c r="CI11" s="732" t="s">
        <v>1058</v>
      </c>
      <c r="CJ11" s="732" t="s">
        <v>63</v>
      </c>
      <c r="CK11" s="158" t="s">
        <v>3</v>
      </c>
      <c r="CL11" s="158" t="s">
        <v>4</v>
      </c>
      <c r="CM11" s="158" t="s">
        <v>5</v>
      </c>
      <c r="CN11" s="158" t="s">
        <v>6</v>
      </c>
      <c r="CO11" s="158" t="s">
        <v>7</v>
      </c>
      <c r="CP11" s="1247" t="s">
        <v>1252</v>
      </c>
      <c r="CQ11" s="1247" t="s">
        <v>1253</v>
      </c>
      <c r="CR11" s="158" t="s">
        <v>15</v>
      </c>
      <c r="CS11" s="159" t="s">
        <v>15</v>
      </c>
      <c r="CT11" s="158" t="s">
        <v>16</v>
      </c>
      <c r="CU11" s="1245" t="s">
        <v>1254</v>
      </c>
      <c r="CV11" s="1245" t="s">
        <v>536</v>
      </c>
      <c r="CW11" s="158" t="s">
        <v>8</v>
      </c>
      <c r="CX11" s="158" t="s">
        <v>9</v>
      </c>
      <c r="CY11" s="158" t="s">
        <v>10</v>
      </c>
      <c r="CZ11" s="158" t="s">
        <v>11</v>
      </c>
      <c r="DA11" s="158" t="s">
        <v>12</v>
      </c>
      <c r="DB11" s="158" t="s">
        <v>13</v>
      </c>
      <c r="DC11" s="158" t="s">
        <v>14</v>
      </c>
      <c r="DD11" s="158" t="s">
        <v>3</v>
      </c>
      <c r="DE11" s="158" t="s">
        <v>4</v>
      </c>
      <c r="DF11" s="158" t="s">
        <v>5</v>
      </c>
      <c r="DG11" s="158" t="s">
        <v>6</v>
      </c>
      <c r="DH11" s="158" t="s">
        <v>7</v>
      </c>
      <c r="DI11" s="158" t="s">
        <v>8</v>
      </c>
      <c r="DJ11" s="158" t="s">
        <v>9</v>
      </c>
      <c r="DK11" s="158" t="s">
        <v>10</v>
      </c>
      <c r="DL11" s="158" t="s">
        <v>11</v>
      </c>
      <c r="DM11" s="158" t="s">
        <v>12</v>
      </c>
      <c r="DN11" s="158" t="s">
        <v>13</v>
      </c>
      <c r="DO11" s="1247" t="s">
        <v>1274</v>
      </c>
      <c r="DP11" s="1247" t="s">
        <v>1263</v>
      </c>
    </row>
    <row r="12" spans="1:120" ht="32.25" customHeight="1" x14ac:dyDescent="0.25">
      <c r="A12" s="1262"/>
      <c r="B12" s="1262"/>
      <c r="C12" s="161" t="s">
        <v>351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/>
      <c r="O12" s="1255"/>
      <c r="P12" s="193"/>
      <c r="Q12" s="1257"/>
      <c r="R12" s="1251" t="s">
        <v>18</v>
      </c>
      <c r="S12" s="1251" t="s">
        <v>18</v>
      </c>
      <c r="T12" s="1253"/>
      <c r="U12" s="274"/>
      <c r="V12" s="1267"/>
      <c r="W12" s="1267"/>
      <c r="X12" s="275" t="s">
        <v>570</v>
      </c>
      <c r="Y12" s="1272"/>
      <c r="Z12" s="1246"/>
      <c r="AA12" s="162" t="s">
        <v>20</v>
      </c>
      <c r="AB12" s="163" t="s">
        <v>21</v>
      </c>
      <c r="AC12" s="162" t="s">
        <v>22</v>
      </c>
      <c r="AD12" s="1246"/>
      <c r="AE12" s="1246"/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>
        <v>2015</v>
      </c>
      <c r="AQ12" s="162">
        <v>2015</v>
      </c>
      <c r="AR12" s="162">
        <v>2015</v>
      </c>
      <c r="AS12" s="162" t="s">
        <v>64</v>
      </c>
      <c r="AT12" s="1246"/>
      <c r="AU12" s="1246"/>
      <c r="AV12" s="162">
        <v>2016</v>
      </c>
      <c r="AW12" s="162">
        <v>2016</v>
      </c>
      <c r="AX12" s="162">
        <v>2016</v>
      </c>
      <c r="AY12" s="162">
        <v>2016</v>
      </c>
      <c r="AZ12" s="162">
        <v>2016</v>
      </c>
      <c r="BA12" s="162" t="s">
        <v>20</v>
      </c>
      <c r="BB12" s="163" t="s">
        <v>21</v>
      </c>
      <c r="BC12" s="162" t="s">
        <v>22</v>
      </c>
      <c r="BD12" s="1246"/>
      <c r="BE12" s="1246"/>
      <c r="BF12" s="162">
        <v>2016</v>
      </c>
      <c r="BG12" s="162">
        <v>2016</v>
      </c>
      <c r="BH12" s="162">
        <v>2016</v>
      </c>
      <c r="BI12" s="162">
        <v>2016</v>
      </c>
      <c r="BJ12" s="162">
        <v>2016</v>
      </c>
      <c r="BK12" s="162">
        <v>2016</v>
      </c>
      <c r="BL12" s="162">
        <v>2016</v>
      </c>
      <c r="BM12" s="162">
        <v>2016</v>
      </c>
      <c r="BN12" s="162" t="s">
        <v>64</v>
      </c>
      <c r="BO12" s="162">
        <v>2017</v>
      </c>
      <c r="BP12" s="162">
        <v>2017</v>
      </c>
      <c r="BQ12" s="162">
        <v>2017</v>
      </c>
      <c r="BR12" s="162">
        <v>2017</v>
      </c>
      <c r="BS12" s="162">
        <v>2017</v>
      </c>
      <c r="BT12" s="737"/>
      <c r="BU12" s="1246"/>
      <c r="BV12" s="162" t="s">
        <v>64</v>
      </c>
      <c r="BW12" s="162" t="s">
        <v>20</v>
      </c>
      <c r="BX12" s="163" t="s">
        <v>21</v>
      </c>
      <c r="BY12" s="162" t="s">
        <v>22</v>
      </c>
      <c r="BZ12" s="1246"/>
      <c r="CA12" s="1246"/>
      <c r="CB12" s="162">
        <v>2017</v>
      </c>
      <c r="CC12" s="162">
        <v>2017</v>
      </c>
      <c r="CD12" s="162">
        <v>2017</v>
      </c>
      <c r="CE12" s="162">
        <v>2017</v>
      </c>
      <c r="CF12" s="162">
        <v>2017</v>
      </c>
      <c r="CG12" s="162">
        <v>2017</v>
      </c>
      <c r="CH12" s="162">
        <v>2017</v>
      </c>
      <c r="CI12" s="162">
        <v>2017</v>
      </c>
      <c r="CJ12" s="162" t="s">
        <v>64</v>
      </c>
      <c r="CK12" s="162">
        <v>2018</v>
      </c>
      <c r="CL12" s="162">
        <v>2018</v>
      </c>
      <c r="CM12" s="162">
        <v>2018</v>
      </c>
      <c r="CN12" s="162">
        <v>2018</v>
      </c>
      <c r="CO12" s="162">
        <v>2018</v>
      </c>
      <c r="CP12" s="1248"/>
      <c r="CQ12" s="1248"/>
      <c r="CR12" s="162" t="s">
        <v>20</v>
      </c>
      <c r="CS12" s="163" t="s">
        <v>21</v>
      </c>
      <c r="CT12" s="162" t="s">
        <v>22</v>
      </c>
      <c r="CU12" s="1246"/>
      <c r="CV12" s="1246"/>
      <c r="CW12" s="162">
        <v>2018</v>
      </c>
      <c r="CX12" s="162">
        <v>2018</v>
      </c>
      <c r="CY12" s="162">
        <v>2018</v>
      </c>
      <c r="CZ12" s="162">
        <v>2018</v>
      </c>
      <c r="DA12" s="162">
        <v>2018</v>
      </c>
      <c r="DB12" s="162">
        <v>2018</v>
      </c>
      <c r="DC12" s="162">
        <v>2018</v>
      </c>
      <c r="DD12" s="162">
        <v>2019</v>
      </c>
      <c r="DE12" s="162">
        <v>2019</v>
      </c>
      <c r="DF12" s="162">
        <v>2019</v>
      </c>
      <c r="DG12" s="162">
        <v>2019</v>
      </c>
      <c r="DH12" s="162">
        <v>2019</v>
      </c>
      <c r="DI12" s="162">
        <v>2019</v>
      </c>
      <c r="DJ12" s="162">
        <v>2019</v>
      </c>
      <c r="DK12" s="162">
        <v>2019</v>
      </c>
      <c r="DL12" s="162">
        <v>2019</v>
      </c>
      <c r="DM12" s="162">
        <v>2019</v>
      </c>
      <c r="DN12" s="162">
        <v>2019</v>
      </c>
      <c r="DO12" s="1248"/>
      <c r="DP12" s="1248"/>
    </row>
    <row r="13" spans="1:120" s="16" customFormat="1" x14ac:dyDescent="0.2">
      <c r="A13" s="120" t="s">
        <v>65</v>
      </c>
      <c r="B13" s="120"/>
      <c r="C13" s="124"/>
      <c r="D13" s="27"/>
      <c r="E13" s="25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20"/>
      <c r="S13" s="20"/>
      <c r="T13" s="14"/>
      <c r="U13" s="14"/>
      <c r="V13" s="14"/>
      <c r="W13" s="14"/>
      <c r="X13" s="14"/>
      <c r="Y13" s="108"/>
      <c r="Z13" s="66"/>
      <c r="AA13" s="66"/>
      <c r="AB13" s="81"/>
      <c r="AC13" s="66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73"/>
      <c r="AT13" s="55"/>
      <c r="AU13" s="55"/>
      <c r="AV13" s="55"/>
      <c r="AW13" s="55"/>
      <c r="AX13" s="55"/>
      <c r="AY13" s="55"/>
      <c r="AZ13" s="55"/>
      <c r="BA13" s="66"/>
      <c r="BB13" s="81"/>
      <c r="BC13" s="66"/>
      <c r="BD13" s="65"/>
      <c r="BE13" s="6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65"/>
      <c r="BU13" s="65"/>
      <c r="BV13" s="55"/>
      <c r="BW13" s="66"/>
      <c r="BX13" s="81"/>
      <c r="BY13" s="66"/>
      <c r="BZ13" s="65"/>
      <c r="CA13" s="6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05"/>
      <c r="CM13" s="505"/>
      <c r="CN13" s="505"/>
      <c r="CO13" s="505"/>
      <c r="CP13" s="505"/>
      <c r="CQ13" s="50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6"/>
    </row>
    <row r="14" spans="1:120" s="16" customFormat="1" x14ac:dyDescent="0.2">
      <c r="A14" s="120" t="s">
        <v>609</v>
      </c>
      <c r="B14" s="9"/>
      <c r="C14" s="45"/>
      <c r="D14" s="150"/>
      <c r="E14" s="25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20"/>
      <c r="S14" s="20"/>
      <c r="T14" s="14"/>
      <c r="U14" s="14"/>
      <c r="V14" s="14"/>
      <c r="W14" s="14"/>
      <c r="X14" s="14"/>
      <c r="Y14" s="108"/>
      <c r="Z14" s="66"/>
      <c r="AA14" s="66"/>
      <c r="AB14" s="112"/>
      <c r="AC14" s="66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73"/>
      <c r="AT14" s="55"/>
      <c r="AU14" s="55"/>
      <c r="AV14" s="55"/>
      <c r="AW14" s="55"/>
      <c r="AX14" s="55"/>
      <c r="AY14" s="55"/>
      <c r="AZ14" s="55"/>
      <c r="BA14" s="66"/>
      <c r="BB14" s="112"/>
      <c r="BC14" s="66"/>
      <c r="BD14" s="65"/>
      <c r="BE14" s="6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65"/>
      <c r="BU14" s="65"/>
      <c r="BV14" s="55"/>
      <c r="BW14" s="66"/>
      <c r="BX14" s="112"/>
      <c r="BY14" s="66"/>
      <c r="BZ14" s="65"/>
      <c r="CA14" s="6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05"/>
      <c r="CM14" s="505"/>
      <c r="CN14" s="505"/>
      <c r="CO14" s="505"/>
      <c r="CP14" s="505"/>
      <c r="CQ14" s="50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6"/>
    </row>
    <row r="15" spans="1:120" s="35" customFormat="1" x14ac:dyDescent="0.2">
      <c r="A15" s="1215" t="s">
        <v>732</v>
      </c>
      <c r="B15" s="100" t="s">
        <v>733</v>
      </c>
      <c r="C15" s="100" t="s">
        <v>352</v>
      </c>
      <c r="D15" s="8">
        <v>3</v>
      </c>
      <c r="E15" s="127">
        <v>0.33329999999999999</v>
      </c>
      <c r="F15" s="119">
        <v>43281</v>
      </c>
      <c r="G15" s="125">
        <v>36</v>
      </c>
      <c r="H15" s="146">
        <f>100/G15</f>
        <v>2.7777777777777777</v>
      </c>
      <c r="I15" s="1167">
        <f>H15*J15</f>
        <v>88.888888888888886</v>
      </c>
      <c r="J15" s="125">
        <f>(YEAR(F15)-YEAR(S15))*12+MONTH(F15)-MONTH(S15)</f>
        <v>32</v>
      </c>
      <c r="K15" s="1167">
        <f>L15*H15</f>
        <v>11.111111111111111</v>
      </c>
      <c r="L15" s="125">
        <f>G15-J15</f>
        <v>4</v>
      </c>
      <c r="M15" s="1167">
        <f>N15*H15</f>
        <v>5.5555555555555554</v>
      </c>
      <c r="N15" s="125">
        <v>2</v>
      </c>
      <c r="O15" s="1167">
        <f>K15-M15</f>
        <v>5.5555555555555554</v>
      </c>
      <c r="P15" s="125">
        <f>L15-N15</f>
        <v>2</v>
      </c>
      <c r="Q15" s="367">
        <f>DATE(YEAR(S15),MONTH(S15)+G15,DAY(S15))</f>
        <v>43400</v>
      </c>
      <c r="R15" s="125">
        <v>203</v>
      </c>
      <c r="S15" s="119">
        <v>42304</v>
      </c>
      <c r="T15" s="134">
        <v>1398.99</v>
      </c>
      <c r="U15" s="134">
        <v>0</v>
      </c>
      <c r="V15" s="7">
        <v>0</v>
      </c>
      <c r="W15" s="1167">
        <v>0</v>
      </c>
      <c r="X15" s="64">
        <v>115.958</v>
      </c>
      <c r="Y15" s="62">
        <v>0</v>
      </c>
      <c r="Z15" s="64">
        <v>0</v>
      </c>
      <c r="AA15" s="64">
        <v>115.958</v>
      </c>
      <c r="AB15" s="62">
        <v>117.41</v>
      </c>
      <c r="AC15" s="62">
        <f>AA15/AB15</f>
        <v>0.98763308065752498</v>
      </c>
      <c r="AD15" s="62">
        <f>H15*T15/100</f>
        <v>38.860833333333332</v>
      </c>
      <c r="AE15" s="62">
        <f>AD15*AC15</f>
        <v>38.380244541918636</v>
      </c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1169">
        <v>38.380000000000003</v>
      </c>
      <c r="AQ15" s="1216">
        <f>AP15</f>
        <v>38.380000000000003</v>
      </c>
      <c r="AR15" s="1216">
        <v>76.760000000000005</v>
      </c>
      <c r="AS15" s="1202">
        <f>T15-AR15</f>
        <v>1322.23</v>
      </c>
      <c r="AT15" s="62"/>
      <c r="AU15" s="62"/>
      <c r="AV15" s="62">
        <f>$AQ15</f>
        <v>38.380000000000003</v>
      </c>
      <c r="AW15" s="62">
        <f>$AQ15</f>
        <v>38.380000000000003</v>
      </c>
      <c r="AX15" s="62">
        <f>$AQ15</f>
        <v>38.380000000000003</v>
      </c>
      <c r="AY15" s="62">
        <f>$AQ15</f>
        <v>38.380000000000003</v>
      </c>
      <c r="AZ15" s="62">
        <f>$AQ15</f>
        <v>38.380000000000003</v>
      </c>
      <c r="BA15" s="64">
        <v>118.901</v>
      </c>
      <c r="BB15" s="62">
        <v>117.41</v>
      </c>
      <c r="BC15" s="62">
        <f>BA15/BB15</f>
        <v>1.0126990886636573</v>
      </c>
      <c r="BD15" s="62">
        <f>T15/(D15*12)</f>
        <v>38.860833333333332</v>
      </c>
      <c r="BE15" s="62">
        <f>BD15*BC15</f>
        <v>39.354330501376943</v>
      </c>
      <c r="BF15" s="62">
        <f t="shared" ref="BF15:BL15" si="0">$BE15</f>
        <v>39.354330501376943</v>
      </c>
      <c r="BG15" s="62">
        <f t="shared" si="0"/>
        <v>39.354330501376943</v>
      </c>
      <c r="BH15" s="62">
        <f t="shared" si="0"/>
        <v>39.354330501376943</v>
      </c>
      <c r="BI15" s="62">
        <f t="shared" si="0"/>
        <v>39.354330501376943</v>
      </c>
      <c r="BJ15" s="62">
        <f t="shared" si="0"/>
        <v>39.354330501376943</v>
      </c>
      <c r="BK15" s="62">
        <f t="shared" si="0"/>
        <v>39.354330501376943</v>
      </c>
      <c r="BL15" s="62">
        <f t="shared" si="0"/>
        <v>39.354330501376943</v>
      </c>
      <c r="BM15" s="62">
        <f>SUM((AV15:AZ15),(BF15:BL15))</f>
        <v>467.38031350963848</v>
      </c>
      <c r="BN15" s="927">
        <f>(AS15-BM15)</f>
        <v>854.84968649036159</v>
      </c>
      <c r="BO15" s="62">
        <f t="shared" ref="BO15:BS16" si="1">$BE15</f>
        <v>39.354330501376943</v>
      </c>
      <c r="BP15" s="62">
        <f t="shared" si="1"/>
        <v>39.354330501376943</v>
      </c>
      <c r="BQ15" s="62">
        <f t="shared" si="1"/>
        <v>39.354330501376943</v>
      </c>
      <c r="BR15" s="62">
        <f t="shared" si="1"/>
        <v>39.354330501376943</v>
      </c>
      <c r="BS15" s="62">
        <f t="shared" si="1"/>
        <v>39.354330501376943</v>
      </c>
      <c r="BT15" s="62">
        <f>SUM(BO15:BS15)</f>
        <v>196.77165250688472</v>
      </c>
      <c r="BU15" s="1204">
        <f>BN15-BT15</f>
        <v>658.07803398347687</v>
      </c>
      <c r="BV15" s="927">
        <v>658.07803398347687</v>
      </c>
      <c r="BW15" s="64">
        <v>132.28200000000001</v>
      </c>
      <c r="BX15" s="62">
        <v>117.41</v>
      </c>
      <c r="BY15" s="62">
        <f>BW15/BX15</f>
        <v>1.1266672344774722</v>
      </c>
      <c r="BZ15" s="62">
        <f>BV15/L15</f>
        <v>164.51950849586922</v>
      </c>
      <c r="CA15" s="62">
        <f>BZ15*BY15</f>
        <v>185.35873965463395</v>
      </c>
      <c r="CB15" s="62">
        <v>44.281964973055615</v>
      </c>
      <c r="CC15" s="62">
        <v>44.281964973055615</v>
      </c>
      <c r="CD15" s="62">
        <v>44.281964973055615</v>
      </c>
      <c r="CE15" s="62">
        <v>44.281964973055615</v>
      </c>
      <c r="CF15" s="62">
        <v>44.281964973055615</v>
      </c>
      <c r="CG15" s="62">
        <v>44.281964973055615</v>
      </c>
      <c r="CH15" s="62">
        <v>44.281964973055615</v>
      </c>
      <c r="CI15" s="62">
        <f>SUM(CB15:CH15)</f>
        <v>309.97375481138931</v>
      </c>
      <c r="CJ15" s="927">
        <f>BV15-CI15</f>
        <v>348.10427917208756</v>
      </c>
      <c r="CK15" s="62">
        <v>44.281964973055615</v>
      </c>
      <c r="CL15" s="62">
        <v>44.281964973055615</v>
      </c>
      <c r="CM15" s="62">
        <v>44.281964973055615</v>
      </c>
      <c r="CN15" s="62">
        <v>44.281964973055615</v>
      </c>
      <c r="CO15" s="62">
        <v>44.281964973055615</v>
      </c>
      <c r="CP15" s="1170">
        <f>SUM(CK15:CO15)</f>
        <v>221.40982486527807</v>
      </c>
      <c r="CQ15" s="679">
        <f>CJ15-CP15</f>
        <v>126.69445430680949</v>
      </c>
      <c r="CR15" s="1171">
        <v>132.28200000000001</v>
      </c>
      <c r="CS15" s="62">
        <v>117.41</v>
      </c>
      <c r="CT15" s="1200">
        <f>CR15/CS15</f>
        <v>1.1266672344774722</v>
      </c>
      <c r="CU15" s="510">
        <f>CQ15/N15</f>
        <v>63.347227153404745</v>
      </c>
      <c r="CV15" s="510">
        <f>CU15*CT15</f>
        <v>71.371245228742751</v>
      </c>
      <c r="CW15" s="510">
        <v>71.371245228742751</v>
      </c>
      <c r="CX15" s="510">
        <v>54.32</v>
      </c>
      <c r="CY15" s="510">
        <v>0</v>
      </c>
      <c r="CZ15" s="510">
        <v>0</v>
      </c>
      <c r="DA15" s="510">
        <v>0</v>
      </c>
      <c r="DB15" s="510">
        <v>0</v>
      </c>
      <c r="DC15" s="510">
        <v>0</v>
      </c>
      <c r="DD15" s="510">
        <v>0</v>
      </c>
      <c r="DE15" s="510">
        <v>0</v>
      </c>
      <c r="DF15" s="510">
        <v>0</v>
      </c>
      <c r="DG15" s="510">
        <v>0</v>
      </c>
      <c r="DH15" s="510">
        <v>0</v>
      </c>
      <c r="DI15" s="510">
        <v>0</v>
      </c>
      <c r="DJ15" s="510">
        <v>0</v>
      </c>
      <c r="DK15" s="510">
        <v>0</v>
      </c>
      <c r="DL15" s="510">
        <v>0</v>
      </c>
      <c r="DM15" s="510">
        <v>0</v>
      </c>
      <c r="DN15" s="510">
        <v>0</v>
      </c>
      <c r="DO15" s="510">
        <f>SUM(CW15:DN15)</f>
        <v>125.69124522874276</v>
      </c>
      <c r="DP15" s="960">
        <f>CQ15-DO15</f>
        <v>1.0032090780667318</v>
      </c>
    </row>
    <row r="16" spans="1:120" s="35" customFormat="1" x14ac:dyDescent="0.2">
      <c r="A16" s="565" t="s">
        <v>610</v>
      </c>
      <c r="B16" s="100" t="s">
        <v>611</v>
      </c>
      <c r="C16" s="100" t="s">
        <v>352</v>
      </c>
      <c r="D16" s="8">
        <v>10</v>
      </c>
      <c r="E16" s="127">
        <v>0.1</v>
      </c>
      <c r="F16" s="119">
        <v>43281</v>
      </c>
      <c r="G16" s="125">
        <v>120</v>
      </c>
      <c r="H16" s="146">
        <f>100/G16</f>
        <v>0.83333333333333337</v>
      </c>
      <c r="I16" s="1167">
        <f>H16*J16</f>
        <v>33.333333333333336</v>
      </c>
      <c r="J16" s="125">
        <f>(YEAR(F16)-YEAR(S16))*12+MONTH(F16)-MONTH(S16)</f>
        <v>40</v>
      </c>
      <c r="K16" s="1167">
        <f>L16*H16</f>
        <v>66.666666666666671</v>
      </c>
      <c r="L16" s="125">
        <f>G16-J16</f>
        <v>80</v>
      </c>
      <c r="M16" s="1167">
        <f>N16*H16</f>
        <v>5.8333333333333339</v>
      </c>
      <c r="N16" s="125">
        <v>7</v>
      </c>
      <c r="O16" s="1167">
        <f>K16-M16</f>
        <v>60.833333333333336</v>
      </c>
      <c r="P16" s="125">
        <f>L16-N16</f>
        <v>73</v>
      </c>
      <c r="Q16" s="367">
        <f>DATE(YEAR(S16),MONTH(S16)+G16,DAY(S16))</f>
        <v>45694</v>
      </c>
      <c r="R16" s="125" t="s">
        <v>612</v>
      </c>
      <c r="S16" s="128">
        <v>42041</v>
      </c>
      <c r="T16" s="7">
        <v>1334</v>
      </c>
      <c r="U16" s="1169"/>
      <c r="V16" s="776">
        <v>0</v>
      </c>
      <c r="W16" s="776">
        <v>0</v>
      </c>
      <c r="X16" s="62">
        <v>11.12</v>
      </c>
      <c r="Y16" s="7">
        <f>X16*4</f>
        <v>44.48</v>
      </c>
      <c r="Z16" s="129">
        <f>T16-Y16</f>
        <v>1289.52</v>
      </c>
      <c r="AA16" s="64">
        <v>115.958</v>
      </c>
      <c r="AB16" s="64">
        <v>116.17400000000001</v>
      </c>
      <c r="AC16" s="64">
        <f>AA16/AB16</f>
        <v>0.99814071995455089</v>
      </c>
      <c r="AD16" s="62">
        <f>Z16*M16/100/K16*100/7</f>
        <v>16.119</v>
      </c>
      <c r="AE16" s="62">
        <f>AD16*AC16</f>
        <v>16.089030264947407</v>
      </c>
      <c r="AF16" s="62"/>
      <c r="AG16" s="62"/>
      <c r="AH16" s="62"/>
      <c r="AI16" s="62"/>
      <c r="AJ16" s="62"/>
      <c r="AK16" s="62">
        <f>AE16</f>
        <v>16.089030264947407</v>
      </c>
      <c r="AL16" s="62">
        <v>11.09588294134304</v>
      </c>
      <c r="AM16" s="62">
        <v>11.09588294134304</v>
      </c>
      <c r="AN16" s="62">
        <v>11.09588294134304</v>
      </c>
      <c r="AO16" s="62">
        <v>11.09588294134304</v>
      </c>
      <c r="AP16" s="62">
        <v>11.09588294134304</v>
      </c>
      <c r="AQ16" s="62">
        <v>11.09588294134304</v>
      </c>
      <c r="AR16" s="62">
        <f>SUM(AF16:AQ16)</f>
        <v>82.66432791300565</v>
      </c>
      <c r="AS16" s="1169">
        <f>Z16-AR16</f>
        <v>1206.8556720869942</v>
      </c>
      <c r="AT16" s="62"/>
      <c r="AU16" s="62"/>
      <c r="AV16" s="62">
        <f t="shared" ref="AV16:AZ69" si="2">$AQ16</f>
        <v>11.09588294134304</v>
      </c>
      <c r="AW16" s="62">
        <f t="shared" si="2"/>
        <v>11.09588294134304</v>
      </c>
      <c r="AX16" s="62">
        <f t="shared" si="2"/>
        <v>11.09588294134304</v>
      </c>
      <c r="AY16" s="62">
        <f t="shared" si="2"/>
        <v>11.09588294134304</v>
      </c>
      <c r="AZ16" s="62">
        <f t="shared" si="2"/>
        <v>11.09588294134304</v>
      </c>
      <c r="BA16" s="64">
        <v>118.901</v>
      </c>
      <c r="BB16" s="64">
        <v>116.17400000000001</v>
      </c>
      <c r="BC16" s="62">
        <f>BA16/BB16</f>
        <v>1.0234734105737944</v>
      </c>
      <c r="BD16" s="62">
        <f>T16/(D16*12)</f>
        <v>11.116666666666667</v>
      </c>
      <c r="BE16" s="62">
        <f>BD16*BC16</f>
        <v>11.377612747545347</v>
      </c>
      <c r="BF16" s="62">
        <f t="shared" ref="BF16:BL16" si="3">$BE16</f>
        <v>11.377612747545347</v>
      </c>
      <c r="BG16" s="62">
        <f t="shared" si="3"/>
        <v>11.377612747545347</v>
      </c>
      <c r="BH16" s="62">
        <f t="shared" si="3"/>
        <v>11.377612747545347</v>
      </c>
      <c r="BI16" s="62">
        <f t="shared" si="3"/>
        <v>11.377612747545347</v>
      </c>
      <c r="BJ16" s="62">
        <f t="shared" si="3"/>
        <v>11.377612747545347</v>
      </c>
      <c r="BK16" s="62">
        <f t="shared" si="3"/>
        <v>11.377612747545347</v>
      </c>
      <c r="BL16" s="62">
        <f t="shared" si="3"/>
        <v>11.377612747545347</v>
      </c>
      <c r="BM16" s="62">
        <f>SUM((AV16:AZ16),(BF16:BL16))</f>
        <v>135.12270393953261</v>
      </c>
      <c r="BN16" s="927">
        <f>(AS16-BM16)</f>
        <v>1071.7329681474616</v>
      </c>
      <c r="BO16" s="62">
        <f t="shared" si="1"/>
        <v>11.377612747545347</v>
      </c>
      <c r="BP16" s="62">
        <f t="shared" si="1"/>
        <v>11.377612747545347</v>
      </c>
      <c r="BQ16" s="62">
        <f t="shared" si="1"/>
        <v>11.377612747545347</v>
      </c>
      <c r="BR16" s="62">
        <f t="shared" si="1"/>
        <v>11.377612747545347</v>
      </c>
      <c r="BS16" s="62">
        <f t="shared" si="1"/>
        <v>11.377612747545347</v>
      </c>
      <c r="BT16" s="62">
        <f>SUM(BO16:BS16)</f>
        <v>56.888063737726739</v>
      </c>
      <c r="BU16" s="1204">
        <f>BN16-BT16</f>
        <v>1014.8449044097349</v>
      </c>
      <c r="BV16" s="927">
        <v>1016.9434735747282</v>
      </c>
      <c r="BW16" s="64">
        <v>132.28200000000001</v>
      </c>
      <c r="BX16" s="64">
        <v>116.17400000000001</v>
      </c>
      <c r="BY16" s="62">
        <f>BW16/BX16</f>
        <v>1.1386540878337665</v>
      </c>
      <c r="BZ16" s="62">
        <f>BV16/L16</f>
        <v>12.711793419684103</v>
      </c>
      <c r="CA16" s="62">
        <f>BZ16*BY16</f>
        <v>14.474335541021677</v>
      </c>
      <c r="CB16" s="62">
        <v>12.027478891074393</v>
      </c>
      <c r="CC16" s="62">
        <v>12.027478891074393</v>
      </c>
      <c r="CD16" s="62">
        <v>12.027478891074393</v>
      </c>
      <c r="CE16" s="62">
        <v>12.027478891074393</v>
      </c>
      <c r="CF16" s="62">
        <v>12.027478891074393</v>
      </c>
      <c r="CG16" s="62">
        <v>12.027478891074393</v>
      </c>
      <c r="CH16" s="62">
        <v>12.027478891074393</v>
      </c>
      <c r="CI16" s="62">
        <f>SUM(CB16:CH16)</f>
        <v>84.192352237520751</v>
      </c>
      <c r="CJ16" s="927">
        <f>BV16-CI16</f>
        <v>932.75112133720745</v>
      </c>
      <c r="CK16" s="62">
        <v>12.027478891074393</v>
      </c>
      <c r="CL16" s="62">
        <v>12.027478891074393</v>
      </c>
      <c r="CM16" s="62">
        <v>12.027478891074393</v>
      </c>
      <c r="CN16" s="62">
        <v>12.027478891074393</v>
      </c>
      <c r="CO16" s="62">
        <v>12.027478891074393</v>
      </c>
      <c r="CP16" s="1170">
        <f>SUM(CK16:CO16)</f>
        <v>60.137394455371968</v>
      </c>
      <c r="CQ16" s="679">
        <f>CJ16-CP16</f>
        <v>872.61372688183553</v>
      </c>
      <c r="CR16" s="1171">
        <v>132.28200000000001</v>
      </c>
      <c r="CS16" s="64">
        <v>116.17400000000001</v>
      </c>
      <c r="CT16" s="1200">
        <f>CR16/CS16</f>
        <v>1.1386540878337665</v>
      </c>
      <c r="CU16" s="510">
        <f>CQ16/N16</f>
        <v>124.65910384026222</v>
      </c>
      <c r="CV16" s="510">
        <f>CU16*CT16</f>
        <v>141.94359817340856</v>
      </c>
      <c r="CW16" s="510">
        <v>141.94359817340856</v>
      </c>
      <c r="CX16" s="510">
        <v>141.94359817340856</v>
      </c>
      <c r="CY16" s="510">
        <v>141.94359817340856</v>
      </c>
      <c r="CZ16" s="510">
        <v>141.94359817340856</v>
      </c>
      <c r="DA16" s="510">
        <v>141.94359817340856</v>
      </c>
      <c r="DB16" s="510">
        <v>141.94359817340856</v>
      </c>
      <c r="DC16" s="510">
        <v>19.95</v>
      </c>
      <c r="DD16" s="510">
        <v>0</v>
      </c>
      <c r="DE16" s="510">
        <v>0</v>
      </c>
      <c r="DF16" s="510">
        <v>0</v>
      </c>
      <c r="DG16" s="510">
        <v>0</v>
      </c>
      <c r="DH16" s="510">
        <v>0</v>
      </c>
      <c r="DI16" s="510">
        <v>0</v>
      </c>
      <c r="DJ16" s="510">
        <v>0</v>
      </c>
      <c r="DK16" s="510">
        <v>0</v>
      </c>
      <c r="DL16" s="510">
        <v>0</v>
      </c>
      <c r="DM16" s="510">
        <v>0</v>
      </c>
      <c r="DN16" s="510">
        <v>0</v>
      </c>
      <c r="DO16" s="510">
        <f t="shared" ref="DO16:DO72" si="4">SUM(CW16:DN16)</f>
        <v>871.61158904045135</v>
      </c>
      <c r="DP16" s="960">
        <f>CQ16-DO16</f>
        <v>1.002137841384183</v>
      </c>
    </row>
    <row r="17" spans="1:120" s="35" customFormat="1" x14ac:dyDescent="0.2">
      <c r="A17" s="120" t="s">
        <v>65</v>
      </c>
      <c r="B17" s="120"/>
      <c r="C17" s="124"/>
      <c r="D17" s="111"/>
      <c r="E17" s="130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19"/>
      <c r="S17" s="119"/>
      <c r="T17" s="134"/>
      <c r="U17" s="134"/>
      <c r="V17" s="134"/>
      <c r="W17" s="134"/>
      <c r="X17" s="134"/>
      <c r="Y17" s="7"/>
      <c r="Z17" s="64"/>
      <c r="AA17" s="64"/>
      <c r="AB17" s="81"/>
      <c r="AC17" s="64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1169"/>
      <c r="AT17" s="62"/>
      <c r="AU17" s="62"/>
      <c r="AV17" s="62">
        <f t="shared" si="2"/>
        <v>0</v>
      </c>
      <c r="AW17" s="62">
        <f t="shared" si="2"/>
        <v>0</v>
      </c>
      <c r="AX17" s="62">
        <f t="shared" si="2"/>
        <v>0</v>
      </c>
      <c r="AY17" s="62">
        <f t="shared" si="2"/>
        <v>0</v>
      </c>
      <c r="AZ17" s="62">
        <f t="shared" si="2"/>
        <v>0</v>
      </c>
      <c r="BA17" s="64"/>
      <c r="BB17" s="81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927"/>
      <c r="BO17" s="62"/>
      <c r="BP17" s="62"/>
      <c r="BQ17" s="62"/>
      <c r="BR17" s="62"/>
      <c r="BS17" s="62"/>
      <c r="BT17" s="62"/>
      <c r="BU17" s="62"/>
      <c r="BV17" s="927"/>
      <c r="BW17" s="64"/>
      <c r="BX17" s="81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927"/>
      <c r="CK17" s="62"/>
      <c r="CL17" s="62"/>
      <c r="CM17" s="62"/>
      <c r="CN17" s="62"/>
      <c r="CO17" s="62"/>
      <c r="CP17" s="1170"/>
      <c r="CQ17" s="679"/>
      <c r="CR17" s="510"/>
      <c r="CS17" s="81"/>
      <c r="CT17" s="1200"/>
      <c r="CU17" s="510"/>
      <c r="CV17" s="510"/>
      <c r="CW17" s="510"/>
      <c r="CX17" s="510"/>
      <c r="CY17" s="510"/>
      <c r="CZ17" s="510"/>
      <c r="DA17" s="510"/>
      <c r="DB17" s="510"/>
      <c r="DC17" s="510"/>
      <c r="DD17" s="510"/>
      <c r="DE17" s="510"/>
      <c r="DF17" s="510"/>
      <c r="DG17" s="510"/>
      <c r="DH17" s="510"/>
      <c r="DI17" s="510"/>
      <c r="DJ17" s="510"/>
      <c r="DK17" s="510"/>
      <c r="DL17" s="510"/>
      <c r="DM17" s="510"/>
      <c r="DN17" s="510"/>
      <c r="DO17" s="510">
        <f t="shared" si="4"/>
        <v>0</v>
      </c>
      <c r="DP17" s="960"/>
    </row>
    <row r="18" spans="1:120" s="35" customFormat="1" x14ac:dyDescent="0.2">
      <c r="A18" s="120" t="s">
        <v>383</v>
      </c>
      <c r="B18" s="100"/>
      <c r="C18" s="100"/>
      <c r="D18" s="1171"/>
      <c r="E18" s="130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19"/>
      <c r="S18" s="119"/>
      <c r="T18" s="134"/>
      <c r="U18" s="134"/>
      <c r="V18" s="134"/>
      <c r="W18" s="134"/>
      <c r="X18" s="134"/>
      <c r="Y18" s="7"/>
      <c r="Z18" s="64"/>
      <c r="AA18" s="64"/>
      <c r="AB18" s="112"/>
      <c r="AC18" s="64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1169"/>
      <c r="AT18" s="62"/>
      <c r="AU18" s="62"/>
      <c r="AV18" s="62">
        <f t="shared" si="2"/>
        <v>0</v>
      </c>
      <c r="AW18" s="62">
        <f t="shared" si="2"/>
        <v>0</v>
      </c>
      <c r="AX18" s="62">
        <f t="shared" si="2"/>
        <v>0</v>
      </c>
      <c r="AY18" s="62">
        <f t="shared" si="2"/>
        <v>0</v>
      </c>
      <c r="AZ18" s="62">
        <f t="shared" si="2"/>
        <v>0</v>
      </c>
      <c r="BA18" s="64"/>
      <c r="BB18" s="11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927"/>
      <c r="BO18" s="62"/>
      <c r="BP18" s="62"/>
      <c r="BQ18" s="62"/>
      <c r="BR18" s="62"/>
      <c r="BS18" s="62"/>
      <c r="BT18" s="62"/>
      <c r="BU18" s="62"/>
      <c r="BV18" s="927"/>
      <c r="BW18" s="64"/>
      <c r="BX18" s="11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927"/>
      <c r="CK18" s="62"/>
      <c r="CL18" s="62"/>
      <c r="CM18" s="62"/>
      <c r="CN18" s="62"/>
      <c r="CO18" s="62"/>
      <c r="CP18" s="1170"/>
      <c r="CQ18" s="679"/>
      <c r="CR18" s="1174"/>
      <c r="CS18" s="112"/>
      <c r="CT18" s="1200"/>
      <c r="CU18" s="510"/>
      <c r="CV18" s="510"/>
      <c r="CW18" s="510"/>
      <c r="CX18" s="510"/>
      <c r="CY18" s="510"/>
      <c r="CZ18" s="510"/>
      <c r="DA18" s="510"/>
      <c r="DB18" s="510"/>
      <c r="DC18" s="510"/>
      <c r="DD18" s="510"/>
      <c r="DE18" s="510"/>
      <c r="DF18" s="510"/>
      <c r="DG18" s="510"/>
      <c r="DH18" s="510"/>
      <c r="DI18" s="510"/>
      <c r="DJ18" s="510"/>
      <c r="DK18" s="510"/>
      <c r="DL18" s="510"/>
      <c r="DM18" s="510"/>
      <c r="DN18" s="510"/>
      <c r="DO18" s="510">
        <f t="shared" si="4"/>
        <v>0</v>
      </c>
      <c r="DP18" s="960">
        <f>CX18-DO18</f>
        <v>0</v>
      </c>
    </row>
    <row r="19" spans="1:120" s="35" customFormat="1" x14ac:dyDescent="0.2">
      <c r="A19" s="242" t="s">
        <v>384</v>
      </c>
      <c r="B19" s="100" t="s">
        <v>385</v>
      </c>
      <c r="C19" s="100" t="s">
        <v>352</v>
      </c>
      <c r="D19" s="8">
        <v>10</v>
      </c>
      <c r="E19" s="127">
        <v>0.1</v>
      </c>
      <c r="F19" s="119">
        <v>43281</v>
      </c>
      <c r="G19" s="125">
        <v>120</v>
      </c>
      <c r="H19" s="146">
        <f>100/G19</f>
        <v>0.83333333333333337</v>
      </c>
      <c r="I19" s="1167">
        <f>H19*J19</f>
        <v>84.166666666666671</v>
      </c>
      <c r="J19" s="125">
        <f>(YEAR(F19)-YEAR(S19))*12+MONTH(F19)-MONTH(S19)</f>
        <v>101</v>
      </c>
      <c r="K19" s="1167">
        <f>L19*H19</f>
        <v>15.833333333333334</v>
      </c>
      <c r="L19" s="125">
        <f>G19-J19</f>
        <v>19</v>
      </c>
      <c r="M19" s="1167">
        <f>N19*H19</f>
        <v>5.8333333333333339</v>
      </c>
      <c r="N19" s="125">
        <v>7</v>
      </c>
      <c r="O19" s="1167">
        <f>K19-M19</f>
        <v>10</v>
      </c>
      <c r="P19" s="125">
        <f>L19-N19</f>
        <v>12</v>
      </c>
      <c r="Q19" s="367">
        <f>DATE(YEAR(S19),MONTH(S19)+G19,DAY(S19))</f>
        <v>43831</v>
      </c>
      <c r="R19" s="125" t="s">
        <v>360</v>
      </c>
      <c r="S19" s="128">
        <v>40179</v>
      </c>
      <c r="T19" s="7">
        <v>1300</v>
      </c>
      <c r="U19" s="1169"/>
      <c r="V19" s="776">
        <v>129.97</v>
      </c>
      <c r="W19" s="776">
        <v>650.03</v>
      </c>
      <c r="X19" s="62">
        <v>10.83</v>
      </c>
      <c r="Y19" s="7">
        <f>X19*5</f>
        <v>54.15</v>
      </c>
      <c r="Z19" s="129">
        <f>W19-Y19</f>
        <v>595.88</v>
      </c>
      <c r="AA19" s="64">
        <v>115.958</v>
      </c>
      <c r="AB19" s="64">
        <v>140.047</v>
      </c>
      <c r="AC19" s="64">
        <f>AA19/AB19</f>
        <v>0.82799345933865065</v>
      </c>
      <c r="AD19" s="62">
        <f>Z19*M19/100/K19*100/7</f>
        <v>31.3621052631579</v>
      </c>
      <c r="AE19" s="62">
        <f>AD19*AC19</f>
        <v>25.967618028985012</v>
      </c>
      <c r="AF19" s="62"/>
      <c r="AG19" s="62"/>
      <c r="AH19" s="62"/>
      <c r="AI19" s="62"/>
      <c r="AJ19" s="62"/>
      <c r="AK19" s="62">
        <f>AE19</f>
        <v>25.967618028985012</v>
      </c>
      <c r="AL19" s="62">
        <v>8.9706316827402777</v>
      </c>
      <c r="AM19" s="62">
        <v>8.9706316827402777</v>
      </c>
      <c r="AN19" s="62">
        <v>8.9706316827402777</v>
      </c>
      <c r="AO19" s="62">
        <v>8.9706316827402777</v>
      </c>
      <c r="AP19" s="62">
        <v>8.9706316827402777</v>
      </c>
      <c r="AQ19" s="62">
        <v>8.9706316827402777</v>
      </c>
      <c r="AR19" s="62">
        <f>SUM(AF19:AQ19)</f>
        <v>79.79140812542667</v>
      </c>
      <c r="AS19" s="1169">
        <f>Z19-AR19</f>
        <v>516.08859187457335</v>
      </c>
      <c r="AT19" s="62"/>
      <c r="AU19" s="62"/>
      <c r="AV19" s="62">
        <f t="shared" si="2"/>
        <v>8.9706316827402777</v>
      </c>
      <c r="AW19" s="62">
        <f t="shared" si="2"/>
        <v>8.9706316827402777</v>
      </c>
      <c r="AX19" s="62">
        <f t="shared" si="2"/>
        <v>8.9706316827402777</v>
      </c>
      <c r="AY19" s="62">
        <f t="shared" si="2"/>
        <v>8.9706316827402777</v>
      </c>
      <c r="AZ19" s="62">
        <f t="shared" si="2"/>
        <v>8.9706316827402777</v>
      </c>
      <c r="BA19" s="64">
        <v>118.901</v>
      </c>
      <c r="BB19" s="64">
        <v>140.047</v>
      </c>
      <c r="BC19" s="62">
        <f>BA19/BB19</f>
        <v>0.84900783308460726</v>
      </c>
      <c r="BD19" s="62">
        <f>T19/(D19*12)</f>
        <v>10.833333333333334</v>
      </c>
      <c r="BE19" s="62">
        <f>BD19*BC19</f>
        <v>9.1975848584165796</v>
      </c>
      <c r="BF19" s="62">
        <f t="shared" ref="BF19:BL19" si="5">$BE19</f>
        <v>9.1975848584165796</v>
      </c>
      <c r="BG19" s="62">
        <f t="shared" si="5"/>
        <v>9.1975848584165796</v>
      </c>
      <c r="BH19" s="62">
        <f t="shared" si="5"/>
        <v>9.1975848584165796</v>
      </c>
      <c r="BI19" s="62">
        <f t="shared" si="5"/>
        <v>9.1975848584165796</v>
      </c>
      <c r="BJ19" s="62">
        <f t="shared" si="5"/>
        <v>9.1975848584165796</v>
      </c>
      <c r="BK19" s="62">
        <f t="shared" si="5"/>
        <v>9.1975848584165796</v>
      </c>
      <c r="BL19" s="62">
        <f t="shared" si="5"/>
        <v>9.1975848584165796</v>
      </c>
      <c r="BM19" s="62">
        <f>SUM((AV19:AZ19),(BF19:BL19))</f>
        <v>109.23625242261743</v>
      </c>
      <c r="BN19" s="927">
        <f>(AS19-BM19)</f>
        <v>406.85233945195591</v>
      </c>
      <c r="BO19" s="62">
        <f>$BE19</f>
        <v>9.1975848584165796</v>
      </c>
      <c r="BP19" s="62">
        <f>$BE19</f>
        <v>9.1975848584165796</v>
      </c>
      <c r="BQ19" s="62">
        <f>$BE19</f>
        <v>9.1975848584165796</v>
      </c>
      <c r="BR19" s="62">
        <f>$BE19</f>
        <v>9.1975848584165796</v>
      </c>
      <c r="BS19" s="62">
        <f>$BE19</f>
        <v>9.1975848584165796</v>
      </c>
      <c r="BT19" s="62">
        <f>SUM(BO19:BS19)</f>
        <v>45.987924292082894</v>
      </c>
      <c r="BU19" s="1204">
        <f>BN19-BT19</f>
        <v>360.86441515987303</v>
      </c>
      <c r="BV19" s="927">
        <v>370.91639633238333</v>
      </c>
      <c r="BW19" s="64">
        <v>132.28200000000001</v>
      </c>
      <c r="BX19" s="64">
        <v>140.047</v>
      </c>
      <c r="BY19" s="62">
        <f>BW19/BX19</f>
        <v>0.9445543281898221</v>
      </c>
      <c r="BZ19" s="62">
        <f>BV19/L19</f>
        <v>19.521915596441229</v>
      </c>
      <c r="CA19" s="62">
        <f>BZ19*BY19</f>
        <v>18.439509871174955</v>
      </c>
      <c r="CB19" s="62">
        <v>10.799784456596923</v>
      </c>
      <c r="CC19" s="62">
        <v>10.799784456596923</v>
      </c>
      <c r="CD19" s="62">
        <v>10.799784456596923</v>
      </c>
      <c r="CE19" s="62">
        <v>10.799784456596923</v>
      </c>
      <c r="CF19" s="62">
        <v>10.799784456596923</v>
      </c>
      <c r="CG19" s="62">
        <v>10.799784456596923</v>
      </c>
      <c r="CH19" s="62">
        <v>10.799784456596923</v>
      </c>
      <c r="CI19" s="62">
        <f>SUM(CB19:CH19)</f>
        <v>75.598491196178458</v>
      </c>
      <c r="CJ19" s="927">
        <f>BV19-CI19</f>
        <v>295.3179051362049</v>
      </c>
      <c r="CK19" s="62">
        <v>10.799784456596923</v>
      </c>
      <c r="CL19" s="62">
        <v>10.799784456596923</v>
      </c>
      <c r="CM19" s="62">
        <v>10.799784456596923</v>
      </c>
      <c r="CN19" s="62">
        <v>10.799784456596923</v>
      </c>
      <c r="CO19" s="62">
        <v>10.799784456596923</v>
      </c>
      <c r="CP19" s="1170">
        <f>SUM(CK19:CO19)</f>
        <v>53.998922282984616</v>
      </c>
      <c r="CQ19" s="679">
        <f>CJ19-CP19</f>
        <v>241.31898285322029</v>
      </c>
      <c r="CR19" s="1171">
        <v>132.28200000000001</v>
      </c>
      <c r="CS19" s="64">
        <v>140.047</v>
      </c>
      <c r="CT19" s="1200">
        <f>CR19/CS19</f>
        <v>0.9445543281898221</v>
      </c>
      <c r="CU19" s="510">
        <f>CQ19/N19</f>
        <v>34.474140407602896</v>
      </c>
      <c r="CV19" s="510">
        <f>CU19*CT19</f>
        <v>32.56269853262495</v>
      </c>
      <c r="CW19" s="510">
        <v>32.56269853262495</v>
      </c>
      <c r="CX19" s="510">
        <v>32.56269853262495</v>
      </c>
      <c r="CY19" s="510">
        <v>32.56269853262495</v>
      </c>
      <c r="CZ19" s="510">
        <v>32.56269853262495</v>
      </c>
      <c r="DA19" s="510">
        <v>32.56269853262495</v>
      </c>
      <c r="DB19" s="510">
        <v>32.56269853262495</v>
      </c>
      <c r="DC19" s="510">
        <v>32.56269853262495</v>
      </c>
      <c r="DD19" s="510">
        <v>12.38</v>
      </c>
      <c r="DE19" s="510">
        <v>0</v>
      </c>
      <c r="DF19" s="510">
        <v>0</v>
      </c>
      <c r="DG19" s="510">
        <v>0</v>
      </c>
      <c r="DH19" s="510">
        <v>0</v>
      </c>
      <c r="DI19" s="510">
        <v>0</v>
      </c>
      <c r="DJ19" s="510">
        <v>0</v>
      </c>
      <c r="DK19" s="510">
        <v>0</v>
      </c>
      <c r="DL19" s="510">
        <v>0</v>
      </c>
      <c r="DM19" s="510">
        <v>0</v>
      </c>
      <c r="DN19" s="510">
        <v>0</v>
      </c>
      <c r="DO19" s="510">
        <f t="shared" si="4"/>
        <v>240.31888972837464</v>
      </c>
      <c r="DP19" s="960">
        <f>CQ19-DO19</f>
        <v>1.0000931248456482</v>
      </c>
    </row>
    <row r="20" spans="1:120" s="35" customFormat="1" x14ac:dyDescent="0.2">
      <c r="A20" s="120" t="s">
        <v>71</v>
      </c>
      <c r="B20" s="100"/>
      <c r="C20" s="100"/>
      <c r="D20" s="8"/>
      <c r="E20" s="127"/>
      <c r="F20" s="119"/>
      <c r="G20" s="125"/>
      <c r="H20" s="146"/>
      <c r="I20" s="1167"/>
      <c r="J20" s="125"/>
      <c r="K20" s="1167"/>
      <c r="L20" s="125"/>
      <c r="M20" s="1167"/>
      <c r="N20" s="125"/>
      <c r="O20" s="1167"/>
      <c r="P20" s="125"/>
      <c r="Q20" s="125"/>
      <c r="R20" s="125"/>
      <c r="S20" s="128"/>
      <c r="T20" s="7"/>
      <c r="U20" s="1169"/>
      <c r="V20" s="776"/>
      <c r="W20" s="776"/>
      <c r="X20" s="62"/>
      <c r="Y20" s="7"/>
      <c r="Z20" s="129"/>
      <c r="AA20" s="64"/>
      <c r="AB20" s="64"/>
      <c r="AC20" s="64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1169"/>
      <c r="AT20" s="62"/>
      <c r="AU20" s="62"/>
      <c r="AV20" s="62"/>
      <c r="AW20" s="62"/>
      <c r="AX20" s="62"/>
      <c r="AY20" s="62"/>
      <c r="AZ20" s="62"/>
      <c r="BA20" s="64"/>
      <c r="BB20" s="64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927"/>
      <c r="BO20" s="62"/>
      <c r="BP20" s="62"/>
      <c r="BQ20" s="62"/>
      <c r="BR20" s="62"/>
      <c r="BS20" s="62"/>
      <c r="BT20" s="62"/>
      <c r="BU20" s="62"/>
      <c r="BV20" s="927"/>
      <c r="BW20" s="64"/>
      <c r="BX20" s="64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927"/>
      <c r="CK20" s="62"/>
      <c r="CL20" s="62"/>
      <c r="CM20" s="62"/>
      <c r="CN20" s="62"/>
      <c r="CO20" s="62"/>
      <c r="CP20" s="1170"/>
      <c r="CQ20" s="679"/>
      <c r="CR20" s="62"/>
      <c r="CS20" s="64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510">
        <f t="shared" si="4"/>
        <v>0</v>
      </c>
      <c r="DP20" s="63"/>
    </row>
    <row r="21" spans="1:120" s="35" customFormat="1" x14ac:dyDescent="0.2">
      <c r="A21" s="120" t="s">
        <v>76</v>
      </c>
      <c r="B21" s="100"/>
      <c r="C21" s="100"/>
      <c r="D21" s="8"/>
      <c r="E21" s="127"/>
      <c r="F21" s="119"/>
      <c r="G21" s="125"/>
      <c r="H21" s="146"/>
      <c r="I21" s="1167"/>
      <c r="J21" s="125"/>
      <c r="K21" s="1167"/>
      <c r="L21" s="125"/>
      <c r="M21" s="1167"/>
      <c r="N21" s="125"/>
      <c r="O21" s="1167"/>
      <c r="P21" s="125"/>
      <c r="Q21" s="125"/>
      <c r="R21" s="125"/>
      <c r="S21" s="128"/>
      <c r="T21" s="7"/>
      <c r="U21" s="1169"/>
      <c r="V21" s="776"/>
      <c r="W21" s="776"/>
      <c r="X21" s="62"/>
      <c r="Y21" s="7"/>
      <c r="Z21" s="129"/>
      <c r="AA21" s="64"/>
      <c r="AB21" s="64"/>
      <c r="AC21" s="64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1169"/>
      <c r="AT21" s="62"/>
      <c r="AU21" s="62"/>
      <c r="AV21" s="62"/>
      <c r="AW21" s="62"/>
      <c r="AX21" s="62"/>
      <c r="AY21" s="62"/>
      <c r="AZ21" s="62"/>
      <c r="BA21" s="64"/>
      <c r="BB21" s="64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927"/>
      <c r="BO21" s="62"/>
      <c r="BP21" s="62"/>
      <c r="BQ21" s="62"/>
      <c r="BR21" s="62"/>
      <c r="BS21" s="62"/>
      <c r="BT21" s="62"/>
      <c r="BU21" s="62"/>
      <c r="BV21" s="927"/>
      <c r="BW21" s="64"/>
      <c r="BX21" s="64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927"/>
      <c r="CK21" s="62"/>
      <c r="CL21" s="62"/>
      <c r="CM21" s="62"/>
      <c r="CN21" s="62"/>
      <c r="CO21" s="62"/>
      <c r="CP21" s="1170"/>
      <c r="CQ21" s="679"/>
      <c r="CR21" s="1171"/>
      <c r="CS21" s="64"/>
      <c r="CT21" s="1200"/>
      <c r="CU21" s="510"/>
      <c r="CV21" s="510"/>
      <c r="CW21" s="510"/>
      <c r="CX21" s="510"/>
      <c r="CY21" s="510"/>
      <c r="CZ21" s="510"/>
      <c r="DA21" s="510"/>
      <c r="DB21" s="510"/>
      <c r="DC21" s="510"/>
      <c r="DD21" s="510"/>
      <c r="DE21" s="510"/>
      <c r="DF21" s="510"/>
      <c r="DG21" s="510"/>
      <c r="DH21" s="510"/>
      <c r="DI21" s="510"/>
      <c r="DJ21" s="510"/>
      <c r="DK21" s="510"/>
      <c r="DL21" s="510"/>
      <c r="DM21" s="510"/>
      <c r="DN21" s="510"/>
      <c r="DO21" s="510">
        <f t="shared" si="4"/>
        <v>0</v>
      </c>
      <c r="DP21" s="960"/>
    </row>
    <row r="22" spans="1:120" s="35" customFormat="1" x14ac:dyDescent="0.2">
      <c r="A22" s="100" t="s">
        <v>992</v>
      </c>
      <c r="B22" s="100" t="s">
        <v>993</v>
      </c>
      <c r="C22" s="100" t="s">
        <v>352</v>
      </c>
      <c r="D22" s="8">
        <v>10</v>
      </c>
      <c r="E22" s="130">
        <v>0.1</v>
      </c>
      <c r="F22" s="119">
        <v>43281</v>
      </c>
      <c r="G22" s="125">
        <v>120</v>
      </c>
      <c r="H22" s="146">
        <f>100/G22</f>
        <v>0.83333333333333337</v>
      </c>
      <c r="I22" s="1167">
        <f>H22*J22</f>
        <v>23.333333333333336</v>
      </c>
      <c r="J22" s="125">
        <f>(YEAR(F22)-YEAR(S22))*12+MONTH(F22)-MONTH(S22)</f>
        <v>28</v>
      </c>
      <c r="K22" s="1167">
        <f>L22*H22</f>
        <v>76.666666666666671</v>
      </c>
      <c r="L22" s="125">
        <f>G22-J22</f>
        <v>92</v>
      </c>
      <c r="M22" s="1167">
        <f>N22*H22</f>
        <v>23.333333333333336</v>
      </c>
      <c r="N22" s="125">
        <f>G22-L22</f>
        <v>28</v>
      </c>
      <c r="O22" s="1167">
        <f>P22*H22</f>
        <v>53.333333333333336</v>
      </c>
      <c r="P22" s="125">
        <f>L22-N22</f>
        <v>64</v>
      </c>
      <c r="Q22" s="367">
        <f>DATE(YEAR(S22),MONTH(S22)+G22,DAY(S22))</f>
        <v>46062</v>
      </c>
      <c r="R22" s="125">
        <v>28912895</v>
      </c>
      <c r="S22" s="119">
        <v>42409</v>
      </c>
      <c r="T22" s="134">
        <v>865</v>
      </c>
      <c r="U22" s="64">
        <v>0</v>
      </c>
      <c r="V22" s="62">
        <v>0</v>
      </c>
      <c r="W22" s="62">
        <v>0</v>
      </c>
      <c r="X22" s="64">
        <v>0</v>
      </c>
      <c r="Y22" s="62">
        <v>0</v>
      </c>
      <c r="Z22" s="64">
        <v>0</v>
      </c>
      <c r="AA22" s="64">
        <v>115.958</v>
      </c>
      <c r="AB22" s="62">
        <v>119.505</v>
      </c>
      <c r="AC22" s="62">
        <f>AA22/AB22</f>
        <v>0.97031923350487426</v>
      </c>
      <c r="AD22" s="62">
        <f>H22*T22/100</f>
        <v>7.2083333333333339</v>
      </c>
      <c r="AE22" s="62">
        <f>AD22*AC22</f>
        <v>6.994384474847636</v>
      </c>
      <c r="AF22" s="62"/>
      <c r="AG22" s="62"/>
      <c r="AH22" s="62"/>
      <c r="AI22" s="62"/>
      <c r="AJ22" s="62"/>
      <c r="AK22" s="1169"/>
      <c r="AL22" s="1169"/>
      <c r="AM22" s="1169"/>
      <c r="AN22" s="1169"/>
      <c r="AO22" s="1169"/>
      <c r="AP22" s="1169"/>
      <c r="AQ22" s="62"/>
      <c r="AR22" s="62"/>
      <c r="AS22" s="1169">
        <f>T22-AR22</f>
        <v>865</v>
      </c>
      <c r="AT22" s="62">
        <f>AE22</f>
        <v>6.994384474847636</v>
      </c>
      <c r="AU22" s="62"/>
      <c r="AV22" s="62"/>
      <c r="AW22" s="62"/>
      <c r="AX22" s="62"/>
      <c r="AY22" s="62">
        <f>AT22*2</f>
        <v>13.988768949695272</v>
      </c>
      <c r="AZ22" s="62">
        <f>7.08</f>
        <v>7.08</v>
      </c>
      <c r="BA22" s="64">
        <v>118.901</v>
      </c>
      <c r="BB22" s="62">
        <v>119.505</v>
      </c>
      <c r="BC22" s="62">
        <f>BA22/BB22</f>
        <v>0.99494581816660388</v>
      </c>
      <c r="BD22" s="62">
        <f>T22/(D22*12)</f>
        <v>7.208333333333333</v>
      </c>
      <c r="BE22" s="62">
        <f>BD22*BC22</f>
        <v>7.1719011059509361</v>
      </c>
      <c r="BF22" s="62">
        <f t="shared" ref="BF22:BL22" si="6">$BE22</f>
        <v>7.1719011059509361</v>
      </c>
      <c r="BG22" s="62">
        <f t="shared" si="6"/>
        <v>7.1719011059509361</v>
      </c>
      <c r="BH22" s="62">
        <f t="shared" si="6"/>
        <v>7.1719011059509361</v>
      </c>
      <c r="BI22" s="62">
        <f t="shared" si="6"/>
        <v>7.1719011059509361</v>
      </c>
      <c r="BJ22" s="62">
        <f t="shared" si="6"/>
        <v>7.1719011059509361</v>
      </c>
      <c r="BK22" s="62">
        <f t="shared" si="6"/>
        <v>7.1719011059509361</v>
      </c>
      <c r="BL22" s="62">
        <f t="shared" si="6"/>
        <v>7.1719011059509361</v>
      </c>
      <c r="BM22" s="62">
        <f>SUM((AV22:AZ22),(BF22:BL22))</f>
        <v>71.272076691351828</v>
      </c>
      <c r="BN22" s="927">
        <f>(AS22-BM22)</f>
        <v>793.7279233086482</v>
      </c>
      <c r="BO22" s="62">
        <f>$BE22</f>
        <v>7.1719011059509361</v>
      </c>
      <c r="BP22" s="62">
        <f>$BE22</f>
        <v>7.1719011059509361</v>
      </c>
      <c r="BQ22" s="62">
        <f>$BE22</f>
        <v>7.1719011059509361</v>
      </c>
      <c r="BR22" s="62">
        <f>$BE22</f>
        <v>7.1719011059509361</v>
      </c>
      <c r="BS22" s="62">
        <f>$BE22</f>
        <v>7.1719011059509361</v>
      </c>
      <c r="BT22" s="62">
        <f>SUM(BO22:BS22)</f>
        <v>35.859505529754678</v>
      </c>
      <c r="BU22" s="1204">
        <f>BN22-BT22</f>
        <v>757.86841777889356</v>
      </c>
      <c r="BV22" s="927">
        <v>757.86841777889356</v>
      </c>
      <c r="BW22" s="64">
        <v>132.28200000000001</v>
      </c>
      <c r="BX22" s="62">
        <v>119.505</v>
      </c>
      <c r="BY22" s="62">
        <f>BW22/BX22</f>
        <v>1.1069160286180495</v>
      </c>
      <c r="BZ22" s="62">
        <f>BV22/L22</f>
        <v>8.237700193248843</v>
      </c>
      <c r="CA22" s="62">
        <f>BZ22*BY22</f>
        <v>9.1184423828571486</v>
      </c>
      <c r="CB22" s="62">
        <v>6.6803781539541154</v>
      </c>
      <c r="CC22" s="62">
        <v>6.6803781539541154</v>
      </c>
      <c r="CD22" s="62">
        <v>6.6803781539541154</v>
      </c>
      <c r="CE22" s="62">
        <v>6.6803781539541154</v>
      </c>
      <c r="CF22" s="62">
        <v>6.6803781539541154</v>
      </c>
      <c r="CG22" s="62">
        <v>6.6803781539541154</v>
      </c>
      <c r="CH22" s="62">
        <v>6.6803781539541154</v>
      </c>
      <c r="CI22" s="62">
        <f>SUM(CB22:CH22)</f>
        <v>46.762647077678807</v>
      </c>
      <c r="CJ22" s="927">
        <f>BV22-CI22</f>
        <v>711.10577070121474</v>
      </c>
      <c r="CK22" s="62">
        <v>6.6803781539541154</v>
      </c>
      <c r="CL22" s="62">
        <v>6.6803781539541154</v>
      </c>
      <c r="CM22" s="62">
        <v>6.6803781539541154</v>
      </c>
      <c r="CN22" s="62">
        <v>6.6803781539541154</v>
      </c>
      <c r="CO22" s="62">
        <v>6.6803781539541154</v>
      </c>
      <c r="CP22" s="1170">
        <f>SUM(CK22:CO22)</f>
        <v>33.401890769770574</v>
      </c>
      <c r="CQ22" s="679">
        <f>CJ22-CP22</f>
        <v>677.70387993144413</v>
      </c>
      <c r="CR22" s="1171">
        <v>132.28200000000001</v>
      </c>
      <c r="CS22" s="62">
        <v>119.505</v>
      </c>
      <c r="CT22" s="1200">
        <f>CR22/CS22</f>
        <v>1.1069160286180495</v>
      </c>
      <c r="CU22" s="510">
        <f>CQ22/N22</f>
        <v>24.203709997551577</v>
      </c>
      <c r="CV22" s="510">
        <f>CU22*CT22</f>
        <v>26.791474548312774</v>
      </c>
      <c r="CW22" s="510">
        <v>26.791474548312774</v>
      </c>
      <c r="CX22" s="510">
        <v>26.791474548312774</v>
      </c>
      <c r="CY22" s="510">
        <v>26.791474548312774</v>
      </c>
      <c r="CZ22" s="510">
        <v>26.791474548312774</v>
      </c>
      <c r="DA22" s="510">
        <v>26.791474548312774</v>
      </c>
      <c r="DB22" s="510">
        <v>26.791474548312774</v>
      </c>
      <c r="DC22" s="510">
        <v>26.791474548312774</v>
      </c>
      <c r="DD22" s="510">
        <v>26.791474548312774</v>
      </c>
      <c r="DE22" s="510">
        <v>26.791474548312774</v>
      </c>
      <c r="DF22" s="510">
        <v>26.791474548312774</v>
      </c>
      <c r="DG22" s="510">
        <v>26.791474548312774</v>
      </c>
      <c r="DH22" s="510">
        <v>26.791474548312774</v>
      </c>
      <c r="DI22" s="510">
        <v>26.791474548312774</v>
      </c>
      <c r="DJ22" s="510">
        <v>26.791474548312774</v>
      </c>
      <c r="DK22" s="510">
        <v>26.791474548312774</v>
      </c>
      <c r="DL22" s="510">
        <v>26.791474548312774</v>
      </c>
      <c r="DM22" s="510">
        <v>26.791474548312774</v>
      </c>
      <c r="DN22" s="510">
        <v>26.791474548312774</v>
      </c>
      <c r="DO22" s="510">
        <f t="shared" si="4"/>
        <v>482.24654186962971</v>
      </c>
      <c r="DP22" s="960">
        <f>CQ22-DO22</f>
        <v>195.45733806181443</v>
      </c>
    </row>
    <row r="23" spans="1:120" s="35" customFormat="1" x14ac:dyDescent="0.2">
      <c r="A23" s="120" t="s">
        <v>65</v>
      </c>
      <c r="B23" s="120" t="s">
        <v>87</v>
      </c>
      <c r="C23" s="100"/>
      <c r="D23" s="125"/>
      <c r="E23" s="127"/>
      <c r="F23" s="119"/>
      <c r="G23" s="125"/>
      <c r="H23" s="146"/>
      <c r="I23" s="1167"/>
      <c r="J23" s="125"/>
      <c r="K23" s="1167"/>
      <c r="L23" s="125"/>
      <c r="M23" s="1167"/>
      <c r="N23" s="125"/>
      <c r="O23" s="1167"/>
      <c r="P23" s="125"/>
      <c r="Q23" s="125"/>
      <c r="R23" s="125"/>
      <c r="S23" s="128"/>
      <c r="T23" s="7"/>
      <c r="U23" s="1169"/>
      <c r="V23" s="776"/>
      <c r="W23" s="776"/>
      <c r="X23" s="62"/>
      <c r="Y23" s="7"/>
      <c r="Z23" s="129"/>
      <c r="AA23" s="64"/>
      <c r="AB23" s="146"/>
      <c r="AC23" s="64"/>
      <c r="AD23" s="1184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1169"/>
      <c r="AT23" s="62"/>
      <c r="AU23" s="62"/>
      <c r="AV23" s="62">
        <f t="shared" si="2"/>
        <v>0</v>
      </c>
      <c r="AW23" s="62">
        <f t="shared" si="2"/>
        <v>0</v>
      </c>
      <c r="AX23" s="62">
        <f t="shared" si="2"/>
        <v>0</v>
      </c>
      <c r="AY23" s="62"/>
      <c r="AZ23" s="62"/>
      <c r="BA23" s="64"/>
      <c r="BB23" s="146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927"/>
      <c r="BO23" s="62"/>
      <c r="BP23" s="62"/>
      <c r="BQ23" s="62"/>
      <c r="BR23" s="62"/>
      <c r="BS23" s="62"/>
      <c r="BT23" s="62"/>
      <c r="BU23" s="62"/>
      <c r="BV23" s="927"/>
      <c r="BW23" s="64"/>
      <c r="BX23" s="146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927"/>
      <c r="CK23" s="62"/>
      <c r="CL23" s="62"/>
      <c r="CM23" s="62"/>
      <c r="CN23" s="62"/>
      <c r="CO23" s="62"/>
      <c r="CP23" s="1170"/>
      <c r="CQ23" s="679"/>
      <c r="CR23" s="510"/>
      <c r="CS23" s="146"/>
      <c r="CT23" s="1200"/>
      <c r="CU23" s="510"/>
      <c r="CV23" s="510"/>
      <c r="CW23" s="510"/>
      <c r="CX23" s="510"/>
      <c r="CY23" s="510"/>
      <c r="CZ23" s="510"/>
      <c r="DA23" s="510"/>
      <c r="DB23" s="510"/>
      <c r="DC23" s="510"/>
      <c r="DD23" s="510"/>
      <c r="DE23" s="510"/>
      <c r="DF23" s="510"/>
      <c r="DG23" s="510"/>
      <c r="DH23" s="510"/>
      <c r="DI23" s="510"/>
      <c r="DJ23" s="510"/>
      <c r="DK23" s="510"/>
      <c r="DL23" s="510"/>
      <c r="DM23" s="510"/>
      <c r="DN23" s="510"/>
      <c r="DO23" s="510">
        <f t="shared" si="4"/>
        <v>0</v>
      </c>
      <c r="DP23" s="960"/>
    </row>
    <row r="24" spans="1:120" s="35" customFormat="1" ht="14.25" customHeight="1" x14ac:dyDescent="0.2">
      <c r="A24" s="120" t="s">
        <v>83</v>
      </c>
      <c r="B24" s="100"/>
      <c r="C24" s="100"/>
      <c r="D24" s="125"/>
      <c r="E24" s="127"/>
      <c r="F24" s="119"/>
      <c r="G24" s="125"/>
      <c r="H24" s="146"/>
      <c r="I24" s="1167"/>
      <c r="J24" s="125"/>
      <c r="K24" s="1167"/>
      <c r="L24" s="125"/>
      <c r="M24" s="1167"/>
      <c r="N24" s="125"/>
      <c r="O24" s="1167"/>
      <c r="P24" s="125"/>
      <c r="Q24" s="125"/>
      <c r="R24" s="125"/>
      <c r="S24" s="128"/>
      <c r="T24" s="7"/>
      <c r="U24" s="1169"/>
      <c r="V24" s="776"/>
      <c r="W24" s="776"/>
      <c r="X24" s="62"/>
      <c r="Y24" s="7"/>
      <c r="Z24" s="129"/>
      <c r="AA24" s="64"/>
      <c r="AB24" s="146"/>
      <c r="AC24" s="64"/>
      <c r="AD24" s="1184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1169"/>
      <c r="AT24" s="62"/>
      <c r="AU24" s="62"/>
      <c r="AV24" s="62">
        <f t="shared" si="2"/>
        <v>0</v>
      </c>
      <c r="AW24" s="62">
        <f t="shared" si="2"/>
        <v>0</v>
      </c>
      <c r="AX24" s="62">
        <f t="shared" si="2"/>
        <v>0</v>
      </c>
      <c r="AY24" s="62"/>
      <c r="AZ24" s="62"/>
      <c r="BA24" s="64"/>
      <c r="BB24" s="146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927"/>
      <c r="BO24" s="62"/>
      <c r="BP24" s="62"/>
      <c r="BQ24" s="62"/>
      <c r="BR24" s="62"/>
      <c r="BS24" s="62"/>
      <c r="BT24" s="62"/>
      <c r="BU24" s="62"/>
      <c r="BV24" s="927"/>
      <c r="BW24" s="64"/>
      <c r="BX24" s="146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927"/>
      <c r="CK24" s="62"/>
      <c r="CL24" s="62"/>
      <c r="CM24" s="62"/>
      <c r="CN24" s="62"/>
      <c r="CO24" s="62"/>
      <c r="CP24" s="1170"/>
      <c r="CQ24" s="679"/>
      <c r="CR24" s="1174"/>
      <c r="CS24" s="146"/>
      <c r="CT24" s="1200"/>
      <c r="CU24" s="510"/>
      <c r="CV24" s="510"/>
      <c r="CW24" s="510"/>
      <c r="CX24" s="510"/>
      <c r="CY24" s="510"/>
      <c r="CZ24" s="510"/>
      <c r="DA24" s="510"/>
      <c r="DB24" s="510"/>
      <c r="DC24" s="510"/>
      <c r="DD24" s="510"/>
      <c r="DE24" s="510"/>
      <c r="DF24" s="510"/>
      <c r="DG24" s="510"/>
      <c r="DH24" s="510"/>
      <c r="DI24" s="510"/>
      <c r="DJ24" s="510"/>
      <c r="DK24" s="510"/>
      <c r="DL24" s="510"/>
      <c r="DM24" s="510"/>
      <c r="DN24" s="510"/>
      <c r="DO24" s="510">
        <f t="shared" si="4"/>
        <v>0</v>
      </c>
      <c r="DP24" s="960">
        <f>CX24-DO24</f>
        <v>0</v>
      </c>
    </row>
    <row r="25" spans="1:120" s="35" customFormat="1" x14ac:dyDescent="0.2">
      <c r="A25" s="100" t="s">
        <v>716</v>
      </c>
      <c r="B25" s="100" t="s">
        <v>713</v>
      </c>
      <c r="C25" s="100" t="s">
        <v>352</v>
      </c>
      <c r="D25" s="8">
        <v>10</v>
      </c>
      <c r="E25" s="130">
        <v>0.1</v>
      </c>
      <c r="F25" s="119">
        <v>43281</v>
      </c>
      <c r="G25" s="125">
        <v>120</v>
      </c>
      <c r="H25" s="146">
        <f>100/G25</f>
        <v>0.83333333333333337</v>
      </c>
      <c r="I25" s="1167">
        <f>H25*J25</f>
        <v>25.833333333333336</v>
      </c>
      <c r="J25" s="125">
        <f>(YEAR(F25)-YEAR(S25))*12+MONTH(F25)-MONTH(S25)</f>
        <v>31</v>
      </c>
      <c r="K25" s="1167">
        <f>L25*H25</f>
        <v>74.166666666666671</v>
      </c>
      <c r="L25" s="125">
        <f>G25-J25</f>
        <v>89</v>
      </c>
      <c r="M25" s="1167">
        <f>N25*H25</f>
        <v>25.833333333333336</v>
      </c>
      <c r="N25" s="125">
        <f>G25-L25</f>
        <v>31</v>
      </c>
      <c r="O25" s="1167">
        <f>P25*H25</f>
        <v>48.333333333333336</v>
      </c>
      <c r="P25" s="125">
        <f>L25-N25</f>
        <v>58</v>
      </c>
      <c r="Q25" s="367">
        <f>DATE(YEAR(S25),MONTH(S25)+G25,DAY(S25))</f>
        <v>45988</v>
      </c>
      <c r="R25" s="125">
        <v>4658</v>
      </c>
      <c r="S25" s="119">
        <v>42335</v>
      </c>
      <c r="T25" s="134">
        <v>734</v>
      </c>
      <c r="U25" s="64">
        <v>0</v>
      </c>
      <c r="V25" s="62">
        <v>0</v>
      </c>
      <c r="W25" s="62">
        <v>0</v>
      </c>
      <c r="X25" s="64">
        <v>0</v>
      </c>
      <c r="Y25" s="62">
        <v>0</v>
      </c>
      <c r="Z25" s="64">
        <v>0</v>
      </c>
      <c r="AA25" s="64">
        <v>115.958</v>
      </c>
      <c r="AB25" s="62">
        <v>118.051</v>
      </c>
      <c r="AC25" s="62">
        <f>AA25/AB25</f>
        <v>0.98227037466857536</v>
      </c>
      <c r="AD25" s="62">
        <f>H25*T25/100</f>
        <v>6.1166666666666671</v>
      </c>
      <c r="AE25" s="62">
        <f>AD25*AC25</f>
        <v>6.0082204583894532</v>
      </c>
      <c r="AF25" s="62"/>
      <c r="AG25" s="62"/>
      <c r="AH25" s="62"/>
      <c r="AI25" s="62"/>
      <c r="AJ25" s="62"/>
      <c r="AK25" s="1169"/>
      <c r="AL25" s="1169"/>
      <c r="AM25" s="1169"/>
      <c r="AN25" s="1169"/>
      <c r="AO25" s="1169"/>
      <c r="AP25" s="1169"/>
      <c r="AQ25" s="62">
        <f>AE25</f>
        <v>6.0082204583894532</v>
      </c>
      <c r="AR25" s="62">
        <v>6.01</v>
      </c>
      <c r="AS25" s="1169">
        <f>T25-AR25</f>
        <v>727.99</v>
      </c>
      <c r="AT25" s="62"/>
      <c r="AU25" s="62"/>
      <c r="AV25" s="62">
        <f t="shared" si="2"/>
        <v>6.0082204583894532</v>
      </c>
      <c r="AW25" s="62">
        <f t="shared" si="2"/>
        <v>6.0082204583894532</v>
      </c>
      <c r="AX25" s="62">
        <f t="shared" si="2"/>
        <v>6.0082204583894532</v>
      </c>
      <c r="AY25" s="62">
        <f t="shared" si="2"/>
        <v>6.0082204583894532</v>
      </c>
      <c r="AZ25" s="62">
        <f t="shared" si="2"/>
        <v>6.0082204583894532</v>
      </c>
      <c r="BA25" s="64">
        <v>118.901</v>
      </c>
      <c r="BB25" s="62">
        <v>118.051</v>
      </c>
      <c r="BC25" s="62">
        <f>BA25/BB25</f>
        <v>1.0072002778460156</v>
      </c>
      <c r="BD25" s="62">
        <f>T25/(D25*12)</f>
        <v>6.1166666666666663</v>
      </c>
      <c r="BE25" s="62">
        <f>BD25*BC25</f>
        <v>6.1607083661581283</v>
      </c>
      <c r="BF25" s="62">
        <f t="shared" ref="BF25:BL25" si="7">$BE25</f>
        <v>6.1607083661581283</v>
      </c>
      <c r="BG25" s="62">
        <f t="shared" si="7"/>
        <v>6.1607083661581283</v>
      </c>
      <c r="BH25" s="62">
        <f t="shared" si="7"/>
        <v>6.1607083661581283</v>
      </c>
      <c r="BI25" s="62">
        <f t="shared" si="7"/>
        <v>6.1607083661581283</v>
      </c>
      <c r="BJ25" s="62">
        <f t="shared" si="7"/>
        <v>6.1607083661581283</v>
      </c>
      <c r="BK25" s="62">
        <f t="shared" si="7"/>
        <v>6.1607083661581283</v>
      </c>
      <c r="BL25" s="62">
        <f t="shared" si="7"/>
        <v>6.1607083661581283</v>
      </c>
      <c r="BM25" s="62">
        <f>SUM((AV25:AZ25),(BF25:BL25))</f>
        <v>73.166060855054155</v>
      </c>
      <c r="BN25" s="927">
        <f>(AS25-BM25)</f>
        <v>654.82393914494583</v>
      </c>
      <c r="BO25" s="62">
        <f>$BE25</f>
        <v>6.1607083661581283</v>
      </c>
      <c r="BP25" s="62">
        <f>$BE25</f>
        <v>6.1607083661581283</v>
      </c>
      <c r="BQ25" s="62">
        <f>$BE25</f>
        <v>6.1607083661581283</v>
      </c>
      <c r="BR25" s="62">
        <f>$BE25</f>
        <v>6.1607083661581283</v>
      </c>
      <c r="BS25" s="62">
        <f>$BE25</f>
        <v>6.1607083661581283</v>
      </c>
      <c r="BT25" s="62">
        <f>SUM(BO25:BS25)</f>
        <v>30.803541830790643</v>
      </c>
      <c r="BU25" s="1204">
        <f>BN25-BT25</f>
        <v>624.02039731415516</v>
      </c>
      <c r="BV25" s="927">
        <v>624.02039731415516</v>
      </c>
      <c r="BW25" s="64">
        <v>132.28200000000001</v>
      </c>
      <c r="BX25" s="62">
        <v>118.051</v>
      </c>
      <c r="BY25" s="62">
        <f>BW25/BX25</f>
        <v>1.1205495929725289</v>
      </c>
      <c r="BZ25" s="62">
        <f>BV25/L25</f>
        <v>7.0114651383612943</v>
      </c>
      <c r="CA25" s="62">
        <f>BZ25*BY25</f>
        <v>7.8566944069318243</v>
      </c>
      <c r="CB25" s="62">
        <v>6.6157989933774823</v>
      </c>
      <c r="CC25" s="62">
        <v>6.6157989933774823</v>
      </c>
      <c r="CD25" s="62">
        <v>6.6157989933774823</v>
      </c>
      <c r="CE25" s="62">
        <v>6.6157989933774823</v>
      </c>
      <c r="CF25" s="62">
        <v>6.6157989933774823</v>
      </c>
      <c r="CG25" s="62">
        <v>6.6157989933774823</v>
      </c>
      <c r="CH25" s="62">
        <v>6.6157989933774823</v>
      </c>
      <c r="CI25" s="62">
        <f>SUM(CB25:CH25)</f>
        <v>46.310592953642377</v>
      </c>
      <c r="CJ25" s="927">
        <f>BV25-CI25</f>
        <v>577.70980436051275</v>
      </c>
      <c r="CK25" s="62">
        <v>6.6157989933774823</v>
      </c>
      <c r="CL25" s="62">
        <v>6.6157989933774823</v>
      </c>
      <c r="CM25" s="62">
        <v>6.6157989933774823</v>
      </c>
      <c r="CN25" s="62">
        <v>6.6157989933774823</v>
      </c>
      <c r="CO25" s="62">
        <v>6.6157989933774823</v>
      </c>
      <c r="CP25" s="1170">
        <f>SUM(CK25:CO25)</f>
        <v>33.078994966887414</v>
      </c>
      <c r="CQ25" s="679">
        <f>CJ25-CP25</f>
        <v>544.63080939362533</v>
      </c>
      <c r="CR25" s="1171">
        <v>132.28200000000001</v>
      </c>
      <c r="CS25" s="62">
        <v>118.051</v>
      </c>
      <c r="CT25" s="1200">
        <f>CR25/CS25</f>
        <v>1.1205495929725289</v>
      </c>
      <c r="CU25" s="510">
        <f>CQ25/N25</f>
        <v>17.568735786891139</v>
      </c>
      <c r="CV25" s="510">
        <f>CU25*CT25</f>
        <v>19.686639735042768</v>
      </c>
      <c r="CW25" s="510">
        <v>19.686639735042768</v>
      </c>
      <c r="CX25" s="510">
        <v>19.686639735042768</v>
      </c>
      <c r="CY25" s="510">
        <v>19.686639735042768</v>
      </c>
      <c r="CZ25" s="510">
        <v>19.686639735042768</v>
      </c>
      <c r="DA25" s="510">
        <v>19.686639735042768</v>
      </c>
      <c r="DB25" s="510">
        <v>19.686639735042768</v>
      </c>
      <c r="DC25" s="510">
        <v>19.686639735042768</v>
      </c>
      <c r="DD25" s="510">
        <v>19.686639735042768</v>
      </c>
      <c r="DE25" s="510">
        <v>19.686639735042768</v>
      </c>
      <c r="DF25" s="510">
        <v>19.686639735042768</v>
      </c>
      <c r="DG25" s="510">
        <v>19.686639735042768</v>
      </c>
      <c r="DH25" s="510">
        <v>19.686639735042768</v>
      </c>
      <c r="DI25" s="510">
        <v>19.686639735042768</v>
      </c>
      <c r="DJ25" s="510">
        <v>19.686639735042768</v>
      </c>
      <c r="DK25" s="510">
        <v>19.686639735042768</v>
      </c>
      <c r="DL25" s="510">
        <v>19.686639735042768</v>
      </c>
      <c r="DM25" s="510">
        <v>19.686639735042768</v>
      </c>
      <c r="DN25" s="510">
        <v>19.686639735042768</v>
      </c>
      <c r="DO25" s="510">
        <f t="shared" si="4"/>
        <v>354.35951523076989</v>
      </c>
      <c r="DP25" s="960">
        <f>CQ25-DO25</f>
        <v>190.27129416285544</v>
      </c>
    </row>
    <row r="26" spans="1:120" s="35" customFormat="1" x14ac:dyDescent="0.2">
      <c r="A26" s="120" t="s">
        <v>65</v>
      </c>
      <c r="B26" s="120"/>
      <c r="C26" s="124"/>
      <c r="D26" s="111"/>
      <c r="E26" s="111"/>
      <c r="F26" s="119"/>
      <c r="G26" s="125"/>
      <c r="H26" s="146"/>
      <c r="I26" s="1167"/>
      <c r="J26" s="125"/>
      <c r="K26" s="1167"/>
      <c r="L26" s="125"/>
      <c r="M26" s="1167"/>
      <c r="N26" s="125"/>
      <c r="O26" s="1167"/>
      <c r="P26" s="125"/>
      <c r="Q26" s="125"/>
      <c r="R26" s="125"/>
      <c r="S26" s="119"/>
      <c r="T26" s="7"/>
      <c r="U26" s="1169"/>
      <c r="V26" s="776"/>
      <c r="W26" s="776"/>
      <c r="X26" s="62"/>
      <c r="Y26" s="7"/>
      <c r="Z26" s="129"/>
      <c r="AA26" s="64"/>
      <c r="AB26" s="82"/>
      <c r="AC26" s="64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1169"/>
      <c r="AT26" s="62"/>
      <c r="AU26" s="62"/>
      <c r="AV26" s="62">
        <f t="shared" si="2"/>
        <v>0</v>
      </c>
      <c r="AW26" s="62">
        <f t="shared" si="2"/>
        <v>0</v>
      </c>
      <c r="AX26" s="62">
        <f t="shared" si="2"/>
        <v>0</v>
      </c>
      <c r="AY26" s="62">
        <f t="shared" si="2"/>
        <v>0</v>
      </c>
      <c r="AZ26" s="62">
        <f t="shared" si="2"/>
        <v>0</v>
      </c>
      <c r="BA26" s="64"/>
      <c r="BB26" s="8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927"/>
      <c r="BO26" s="62"/>
      <c r="BP26" s="62"/>
      <c r="BQ26" s="62"/>
      <c r="BR26" s="62"/>
      <c r="BS26" s="62"/>
      <c r="BT26" s="62"/>
      <c r="BU26" s="62"/>
      <c r="BV26" s="927"/>
      <c r="BW26" s="64"/>
      <c r="BX26" s="8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927"/>
      <c r="CK26" s="62"/>
      <c r="CL26" s="62"/>
      <c r="CM26" s="62"/>
      <c r="CN26" s="62"/>
      <c r="CO26" s="62"/>
      <c r="CP26" s="1170"/>
      <c r="CQ26" s="679"/>
      <c r="CR26" s="62"/>
      <c r="CS26" s="8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510">
        <f t="shared" si="4"/>
        <v>0</v>
      </c>
      <c r="DP26" s="63"/>
    </row>
    <row r="27" spans="1:120" s="35" customFormat="1" x14ac:dyDescent="0.2">
      <c r="A27" s="120" t="s">
        <v>97</v>
      </c>
      <c r="B27" s="100"/>
      <c r="C27" s="100"/>
      <c r="D27" s="8"/>
      <c r="E27" s="130"/>
      <c r="F27" s="119"/>
      <c r="G27" s="252"/>
      <c r="H27" s="146"/>
      <c r="I27" s="1167"/>
      <c r="J27" s="125"/>
      <c r="K27" s="1167"/>
      <c r="L27" s="125"/>
      <c r="M27" s="1167"/>
      <c r="N27" s="125"/>
      <c r="O27" s="1167"/>
      <c r="P27" s="125"/>
      <c r="Q27" s="125"/>
      <c r="R27" s="125"/>
      <c r="S27" s="128"/>
      <c r="T27" s="129"/>
      <c r="U27" s="1169"/>
      <c r="V27" s="776"/>
      <c r="W27" s="776"/>
      <c r="X27" s="62"/>
      <c r="Y27" s="7"/>
      <c r="Z27" s="129"/>
      <c r="AA27" s="64"/>
      <c r="AB27" s="82"/>
      <c r="AC27" s="64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1169"/>
      <c r="AT27" s="62"/>
      <c r="AU27" s="62"/>
      <c r="AV27" s="62">
        <f t="shared" si="2"/>
        <v>0</v>
      </c>
      <c r="AW27" s="62">
        <f t="shared" si="2"/>
        <v>0</v>
      </c>
      <c r="AX27" s="62">
        <f t="shared" si="2"/>
        <v>0</v>
      </c>
      <c r="AY27" s="62">
        <f t="shared" si="2"/>
        <v>0</v>
      </c>
      <c r="AZ27" s="62">
        <f t="shared" si="2"/>
        <v>0</v>
      </c>
      <c r="BA27" s="64"/>
      <c r="BB27" s="8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927"/>
      <c r="BO27" s="62"/>
      <c r="BP27" s="62"/>
      <c r="BQ27" s="62"/>
      <c r="BR27" s="62"/>
      <c r="BS27" s="62"/>
      <c r="BT27" s="62"/>
      <c r="BU27" s="62"/>
      <c r="BV27" s="927"/>
      <c r="BW27" s="64"/>
      <c r="BX27" s="8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927"/>
      <c r="CK27" s="62"/>
      <c r="CL27" s="62"/>
      <c r="CM27" s="62"/>
      <c r="CN27" s="62"/>
      <c r="CO27" s="62"/>
      <c r="CP27" s="1170"/>
      <c r="CQ27" s="679"/>
      <c r="CR27" s="1171"/>
      <c r="CS27" s="82"/>
      <c r="CT27" s="1200"/>
      <c r="CU27" s="510"/>
      <c r="CV27" s="510"/>
      <c r="CW27" s="510"/>
      <c r="CX27" s="510"/>
      <c r="CY27" s="510"/>
      <c r="CZ27" s="510"/>
      <c r="DA27" s="510"/>
      <c r="DB27" s="510"/>
      <c r="DC27" s="510"/>
      <c r="DD27" s="510"/>
      <c r="DE27" s="510"/>
      <c r="DF27" s="510"/>
      <c r="DG27" s="510"/>
      <c r="DH27" s="510"/>
      <c r="DI27" s="510"/>
      <c r="DJ27" s="510"/>
      <c r="DK27" s="510"/>
      <c r="DL27" s="510"/>
      <c r="DM27" s="510"/>
      <c r="DN27" s="510"/>
      <c r="DO27" s="510">
        <f t="shared" si="4"/>
        <v>0</v>
      </c>
      <c r="DP27" s="960"/>
    </row>
    <row r="28" spans="1:120" s="35" customFormat="1" x14ac:dyDescent="0.2">
      <c r="A28" s="242" t="s">
        <v>371</v>
      </c>
      <c r="B28" s="100" t="s">
        <v>372</v>
      </c>
      <c r="C28" s="100" t="s">
        <v>352</v>
      </c>
      <c r="D28" s="8">
        <v>10</v>
      </c>
      <c r="E28" s="127">
        <v>0.1</v>
      </c>
      <c r="F28" s="119">
        <v>43281</v>
      </c>
      <c r="G28" s="125">
        <v>120</v>
      </c>
      <c r="H28" s="146">
        <f>100/G28</f>
        <v>0.83333333333333337</v>
      </c>
      <c r="I28" s="1167">
        <f>H28*J28</f>
        <v>84.166666666666671</v>
      </c>
      <c r="J28" s="125">
        <f>(YEAR(F28)-YEAR(S28))*12+MONTH(F28)-MONTH(S28)</f>
        <v>101</v>
      </c>
      <c r="K28" s="1167">
        <f>L28*H28</f>
        <v>15.833333333333334</v>
      </c>
      <c r="L28" s="125">
        <f>G28-J28</f>
        <v>19</v>
      </c>
      <c r="M28" s="1167">
        <f>N28*H28</f>
        <v>84.166666666666671</v>
      </c>
      <c r="N28" s="125">
        <f>G28-L28</f>
        <v>101</v>
      </c>
      <c r="O28" s="1167">
        <f>K28-M28</f>
        <v>-68.333333333333343</v>
      </c>
      <c r="P28" s="125">
        <f>L28-N28</f>
        <v>-82</v>
      </c>
      <c r="Q28" s="367">
        <f>DATE(YEAR(S28),MONTH(S28)+G28,DAY(S28))</f>
        <v>43831</v>
      </c>
      <c r="R28" s="125" t="s">
        <v>360</v>
      </c>
      <c r="S28" s="128">
        <v>40179</v>
      </c>
      <c r="T28" s="7">
        <v>2700</v>
      </c>
      <c r="U28" s="1169"/>
      <c r="V28" s="776">
        <v>270</v>
      </c>
      <c r="W28" s="776">
        <v>1350</v>
      </c>
      <c r="X28" s="62">
        <v>22.5</v>
      </c>
      <c r="Y28" s="7">
        <f>X28*5</f>
        <v>112.5</v>
      </c>
      <c r="Z28" s="129">
        <f>W28-Y28</f>
        <v>1237.5</v>
      </c>
      <c r="AA28" s="64">
        <v>115.958</v>
      </c>
      <c r="AB28" s="64">
        <v>140.047</v>
      </c>
      <c r="AC28" s="64">
        <f>AA28/AB28</f>
        <v>0.82799345933865065</v>
      </c>
      <c r="AD28" s="62">
        <f>Z28*M28/100/K28*100/7</f>
        <v>939.75563909774439</v>
      </c>
      <c r="AE28" s="62">
        <f>AD28*AC28</f>
        <v>778.11152254954584</v>
      </c>
      <c r="AF28" s="62"/>
      <c r="AG28" s="62"/>
      <c r="AH28" s="62"/>
      <c r="AI28" s="62"/>
      <c r="AJ28" s="62"/>
      <c r="AK28" s="62">
        <f>AE28</f>
        <v>778.11152254954584</v>
      </c>
      <c r="AL28" s="62">
        <v>18.629852835119642</v>
      </c>
      <c r="AM28" s="62">
        <v>18.629852835119642</v>
      </c>
      <c r="AN28" s="62">
        <v>18.629852835119642</v>
      </c>
      <c r="AO28" s="62">
        <v>18.629852835119642</v>
      </c>
      <c r="AP28" s="62">
        <v>18.629852835119642</v>
      </c>
      <c r="AQ28" s="62">
        <v>18.629852835119642</v>
      </c>
      <c r="AR28" s="62">
        <f>SUM(AF28:AQ28)</f>
        <v>889.89063956026382</v>
      </c>
      <c r="AS28" s="1169">
        <f>Z28-AR28</f>
        <v>347.60936043973618</v>
      </c>
      <c r="AT28" s="62"/>
      <c r="AU28" s="62"/>
      <c r="AV28" s="62">
        <f t="shared" si="2"/>
        <v>18.629852835119642</v>
      </c>
      <c r="AW28" s="62">
        <f t="shared" si="2"/>
        <v>18.629852835119642</v>
      </c>
      <c r="AX28" s="62">
        <f t="shared" si="2"/>
        <v>18.629852835119642</v>
      </c>
      <c r="AY28" s="62">
        <f t="shared" si="2"/>
        <v>18.629852835119642</v>
      </c>
      <c r="AZ28" s="62">
        <f t="shared" si="2"/>
        <v>18.629852835119642</v>
      </c>
      <c r="BA28" s="64">
        <v>118.901</v>
      </c>
      <c r="BB28" s="64">
        <v>140.047</v>
      </c>
      <c r="BC28" s="62">
        <f>BA28/BB28</f>
        <v>0.84900783308460726</v>
      </c>
      <c r="BD28" s="62">
        <f>T28/(D28*12)</f>
        <v>22.5</v>
      </c>
      <c r="BE28" s="62">
        <f>BD28*BC28</f>
        <v>19.102676244403664</v>
      </c>
      <c r="BF28" s="62">
        <f t="shared" ref="BF28:BL28" si="8">$BE28</f>
        <v>19.102676244403664</v>
      </c>
      <c r="BG28" s="62">
        <f t="shared" si="8"/>
        <v>19.102676244403664</v>
      </c>
      <c r="BH28" s="62">
        <f t="shared" si="8"/>
        <v>19.102676244403664</v>
      </c>
      <c r="BI28" s="62">
        <f t="shared" si="8"/>
        <v>19.102676244403664</v>
      </c>
      <c r="BJ28" s="62">
        <f t="shared" si="8"/>
        <v>19.102676244403664</v>
      </c>
      <c r="BK28" s="62">
        <f t="shared" si="8"/>
        <v>19.102676244403664</v>
      </c>
      <c r="BL28" s="62">
        <f t="shared" si="8"/>
        <v>19.102676244403664</v>
      </c>
      <c r="BM28" s="62">
        <f>SUM((AV28:AZ28),(BF28:BL28))</f>
        <v>226.86799788642381</v>
      </c>
      <c r="BN28" s="927">
        <f>(AS28-BM28)</f>
        <v>120.74136255331237</v>
      </c>
      <c r="BO28" s="62">
        <f>$BE28</f>
        <v>19.102676244403664</v>
      </c>
      <c r="BP28" s="62">
        <f>$BE28</f>
        <v>19.102676244403664</v>
      </c>
      <c r="BQ28" s="62">
        <f>$BE28</f>
        <v>19.102676244403664</v>
      </c>
      <c r="BR28" s="62">
        <f>$BE28</f>
        <v>19.102676244403664</v>
      </c>
      <c r="BS28" s="62">
        <f>$BE28</f>
        <v>19.102676244403664</v>
      </c>
      <c r="BT28" s="62">
        <f>SUM(BO28:BS28)</f>
        <v>95.513381222018324</v>
      </c>
      <c r="BU28" s="1204">
        <f>BN28-BT28</f>
        <v>25.227981331294046</v>
      </c>
      <c r="BV28" s="927">
        <v>770.28653917336965</v>
      </c>
      <c r="BW28" s="64">
        <v>132.28200000000001</v>
      </c>
      <c r="BX28" s="64">
        <v>140.047</v>
      </c>
      <c r="BY28" s="62">
        <f>BW28/BX28</f>
        <v>0.9445543281898221</v>
      </c>
      <c r="BZ28" s="62">
        <f>BV28/L28</f>
        <v>40.541396798598406</v>
      </c>
      <c r="CA28" s="62">
        <f>BZ28*BY28</f>
        <v>38.293551816977121</v>
      </c>
      <c r="CB28" s="62">
        <v>22.428042208831577</v>
      </c>
      <c r="CC28" s="62">
        <v>22.428042208831577</v>
      </c>
      <c r="CD28" s="62">
        <v>22.428042208831577</v>
      </c>
      <c r="CE28" s="62">
        <v>22.428042208831577</v>
      </c>
      <c r="CF28" s="62">
        <v>22.428042208831577</v>
      </c>
      <c r="CG28" s="62">
        <v>22.428042208831577</v>
      </c>
      <c r="CH28" s="62">
        <v>22.428042208831577</v>
      </c>
      <c r="CI28" s="62">
        <f>SUM(CB28:CH28)</f>
        <v>156.99629546182106</v>
      </c>
      <c r="CJ28" s="927">
        <f>BV28-CI28</f>
        <v>613.29024371154856</v>
      </c>
      <c r="CK28" s="62">
        <v>22.428042208831577</v>
      </c>
      <c r="CL28" s="62">
        <v>22.428042208831577</v>
      </c>
      <c r="CM28" s="62">
        <v>22.428042208831577</v>
      </c>
      <c r="CN28" s="62">
        <v>22.428042208831577</v>
      </c>
      <c r="CO28" s="62">
        <v>22.428042208831577</v>
      </c>
      <c r="CP28" s="1170">
        <f>SUM(CK28:CO28)</f>
        <v>112.14021104415789</v>
      </c>
      <c r="CQ28" s="679">
        <f>CJ28-CP28</f>
        <v>501.15003266739063</v>
      </c>
      <c r="CR28" s="1171">
        <v>132.28200000000001</v>
      </c>
      <c r="CS28" s="64">
        <v>140.047</v>
      </c>
      <c r="CT28" s="1200">
        <f>CR28/CS28</f>
        <v>0.9445543281898221</v>
      </c>
      <c r="CU28" s="510">
        <f>CQ28/N28</f>
        <v>4.9618815115583228</v>
      </c>
      <c r="CV28" s="510">
        <f>CU28*CT28</f>
        <v>4.6867666577074703</v>
      </c>
      <c r="CW28" s="510">
        <v>4.6867666577074703</v>
      </c>
      <c r="CX28" s="510">
        <v>4.6867666577074703</v>
      </c>
      <c r="CY28" s="510">
        <v>4.6867666577074703</v>
      </c>
      <c r="CZ28" s="510">
        <v>4.6867666577074703</v>
      </c>
      <c r="DA28" s="510">
        <v>4.6867666577074703</v>
      </c>
      <c r="DB28" s="510">
        <v>4.6867666577074703</v>
      </c>
      <c r="DC28" s="510">
        <v>4.6867666577074703</v>
      </c>
      <c r="DD28" s="510">
        <v>4.6867666577074703</v>
      </c>
      <c r="DE28" s="510">
        <v>4.6867666577074703</v>
      </c>
      <c r="DF28" s="510">
        <v>4.6867666577074703</v>
      </c>
      <c r="DG28" s="510">
        <v>4.6867666577074703</v>
      </c>
      <c r="DH28" s="510">
        <v>4.6867666577074703</v>
      </c>
      <c r="DI28" s="510">
        <v>4.6867666577074703</v>
      </c>
      <c r="DJ28" s="510">
        <v>4.6867666577074703</v>
      </c>
      <c r="DK28" s="510">
        <v>4.6867666577074703</v>
      </c>
      <c r="DL28" s="510">
        <v>4.6867666577074703</v>
      </c>
      <c r="DM28" s="510">
        <v>4.6867666577074703</v>
      </c>
      <c r="DN28" s="510">
        <v>4.6867666577074703</v>
      </c>
      <c r="DO28" s="510">
        <f t="shared" si="4"/>
        <v>84.361799838734456</v>
      </c>
      <c r="DP28" s="960">
        <f>CQ28-DO28</f>
        <v>416.78823282865619</v>
      </c>
    </row>
    <row r="29" spans="1:120" s="35" customFormat="1" x14ac:dyDescent="0.2">
      <c r="A29" s="120" t="s">
        <v>65</v>
      </c>
      <c r="B29" s="120"/>
      <c r="C29" s="124"/>
      <c r="D29" s="111"/>
      <c r="E29" s="111"/>
      <c r="F29" s="119"/>
      <c r="G29" s="125"/>
      <c r="H29" s="146"/>
      <c r="I29" s="1167"/>
      <c r="J29" s="125"/>
      <c r="K29" s="1167"/>
      <c r="L29" s="125"/>
      <c r="M29" s="1167"/>
      <c r="N29" s="125"/>
      <c r="O29" s="1167"/>
      <c r="P29" s="125"/>
      <c r="Q29" s="125"/>
      <c r="R29" s="125"/>
      <c r="S29" s="119"/>
      <c r="T29" s="7"/>
      <c r="U29" s="1169"/>
      <c r="V29" s="776"/>
      <c r="W29" s="776"/>
      <c r="X29" s="62"/>
      <c r="Y29" s="7"/>
      <c r="Z29" s="129"/>
      <c r="AA29" s="64"/>
      <c r="AB29" s="82"/>
      <c r="AC29" s="64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1169"/>
      <c r="AT29" s="62"/>
      <c r="AU29" s="62"/>
      <c r="AV29" s="62">
        <f t="shared" si="2"/>
        <v>0</v>
      </c>
      <c r="AW29" s="62">
        <f t="shared" si="2"/>
        <v>0</v>
      </c>
      <c r="AX29" s="62">
        <f t="shared" si="2"/>
        <v>0</v>
      </c>
      <c r="AY29" s="62">
        <f t="shared" si="2"/>
        <v>0</v>
      </c>
      <c r="AZ29" s="62">
        <f t="shared" si="2"/>
        <v>0</v>
      </c>
      <c r="BA29" s="64"/>
      <c r="BB29" s="8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927"/>
      <c r="BO29" s="62"/>
      <c r="BP29" s="62"/>
      <c r="BQ29" s="62"/>
      <c r="BR29" s="62"/>
      <c r="BS29" s="62"/>
      <c r="BT29" s="62"/>
      <c r="BU29" s="62"/>
      <c r="BV29" s="927"/>
      <c r="BW29" s="64"/>
      <c r="BX29" s="8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927"/>
      <c r="CK29" s="62"/>
      <c r="CL29" s="62"/>
      <c r="CM29" s="62"/>
      <c r="CN29" s="62"/>
      <c r="CO29" s="62"/>
      <c r="CP29" s="1170"/>
      <c r="CQ29" s="679"/>
      <c r="CR29" s="510"/>
      <c r="CS29" s="82"/>
      <c r="CT29" s="1200"/>
      <c r="CU29" s="510"/>
      <c r="CV29" s="510"/>
      <c r="CW29" s="510"/>
      <c r="CX29" s="510"/>
      <c r="CY29" s="510"/>
      <c r="CZ29" s="510"/>
      <c r="DA29" s="510"/>
      <c r="DB29" s="510"/>
      <c r="DC29" s="510"/>
      <c r="DD29" s="510"/>
      <c r="DE29" s="510"/>
      <c r="DF29" s="510"/>
      <c r="DG29" s="510"/>
      <c r="DH29" s="510"/>
      <c r="DI29" s="510"/>
      <c r="DJ29" s="510"/>
      <c r="DK29" s="510"/>
      <c r="DL29" s="510"/>
      <c r="DM29" s="510"/>
      <c r="DN29" s="510"/>
      <c r="DO29" s="510">
        <f t="shared" si="4"/>
        <v>0</v>
      </c>
      <c r="DP29" s="960"/>
    </row>
    <row r="30" spans="1:120" s="16" customFormat="1" x14ac:dyDescent="0.2">
      <c r="A30" s="120" t="s">
        <v>110</v>
      </c>
      <c r="B30" s="9"/>
      <c r="C30" s="45"/>
      <c r="D30" s="58"/>
      <c r="E30" s="130"/>
      <c r="F30" s="20"/>
      <c r="G30" s="125"/>
      <c r="H30" s="145"/>
      <c r="I30" s="165"/>
      <c r="J30" s="48"/>
      <c r="K30" s="165"/>
      <c r="L30" s="48"/>
      <c r="M30" s="165"/>
      <c r="N30" s="48"/>
      <c r="O30" s="165"/>
      <c r="P30" s="48"/>
      <c r="Q30" s="48"/>
      <c r="R30" s="125"/>
      <c r="S30" s="128"/>
      <c r="T30" s="129"/>
      <c r="U30" s="72"/>
      <c r="V30" s="154"/>
      <c r="W30" s="154"/>
      <c r="X30" s="55"/>
      <c r="Y30" s="106"/>
      <c r="Z30" s="258"/>
      <c r="AA30" s="57"/>
      <c r="AB30" s="80"/>
      <c r="AC30" s="57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72"/>
      <c r="AT30" s="55"/>
      <c r="AU30" s="55"/>
      <c r="AV30" s="55">
        <f t="shared" si="2"/>
        <v>0</v>
      </c>
      <c r="AW30" s="55">
        <f t="shared" si="2"/>
        <v>0</v>
      </c>
      <c r="AX30" s="55">
        <f t="shared" si="2"/>
        <v>0</v>
      </c>
      <c r="AY30" s="55">
        <f t="shared" si="2"/>
        <v>0</v>
      </c>
      <c r="AZ30" s="55">
        <f t="shared" si="2"/>
        <v>0</v>
      </c>
      <c r="BA30" s="57"/>
      <c r="BB30" s="80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448"/>
      <c r="BO30" s="55"/>
      <c r="BP30" s="55"/>
      <c r="BQ30" s="55"/>
      <c r="BR30" s="55"/>
      <c r="BS30" s="55"/>
      <c r="BT30" s="55"/>
      <c r="BU30" s="55"/>
      <c r="BV30" s="448"/>
      <c r="BW30" s="57"/>
      <c r="BX30" s="80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448"/>
      <c r="CK30" s="55"/>
      <c r="CL30" s="55"/>
      <c r="CM30" s="55"/>
      <c r="CN30" s="55"/>
      <c r="CO30" s="55"/>
      <c r="CP30" s="505"/>
      <c r="CQ30" s="679"/>
      <c r="CR30" s="656"/>
      <c r="CS30" s="80"/>
      <c r="CT30" s="957"/>
      <c r="CU30" s="511"/>
      <c r="CV30" s="511"/>
      <c r="CW30" s="511"/>
      <c r="CX30" s="511"/>
      <c r="CY30" s="511"/>
      <c r="CZ30" s="511"/>
      <c r="DA30" s="511"/>
      <c r="DB30" s="511"/>
      <c r="DC30" s="511"/>
      <c r="DD30" s="511"/>
      <c r="DE30" s="511"/>
      <c r="DF30" s="511"/>
      <c r="DG30" s="511"/>
      <c r="DH30" s="511"/>
      <c r="DI30" s="511"/>
      <c r="DJ30" s="511"/>
      <c r="DK30" s="511"/>
      <c r="DL30" s="511"/>
      <c r="DM30" s="511"/>
      <c r="DN30" s="511"/>
      <c r="DO30" s="511">
        <f t="shared" si="4"/>
        <v>0</v>
      </c>
      <c r="DP30" s="1029">
        <f>CX30-DO30</f>
        <v>0</v>
      </c>
    </row>
    <row r="31" spans="1:120" s="16" customFormat="1" x14ac:dyDescent="0.2">
      <c r="A31" s="242" t="s">
        <v>381</v>
      </c>
      <c r="B31" s="100" t="s">
        <v>382</v>
      </c>
      <c r="C31" s="45" t="s">
        <v>352</v>
      </c>
      <c r="D31" s="58">
        <v>10</v>
      </c>
      <c r="E31" s="30">
        <v>0.1</v>
      </c>
      <c r="F31" s="46">
        <v>43281</v>
      </c>
      <c r="G31" s="125">
        <v>120</v>
      </c>
      <c r="H31" s="145">
        <f>100/G31</f>
        <v>0.83333333333333337</v>
      </c>
      <c r="I31" s="165">
        <f>H31*J31</f>
        <v>44.166666666666671</v>
      </c>
      <c r="J31" s="48">
        <f>(YEAR(F31)-YEAR(S31))*12+MONTH(F31)-MONTH(S31)</f>
        <v>53</v>
      </c>
      <c r="K31" s="165">
        <f>L31*H31</f>
        <v>55.833333333333336</v>
      </c>
      <c r="L31" s="48">
        <f>G31-J31</f>
        <v>67</v>
      </c>
      <c r="M31" s="165">
        <f>N31*H31</f>
        <v>44.166666666666671</v>
      </c>
      <c r="N31" s="48">
        <f>G31-L31</f>
        <v>53</v>
      </c>
      <c r="O31" s="165">
        <f>K31-M31</f>
        <v>11.666666666666664</v>
      </c>
      <c r="P31" s="48">
        <f>L31-N31</f>
        <v>14</v>
      </c>
      <c r="Q31" s="462">
        <f>DATE(YEAR(S31),MONTH(S31)+G31,DAY(S31))</f>
        <v>45292</v>
      </c>
      <c r="R31" s="125" t="s">
        <v>360</v>
      </c>
      <c r="S31" s="33">
        <v>41640</v>
      </c>
      <c r="T31" s="5">
        <v>110</v>
      </c>
      <c r="U31" s="72"/>
      <c r="V31" s="154">
        <v>11.03</v>
      </c>
      <c r="W31" s="154">
        <v>54.97</v>
      </c>
      <c r="X31" s="55">
        <v>0.92</v>
      </c>
      <c r="Y31" s="106">
        <f>X31*5</f>
        <v>4.6000000000000005</v>
      </c>
      <c r="Z31" s="258">
        <f>W31-Y31</f>
        <v>50.37</v>
      </c>
      <c r="AA31" s="57">
        <v>115.958</v>
      </c>
      <c r="AB31" s="57">
        <v>112.505</v>
      </c>
      <c r="AC31" s="57">
        <f>AA31/AB31</f>
        <v>1.0306919692458114</v>
      </c>
      <c r="AD31" s="55">
        <f>Z31*M31/100/K31*100/7</f>
        <v>5.6921321961620475</v>
      </c>
      <c r="AE31" s="55">
        <f>AD31*AC31</f>
        <v>5.8668349424697457</v>
      </c>
      <c r="AF31" s="55"/>
      <c r="AG31" s="55"/>
      <c r="AH31" s="55"/>
      <c r="AI31" s="55"/>
      <c r="AJ31" s="55"/>
      <c r="AK31" s="55">
        <f>AE31</f>
        <v>5.8668349424697457</v>
      </c>
      <c r="AL31" s="55">
        <v>0.5040383931156458</v>
      </c>
      <c r="AM31" s="55">
        <v>0.5040383931156458</v>
      </c>
      <c r="AN31" s="55">
        <v>0.5040383931156458</v>
      </c>
      <c r="AO31" s="55">
        <v>0.5040383931156458</v>
      </c>
      <c r="AP31" s="55">
        <v>0.5040383931156458</v>
      </c>
      <c r="AQ31" s="55">
        <v>0.5040383931156458</v>
      </c>
      <c r="AR31" s="55">
        <f>SUM(AF31:AQ31)</f>
        <v>8.8910653011636231</v>
      </c>
      <c r="AS31" s="72">
        <f>Z31-AR31</f>
        <v>41.478934698836376</v>
      </c>
      <c r="AT31" s="55"/>
      <c r="AU31" s="55"/>
      <c r="AV31" s="55">
        <f t="shared" si="2"/>
        <v>0.5040383931156458</v>
      </c>
      <c r="AW31" s="55">
        <f t="shared" si="2"/>
        <v>0.5040383931156458</v>
      </c>
      <c r="AX31" s="55">
        <f t="shared" si="2"/>
        <v>0.5040383931156458</v>
      </c>
      <c r="AY31" s="55">
        <f t="shared" si="2"/>
        <v>0.5040383931156458</v>
      </c>
      <c r="AZ31" s="55">
        <f t="shared" si="2"/>
        <v>0.5040383931156458</v>
      </c>
      <c r="BA31" s="57">
        <v>118.901</v>
      </c>
      <c r="BB31" s="57">
        <v>112.505</v>
      </c>
      <c r="BC31" s="55">
        <f>BA31/BB31</f>
        <v>1.0568508066308164</v>
      </c>
      <c r="BD31" s="55">
        <f>T31/(D31*12)</f>
        <v>0.91666666666666663</v>
      </c>
      <c r="BE31" s="55">
        <f>BD31*BC31</f>
        <v>0.96877990607824838</v>
      </c>
      <c r="BF31" s="55">
        <f t="shared" ref="BF31:BL31" si="9">$BE31</f>
        <v>0.96877990607824838</v>
      </c>
      <c r="BG31" s="55">
        <f t="shared" si="9"/>
        <v>0.96877990607824838</v>
      </c>
      <c r="BH31" s="55">
        <f t="shared" si="9"/>
        <v>0.96877990607824838</v>
      </c>
      <c r="BI31" s="55">
        <f t="shared" si="9"/>
        <v>0.96877990607824838</v>
      </c>
      <c r="BJ31" s="55">
        <f t="shared" si="9"/>
        <v>0.96877990607824838</v>
      </c>
      <c r="BK31" s="55">
        <f t="shared" si="9"/>
        <v>0.96877990607824838</v>
      </c>
      <c r="BL31" s="55">
        <f t="shared" si="9"/>
        <v>0.96877990607824838</v>
      </c>
      <c r="BM31" s="55">
        <f>SUM((AV31:AZ31),(BF31:BL31))</f>
        <v>9.3016513081259671</v>
      </c>
      <c r="BN31" s="448">
        <f>(AS31-BM31)</f>
        <v>32.177283390710407</v>
      </c>
      <c r="BO31" s="55">
        <f>$BE31</f>
        <v>0.96877990607824838</v>
      </c>
      <c r="BP31" s="55">
        <f>$BE31</f>
        <v>0.96877990607824838</v>
      </c>
      <c r="BQ31" s="55">
        <f>$BE31</f>
        <v>0.96877990607824838</v>
      </c>
      <c r="BR31" s="55">
        <f>$BE31</f>
        <v>0.96877990607824838</v>
      </c>
      <c r="BS31" s="55">
        <f>$BE31</f>
        <v>0.96877990607824838</v>
      </c>
      <c r="BT31" s="55">
        <f>SUM(BO31:BS31)</f>
        <v>4.8438995303912415</v>
      </c>
      <c r="BU31" s="753">
        <f>BN31-BT31</f>
        <v>27.333383860319167</v>
      </c>
      <c r="BV31" s="448">
        <v>32.543054821891296</v>
      </c>
      <c r="BW31" s="57">
        <v>132.28200000000001</v>
      </c>
      <c r="BX31" s="57">
        <v>112.505</v>
      </c>
      <c r="BY31" s="55">
        <f>BW31/BX31</f>
        <v>1.1757877427669883</v>
      </c>
      <c r="BZ31" s="55">
        <f>BV31/L31</f>
        <v>0.48571723614763129</v>
      </c>
      <c r="CA31" s="55">
        <f>BZ31*BY31</f>
        <v>0.57110037271304359</v>
      </c>
      <c r="CB31" s="55">
        <v>0.46284327998087677</v>
      </c>
      <c r="CC31" s="55">
        <v>0.46284327998087677</v>
      </c>
      <c r="CD31" s="55">
        <v>0.46284327998087677</v>
      </c>
      <c r="CE31" s="55">
        <v>0.46284327998087677</v>
      </c>
      <c r="CF31" s="55">
        <v>0.46284327998087677</v>
      </c>
      <c r="CG31" s="55">
        <v>0.46284327998087677</v>
      </c>
      <c r="CH31" s="55">
        <v>0.46284327998087677</v>
      </c>
      <c r="CI31" s="55">
        <f>SUM(CB31:CH31)</f>
        <v>3.2399029598661371</v>
      </c>
      <c r="CJ31" s="448">
        <f>BV31-CI31</f>
        <v>29.30315186202516</v>
      </c>
      <c r="CK31" s="55">
        <v>0.46284327998087677</v>
      </c>
      <c r="CL31" s="55">
        <v>0.46284327998087677</v>
      </c>
      <c r="CM31" s="55">
        <v>0.46284327998087677</v>
      </c>
      <c r="CN31" s="55">
        <v>0.46284327998087677</v>
      </c>
      <c r="CO31" s="55">
        <v>0.46284327998087677</v>
      </c>
      <c r="CP31" s="505">
        <f>SUM(CK31:CO31)</f>
        <v>2.3142163999043839</v>
      </c>
      <c r="CQ31" s="679">
        <f>CJ31-CP31</f>
        <v>26.988935462120775</v>
      </c>
      <c r="CR31" s="956">
        <v>132.28200000000001</v>
      </c>
      <c r="CS31" s="57">
        <v>112.505</v>
      </c>
      <c r="CT31" s="957">
        <f>CR31/CS31</f>
        <v>1.1757877427669883</v>
      </c>
      <c r="CU31" s="511">
        <f>CQ31/N31</f>
        <v>0.50922519739850514</v>
      </c>
      <c r="CV31" s="511">
        <f>CU31*CT31</f>
        <v>0.59874074540926236</v>
      </c>
      <c r="CW31" s="511">
        <v>0.59874074540926236</v>
      </c>
      <c r="CX31" s="511">
        <v>0.59874074540926236</v>
      </c>
      <c r="CY31" s="511">
        <v>0.59874074540926236</v>
      </c>
      <c r="CZ31" s="511">
        <v>0.59874074540926236</v>
      </c>
      <c r="DA31" s="511">
        <v>0.59874074540926236</v>
      </c>
      <c r="DB31" s="511">
        <v>0.59874074540926236</v>
      </c>
      <c r="DC31" s="511">
        <v>0.59874074540926236</v>
      </c>
      <c r="DD31" s="511">
        <v>0.59874074540926236</v>
      </c>
      <c r="DE31" s="511">
        <v>0.59874074540926236</v>
      </c>
      <c r="DF31" s="511">
        <v>0.59874074540926236</v>
      </c>
      <c r="DG31" s="511">
        <v>0.59874074540926236</v>
      </c>
      <c r="DH31" s="511">
        <v>0.59874074540926236</v>
      </c>
      <c r="DI31" s="511">
        <v>0.59874074540926236</v>
      </c>
      <c r="DJ31" s="511">
        <v>0.59874074540926236</v>
      </c>
      <c r="DK31" s="511">
        <v>0.59874074540926236</v>
      </c>
      <c r="DL31" s="511">
        <v>0.59874074540926236</v>
      </c>
      <c r="DM31" s="511">
        <v>0.59874074540926236</v>
      </c>
      <c r="DN31" s="511">
        <v>0.59874074540926236</v>
      </c>
      <c r="DO31" s="511">
        <f t="shared" si="4"/>
        <v>10.777333417366725</v>
      </c>
      <c r="DP31" s="960">
        <f>CQ31-DO31</f>
        <v>16.211602044754052</v>
      </c>
    </row>
    <row r="32" spans="1:120" s="16" customFormat="1" x14ac:dyDescent="0.2">
      <c r="A32" s="120" t="s">
        <v>1012</v>
      </c>
      <c r="B32" s="120"/>
      <c r="C32" s="124"/>
      <c r="D32" s="111"/>
      <c r="E32" s="111"/>
      <c r="F32" s="46"/>
      <c r="G32" s="125"/>
      <c r="H32" s="145"/>
      <c r="I32" s="165"/>
      <c r="J32" s="48"/>
      <c r="K32" s="165"/>
      <c r="L32" s="48"/>
      <c r="M32" s="165"/>
      <c r="N32" s="48"/>
      <c r="O32" s="165"/>
      <c r="P32" s="48"/>
      <c r="Q32" s="48"/>
      <c r="R32" s="125"/>
      <c r="S32" s="119"/>
      <c r="T32" s="7"/>
      <c r="U32" s="72"/>
      <c r="V32" s="154"/>
      <c r="W32" s="154"/>
      <c r="X32" s="55"/>
      <c r="Y32" s="106"/>
      <c r="Z32" s="258"/>
      <c r="AA32" s="57"/>
      <c r="AB32" s="82"/>
      <c r="AC32" s="57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72">
        <f t="shared" ref="AS32:AS38" si="10">Z32-AR32</f>
        <v>0</v>
      </c>
      <c r="AT32" s="55"/>
      <c r="AU32" s="55"/>
      <c r="AV32" s="55">
        <f t="shared" si="2"/>
        <v>0</v>
      </c>
      <c r="AW32" s="55">
        <f t="shared" si="2"/>
        <v>0</v>
      </c>
      <c r="AX32" s="55">
        <f t="shared" si="2"/>
        <v>0</v>
      </c>
      <c r="AY32" s="55">
        <f t="shared" si="2"/>
        <v>0</v>
      </c>
      <c r="AZ32" s="55">
        <f t="shared" si="2"/>
        <v>0</v>
      </c>
      <c r="BA32" s="57"/>
      <c r="BB32" s="82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448"/>
      <c r="BO32" s="55"/>
      <c r="BP32" s="55"/>
      <c r="BQ32" s="55"/>
      <c r="BR32" s="55"/>
      <c r="BS32" s="55"/>
      <c r="BT32" s="55"/>
      <c r="BU32" s="55"/>
      <c r="BV32" s="448"/>
      <c r="BW32" s="57"/>
      <c r="BX32" s="82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448"/>
      <c r="CK32" s="55"/>
      <c r="CL32" s="55"/>
      <c r="CM32" s="55"/>
      <c r="CN32" s="55"/>
      <c r="CO32" s="55"/>
      <c r="CP32" s="505"/>
      <c r="CQ32" s="679"/>
      <c r="CR32" s="55"/>
      <c r="CS32" s="82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11">
        <f t="shared" si="4"/>
        <v>0</v>
      </c>
      <c r="DP32" s="56"/>
    </row>
    <row r="33" spans="1:120" s="16" customFormat="1" x14ac:dyDescent="0.2">
      <c r="A33" s="671" t="s">
        <v>1094</v>
      </c>
      <c r="B33" s="347"/>
      <c r="C33" s="45"/>
      <c r="D33" s="58"/>
      <c r="E33" s="30"/>
      <c r="F33" s="46"/>
      <c r="G33" s="125"/>
      <c r="H33" s="145"/>
      <c r="I33" s="165"/>
      <c r="J33" s="48"/>
      <c r="K33" s="165"/>
      <c r="L33" s="48"/>
      <c r="M33" s="165"/>
      <c r="N33" s="48"/>
      <c r="O33" s="165"/>
      <c r="P33" s="48"/>
      <c r="Q33" s="48"/>
      <c r="R33" s="125"/>
      <c r="S33" s="33"/>
      <c r="T33" s="5"/>
      <c r="U33" s="72"/>
      <c r="V33" s="154"/>
      <c r="W33" s="154"/>
      <c r="X33" s="55"/>
      <c r="Y33" s="106"/>
      <c r="Z33" s="258"/>
      <c r="AA33" s="57"/>
      <c r="AB33" s="139"/>
      <c r="AC33" s="57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72"/>
      <c r="AT33" s="55"/>
      <c r="AU33" s="55"/>
      <c r="AV33" s="55"/>
      <c r="AW33" s="55"/>
      <c r="AX33" s="55"/>
      <c r="AY33" s="55"/>
      <c r="AZ33" s="55"/>
      <c r="BA33" s="57"/>
      <c r="BB33" s="139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448"/>
      <c r="BO33" s="55"/>
      <c r="BP33" s="55"/>
      <c r="BQ33" s="55"/>
      <c r="BR33" s="55"/>
      <c r="BS33" s="55"/>
      <c r="BT33" s="55"/>
      <c r="BU33" s="55"/>
      <c r="BV33" s="448"/>
      <c r="BW33" s="57"/>
      <c r="BX33" s="139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448"/>
      <c r="CK33" s="55"/>
      <c r="CL33" s="55"/>
      <c r="CM33" s="55"/>
      <c r="CN33" s="55"/>
      <c r="CO33" s="55"/>
      <c r="CP33" s="505"/>
      <c r="CQ33" s="679"/>
      <c r="CR33" s="956"/>
      <c r="CS33" s="139"/>
      <c r="CT33" s="957"/>
      <c r="CU33" s="511"/>
      <c r="CV33" s="511"/>
      <c r="CW33" s="511"/>
      <c r="CX33" s="511"/>
      <c r="CY33" s="511"/>
      <c r="CZ33" s="511"/>
      <c r="DA33" s="511"/>
      <c r="DB33" s="511"/>
      <c r="DC33" s="511"/>
      <c r="DD33" s="511"/>
      <c r="DE33" s="511"/>
      <c r="DF33" s="511"/>
      <c r="DG33" s="511"/>
      <c r="DH33" s="511"/>
      <c r="DI33" s="511"/>
      <c r="DJ33" s="511"/>
      <c r="DK33" s="511"/>
      <c r="DL33" s="511"/>
      <c r="DM33" s="511"/>
      <c r="DN33" s="511"/>
      <c r="DO33" s="511">
        <f t="shared" si="4"/>
        <v>0</v>
      </c>
      <c r="DP33" s="960"/>
    </row>
    <row r="34" spans="1:120" s="16" customFormat="1" x14ac:dyDescent="0.2">
      <c r="A34" s="242" t="s">
        <v>1095</v>
      </c>
      <c r="B34" s="100" t="s">
        <v>1096</v>
      </c>
      <c r="C34" s="45" t="s">
        <v>1097</v>
      </c>
      <c r="D34" s="58">
        <v>10</v>
      </c>
      <c r="E34" s="30">
        <v>0.1</v>
      </c>
      <c r="F34" s="46">
        <v>43281</v>
      </c>
      <c r="G34" s="125">
        <v>120</v>
      </c>
      <c r="H34" s="145">
        <f>100/G34</f>
        <v>0.83333333333333337</v>
      </c>
      <c r="I34" s="165">
        <f>H34*J34</f>
        <v>15.833333333333334</v>
      </c>
      <c r="J34" s="48">
        <f>(YEAR(F34)-YEAR(S34))*12+MONTH(F34)-MONTH(S34)</f>
        <v>19</v>
      </c>
      <c r="K34" s="165">
        <f>L34*H34</f>
        <v>84.166666666666671</v>
      </c>
      <c r="L34" s="48">
        <f>G34-J34</f>
        <v>101</v>
      </c>
      <c r="M34" s="165">
        <f>N34*H34</f>
        <v>15.833333333333334</v>
      </c>
      <c r="N34" s="48">
        <f>G34-L34</f>
        <v>19</v>
      </c>
      <c r="O34" s="165">
        <f>K34-M34</f>
        <v>68.333333333333343</v>
      </c>
      <c r="P34" s="48">
        <f>L34-N34</f>
        <v>82</v>
      </c>
      <c r="Q34" s="462">
        <f>DATE(YEAR(S34),MONTH(S34)+G34,DAY(S34))</f>
        <v>46349</v>
      </c>
      <c r="R34" s="125" t="s">
        <v>1098</v>
      </c>
      <c r="S34" s="33">
        <v>42697</v>
      </c>
      <c r="T34" s="5">
        <v>21900</v>
      </c>
      <c r="U34" s="72"/>
      <c r="V34" s="154"/>
      <c r="W34" s="154"/>
      <c r="X34" s="55"/>
      <c r="Y34" s="106"/>
      <c r="Z34" s="258"/>
      <c r="AA34" s="57"/>
      <c r="AB34" s="139"/>
      <c r="AC34" s="57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72"/>
      <c r="AT34" s="55"/>
      <c r="AU34" s="55"/>
      <c r="AV34" s="55"/>
      <c r="AW34" s="55"/>
      <c r="AX34" s="55"/>
      <c r="AY34" s="55"/>
      <c r="AZ34" s="55"/>
      <c r="BA34" s="57">
        <v>118.901</v>
      </c>
      <c r="BB34" s="139">
        <v>121.953</v>
      </c>
      <c r="BC34" s="55">
        <f>BA34/BB34</f>
        <v>0.97497396538010539</v>
      </c>
      <c r="BD34" s="55">
        <f>T34/(D34*12)</f>
        <v>182.5</v>
      </c>
      <c r="BE34" s="55">
        <f>BD34*BC34</f>
        <v>177.93274868186924</v>
      </c>
      <c r="BF34" s="55"/>
      <c r="BG34" s="55"/>
      <c r="BH34" s="55"/>
      <c r="BI34" s="55"/>
      <c r="BJ34" s="55"/>
      <c r="BK34" s="55"/>
      <c r="BL34" s="55"/>
      <c r="BM34" s="55">
        <f>SUM((AV34:AZ34),(BF34:BL34))</f>
        <v>0</v>
      </c>
      <c r="BN34" s="448">
        <v>21900</v>
      </c>
      <c r="BO34" s="55"/>
      <c r="BP34" s="55">
        <v>533.79</v>
      </c>
      <c r="BQ34" s="55">
        <v>533.79</v>
      </c>
      <c r="BR34" s="55">
        <v>533.79</v>
      </c>
      <c r="BS34" s="55">
        <v>533.79</v>
      </c>
      <c r="BT34" s="55">
        <f>SUM(BO34:BS34)</f>
        <v>2135.16</v>
      </c>
      <c r="BU34" s="753">
        <f>BN34-BT34</f>
        <v>19764.84</v>
      </c>
      <c r="BV34" s="448">
        <v>19764.84</v>
      </c>
      <c r="BW34" s="57">
        <v>132.28200000000001</v>
      </c>
      <c r="BX34" s="139">
        <v>121.953</v>
      </c>
      <c r="BY34" s="55">
        <f>BW34/BX34</f>
        <v>1.084696563430174</v>
      </c>
      <c r="BZ34" s="55">
        <v>533.79</v>
      </c>
      <c r="CA34" s="55">
        <v>533.79</v>
      </c>
      <c r="CB34" s="55"/>
      <c r="CC34" s="55"/>
      <c r="CD34" s="55">
        <v>1601.37</v>
      </c>
      <c r="CE34" s="55">
        <v>533.79</v>
      </c>
      <c r="CF34" s="55">
        <v>533.79</v>
      </c>
      <c r="CG34" s="55">
        <v>533.79</v>
      </c>
      <c r="CH34" s="55">
        <v>533.79</v>
      </c>
      <c r="CI34" s="55">
        <f>SUM(CB34:CH34)</f>
        <v>3736.5299999999997</v>
      </c>
      <c r="CJ34" s="448">
        <f>BV34-CI34</f>
        <v>16028.310000000001</v>
      </c>
      <c r="CK34" s="55">
        <v>533.79</v>
      </c>
      <c r="CL34" s="55">
        <v>533.79</v>
      </c>
      <c r="CM34" s="55">
        <v>533.79</v>
      </c>
      <c r="CN34" s="55">
        <v>533.79</v>
      </c>
      <c r="CO34" s="55">
        <v>533.79</v>
      </c>
      <c r="CP34" s="505">
        <f>SUM(CK34:CO34)</f>
        <v>2668.95</v>
      </c>
      <c r="CQ34" s="679">
        <f>CJ34-CP34</f>
        <v>13359.36</v>
      </c>
      <c r="CR34" s="956">
        <v>132.28200000000001</v>
      </c>
      <c r="CS34" s="139">
        <v>121.953</v>
      </c>
      <c r="CT34" s="957">
        <f>CR34/CS34</f>
        <v>1.084696563430174</v>
      </c>
      <c r="CU34" s="511">
        <f>CQ34/N34</f>
        <v>703.12421052631578</v>
      </c>
      <c r="CV34" s="511">
        <f>CU34*CT34</f>
        <v>762.67641482244892</v>
      </c>
      <c r="CW34" s="511">
        <v>762.67641482244892</v>
      </c>
      <c r="CX34" s="511">
        <v>762.67641482244892</v>
      </c>
      <c r="CY34" s="511">
        <v>762.67641482244892</v>
      </c>
      <c r="CZ34" s="511">
        <v>762.67641482244892</v>
      </c>
      <c r="DA34" s="511">
        <v>762.67641482244892</v>
      </c>
      <c r="DB34" s="511">
        <v>762.67641482244892</v>
      </c>
      <c r="DC34" s="511">
        <v>762.67641482244892</v>
      </c>
      <c r="DD34" s="511">
        <v>762.67641482244892</v>
      </c>
      <c r="DE34" s="511">
        <v>762.67641482244892</v>
      </c>
      <c r="DF34" s="511">
        <v>762.67641482244892</v>
      </c>
      <c r="DG34" s="511">
        <v>762.67641482244892</v>
      </c>
      <c r="DH34" s="511">
        <v>762.67641482244892</v>
      </c>
      <c r="DI34" s="511">
        <v>762.67641482244892</v>
      </c>
      <c r="DJ34" s="511">
        <v>762.67641482244892</v>
      </c>
      <c r="DK34" s="511">
        <v>762.67641482244892</v>
      </c>
      <c r="DL34" s="511">
        <v>762.67641482244892</v>
      </c>
      <c r="DM34" s="511">
        <v>762.67641482244892</v>
      </c>
      <c r="DN34" s="511">
        <v>392.86</v>
      </c>
      <c r="DO34" s="511">
        <f t="shared" si="4"/>
        <v>13358.35905198163</v>
      </c>
      <c r="DP34" s="960">
        <f>CQ34-DO34</f>
        <v>1.0009480183707637</v>
      </c>
    </row>
    <row r="35" spans="1:120" s="16" customFormat="1" x14ac:dyDescent="0.2">
      <c r="A35" s="242"/>
      <c r="B35" s="100"/>
      <c r="C35" s="45"/>
      <c r="D35" s="58"/>
      <c r="E35" s="30"/>
      <c r="F35" s="46"/>
      <c r="G35" s="125"/>
      <c r="H35" s="145"/>
      <c r="I35" s="165"/>
      <c r="J35" s="48"/>
      <c r="K35" s="165"/>
      <c r="L35" s="48"/>
      <c r="M35" s="165"/>
      <c r="N35" s="48"/>
      <c r="O35" s="165"/>
      <c r="P35" s="48"/>
      <c r="Q35" s="48"/>
      <c r="R35" s="125"/>
      <c r="S35" s="33"/>
      <c r="T35" s="5"/>
      <c r="U35" s="72"/>
      <c r="V35" s="154"/>
      <c r="W35" s="154"/>
      <c r="X35" s="55"/>
      <c r="Y35" s="106"/>
      <c r="Z35" s="258"/>
      <c r="AA35" s="57"/>
      <c r="AB35" s="139"/>
      <c r="AC35" s="57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72"/>
      <c r="AT35" s="55"/>
      <c r="AU35" s="55"/>
      <c r="AV35" s="55"/>
      <c r="AW35" s="55"/>
      <c r="AX35" s="55"/>
      <c r="AY35" s="55"/>
      <c r="AZ35" s="55"/>
      <c r="BA35" s="57"/>
      <c r="BB35" s="139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448"/>
      <c r="BO35" s="55"/>
      <c r="BP35" s="55"/>
      <c r="BQ35" s="55"/>
      <c r="BR35" s="55"/>
      <c r="BS35" s="55"/>
      <c r="BT35" s="55"/>
      <c r="BU35" s="55"/>
      <c r="BV35" s="448"/>
      <c r="BW35" s="57"/>
      <c r="BX35" s="139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448"/>
      <c r="CK35" s="55"/>
      <c r="CL35" s="55"/>
      <c r="CM35" s="55"/>
      <c r="CN35" s="55"/>
      <c r="CO35" s="55"/>
      <c r="CP35" s="505"/>
      <c r="CQ35" s="679"/>
      <c r="CR35" s="623"/>
      <c r="CS35" s="139"/>
      <c r="CT35" s="957"/>
      <c r="CU35" s="511"/>
      <c r="CV35" s="511"/>
      <c r="CW35" s="511"/>
      <c r="CX35" s="511"/>
      <c r="CY35" s="511"/>
      <c r="CZ35" s="511"/>
      <c r="DA35" s="511"/>
      <c r="DB35" s="511"/>
      <c r="DC35" s="511"/>
      <c r="DD35" s="511"/>
      <c r="DE35" s="511"/>
      <c r="DF35" s="511"/>
      <c r="DG35" s="511"/>
      <c r="DH35" s="511"/>
      <c r="DI35" s="511"/>
      <c r="DJ35" s="511"/>
      <c r="DK35" s="511"/>
      <c r="DL35" s="511"/>
      <c r="DM35" s="511"/>
      <c r="DN35" s="511"/>
      <c r="DO35" s="511">
        <f t="shared" si="4"/>
        <v>0</v>
      </c>
      <c r="DP35" s="1029"/>
    </row>
    <row r="36" spans="1:120" s="16" customFormat="1" x14ac:dyDescent="0.2">
      <c r="A36" s="26" t="s">
        <v>126</v>
      </c>
      <c r="B36" s="26"/>
      <c r="C36" s="124"/>
      <c r="D36" s="111"/>
      <c r="E36" s="25"/>
      <c r="F36" s="46"/>
      <c r="G36" s="125"/>
      <c r="H36" s="145"/>
      <c r="I36" s="165"/>
      <c r="J36" s="48"/>
      <c r="K36" s="165"/>
      <c r="L36" s="48"/>
      <c r="M36" s="165"/>
      <c r="N36" s="48"/>
      <c r="O36" s="165"/>
      <c r="P36" s="48"/>
      <c r="Q36" s="48"/>
      <c r="R36" s="125"/>
      <c r="S36" s="119"/>
      <c r="T36" s="7"/>
      <c r="U36" s="72"/>
      <c r="V36" s="154"/>
      <c r="W36" s="154"/>
      <c r="X36" s="55"/>
      <c r="Y36" s="106"/>
      <c r="Z36" s="258"/>
      <c r="AA36" s="57"/>
      <c r="AB36" s="140"/>
      <c r="AC36" s="57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72">
        <f>Z36-AR36</f>
        <v>0</v>
      </c>
      <c r="AT36" s="55"/>
      <c r="AU36" s="55"/>
      <c r="AV36" s="55">
        <f t="shared" si="2"/>
        <v>0</v>
      </c>
      <c r="AW36" s="55">
        <f t="shared" si="2"/>
        <v>0</v>
      </c>
      <c r="AX36" s="55">
        <f t="shared" si="2"/>
        <v>0</v>
      </c>
      <c r="AY36" s="55">
        <f t="shared" si="2"/>
        <v>0</v>
      </c>
      <c r="AZ36" s="55">
        <f t="shared" si="2"/>
        <v>0</v>
      </c>
      <c r="BA36" s="57"/>
      <c r="BB36" s="140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448"/>
      <c r="BO36" s="55"/>
      <c r="BP36" s="55"/>
      <c r="BQ36" s="55"/>
      <c r="BR36" s="55"/>
      <c r="BS36" s="55"/>
      <c r="BT36" s="55"/>
      <c r="BU36" s="55"/>
      <c r="BV36" s="448"/>
      <c r="BW36" s="57"/>
      <c r="BX36" s="140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448"/>
      <c r="CK36" s="55"/>
      <c r="CL36" s="55"/>
      <c r="CM36" s="55"/>
      <c r="CN36" s="55"/>
      <c r="CO36" s="55"/>
      <c r="CP36" s="505"/>
      <c r="CQ36" s="679"/>
      <c r="CR36" s="656"/>
      <c r="CS36" s="140"/>
      <c r="CT36" s="957"/>
      <c r="CU36" s="511"/>
      <c r="CV36" s="511"/>
      <c r="CW36" s="511"/>
      <c r="CX36" s="511"/>
      <c r="CY36" s="511"/>
      <c r="CZ36" s="511"/>
      <c r="DA36" s="511"/>
      <c r="DB36" s="511"/>
      <c r="DC36" s="511"/>
      <c r="DD36" s="511"/>
      <c r="DE36" s="511"/>
      <c r="DF36" s="511"/>
      <c r="DG36" s="511"/>
      <c r="DH36" s="511"/>
      <c r="DI36" s="511"/>
      <c r="DJ36" s="511"/>
      <c r="DK36" s="511"/>
      <c r="DL36" s="511"/>
      <c r="DM36" s="511"/>
      <c r="DN36" s="511"/>
      <c r="DO36" s="511">
        <f t="shared" si="4"/>
        <v>0</v>
      </c>
      <c r="DP36" s="1029">
        <f>CX36-DO36</f>
        <v>0</v>
      </c>
    </row>
    <row r="37" spans="1:120" s="16" customFormat="1" x14ac:dyDescent="0.2">
      <c r="A37" s="26" t="s">
        <v>126</v>
      </c>
      <c r="B37" s="26"/>
      <c r="C37" s="124"/>
      <c r="D37" s="111"/>
      <c r="E37" s="25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20"/>
      <c r="S37" s="119"/>
      <c r="T37" s="7"/>
      <c r="U37" s="14"/>
      <c r="V37" s="14"/>
      <c r="W37" s="14"/>
      <c r="X37" s="14"/>
      <c r="Y37" s="108"/>
      <c r="Z37" s="66"/>
      <c r="AA37" s="66"/>
      <c r="AB37" s="140"/>
      <c r="AC37" s="66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72">
        <f t="shared" si="10"/>
        <v>0</v>
      </c>
      <c r="AT37" s="55"/>
      <c r="AU37" s="55"/>
      <c r="AV37" s="55">
        <f t="shared" si="2"/>
        <v>0</v>
      </c>
      <c r="AW37" s="55">
        <f t="shared" si="2"/>
        <v>0</v>
      </c>
      <c r="AX37" s="55">
        <f t="shared" si="2"/>
        <v>0</v>
      </c>
      <c r="AY37" s="55">
        <f t="shared" si="2"/>
        <v>0</v>
      </c>
      <c r="AZ37" s="55">
        <f t="shared" si="2"/>
        <v>0</v>
      </c>
      <c r="BA37" s="66"/>
      <c r="BB37" s="140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448"/>
      <c r="BO37" s="55"/>
      <c r="BP37" s="55"/>
      <c r="BQ37" s="55"/>
      <c r="BR37" s="55"/>
      <c r="BS37" s="55"/>
      <c r="BT37" s="55"/>
      <c r="BU37" s="55"/>
      <c r="BV37" s="448"/>
      <c r="BW37" s="66"/>
      <c r="BX37" s="140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448"/>
      <c r="CK37" s="55"/>
      <c r="CL37" s="55"/>
      <c r="CM37" s="55"/>
      <c r="CN37" s="55"/>
      <c r="CO37" s="55"/>
      <c r="CP37" s="505"/>
      <c r="CQ37" s="679"/>
      <c r="CR37" s="623"/>
      <c r="CS37" s="140"/>
      <c r="CT37" s="957"/>
      <c r="CU37" s="511"/>
      <c r="CV37" s="511"/>
      <c r="CW37" s="511"/>
      <c r="CX37" s="511"/>
      <c r="CY37" s="511"/>
      <c r="CZ37" s="511"/>
      <c r="DA37" s="511"/>
      <c r="DB37" s="511"/>
      <c r="DC37" s="511"/>
      <c r="DD37" s="511"/>
      <c r="DE37" s="511"/>
      <c r="DF37" s="511"/>
      <c r="DG37" s="511"/>
      <c r="DH37" s="511"/>
      <c r="DI37" s="511"/>
      <c r="DJ37" s="511"/>
      <c r="DK37" s="511"/>
      <c r="DL37" s="511"/>
      <c r="DM37" s="511"/>
      <c r="DN37" s="511"/>
      <c r="DO37" s="511">
        <f t="shared" si="4"/>
        <v>0</v>
      </c>
      <c r="DP37" s="1029"/>
    </row>
    <row r="38" spans="1:120" s="16" customFormat="1" x14ac:dyDescent="0.2">
      <c r="A38" s="120" t="s">
        <v>369</v>
      </c>
      <c r="B38" s="9"/>
      <c r="C38" s="45"/>
      <c r="D38" s="58"/>
      <c r="E38" s="30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20"/>
      <c r="S38" s="128"/>
      <c r="T38" s="7"/>
      <c r="U38" s="14"/>
      <c r="V38" s="14"/>
      <c r="W38" s="14"/>
      <c r="X38" s="14"/>
      <c r="Y38" s="108"/>
      <c r="Z38" s="66"/>
      <c r="AA38" s="66"/>
      <c r="AB38" s="84"/>
      <c r="AC38" s="66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72">
        <f t="shared" si="10"/>
        <v>0</v>
      </c>
      <c r="AT38" s="55"/>
      <c r="AU38" s="55"/>
      <c r="AV38" s="55">
        <f t="shared" si="2"/>
        <v>0</v>
      </c>
      <c r="AW38" s="55">
        <f t="shared" si="2"/>
        <v>0</v>
      </c>
      <c r="AX38" s="55">
        <f t="shared" si="2"/>
        <v>0</v>
      </c>
      <c r="AY38" s="55">
        <f t="shared" si="2"/>
        <v>0</v>
      </c>
      <c r="AZ38" s="55">
        <f t="shared" si="2"/>
        <v>0</v>
      </c>
      <c r="BA38" s="66"/>
      <c r="BB38" s="84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448"/>
      <c r="BO38" s="55"/>
      <c r="BP38" s="55"/>
      <c r="BQ38" s="55"/>
      <c r="BR38" s="55"/>
      <c r="BS38" s="55"/>
      <c r="BT38" s="55"/>
      <c r="BU38" s="55"/>
      <c r="BV38" s="448"/>
      <c r="BW38" s="66"/>
      <c r="BX38" s="84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448"/>
      <c r="CK38" s="55"/>
      <c r="CL38" s="55"/>
      <c r="CM38" s="55"/>
      <c r="CN38" s="55"/>
      <c r="CO38" s="55"/>
      <c r="CP38" s="505"/>
      <c r="CQ38" s="679"/>
      <c r="CR38" s="55"/>
      <c r="CS38" s="84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11">
        <f t="shared" si="4"/>
        <v>0</v>
      </c>
      <c r="DP38" s="56"/>
    </row>
    <row r="39" spans="1:120" s="16" customFormat="1" x14ac:dyDescent="0.2">
      <c r="A39" s="119" t="s">
        <v>365</v>
      </c>
      <c r="B39" s="100" t="s">
        <v>366</v>
      </c>
      <c r="C39" s="45" t="s">
        <v>352</v>
      </c>
      <c r="D39" s="58">
        <v>10</v>
      </c>
      <c r="E39" s="30">
        <v>0.1</v>
      </c>
      <c r="F39" s="46">
        <v>43281</v>
      </c>
      <c r="G39" s="125">
        <v>120</v>
      </c>
      <c r="H39" s="145">
        <f t="shared" ref="H39:H46" si="11">100/G39</f>
        <v>0.83333333333333337</v>
      </c>
      <c r="I39" s="165">
        <f t="shared" ref="I39:I46" si="12">H39*J39</f>
        <v>44.166666666666671</v>
      </c>
      <c r="J39" s="48">
        <f t="shared" ref="J39:J46" si="13">(YEAR(F39)-YEAR(S39))*12+MONTH(F39)-MONTH(S39)</f>
        <v>53</v>
      </c>
      <c r="K39" s="165">
        <f t="shared" ref="K39:K46" si="14">L39*H39</f>
        <v>55.833333333333336</v>
      </c>
      <c r="L39" s="48">
        <f t="shared" ref="L39:L46" si="15">G39-J39</f>
        <v>67</v>
      </c>
      <c r="M39" s="165">
        <f t="shared" ref="M39:M46" si="16">N39*H39</f>
        <v>44.166666666666671</v>
      </c>
      <c r="N39" s="48">
        <f t="shared" ref="N39:N46" si="17">G39-L39</f>
        <v>53</v>
      </c>
      <c r="O39" s="165">
        <f t="shared" ref="O39:P46" si="18">K39-M39</f>
        <v>11.666666666666664</v>
      </c>
      <c r="P39" s="48">
        <f t="shared" si="18"/>
        <v>14</v>
      </c>
      <c r="Q39" s="462">
        <f t="shared" ref="Q39:Q46" si="19">DATE(YEAR(S39),MONTH(S39)+G39,DAY(S39))</f>
        <v>45292</v>
      </c>
      <c r="R39" s="125" t="s">
        <v>360</v>
      </c>
      <c r="S39" s="132">
        <v>41640</v>
      </c>
      <c r="T39" s="118">
        <v>176</v>
      </c>
      <c r="U39" s="72"/>
      <c r="V39" s="154">
        <v>17.630000000000003</v>
      </c>
      <c r="W39" s="154">
        <v>158.37</v>
      </c>
      <c r="X39" s="55">
        <v>1.47</v>
      </c>
      <c r="Y39" s="106">
        <f t="shared" ref="Y39:Y46" si="20">X39*5</f>
        <v>7.35</v>
      </c>
      <c r="Z39" s="258">
        <f t="shared" ref="Z39:Z46" si="21">W39-Y39</f>
        <v>151.02000000000001</v>
      </c>
      <c r="AA39" s="57">
        <v>115.958</v>
      </c>
      <c r="AB39" s="84">
        <v>112.505</v>
      </c>
      <c r="AC39" s="57">
        <f t="shared" ref="AC39:AC46" si="22">AA39/AB39</f>
        <v>1.0306919692458114</v>
      </c>
      <c r="AD39" s="55">
        <f t="shared" ref="AD39:AD46" si="23">Z39*M39/100/K39*100/7</f>
        <v>17.066226012793177</v>
      </c>
      <c r="AE39" s="55">
        <f t="shared" ref="AE39:AE46" si="24">AD39*AC39</f>
        <v>17.590022096719892</v>
      </c>
      <c r="AF39" s="55"/>
      <c r="AG39" s="55"/>
      <c r="AH39" s="55"/>
      <c r="AI39" s="55"/>
      <c r="AJ39" s="55"/>
      <c r="AK39" s="55">
        <f t="shared" ref="AK39:AK46" si="25">AE39</f>
        <v>17.590022096719892</v>
      </c>
      <c r="AL39" s="55">
        <v>1.5112145747136159</v>
      </c>
      <c r="AM39" s="55">
        <v>1.5112145747136159</v>
      </c>
      <c r="AN39" s="55">
        <v>1.5112145747136159</v>
      </c>
      <c r="AO39" s="55">
        <v>1.5112145747136159</v>
      </c>
      <c r="AP39" s="55">
        <v>1.5112145747136159</v>
      </c>
      <c r="AQ39" s="55">
        <v>1.5112145747136159</v>
      </c>
      <c r="AR39" s="55">
        <f t="shared" ref="AR39:AR46" si="26">SUM(AF39:AQ39)</f>
        <v>26.657309545001588</v>
      </c>
      <c r="AS39" s="72">
        <f t="shared" ref="AS39:AS46" si="27">Z39-AR39</f>
        <v>124.36269045499841</v>
      </c>
      <c r="AT39" s="55"/>
      <c r="AU39" s="55"/>
      <c r="AV39" s="55">
        <f t="shared" si="2"/>
        <v>1.5112145747136159</v>
      </c>
      <c r="AW39" s="55">
        <f t="shared" si="2"/>
        <v>1.5112145747136159</v>
      </c>
      <c r="AX39" s="55">
        <f t="shared" si="2"/>
        <v>1.5112145747136159</v>
      </c>
      <c r="AY39" s="55">
        <f t="shared" si="2"/>
        <v>1.5112145747136159</v>
      </c>
      <c r="AZ39" s="55">
        <f t="shared" si="2"/>
        <v>1.5112145747136159</v>
      </c>
      <c r="BA39" s="57">
        <v>118.901</v>
      </c>
      <c r="BB39" s="84">
        <v>112.505</v>
      </c>
      <c r="BC39" s="55">
        <f t="shared" ref="BC39:BC46" si="28">BA39/BB39</f>
        <v>1.0568508066308164</v>
      </c>
      <c r="BD39" s="55">
        <f t="shared" ref="BD39:BD46" si="29">T39/(D39*12)</f>
        <v>1.4666666666666666</v>
      </c>
      <c r="BE39" s="55">
        <f t="shared" ref="BE39:BE46" si="30">BD39*BC39</f>
        <v>1.5500478497251973</v>
      </c>
      <c r="BF39" s="55">
        <f t="shared" ref="BF39:BL46" si="31">$BE39</f>
        <v>1.5500478497251973</v>
      </c>
      <c r="BG39" s="55">
        <f t="shared" si="31"/>
        <v>1.5500478497251973</v>
      </c>
      <c r="BH39" s="55">
        <f t="shared" si="31"/>
        <v>1.5500478497251973</v>
      </c>
      <c r="BI39" s="55">
        <f t="shared" si="31"/>
        <v>1.5500478497251973</v>
      </c>
      <c r="BJ39" s="55">
        <f t="shared" si="31"/>
        <v>1.5500478497251973</v>
      </c>
      <c r="BK39" s="55">
        <f t="shared" si="31"/>
        <v>1.5500478497251973</v>
      </c>
      <c r="BL39" s="55">
        <f t="shared" si="31"/>
        <v>1.5500478497251973</v>
      </c>
      <c r="BM39" s="55">
        <f t="shared" ref="BM39:BM46" si="32">SUM((AV39:AZ39),(BF39:BL39))</f>
        <v>18.406407821644461</v>
      </c>
      <c r="BN39" s="448">
        <f t="shared" ref="BN39:BN46" si="33">(AS39-BM39)</f>
        <v>105.95628263335395</v>
      </c>
      <c r="BO39" s="55">
        <f t="shared" ref="BO39:BS46" si="34">$BE39</f>
        <v>1.5500478497251973</v>
      </c>
      <c r="BP39" s="55">
        <f t="shared" si="34"/>
        <v>1.5500478497251973</v>
      </c>
      <c r="BQ39" s="55">
        <f t="shared" si="34"/>
        <v>1.5500478497251973</v>
      </c>
      <c r="BR39" s="55">
        <f t="shared" si="34"/>
        <v>1.5500478497251973</v>
      </c>
      <c r="BS39" s="55">
        <f t="shared" si="34"/>
        <v>1.5500478497251973</v>
      </c>
      <c r="BT39" s="55">
        <f t="shared" ref="BT39:BT46" si="35">SUM(BO39:BS39)</f>
        <v>7.7502392486259861</v>
      </c>
      <c r="BU39" s="753">
        <f t="shared" ref="BU39:BU46" si="36">BN39-BT39</f>
        <v>98.206043384727963</v>
      </c>
      <c r="BV39" s="448">
        <v>113.82574774479593</v>
      </c>
      <c r="BW39" s="57">
        <v>132.28200000000001</v>
      </c>
      <c r="BX39" s="84">
        <v>112.505</v>
      </c>
      <c r="BY39" s="55">
        <f t="shared" ref="BY39:BY46" si="37">BW39/BX39</f>
        <v>1.1757877427669883</v>
      </c>
      <c r="BZ39" s="55">
        <f t="shared" ref="BZ39:BZ46" si="38">BV39/L39</f>
        <v>1.698891757385014</v>
      </c>
      <c r="CA39" s="55">
        <f t="shared" ref="CA39:CA46" si="39">BZ39*BY39</f>
        <v>1.9975361046211675</v>
      </c>
      <c r="CB39" s="55">
        <v>1.6188855877487487</v>
      </c>
      <c r="CC39" s="55">
        <v>1.6188855877487487</v>
      </c>
      <c r="CD39" s="55">
        <v>1.6188855877487487</v>
      </c>
      <c r="CE39" s="55">
        <v>1.6188855877487487</v>
      </c>
      <c r="CF39" s="55">
        <v>1.6188855877487487</v>
      </c>
      <c r="CG39" s="55">
        <v>1.6188855877487487</v>
      </c>
      <c r="CH39" s="55">
        <v>1.6188855877487487</v>
      </c>
      <c r="CI39" s="55">
        <f t="shared" ref="CI39:CI46" si="40">SUM(CB39:CH39)</f>
        <v>11.33219911424124</v>
      </c>
      <c r="CJ39" s="448">
        <f t="shared" ref="CJ39:CJ46" si="41">BV39-CI39</f>
        <v>102.4935486305547</v>
      </c>
      <c r="CK39" s="55">
        <v>1.6188855877487487</v>
      </c>
      <c r="CL39" s="55">
        <v>1.6188855877487487</v>
      </c>
      <c r="CM39" s="55">
        <v>1.6188855877487487</v>
      </c>
      <c r="CN39" s="55">
        <v>1.6188855877487487</v>
      </c>
      <c r="CO39" s="55">
        <v>1.6188855877487487</v>
      </c>
      <c r="CP39" s="505">
        <f t="shared" ref="CP39:CP46" si="42">SUM(CK39:CO39)</f>
        <v>8.0944279387437437</v>
      </c>
      <c r="CQ39" s="679">
        <f t="shared" ref="CQ39:CQ46" si="43">CJ39-CP39</f>
        <v>94.39912069181095</v>
      </c>
      <c r="CR39" s="956">
        <v>132.28200000000001</v>
      </c>
      <c r="CS39" s="84">
        <v>112.505</v>
      </c>
      <c r="CT39" s="957">
        <f>CR39/CS39</f>
        <v>1.1757877427669883</v>
      </c>
      <c r="CU39" s="511">
        <f t="shared" ref="CU39:CU46" si="44">CQ39/N39</f>
        <v>1.7811154847511499</v>
      </c>
      <c r="CV39" s="511">
        <f t="shared" ref="CV39:CV46" si="45">CU39*CT39</f>
        <v>2.0942137554228846</v>
      </c>
      <c r="CW39" s="511">
        <v>2.0942137554228846</v>
      </c>
      <c r="CX39" s="511">
        <v>2.0942137554228846</v>
      </c>
      <c r="CY39" s="511">
        <v>2.0942137554228846</v>
      </c>
      <c r="CZ39" s="511">
        <v>2.0942137554228846</v>
      </c>
      <c r="DA39" s="511">
        <v>2.0942137554228846</v>
      </c>
      <c r="DB39" s="511">
        <v>2.0942137554228846</v>
      </c>
      <c r="DC39" s="511">
        <v>2.0942137554228846</v>
      </c>
      <c r="DD39" s="511">
        <v>2.0942137554228846</v>
      </c>
      <c r="DE39" s="511">
        <v>2.0942137554228846</v>
      </c>
      <c r="DF39" s="511">
        <v>2.0942137554228846</v>
      </c>
      <c r="DG39" s="511">
        <v>2.0942137554228846</v>
      </c>
      <c r="DH39" s="511">
        <v>2.0942137554228846</v>
      </c>
      <c r="DI39" s="511">
        <v>2.0942137554228846</v>
      </c>
      <c r="DJ39" s="511">
        <v>2.0942137554228846</v>
      </c>
      <c r="DK39" s="511">
        <v>2.0942137554228846</v>
      </c>
      <c r="DL39" s="511">
        <v>2.0942137554228846</v>
      </c>
      <c r="DM39" s="511">
        <v>2.0942137554228846</v>
      </c>
      <c r="DN39" s="511">
        <v>2.0942137554228846</v>
      </c>
      <c r="DO39" s="511">
        <f t="shared" si="4"/>
        <v>37.695847597611923</v>
      </c>
      <c r="DP39" s="960">
        <f t="shared" ref="DP39:DP46" si="46">CQ39-DO39</f>
        <v>56.703273094199027</v>
      </c>
    </row>
    <row r="40" spans="1:120" s="16" customFormat="1" x14ac:dyDescent="0.2">
      <c r="A40" s="119" t="s">
        <v>365</v>
      </c>
      <c r="B40" s="100" t="s">
        <v>366</v>
      </c>
      <c r="C40" s="45" t="s">
        <v>352</v>
      </c>
      <c r="D40" s="58">
        <v>10</v>
      </c>
      <c r="E40" s="30">
        <v>0.1</v>
      </c>
      <c r="F40" s="46">
        <v>43281</v>
      </c>
      <c r="G40" s="125">
        <v>120</v>
      </c>
      <c r="H40" s="145">
        <f t="shared" si="11"/>
        <v>0.83333333333333337</v>
      </c>
      <c r="I40" s="165">
        <f t="shared" si="12"/>
        <v>44.166666666666671</v>
      </c>
      <c r="J40" s="48">
        <f t="shared" si="13"/>
        <v>53</v>
      </c>
      <c r="K40" s="165">
        <f t="shared" si="14"/>
        <v>55.833333333333336</v>
      </c>
      <c r="L40" s="48">
        <f t="shared" si="15"/>
        <v>67</v>
      </c>
      <c r="M40" s="165">
        <f t="shared" si="16"/>
        <v>44.166666666666671</v>
      </c>
      <c r="N40" s="48">
        <f t="shared" si="17"/>
        <v>53</v>
      </c>
      <c r="O40" s="165">
        <f t="shared" si="18"/>
        <v>11.666666666666664</v>
      </c>
      <c r="P40" s="48">
        <f t="shared" si="18"/>
        <v>14</v>
      </c>
      <c r="Q40" s="462">
        <f t="shared" si="19"/>
        <v>45292</v>
      </c>
      <c r="R40" s="125" t="s">
        <v>360</v>
      </c>
      <c r="S40" s="132">
        <v>41640</v>
      </c>
      <c r="T40" s="118">
        <v>176</v>
      </c>
      <c r="U40" s="72"/>
      <c r="V40" s="154">
        <v>17.630000000000003</v>
      </c>
      <c r="W40" s="154">
        <v>158.37</v>
      </c>
      <c r="X40" s="55">
        <v>1.47</v>
      </c>
      <c r="Y40" s="106">
        <f t="shared" si="20"/>
        <v>7.35</v>
      </c>
      <c r="Z40" s="258">
        <f t="shared" si="21"/>
        <v>151.02000000000001</v>
      </c>
      <c r="AA40" s="57">
        <v>115.958</v>
      </c>
      <c r="AB40" s="84">
        <v>112.505</v>
      </c>
      <c r="AC40" s="57">
        <f t="shared" si="22"/>
        <v>1.0306919692458114</v>
      </c>
      <c r="AD40" s="55">
        <f t="shared" si="23"/>
        <v>17.066226012793177</v>
      </c>
      <c r="AE40" s="55">
        <f t="shared" si="24"/>
        <v>17.590022096719892</v>
      </c>
      <c r="AF40" s="55"/>
      <c r="AG40" s="55"/>
      <c r="AH40" s="55"/>
      <c r="AI40" s="55"/>
      <c r="AJ40" s="55"/>
      <c r="AK40" s="55">
        <f t="shared" si="25"/>
        <v>17.590022096719892</v>
      </c>
      <c r="AL40" s="55">
        <v>1.5112145747136159</v>
      </c>
      <c r="AM40" s="55">
        <v>1.5112145747136159</v>
      </c>
      <c r="AN40" s="55">
        <v>1.5112145747136159</v>
      </c>
      <c r="AO40" s="55">
        <v>1.5112145747136159</v>
      </c>
      <c r="AP40" s="55">
        <v>1.5112145747136159</v>
      </c>
      <c r="AQ40" s="55">
        <v>1.5112145747136159</v>
      </c>
      <c r="AR40" s="55">
        <f t="shared" si="26"/>
        <v>26.657309545001588</v>
      </c>
      <c r="AS40" s="72">
        <f t="shared" si="27"/>
        <v>124.36269045499841</v>
      </c>
      <c r="AT40" s="55"/>
      <c r="AU40" s="55"/>
      <c r="AV40" s="55">
        <f t="shared" si="2"/>
        <v>1.5112145747136159</v>
      </c>
      <c r="AW40" s="55">
        <f t="shared" si="2"/>
        <v>1.5112145747136159</v>
      </c>
      <c r="AX40" s="55">
        <f t="shared" si="2"/>
        <v>1.5112145747136159</v>
      </c>
      <c r="AY40" s="55">
        <f t="shared" si="2"/>
        <v>1.5112145747136159</v>
      </c>
      <c r="AZ40" s="55">
        <f t="shared" si="2"/>
        <v>1.5112145747136159</v>
      </c>
      <c r="BA40" s="57">
        <v>118.901</v>
      </c>
      <c r="BB40" s="84">
        <v>112.505</v>
      </c>
      <c r="BC40" s="55">
        <f t="shared" si="28"/>
        <v>1.0568508066308164</v>
      </c>
      <c r="BD40" s="55">
        <f t="shared" si="29"/>
        <v>1.4666666666666666</v>
      </c>
      <c r="BE40" s="55">
        <f t="shared" si="30"/>
        <v>1.5500478497251973</v>
      </c>
      <c r="BF40" s="55">
        <f t="shared" si="31"/>
        <v>1.5500478497251973</v>
      </c>
      <c r="BG40" s="55">
        <f t="shared" si="31"/>
        <v>1.5500478497251973</v>
      </c>
      <c r="BH40" s="55">
        <f t="shared" si="31"/>
        <v>1.5500478497251973</v>
      </c>
      <c r="BI40" s="55">
        <f t="shared" si="31"/>
        <v>1.5500478497251973</v>
      </c>
      <c r="BJ40" s="55">
        <f t="shared" si="31"/>
        <v>1.5500478497251973</v>
      </c>
      <c r="BK40" s="55">
        <f t="shared" si="31"/>
        <v>1.5500478497251973</v>
      </c>
      <c r="BL40" s="55">
        <f t="shared" si="31"/>
        <v>1.5500478497251973</v>
      </c>
      <c r="BM40" s="55">
        <f t="shared" si="32"/>
        <v>18.406407821644461</v>
      </c>
      <c r="BN40" s="448">
        <f t="shared" si="33"/>
        <v>105.95628263335395</v>
      </c>
      <c r="BO40" s="55">
        <f t="shared" si="34"/>
        <v>1.5500478497251973</v>
      </c>
      <c r="BP40" s="55">
        <f t="shared" si="34"/>
        <v>1.5500478497251973</v>
      </c>
      <c r="BQ40" s="55">
        <f t="shared" si="34"/>
        <v>1.5500478497251973</v>
      </c>
      <c r="BR40" s="55">
        <f t="shared" si="34"/>
        <v>1.5500478497251973</v>
      </c>
      <c r="BS40" s="55">
        <f t="shared" si="34"/>
        <v>1.5500478497251973</v>
      </c>
      <c r="BT40" s="55">
        <f t="shared" si="35"/>
        <v>7.7502392486259861</v>
      </c>
      <c r="BU40" s="753">
        <f t="shared" si="36"/>
        <v>98.206043384727963</v>
      </c>
      <c r="BV40" s="448">
        <v>113.82574774479593</v>
      </c>
      <c r="BW40" s="57">
        <v>132.28200000000001</v>
      </c>
      <c r="BX40" s="84">
        <v>112.505</v>
      </c>
      <c r="BY40" s="55">
        <f t="shared" si="37"/>
        <v>1.1757877427669883</v>
      </c>
      <c r="BZ40" s="55">
        <f t="shared" si="38"/>
        <v>1.698891757385014</v>
      </c>
      <c r="CA40" s="55">
        <f t="shared" si="39"/>
        <v>1.9975361046211675</v>
      </c>
      <c r="CB40" s="55">
        <v>1.6188855877487487</v>
      </c>
      <c r="CC40" s="55">
        <v>1.6188855877487487</v>
      </c>
      <c r="CD40" s="55">
        <v>1.6188855877487487</v>
      </c>
      <c r="CE40" s="55">
        <v>1.6188855877487487</v>
      </c>
      <c r="CF40" s="55">
        <v>1.6188855877487487</v>
      </c>
      <c r="CG40" s="55">
        <v>1.6188855877487487</v>
      </c>
      <c r="CH40" s="55">
        <v>1.6188855877487487</v>
      </c>
      <c r="CI40" s="55">
        <f t="shared" si="40"/>
        <v>11.33219911424124</v>
      </c>
      <c r="CJ40" s="448">
        <f t="shared" si="41"/>
        <v>102.4935486305547</v>
      </c>
      <c r="CK40" s="55">
        <v>1.6188855877487487</v>
      </c>
      <c r="CL40" s="55">
        <v>1.6188855877487487</v>
      </c>
      <c r="CM40" s="55">
        <v>1.6188855877487487</v>
      </c>
      <c r="CN40" s="55">
        <v>1.6188855877487487</v>
      </c>
      <c r="CO40" s="55">
        <v>1.6188855877487487</v>
      </c>
      <c r="CP40" s="505">
        <f t="shared" si="42"/>
        <v>8.0944279387437437</v>
      </c>
      <c r="CQ40" s="679">
        <f t="shared" si="43"/>
        <v>94.39912069181095</v>
      </c>
      <c r="CR40" s="956">
        <v>132.28200000000001</v>
      </c>
      <c r="CS40" s="84">
        <v>112.505</v>
      </c>
      <c r="CT40" s="957">
        <f t="shared" ref="CT40:CT46" si="47">CR40/CS40</f>
        <v>1.1757877427669883</v>
      </c>
      <c r="CU40" s="511">
        <f t="shared" si="44"/>
        <v>1.7811154847511499</v>
      </c>
      <c r="CV40" s="511">
        <f t="shared" si="45"/>
        <v>2.0942137554228846</v>
      </c>
      <c r="CW40" s="511">
        <v>2.0942137554228846</v>
      </c>
      <c r="CX40" s="511">
        <v>2.0942137554228846</v>
      </c>
      <c r="CY40" s="511">
        <v>2.0942137554228846</v>
      </c>
      <c r="CZ40" s="511">
        <v>2.0942137554228846</v>
      </c>
      <c r="DA40" s="511">
        <v>2.0942137554228846</v>
      </c>
      <c r="DB40" s="511">
        <v>2.0942137554228846</v>
      </c>
      <c r="DC40" s="511">
        <v>2.0942137554228846</v>
      </c>
      <c r="DD40" s="511">
        <v>2.0942137554228846</v>
      </c>
      <c r="DE40" s="511">
        <v>2.0942137554228846</v>
      </c>
      <c r="DF40" s="511">
        <v>2.0942137554228846</v>
      </c>
      <c r="DG40" s="511">
        <v>2.0942137554228846</v>
      </c>
      <c r="DH40" s="511">
        <v>2.0942137554228846</v>
      </c>
      <c r="DI40" s="511">
        <v>2.0942137554228846</v>
      </c>
      <c r="DJ40" s="511">
        <v>2.0942137554228846</v>
      </c>
      <c r="DK40" s="511">
        <v>2.0942137554228846</v>
      </c>
      <c r="DL40" s="511">
        <v>2.0942137554228846</v>
      </c>
      <c r="DM40" s="511">
        <v>2.0942137554228846</v>
      </c>
      <c r="DN40" s="511">
        <v>2.0942137554228846</v>
      </c>
      <c r="DO40" s="511">
        <f t="shared" si="4"/>
        <v>37.695847597611923</v>
      </c>
      <c r="DP40" s="960">
        <f t="shared" si="46"/>
        <v>56.703273094199027</v>
      </c>
    </row>
    <row r="41" spans="1:120" s="16" customFormat="1" x14ac:dyDescent="0.2">
      <c r="A41" s="119" t="s">
        <v>365</v>
      </c>
      <c r="B41" s="100" t="s">
        <v>366</v>
      </c>
      <c r="C41" s="45" t="s">
        <v>352</v>
      </c>
      <c r="D41" s="58">
        <v>10</v>
      </c>
      <c r="E41" s="30">
        <v>0.1</v>
      </c>
      <c r="F41" s="46">
        <v>43281</v>
      </c>
      <c r="G41" s="125">
        <v>120</v>
      </c>
      <c r="H41" s="145">
        <f t="shared" si="11"/>
        <v>0.83333333333333337</v>
      </c>
      <c r="I41" s="165">
        <f t="shared" si="12"/>
        <v>44.166666666666671</v>
      </c>
      <c r="J41" s="48">
        <f t="shared" si="13"/>
        <v>53</v>
      </c>
      <c r="K41" s="165">
        <f t="shared" si="14"/>
        <v>55.833333333333336</v>
      </c>
      <c r="L41" s="48">
        <f t="shared" si="15"/>
        <v>67</v>
      </c>
      <c r="M41" s="165">
        <f t="shared" si="16"/>
        <v>44.166666666666671</v>
      </c>
      <c r="N41" s="48">
        <f t="shared" si="17"/>
        <v>53</v>
      </c>
      <c r="O41" s="165">
        <f t="shared" si="18"/>
        <v>11.666666666666664</v>
      </c>
      <c r="P41" s="48">
        <f t="shared" si="18"/>
        <v>14</v>
      </c>
      <c r="Q41" s="462">
        <f t="shared" si="19"/>
        <v>45292</v>
      </c>
      <c r="R41" s="125" t="s">
        <v>360</v>
      </c>
      <c r="S41" s="132">
        <v>41640</v>
      </c>
      <c r="T41" s="118">
        <v>176</v>
      </c>
      <c r="U41" s="72"/>
      <c r="V41" s="154">
        <v>17.630000000000003</v>
      </c>
      <c r="W41" s="154">
        <v>158.37</v>
      </c>
      <c r="X41" s="55">
        <v>1.47</v>
      </c>
      <c r="Y41" s="106">
        <f t="shared" si="20"/>
        <v>7.35</v>
      </c>
      <c r="Z41" s="258">
        <f t="shared" si="21"/>
        <v>151.02000000000001</v>
      </c>
      <c r="AA41" s="57">
        <v>115.958</v>
      </c>
      <c r="AB41" s="84">
        <v>112.505</v>
      </c>
      <c r="AC41" s="57">
        <f t="shared" si="22"/>
        <v>1.0306919692458114</v>
      </c>
      <c r="AD41" s="55">
        <f t="shared" si="23"/>
        <v>17.066226012793177</v>
      </c>
      <c r="AE41" s="55">
        <f t="shared" si="24"/>
        <v>17.590022096719892</v>
      </c>
      <c r="AF41" s="55"/>
      <c r="AG41" s="55"/>
      <c r="AH41" s="55"/>
      <c r="AI41" s="55"/>
      <c r="AJ41" s="55"/>
      <c r="AK41" s="55">
        <f t="shared" si="25"/>
        <v>17.590022096719892</v>
      </c>
      <c r="AL41" s="55">
        <v>1.5112145747136159</v>
      </c>
      <c r="AM41" s="55">
        <v>1.5112145747136159</v>
      </c>
      <c r="AN41" s="55">
        <v>1.5112145747136159</v>
      </c>
      <c r="AO41" s="55">
        <v>1.5112145747136159</v>
      </c>
      <c r="AP41" s="55">
        <v>1.5112145747136159</v>
      </c>
      <c r="AQ41" s="55">
        <v>1.5112145747136159</v>
      </c>
      <c r="AR41" s="55">
        <f t="shared" si="26"/>
        <v>26.657309545001588</v>
      </c>
      <c r="AS41" s="72">
        <f t="shared" si="27"/>
        <v>124.36269045499841</v>
      </c>
      <c r="AT41" s="55"/>
      <c r="AU41" s="55"/>
      <c r="AV41" s="55">
        <f t="shared" si="2"/>
        <v>1.5112145747136159</v>
      </c>
      <c r="AW41" s="55">
        <f t="shared" si="2"/>
        <v>1.5112145747136159</v>
      </c>
      <c r="AX41" s="55">
        <f t="shared" si="2"/>
        <v>1.5112145747136159</v>
      </c>
      <c r="AY41" s="55">
        <f t="shared" si="2"/>
        <v>1.5112145747136159</v>
      </c>
      <c r="AZ41" s="55">
        <f t="shared" si="2"/>
        <v>1.5112145747136159</v>
      </c>
      <c r="BA41" s="57">
        <v>118.901</v>
      </c>
      <c r="BB41" s="84">
        <v>112.505</v>
      </c>
      <c r="BC41" s="55">
        <f t="shared" si="28"/>
        <v>1.0568508066308164</v>
      </c>
      <c r="BD41" s="55">
        <f t="shared" si="29"/>
        <v>1.4666666666666666</v>
      </c>
      <c r="BE41" s="55">
        <f t="shared" si="30"/>
        <v>1.5500478497251973</v>
      </c>
      <c r="BF41" s="55">
        <f t="shared" si="31"/>
        <v>1.5500478497251973</v>
      </c>
      <c r="BG41" s="55">
        <f t="shared" si="31"/>
        <v>1.5500478497251973</v>
      </c>
      <c r="BH41" s="55">
        <f t="shared" si="31"/>
        <v>1.5500478497251973</v>
      </c>
      <c r="BI41" s="55">
        <f t="shared" si="31"/>
        <v>1.5500478497251973</v>
      </c>
      <c r="BJ41" s="55">
        <f t="shared" si="31"/>
        <v>1.5500478497251973</v>
      </c>
      <c r="BK41" s="55">
        <f t="shared" si="31"/>
        <v>1.5500478497251973</v>
      </c>
      <c r="BL41" s="55">
        <f t="shared" si="31"/>
        <v>1.5500478497251973</v>
      </c>
      <c r="BM41" s="55">
        <f t="shared" si="32"/>
        <v>18.406407821644461</v>
      </c>
      <c r="BN41" s="448">
        <f t="shared" si="33"/>
        <v>105.95628263335395</v>
      </c>
      <c r="BO41" s="55">
        <f t="shared" si="34"/>
        <v>1.5500478497251973</v>
      </c>
      <c r="BP41" s="55">
        <f t="shared" si="34"/>
        <v>1.5500478497251973</v>
      </c>
      <c r="BQ41" s="55">
        <f t="shared" si="34"/>
        <v>1.5500478497251973</v>
      </c>
      <c r="BR41" s="55">
        <f t="shared" si="34"/>
        <v>1.5500478497251973</v>
      </c>
      <c r="BS41" s="55">
        <f t="shared" si="34"/>
        <v>1.5500478497251973</v>
      </c>
      <c r="BT41" s="55">
        <f t="shared" si="35"/>
        <v>7.7502392486259861</v>
      </c>
      <c r="BU41" s="753">
        <f t="shared" si="36"/>
        <v>98.206043384727963</v>
      </c>
      <c r="BV41" s="448">
        <v>113.82574774479593</v>
      </c>
      <c r="BW41" s="57">
        <v>132.28200000000001</v>
      </c>
      <c r="BX41" s="84">
        <v>112.505</v>
      </c>
      <c r="BY41" s="55">
        <f t="shared" si="37"/>
        <v>1.1757877427669883</v>
      </c>
      <c r="BZ41" s="55">
        <f t="shared" si="38"/>
        <v>1.698891757385014</v>
      </c>
      <c r="CA41" s="55">
        <f t="shared" si="39"/>
        <v>1.9975361046211675</v>
      </c>
      <c r="CB41" s="55">
        <v>1.6188855877487487</v>
      </c>
      <c r="CC41" s="55">
        <v>1.6188855877487487</v>
      </c>
      <c r="CD41" s="55">
        <v>1.6188855877487487</v>
      </c>
      <c r="CE41" s="55">
        <v>1.6188855877487487</v>
      </c>
      <c r="CF41" s="55">
        <v>1.6188855877487487</v>
      </c>
      <c r="CG41" s="55">
        <v>1.6188855877487487</v>
      </c>
      <c r="CH41" s="55">
        <v>1.6188855877487487</v>
      </c>
      <c r="CI41" s="55">
        <f t="shared" si="40"/>
        <v>11.33219911424124</v>
      </c>
      <c r="CJ41" s="448">
        <f t="shared" si="41"/>
        <v>102.4935486305547</v>
      </c>
      <c r="CK41" s="55">
        <v>1.6188855877487487</v>
      </c>
      <c r="CL41" s="55">
        <v>1.6188855877487487</v>
      </c>
      <c r="CM41" s="55">
        <v>1.6188855877487487</v>
      </c>
      <c r="CN41" s="55">
        <v>1.6188855877487487</v>
      </c>
      <c r="CO41" s="55">
        <v>1.6188855877487487</v>
      </c>
      <c r="CP41" s="505">
        <f t="shared" si="42"/>
        <v>8.0944279387437437</v>
      </c>
      <c r="CQ41" s="679">
        <f t="shared" si="43"/>
        <v>94.39912069181095</v>
      </c>
      <c r="CR41" s="956">
        <v>132.28200000000001</v>
      </c>
      <c r="CS41" s="84">
        <v>112.505</v>
      </c>
      <c r="CT41" s="957">
        <f t="shared" si="47"/>
        <v>1.1757877427669883</v>
      </c>
      <c r="CU41" s="511">
        <f t="shared" si="44"/>
        <v>1.7811154847511499</v>
      </c>
      <c r="CV41" s="511">
        <f t="shared" si="45"/>
        <v>2.0942137554228846</v>
      </c>
      <c r="CW41" s="511">
        <v>2.0942137554228846</v>
      </c>
      <c r="CX41" s="511">
        <v>2.0942137554228846</v>
      </c>
      <c r="CY41" s="511">
        <v>2.0942137554228846</v>
      </c>
      <c r="CZ41" s="511">
        <v>2.0942137554228846</v>
      </c>
      <c r="DA41" s="511">
        <v>2.0942137554228846</v>
      </c>
      <c r="DB41" s="511">
        <v>2.0942137554228846</v>
      </c>
      <c r="DC41" s="511">
        <v>2.0942137554228846</v>
      </c>
      <c r="DD41" s="511">
        <v>2.0942137554228846</v>
      </c>
      <c r="DE41" s="511">
        <v>2.0942137554228846</v>
      </c>
      <c r="DF41" s="511">
        <v>2.0942137554228846</v>
      </c>
      <c r="DG41" s="511">
        <v>2.0942137554228846</v>
      </c>
      <c r="DH41" s="511">
        <v>2.0942137554228846</v>
      </c>
      <c r="DI41" s="511">
        <v>2.0942137554228846</v>
      </c>
      <c r="DJ41" s="511">
        <v>2.0942137554228846</v>
      </c>
      <c r="DK41" s="511">
        <v>2.0942137554228846</v>
      </c>
      <c r="DL41" s="511">
        <v>2.0942137554228846</v>
      </c>
      <c r="DM41" s="511">
        <v>2.0942137554228846</v>
      </c>
      <c r="DN41" s="511">
        <v>2.0942137554228846</v>
      </c>
      <c r="DO41" s="511">
        <f t="shared" si="4"/>
        <v>37.695847597611923</v>
      </c>
      <c r="DP41" s="960">
        <f t="shared" si="46"/>
        <v>56.703273094199027</v>
      </c>
    </row>
    <row r="42" spans="1:120" s="16" customFormat="1" x14ac:dyDescent="0.2">
      <c r="A42" s="119" t="s">
        <v>365</v>
      </c>
      <c r="B42" s="100" t="s">
        <v>367</v>
      </c>
      <c r="C42" s="45" t="s">
        <v>352</v>
      </c>
      <c r="D42" s="58">
        <v>10</v>
      </c>
      <c r="E42" s="30">
        <v>0.1</v>
      </c>
      <c r="F42" s="46">
        <v>43281</v>
      </c>
      <c r="G42" s="125">
        <v>120</v>
      </c>
      <c r="H42" s="145">
        <f t="shared" si="11"/>
        <v>0.83333333333333337</v>
      </c>
      <c r="I42" s="165">
        <f t="shared" si="12"/>
        <v>44.166666666666671</v>
      </c>
      <c r="J42" s="48">
        <f t="shared" si="13"/>
        <v>53</v>
      </c>
      <c r="K42" s="165">
        <f t="shared" si="14"/>
        <v>55.833333333333336</v>
      </c>
      <c r="L42" s="48">
        <f t="shared" si="15"/>
        <v>67</v>
      </c>
      <c r="M42" s="165">
        <f t="shared" si="16"/>
        <v>44.166666666666671</v>
      </c>
      <c r="N42" s="48">
        <f t="shared" si="17"/>
        <v>53</v>
      </c>
      <c r="O42" s="165">
        <f t="shared" si="18"/>
        <v>11.666666666666664</v>
      </c>
      <c r="P42" s="48">
        <f t="shared" si="18"/>
        <v>14</v>
      </c>
      <c r="Q42" s="462">
        <f t="shared" si="19"/>
        <v>45292</v>
      </c>
      <c r="R42" s="125" t="s">
        <v>360</v>
      </c>
      <c r="S42" s="132">
        <v>41640</v>
      </c>
      <c r="T42" s="118">
        <v>1610</v>
      </c>
      <c r="U42" s="72"/>
      <c r="V42" s="154">
        <v>161.02999999999997</v>
      </c>
      <c r="W42" s="154">
        <v>1448.97</v>
      </c>
      <c r="X42" s="55">
        <v>13.42</v>
      </c>
      <c r="Y42" s="106">
        <f t="shared" si="20"/>
        <v>67.099999999999994</v>
      </c>
      <c r="Z42" s="258">
        <f t="shared" si="21"/>
        <v>1381.8700000000001</v>
      </c>
      <c r="AA42" s="57">
        <v>115.958</v>
      </c>
      <c r="AB42" s="84">
        <v>112.505</v>
      </c>
      <c r="AC42" s="57">
        <f t="shared" si="22"/>
        <v>1.0306919692458114</v>
      </c>
      <c r="AD42" s="55">
        <f t="shared" si="23"/>
        <v>156.16014925373136</v>
      </c>
      <c r="AE42" s="55">
        <f t="shared" si="24"/>
        <v>160.95301175204821</v>
      </c>
      <c r="AF42" s="55"/>
      <c r="AG42" s="55"/>
      <c r="AH42" s="55"/>
      <c r="AI42" s="55"/>
      <c r="AJ42" s="55"/>
      <c r="AK42" s="55">
        <f t="shared" si="25"/>
        <v>160.95301175204821</v>
      </c>
      <c r="AL42" s="55">
        <v>13.827983607201062</v>
      </c>
      <c r="AM42" s="55">
        <v>13.827983607201062</v>
      </c>
      <c r="AN42" s="55">
        <v>13.827983607201062</v>
      </c>
      <c r="AO42" s="55">
        <v>13.827983607201062</v>
      </c>
      <c r="AP42" s="55">
        <v>13.827983607201062</v>
      </c>
      <c r="AQ42" s="55">
        <v>13.827983607201062</v>
      </c>
      <c r="AR42" s="55">
        <f t="shared" si="26"/>
        <v>243.92091339525467</v>
      </c>
      <c r="AS42" s="72">
        <f t="shared" si="27"/>
        <v>1137.9490866047454</v>
      </c>
      <c r="AT42" s="55"/>
      <c r="AU42" s="55"/>
      <c r="AV42" s="55">
        <f t="shared" si="2"/>
        <v>13.827983607201062</v>
      </c>
      <c r="AW42" s="55">
        <f t="shared" si="2"/>
        <v>13.827983607201062</v>
      </c>
      <c r="AX42" s="55">
        <f t="shared" si="2"/>
        <v>13.827983607201062</v>
      </c>
      <c r="AY42" s="55">
        <f t="shared" si="2"/>
        <v>13.827983607201062</v>
      </c>
      <c r="AZ42" s="55">
        <f t="shared" si="2"/>
        <v>13.827983607201062</v>
      </c>
      <c r="BA42" s="57">
        <v>118.901</v>
      </c>
      <c r="BB42" s="84">
        <v>112.505</v>
      </c>
      <c r="BC42" s="55">
        <f t="shared" si="28"/>
        <v>1.0568508066308164</v>
      </c>
      <c r="BD42" s="55">
        <f t="shared" si="29"/>
        <v>13.416666666666666</v>
      </c>
      <c r="BE42" s="55">
        <f t="shared" si="30"/>
        <v>14.179414988963453</v>
      </c>
      <c r="BF42" s="55">
        <f t="shared" si="31"/>
        <v>14.179414988963453</v>
      </c>
      <c r="BG42" s="55">
        <f t="shared" si="31"/>
        <v>14.179414988963453</v>
      </c>
      <c r="BH42" s="55">
        <f t="shared" si="31"/>
        <v>14.179414988963453</v>
      </c>
      <c r="BI42" s="55">
        <f t="shared" si="31"/>
        <v>14.179414988963453</v>
      </c>
      <c r="BJ42" s="55">
        <f t="shared" si="31"/>
        <v>14.179414988963453</v>
      </c>
      <c r="BK42" s="55">
        <f t="shared" si="31"/>
        <v>14.179414988963453</v>
      </c>
      <c r="BL42" s="55">
        <f t="shared" si="31"/>
        <v>14.179414988963453</v>
      </c>
      <c r="BM42" s="55">
        <f t="shared" si="32"/>
        <v>168.39582295874951</v>
      </c>
      <c r="BN42" s="448">
        <f t="shared" si="33"/>
        <v>969.55326364599591</v>
      </c>
      <c r="BO42" s="55">
        <f t="shared" si="34"/>
        <v>14.179414988963453</v>
      </c>
      <c r="BP42" s="55">
        <f t="shared" si="34"/>
        <v>14.179414988963453</v>
      </c>
      <c r="BQ42" s="55">
        <f t="shared" si="34"/>
        <v>14.179414988963453</v>
      </c>
      <c r="BR42" s="55">
        <f t="shared" si="34"/>
        <v>14.179414988963453</v>
      </c>
      <c r="BS42" s="55">
        <f t="shared" si="34"/>
        <v>14.179414988963453</v>
      </c>
      <c r="BT42" s="55">
        <f t="shared" si="35"/>
        <v>70.897074944817263</v>
      </c>
      <c r="BU42" s="753">
        <f t="shared" si="36"/>
        <v>898.65618870117862</v>
      </c>
      <c r="BV42" s="448">
        <v>1041.5803104337117</v>
      </c>
      <c r="BW42" s="57">
        <v>132.28200000000001</v>
      </c>
      <c r="BX42" s="84">
        <v>112.505</v>
      </c>
      <c r="BY42" s="55">
        <f t="shared" si="37"/>
        <v>1.1757877427669883</v>
      </c>
      <c r="BZ42" s="55">
        <f t="shared" si="38"/>
        <v>15.545974782592712</v>
      </c>
      <c r="CA42" s="55">
        <f t="shared" si="39"/>
        <v>18.278766598737207</v>
      </c>
      <c r="CB42" s="55">
        <v>14.813865812017877</v>
      </c>
      <c r="CC42" s="55">
        <v>14.813865812017877</v>
      </c>
      <c r="CD42" s="55">
        <v>14.813865812017877</v>
      </c>
      <c r="CE42" s="55">
        <v>14.813865812017877</v>
      </c>
      <c r="CF42" s="55">
        <v>14.813865812017877</v>
      </c>
      <c r="CG42" s="55">
        <v>14.813865812017877</v>
      </c>
      <c r="CH42" s="55">
        <v>14.813865812017877</v>
      </c>
      <c r="CI42" s="55">
        <f t="shared" si="40"/>
        <v>103.69706068412515</v>
      </c>
      <c r="CJ42" s="448">
        <f t="shared" si="41"/>
        <v>937.88324974958653</v>
      </c>
      <c r="CK42" s="55">
        <v>14.813865812017877</v>
      </c>
      <c r="CL42" s="55">
        <v>14.813865812017877</v>
      </c>
      <c r="CM42" s="55">
        <v>14.813865812017877</v>
      </c>
      <c r="CN42" s="55">
        <v>14.813865812017877</v>
      </c>
      <c r="CO42" s="55">
        <v>14.813865812017877</v>
      </c>
      <c r="CP42" s="505">
        <f t="shared" si="42"/>
        <v>74.069329060089387</v>
      </c>
      <c r="CQ42" s="679">
        <f t="shared" si="43"/>
        <v>863.81392068949708</v>
      </c>
      <c r="CR42" s="956">
        <v>132.28200000000001</v>
      </c>
      <c r="CS42" s="84">
        <v>112.505</v>
      </c>
      <c r="CT42" s="957">
        <f t="shared" si="47"/>
        <v>1.1757877427669883</v>
      </c>
      <c r="CU42" s="511">
        <f t="shared" si="44"/>
        <v>16.298375862065981</v>
      </c>
      <c r="CV42" s="511">
        <f t="shared" si="45"/>
        <v>19.163430565626527</v>
      </c>
      <c r="CW42" s="511">
        <v>19.163430565626527</v>
      </c>
      <c r="CX42" s="511">
        <v>19.163430565626527</v>
      </c>
      <c r="CY42" s="511">
        <v>19.163430565626527</v>
      </c>
      <c r="CZ42" s="511">
        <v>19.163430565626527</v>
      </c>
      <c r="DA42" s="511">
        <v>19.163430565626527</v>
      </c>
      <c r="DB42" s="511">
        <v>19.163430565626527</v>
      </c>
      <c r="DC42" s="511">
        <v>19.163430565626527</v>
      </c>
      <c r="DD42" s="511">
        <v>19.163430565626527</v>
      </c>
      <c r="DE42" s="511">
        <v>19.163430565626527</v>
      </c>
      <c r="DF42" s="511">
        <v>19.163430565626527</v>
      </c>
      <c r="DG42" s="511">
        <v>19.163430565626527</v>
      </c>
      <c r="DH42" s="511">
        <v>19.163430565626527</v>
      </c>
      <c r="DI42" s="511">
        <v>19.163430565626527</v>
      </c>
      <c r="DJ42" s="511">
        <v>19.163430565626527</v>
      </c>
      <c r="DK42" s="511">
        <v>19.163430565626527</v>
      </c>
      <c r="DL42" s="511">
        <v>19.163430565626527</v>
      </c>
      <c r="DM42" s="511">
        <v>19.163430565626527</v>
      </c>
      <c r="DN42" s="511">
        <v>19.163430565626527</v>
      </c>
      <c r="DO42" s="511">
        <f t="shared" si="4"/>
        <v>344.94175018127748</v>
      </c>
      <c r="DP42" s="960">
        <f t="shared" si="46"/>
        <v>518.8721705082196</v>
      </c>
    </row>
    <row r="43" spans="1:120" s="16" customFormat="1" x14ac:dyDescent="0.2">
      <c r="A43" s="119" t="s">
        <v>365</v>
      </c>
      <c r="B43" s="100" t="s">
        <v>376</v>
      </c>
      <c r="C43" s="45" t="s">
        <v>352</v>
      </c>
      <c r="D43" s="58">
        <v>10</v>
      </c>
      <c r="E43" s="30">
        <v>0.1</v>
      </c>
      <c r="F43" s="46">
        <v>43281</v>
      </c>
      <c r="G43" s="125">
        <v>120</v>
      </c>
      <c r="H43" s="145">
        <f t="shared" si="11"/>
        <v>0.83333333333333337</v>
      </c>
      <c r="I43" s="165">
        <f t="shared" si="12"/>
        <v>44.166666666666671</v>
      </c>
      <c r="J43" s="48">
        <f t="shared" si="13"/>
        <v>53</v>
      </c>
      <c r="K43" s="165">
        <f t="shared" si="14"/>
        <v>55.833333333333336</v>
      </c>
      <c r="L43" s="48">
        <f t="shared" si="15"/>
        <v>67</v>
      </c>
      <c r="M43" s="165">
        <f t="shared" si="16"/>
        <v>44.166666666666671</v>
      </c>
      <c r="N43" s="48">
        <f t="shared" si="17"/>
        <v>53</v>
      </c>
      <c r="O43" s="165">
        <f t="shared" si="18"/>
        <v>11.666666666666664</v>
      </c>
      <c r="P43" s="48">
        <f t="shared" si="18"/>
        <v>14</v>
      </c>
      <c r="Q43" s="462">
        <f t="shared" si="19"/>
        <v>45292</v>
      </c>
      <c r="R43" s="125" t="s">
        <v>360</v>
      </c>
      <c r="S43" s="132">
        <v>41640</v>
      </c>
      <c r="T43" s="118">
        <v>338</v>
      </c>
      <c r="U43" s="72"/>
      <c r="V43" s="154">
        <v>33.83</v>
      </c>
      <c r="W43" s="154">
        <v>304.17</v>
      </c>
      <c r="X43" s="55">
        <v>2.82</v>
      </c>
      <c r="Y43" s="106">
        <f t="shared" si="20"/>
        <v>14.1</v>
      </c>
      <c r="Z43" s="258">
        <f t="shared" si="21"/>
        <v>290.07</v>
      </c>
      <c r="AA43" s="57">
        <v>115.958</v>
      </c>
      <c r="AB43" s="84">
        <v>112.505</v>
      </c>
      <c r="AC43" s="57">
        <f t="shared" si="22"/>
        <v>1.0306919692458114</v>
      </c>
      <c r="AD43" s="55">
        <f t="shared" si="23"/>
        <v>32.779765458422169</v>
      </c>
      <c r="AE43" s="55">
        <f t="shared" si="24"/>
        <v>33.785841011756972</v>
      </c>
      <c r="AF43" s="55"/>
      <c r="AG43" s="55"/>
      <c r="AH43" s="55"/>
      <c r="AI43" s="55"/>
      <c r="AJ43" s="55"/>
      <c r="AK43" s="55">
        <f t="shared" si="25"/>
        <v>33.785841011756972</v>
      </c>
      <c r="AL43" s="55">
        <v>2.9026487331954614</v>
      </c>
      <c r="AM43" s="55">
        <v>2.9026487331954614</v>
      </c>
      <c r="AN43" s="55">
        <v>2.9026487331954614</v>
      </c>
      <c r="AO43" s="55">
        <v>2.9026487331954614</v>
      </c>
      <c r="AP43" s="55">
        <v>2.9026487331954614</v>
      </c>
      <c r="AQ43" s="55">
        <v>2.9026487331954614</v>
      </c>
      <c r="AR43" s="55">
        <f t="shared" si="26"/>
        <v>51.201733410929748</v>
      </c>
      <c r="AS43" s="72">
        <f t="shared" si="27"/>
        <v>238.86826658907023</v>
      </c>
      <c r="AT43" s="55"/>
      <c r="AU43" s="55"/>
      <c r="AV43" s="55">
        <f t="shared" si="2"/>
        <v>2.9026487331954614</v>
      </c>
      <c r="AW43" s="55">
        <f t="shared" si="2"/>
        <v>2.9026487331954614</v>
      </c>
      <c r="AX43" s="55">
        <f t="shared" si="2"/>
        <v>2.9026487331954614</v>
      </c>
      <c r="AY43" s="55">
        <f t="shared" si="2"/>
        <v>2.9026487331954614</v>
      </c>
      <c r="AZ43" s="55">
        <f t="shared" si="2"/>
        <v>2.9026487331954614</v>
      </c>
      <c r="BA43" s="57">
        <v>118.901</v>
      </c>
      <c r="BB43" s="84">
        <v>112.505</v>
      </c>
      <c r="BC43" s="55">
        <f t="shared" si="28"/>
        <v>1.0568508066308164</v>
      </c>
      <c r="BD43" s="55">
        <f t="shared" si="29"/>
        <v>2.8166666666666669</v>
      </c>
      <c r="BE43" s="55">
        <f t="shared" si="30"/>
        <v>2.9767964386768</v>
      </c>
      <c r="BF43" s="55">
        <f t="shared" si="31"/>
        <v>2.9767964386768</v>
      </c>
      <c r="BG43" s="55">
        <f t="shared" si="31"/>
        <v>2.9767964386768</v>
      </c>
      <c r="BH43" s="55">
        <f t="shared" si="31"/>
        <v>2.9767964386768</v>
      </c>
      <c r="BI43" s="55">
        <f t="shared" si="31"/>
        <v>2.9767964386768</v>
      </c>
      <c r="BJ43" s="55">
        <f t="shared" si="31"/>
        <v>2.9767964386768</v>
      </c>
      <c r="BK43" s="55">
        <f t="shared" si="31"/>
        <v>2.9767964386768</v>
      </c>
      <c r="BL43" s="55">
        <f t="shared" si="31"/>
        <v>2.9767964386768</v>
      </c>
      <c r="BM43" s="55">
        <f t="shared" si="32"/>
        <v>35.350818736714906</v>
      </c>
      <c r="BN43" s="448">
        <f t="shared" si="33"/>
        <v>203.51744785235533</v>
      </c>
      <c r="BO43" s="55">
        <f t="shared" si="34"/>
        <v>2.9767964386768</v>
      </c>
      <c r="BP43" s="55">
        <f t="shared" si="34"/>
        <v>2.9767964386768</v>
      </c>
      <c r="BQ43" s="55">
        <f t="shared" si="34"/>
        <v>2.9767964386768</v>
      </c>
      <c r="BR43" s="55">
        <f t="shared" si="34"/>
        <v>2.9767964386768</v>
      </c>
      <c r="BS43" s="55">
        <f t="shared" si="34"/>
        <v>2.9767964386768</v>
      </c>
      <c r="BT43" s="55">
        <f t="shared" si="35"/>
        <v>14.883982193384</v>
      </c>
      <c r="BU43" s="753">
        <f t="shared" si="36"/>
        <v>188.63346565897132</v>
      </c>
      <c r="BV43" s="448">
        <v>218.63484060086586</v>
      </c>
      <c r="BW43" s="57">
        <v>132.28200000000001</v>
      </c>
      <c r="BX43" s="84">
        <v>112.505</v>
      </c>
      <c r="BY43" s="55">
        <f t="shared" si="37"/>
        <v>1.1757877427669883</v>
      </c>
      <c r="BZ43" s="55">
        <f t="shared" si="38"/>
        <v>3.2632065761323261</v>
      </c>
      <c r="CA43" s="55">
        <f t="shared" si="39"/>
        <v>3.8368382943330199</v>
      </c>
      <c r="CB43" s="55">
        <v>3.1095318892352184</v>
      </c>
      <c r="CC43" s="55">
        <v>3.1095318892352184</v>
      </c>
      <c r="CD43" s="55">
        <v>3.1095318892352184</v>
      </c>
      <c r="CE43" s="55">
        <v>3.1095318892352184</v>
      </c>
      <c r="CF43" s="55">
        <v>3.1095318892352184</v>
      </c>
      <c r="CG43" s="55">
        <v>3.1095318892352184</v>
      </c>
      <c r="CH43" s="55">
        <v>3.1095318892352184</v>
      </c>
      <c r="CI43" s="55">
        <f t="shared" si="40"/>
        <v>21.766723224646526</v>
      </c>
      <c r="CJ43" s="448">
        <f t="shared" si="41"/>
        <v>196.86811737621935</v>
      </c>
      <c r="CK43" s="55">
        <v>3.1095318892352184</v>
      </c>
      <c r="CL43" s="55">
        <v>3.1095318892352184</v>
      </c>
      <c r="CM43" s="55">
        <v>3.1095318892352184</v>
      </c>
      <c r="CN43" s="55">
        <v>3.1095318892352184</v>
      </c>
      <c r="CO43" s="55">
        <v>3.1095318892352184</v>
      </c>
      <c r="CP43" s="505">
        <f t="shared" si="42"/>
        <v>15.547659446176091</v>
      </c>
      <c r="CQ43" s="679">
        <f t="shared" si="43"/>
        <v>181.32045793004326</v>
      </c>
      <c r="CR43" s="956">
        <v>132.28200000000001</v>
      </c>
      <c r="CS43" s="84">
        <v>112.505</v>
      </c>
      <c r="CT43" s="957">
        <f t="shared" si="47"/>
        <v>1.1757877427669883</v>
      </c>
      <c r="CU43" s="511">
        <f t="shared" si="44"/>
        <v>3.4211407156611937</v>
      </c>
      <c r="CV43" s="511">
        <f t="shared" si="45"/>
        <v>4.022535319755514</v>
      </c>
      <c r="CW43" s="511">
        <v>4.022535319755514</v>
      </c>
      <c r="CX43" s="511">
        <v>4.022535319755514</v>
      </c>
      <c r="CY43" s="511">
        <v>4.022535319755514</v>
      </c>
      <c r="CZ43" s="511">
        <v>4.022535319755514</v>
      </c>
      <c r="DA43" s="511">
        <v>4.022535319755514</v>
      </c>
      <c r="DB43" s="511">
        <v>4.022535319755514</v>
      </c>
      <c r="DC43" s="511">
        <v>4.022535319755514</v>
      </c>
      <c r="DD43" s="511">
        <v>4.022535319755514</v>
      </c>
      <c r="DE43" s="511">
        <v>4.022535319755514</v>
      </c>
      <c r="DF43" s="511">
        <v>4.022535319755514</v>
      </c>
      <c r="DG43" s="511">
        <v>4.022535319755514</v>
      </c>
      <c r="DH43" s="511">
        <v>4.022535319755514</v>
      </c>
      <c r="DI43" s="511">
        <v>4.022535319755514</v>
      </c>
      <c r="DJ43" s="511">
        <v>4.022535319755514</v>
      </c>
      <c r="DK43" s="511">
        <v>4.022535319755514</v>
      </c>
      <c r="DL43" s="511">
        <v>4.022535319755514</v>
      </c>
      <c r="DM43" s="511">
        <v>4.022535319755514</v>
      </c>
      <c r="DN43" s="511">
        <v>4.022535319755514</v>
      </c>
      <c r="DO43" s="511">
        <f t="shared" si="4"/>
        <v>72.405635755599249</v>
      </c>
      <c r="DP43" s="960">
        <f t="shared" si="46"/>
        <v>108.91482217444401</v>
      </c>
    </row>
    <row r="44" spans="1:120" s="16" customFormat="1" x14ac:dyDescent="0.2">
      <c r="A44" s="119" t="s">
        <v>365</v>
      </c>
      <c r="B44" s="100" t="s">
        <v>373</v>
      </c>
      <c r="C44" s="45" t="s">
        <v>352</v>
      </c>
      <c r="D44" s="58">
        <v>10</v>
      </c>
      <c r="E44" s="30">
        <v>0.1</v>
      </c>
      <c r="F44" s="46">
        <v>43281</v>
      </c>
      <c r="G44" s="125">
        <v>120</v>
      </c>
      <c r="H44" s="145">
        <f t="shared" si="11"/>
        <v>0.83333333333333337</v>
      </c>
      <c r="I44" s="165">
        <f t="shared" si="12"/>
        <v>44.166666666666671</v>
      </c>
      <c r="J44" s="48">
        <f t="shared" si="13"/>
        <v>53</v>
      </c>
      <c r="K44" s="165">
        <f t="shared" si="14"/>
        <v>55.833333333333336</v>
      </c>
      <c r="L44" s="48">
        <f t="shared" si="15"/>
        <v>67</v>
      </c>
      <c r="M44" s="165">
        <f t="shared" si="16"/>
        <v>44.166666666666671</v>
      </c>
      <c r="N44" s="48">
        <f t="shared" si="17"/>
        <v>53</v>
      </c>
      <c r="O44" s="165">
        <f t="shared" si="18"/>
        <v>11.666666666666664</v>
      </c>
      <c r="P44" s="48">
        <f t="shared" si="18"/>
        <v>14</v>
      </c>
      <c r="Q44" s="462">
        <f t="shared" si="19"/>
        <v>45292</v>
      </c>
      <c r="R44" s="125" t="s">
        <v>360</v>
      </c>
      <c r="S44" s="132">
        <v>41640</v>
      </c>
      <c r="T44" s="118">
        <v>418</v>
      </c>
      <c r="U44" s="72"/>
      <c r="V44" s="154">
        <v>41.769999999999996</v>
      </c>
      <c r="W44" s="154">
        <v>376.23</v>
      </c>
      <c r="X44" s="55">
        <v>3.48</v>
      </c>
      <c r="Y44" s="106">
        <f t="shared" si="20"/>
        <v>17.399999999999999</v>
      </c>
      <c r="Z44" s="258">
        <f t="shared" si="21"/>
        <v>358.83000000000004</v>
      </c>
      <c r="AA44" s="57">
        <v>115.958</v>
      </c>
      <c r="AB44" s="84">
        <v>112.505</v>
      </c>
      <c r="AC44" s="57">
        <f t="shared" si="22"/>
        <v>1.0306919692458114</v>
      </c>
      <c r="AD44" s="55">
        <f t="shared" si="23"/>
        <v>40.5500852878465</v>
      </c>
      <c r="AE44" s="55">
        <f t="shared" si="24"/>
        <v>41.794647258416113</v>
      </c>
      <c r="AF44" s="55"/>
      <c r="AG44" s="55"/>
      <c r="AH44" s="55"/>
      <c r="AI44" s="55"/>
      <c r="AJ44" s="55"/>
      <c r="AK44" s="55">
        <f t="shared" si="25"/>
        <v>41.794647258416113</v>
      </c>
      <c r="AL44" s="55">
        <v>3.5907106730531519</v>
      </c>
      <c r="AM44" s="55">
        <v>3.5907106730531519</v>
      </c>
      <c r="AN44" s="55">
        <v>3.5907106730531519</v>
      </c>
      <c r="AO44" s="55">
        <v>3.5907106730531519</v>
      </c>
      <c r="AP44" s="55">
        <v>3.5907106730531519</v>
      </c>
      <c r="AQ44" s="55">
        <v>3.5907106730531519</v>
      </c>
      <c r="AR44" s="55">
        <f t="shared" si="26"/>
        <v>63.338911296735027</v>
      </c>
      <c r="AS44" s="72">
        <f t="shared" si="27"/>
        <v>295.49108870326501</v>
      </c>
      <c r="AT44" s="55"/>
      <c r="AU44" s="55"/>
      <c r="AV44" s="55">
        <f t="shared" si="2"/>
        <v>3.5907106730531519</v>
      </c>
      <c r="AW44" s="55">
        <f t="shared" si="2"/>
        <v>3.5907106730531519</v>
      </c>
      <c r="AX44" s="55">
        <f t="shared" si="2"/>
        <v>3.5907106730531519</v>
      </c>
      <c r="AY44" s="55">
        <f t="shared" si="2"/>
        <v>3.5907106730531519</v>
      </c>
      <c r="AZ44" s="55">
        <f t="shared" si="2"/>
        <v>3.5907106730531519</v>
      </c>
      <c r="BA44" s="57">
        <v>118.901</v>
      </c>
      <c r="BB44" s="84">
        <v>112.505</v>
      </c>
      <c r="BC44" s="55">
        <f t="shared" si="28"/>
        <v>1.0568508066308164</v>
      </c>
      <c r="BD44" s="55">
        <f t="shared" si="29"/>
        <v>3.4833333333333334</v>
      </c>
      <c r="BE44" s="55">
        <f t="shared" si="30"/>
        <v>3.681363643097344</v>
      </c>
      <c r="BF44" s="55">
        <f t="shared" si="31"/>
        <v>3.681363643097344</v>
      </c>
      <c r="BG44" s="55">
        <f t="shared" si="31"/>
        <v>3.681363643097344</v>
      </c>
      <c r="BH44" s="55">
        <f t="shared" si="31"/>
        <v>3.681363643097344</v>
      </c>
      <c r="BI44" s="55">
        <f t="shared" si="31"/>
        <v>3.681363643097344</v>
      </c>
      <c r="BJ44" s="55">
        <f t="shared" si="31"/>
        <v>3.681363643097344</v>
      </c>
      <c r="BK44" s="55">
        <f t="shared" si="31"/>
        <v>3.681363643097344</v>
      </c>
      <c r="BL44" s="55">
        <f t="shared" si="31"/>
        <v>3.681363643097344</v>
      </c>
      <c r="BM44" s="55">
        <f t="shared" si="32"/>
        <v>43.723098866947161</v>
      </c>
      <c r="BN44" s="448">
        <f t="shared" si="33"/>
        <v>251.76798983631784</v>
      </c>
      <c r="BO44" s="55">
        <f t="shared" si="34"/>
        <v>3.681363643097344</v>
      </c>
      <c r="BP44" s="55">
        <f t="shared" si="34"/>
        <v>3.681363643097344</v>
      </c>
      <c r="BQ44" s="55">
        <f t="shared" si="34"/>
        <v>3.681363643097344</v>
      </c>
      <c r="BR44" s="55">
        <f t="shared" si="34"/>
        <v>3.681363643097344</v>
      </c>
      <c r="BS44" s="55">
        <f t="shared" si="34"/>
        <v>3.681363643097344</v>
      </c>
      <c r="BT44" s="55">
        <f t="shared" si="35"/>
        <v>18.406818215486719</v>
      </c>
      <c r="BU44" s="753">
        <f t="shared" si="36"/>
        <v>233.36117162083113</v>
      </c>
      <c r="BV44" s="448">
        <v>270.47425939412727</v>
      </c>
      <c r="BW44" s="57">
        <v>132.28200000000001</v>
      </c>
      <c r="BX44" s="84">
        <v>112.505</v>
      </c>
      <c r="BY44" s="55">
        <f t="shared" si="37"/>
        <v>1.1757877427669883</v>
      </c>
      <c r="BZ44" s="55">
        <f t="shared" si="38"/>
        <v>4.0369292446884666</v>
      </c>
      <c r="CA44" s="55">
        <f t="shared" si="39"/>
        <v>4.7465719243222955</v>
      </c>
      <c r="CB44" s="55">
        <v>3.8468175177016426</v>
      </c>
      <c r="CC44" s="55">
        <v>3.8468175177016426</v>
      </c>
      <c r="CD44" s="55">
        <v>3.8468175177016426</v>
      </c>
      <c r="CE44" s="55">
        <v>3.8468175177016426</v>
      </c>
      <c r="CF44" s="55">
        <v>3.8468175177016426</v>
      </c>
      <c r="CG44" s="55">
        <v>3.8468175177016426</v>
      </c>
      <c r="CH44" s="55">
        <v>3.8468175177016426</v>
      </c>
      <c r="CI44" s="55">
        <f t="shared" si="40"/>
        <v>26.927722623911496</v>
      </c>
      <c r="CJ44" s="448">
        <f t="shared" si="41"/>
        <v>243.54653677021577</v>
      </c>
      <c r="CK44" s="55">
        <v>3.8468175177016426</v>
      </c>
      <c r="CL44" s="55">
        <v>3.8468175177016426</v>
      </c>
      <c r="CM44" s="55">
        <v>3.8468175177016426</v>
      </c>
      <c r="CN44" s="55">
        <v>3.8468175177016426</v>
      </c>
      <c r="CO44" s="55">
        <v>3.8468175177016426</v>
      </c>
      <c r="CP44" s="505">
        <f t="shared" si="42"/>
        <v>19.234087588508213</v>
      </c>
      <c r="CQ44" s="679">
        <f t="shared" si="43"/>
        <v>224.31244918170756</v>
      </c>
      <c r="CR44" s="956">
        <v>132.28200000000001</v>
      </c>
      <c r="CS44" s="84">
        <v>112.505</v>
      </c>
      <c r="CT44" s="957">
        <f t="shared" si="47"/>
        <v>1.1757877427669883</v>
      </c>
      <c r="CU44" s="511">
        <f t="shared" si="44"/>
        <v>4.2323103619190103</v>
      </c>
      <c r="CV44" s="511">
        <f t="shared" si="45"/>
        <v>4.9762986471300881</v>
      </c>
      <c r="CW44" s="511">
        <v>4.9762986471300881</v>
      </c>
      <c r="CX44" s="511">
        <v>4.9762986471300881</v>
      </c>
      <c r="CY44" s="511">
        <v>4.9762986471300881</v>
      </c>
      <c r="CZ44" s="511">
        <v>4.9762986471300881</v>
      </c>
      <c r="DA44" s="511">
        <v>4.9762986471300881</v>
      </c>
      <c r="DB44" s="511">
        <v>4.9762986471300881</v>
      </c>
      <c r="DC44" s="511">
        <v>4.9762986471300881</v>
      </c>
      <c r="DD44" s="511">
        <v>4.9762986471300881</v>
      </c>
      <c r="DE44" s="511">
        <v>4.9762986471300881</v>
      </c>
      <c r="DF44" s="511">
        <v>4.9762986471300881</v>
      </c>
      <c r="DG44" s="511">
        <v>4.9762986471300881</v>
      </c>
      <c r="DH44" s="511">
        <v>4.9762986471300881</v>
      </c>
      <c r="DI44" s="511">
        <v>4.9762986471300881</v>
      </c>
      <c r="DJ44" s="511">
        <v>4.9762986471300881</v>
      </c>
      <c r="DK44" s="511">
        <v>4.9762986471300881</v>
      </c>
      <c r="DL44" s="511">
        <v>4.9762986471300881</v>
      </c>
      <c r="DM44" s="511">
        <v>4.9762986471300881</v>
      </c>
      <c r="DN44" s="511">
        <v>4.9762986471300881</v>
      </c>
      <c r="DO44" s="511">
        <f t="shared" si="4"/>
        <v>89.573375648341596</v>
      </c>
      <c r="DP44" s="960">
        <f t="shared" si="46"/>
        <v>134.73907353336597</v>
      </c>
    </row>
    <row r="45" spans="1:120" s="35" customFormat="1" x14ac:dyDescent="0.2">
      <c r="A45" s="119" t="s">
        <v>365</v>
      </c>
      <c r="B45" s="100" t="s">
        <v>375</v>
      </c>
      <c r="C45" s="100" t="s">
        <v>352</v>
      </c>
      <c r="D45" s="8">
        <v>10</v>
      </c>
      <c r="E45" s="127">
        <v>0.1</v>
      </c>
      <c r="F45" s="119">
        <v>43281</v>
      </c>
      <c r="G45" s="125">
        <v>120</v>
      </c>
      <c r="H45" s="146">
        <f t="shared" si="11"/>
        <v>0.83333333333333337</v>
      </c>
      <c r="I45" s="1167">
        <f t="shared" si="12"/>
        <v>44.166666666666671</v>
      </c>
      <c r="J45" s="125">
        <f t="shared" si="13"/>
        <v>53</v>
      </c>
      <c r="K45" s="1167">
        <f t="shared" si="14"/>
        <v>55.833333333333336</v>
      </c>
      <c r="L45" s="125">
        <f t="shared" si="15"/>
        <v>67</v>
      </c>
      <c r="M45" s="1167">
        <f t="shared" si="16"/>
        <v>44.166666666666671</v>
      </c>
      <c r="N45" s="125">
        <f t="shared" si="17"/>
        <v>53</v>
      </c>
      <c r="O45" s="1167">
        <f t="shared" si="18"/>
        <v>11.666666666666664</v>
      </c>
      <c r="P45" s="125">
        <f t="shared" si="18"/>
        <v>14</v>
      </c>
      <c r="Q45" s="367">
        <f t="shared" si="19"/>
        <v>45292</v>
      </c>
      <c r="R45" s="125" t="s">
        <v>360</v>
      </c>
      <c r="S45" s="132">
        <v>41640</v>
      </c>
      <c r="T45" s="107">
        <v>210</v>
      </c>
      <c r="U45" s="1169"/>
      <c r="V45" s="776">
        <v>21</v>
      </c>
      <c r="W45" s="776">
        <v>189</v>
      </c>
      <c r="X45" s="62">
        <v>1.75</v>
      </c>
      <c r="Y45" s="7">
        <f t="shared" si="20"/>
        <v>8.75</v>
      </c>
      <c r="Z45" s="129">
        <f t="shared" si="21"/>
        <v>180.25</v>
      </c>
      <c r="AA45" s="64">
        <v>115.958</v>
      </c>
      <c r="AB45" s="140">
        <v>112.505</v>
      </c>
      <c r="AC45" s="64">
        <f t="shared" si="22"/>
        <v>1.0306919692458114</v>
      </c>
      <c r="AD45" s="62">
        <f t="shared" si="23"/>
        <v>20.369402985074629</v>
      </c>
      <c r="AE45" s="62">
        <f t="shared" si="24"/>
        <v>20.994580075048077</v>
      </c>
      <c r="AF45" s="62"/>
      <c r="AG45" s="62"/>
      <c r="AH45" s="62"/>
      <c r="AI45" s="62"/>
      <c r="AJ45" s="62"/>
      <c r="AK45" s="62">
        <f t="shared" si="25"/>
        <v>20.994580075048077</v>
      </c>
      <c r="AL45" s="62">
        <v>1.8037109461801699</v>
      </c>
      <c r="AM45" s="62">
        <v>1.8037109461801699</v>
      </c>
      <c r="AN45" s="62">
        <v>1.8037109461801699</v>
      </c>
      <c r="AO45" s="62">
        <v>1.8037109461801699</v>
      </c>
      <c r="AP45" s="62">
        <v>1.8037109461801699</v>
      </c>
      <c r="AQ45" s="62">
        <v>1.8037109461801699</v>
      </c>
      <c r="AR45" s="62">
        <f t="shared" si="26"/>
        <v>31.816845752129105</v>
      </c>
      <c r="AS45" s="1169">
        <f t="shared" si="27"/>
        <v>148.4331542478709</v>
      </c>
      <c r="AT45" s="62"/>
      <c r="AU45" s="62"/>
      <c r="AV45" s="62">
        <f t="shared" si="2"/>
        <v>1.8037109461801699</v>
      </c>
      <c r="AW45" s="62">
        <f t="shared" si="2"/>
        <v>1.8037109461801699</v>
      </c>
      <c r="AX45" s="62">
        <f t="shared" si="2"/>
        <v>1.8037109461801699</v>
      </c>
      <c r="AY45" s="62">
        <f t="shared" si="2"/>
        <v>1.8037109461801699</v>
      </c>
      <c r="AZ45" s="62">
        <f t="shared" si="2"/>
        <v>1.8037109461801699</v>
      </c>
      <c r="BA45" s="64">
        <v>118.901</v>
      </c>
      <c r="BB45" s="140">
        <v>112.505</v>
      </c>
      <c r="BC45" s="62">
        <f t="shared" si="28"/>
        <v>1.0568508066308164</v>
      </c>
      <c r="BD45" s="62">
        <f t="shared" si="29"/>
        <v>1.75</v>
      </c>
      <c r="BE45" s="62">
        <f t="shared" si="30"/>
        <v>1.8494889116039288</v>
      </c>
      <c r="BF45" s="62">
        <f t="shared" si="31"/>
        <v>1.8494889116039288</v>
      </c>
      <c r="BG45" s="62">
        <f t="shared" si="31"/>
        <v>1.8494889116039288</v>
      </c>
      <c r="BH45" s="62">
        <f t="shared" si="31"/>
        <v>1.8494889116039288</v>
      </c>
      <c r="BI45" s="62">
        <f t="shared" si="31"/>
        <v>1.8494889116039288</v>
      </c>
      <c r="BJ45" s="62">
        <f t="shared" si="31"/>
        <v>1.8494889116039288</v>
      </c>
      <c r="BK45" s="62">
        <f t="shared" si="31"/>
        <v>1.8494889116039288</v>
      </c>
      <c r="BL45" s="62">
        <f t="shared" si="31"/>
        <v>1.8494889116039288</v>
      </c>
      <c r="BM45" s="62">
        <f t="shared" si="32"/>
        <v>21.964977112128349</v>
      </c>
      <c r="BN45" s="927">
        <f t="shared" si="33"/>
        <v>126.46817713574255</v>
      </c>
      <c r="BO45" s="62">
        <f t="shared" si="34"/>
        <v>1.8494889116039288</v>
      </c>
      <c r="BP45" s="62">
        <f t="shared" si="34"/>
        <v>1.8494889116039288</v>
      </c>
      <c r="BQ45" s="62">
        <f t="shared" si="34"/>
        <v>1.8494889116039288</v>
      </c>
      <c r="BR45" s="62">
        <f t="shared" si="34"/>
        <v>1.8494889116039288</v>
      </c>
      <c r="BS45" s="62">
        <f t="shared" si="34"/>
        <v>1.8494889116039288</v>
      </c>
      <c r="BT45" s="62">
        <f t="shared" si="35"/>
        <v>9.2474445580196445</v>
      </c>
      <c r="BU45" s="1204">
        <f t="shared" si="36"/>
        <v>117.22073257772291</v>
      </c>
      <c r="BV45" s="927">
        <v>135.86363888749813</v>
      </c>
      <c r="BW45" s="64">
        <v>132.28200000000001</v>
      </c>
      <c r="BX45" s="140">
        <v>112.505</v>
      </c>
      <c r="BY45" s="62">
        <f t="shared" si="37"/>
        <v>1.1757877427669883</v>
      </c>
      <c r="BZ45" s="62">
        <f t="shared" si="38"/>
        <v>2.0278155057835541</v>
      </c>
      <c r="CA45" s="62">
        <f t="shared" si="39"/>
        <v>2.3842806162931436</v>
      </c>
      <c r="CB45" s="62">
        <v>1.9323192797046842</v>
      </c>
      <c r="CC45" s="62">
        <v>1.9323192797046842</v>
      </c>
      <c r="CD45" s="62">
        <v>1.9323192797046842</v>
      </c>
      <c r="CE45" s="62">
        <v>1.9323192797046842</v>
      </c>
      <c r="CF45" s="62">
        <v>1.9323192797046842</v>
      </c>
      <c r="CG45" s="62">
        <v>1.9323192797046842</v>
      </c>
      <c r="CH45" s="62">
        <v>1.9323192797046842</v>
      </c>
      <c r="CI45" s="62">
        <f t="shared" si="40"/>
        <v>13.52623495793279</v>
      </c>
      <c r="CJ45" s="927">
        <f t="shared" si="41"/>
        <v>122.33740392956534</v>
      </c>
      <c r="CK45" s="62">
        <v>1.9323192797046842</v>
      </c>
      <c r="CL45" s="62">
        <v>1.9323192797046842</v>
      </c>
      <c r="CM45" s="62">
        <v>1.9323192797046842</v>
      </c>
      <c r="CN45" s="62">
        <v>1.9323192797046842</v>
      </c>
      <c r="CO45" s="62">
        <v>1.9323192797046842</v>
      </c>
      <c r="CP45" s="1170">
        <f t="shared" si="42"/>
        <v>9.6615963985234217</v>
      </c>
      <c r="CQ45" s="679">
        <f t="shared" si="43"/>
        <v>112.67580753104193</v>
      </c>
      <c r="CR45" s="1171">
        <v>132.28200000000001</v>
      </c>
      <c r="CS45" s="140">
        <v>112.505</v>
      </c>
      <c r="CT45" s="1200">
        <f t="shared" si="47"/>
        <v>1.1757877427669883</v>
      </c>
      <c r="CU45" s="510">
        <f t="shared" si="44"/>
        <v>2.1259586326611686</v>
      </c>
      <c r="CV45" s="510">
        <f t="shared" si="45"/>
        <v>2.4996761019126681</v>
      </c>
      <c r="CW45" s="510">
        <v>2.4996761019126681</v>
      </c>
      <c r="CX45" s="510">
        <v>2.4996761019126681</v>
      </c>
      <c r="CY45" s="510">
        <v>2.4996761019126681</v>
      </c>
      <c r="CZ45" s="510">
        <v>2.4996761019126681</v>
      </c>
      <c r="DA45" s="510">
        <v>2.4996761019126681</v>
      </c>
      <c r="DB45" s="510">
        <v>2.4996761019126681</v>
      </c>
      <c r="DC45" s="510">
        <v>2.4996761019126681</v>
      </c>
      <c r="DD45" s="510">
        <v>2.4996761019126681</v>
      </c>
      <c r="DE45" s="510">
        <v>2.4996761019126681</v>
      </c>
      <c r="DF45" s="510">
        <v>2.4996761019126681</v>
      </c>
      <c r="DG45" s="510">
        <v>2.4996761019126681</v>
      </c>
      <c r="DH45" s="510">
        <v>2.4996761019126681</v>
      </c>
      <c r="DI45" s="510">
        <v>2.4996761019126681</v>
      </c>
      <c r="DJ45" s="510">
        <v>2.4996761019126681</v>
      </c>
      <c r="DK45" s="510">
        <v>2.4996761019126681</v>
      </c>
      <c r="DL45" s="510">
        <v>2.4996761019126681</v>
      </c>
      <c r="DM45" s="510">
        <v>2.4996761019126681</v>
      </c>
      <c r="DN45" s="510">
        <v>2.4996761019126681</v>
      </c>
      <c r="DO45" s="510">
        <f t="shared" si="4"/>
        <v>44.994169834428035</v>
      </c>
      <c r="DP45" s="960">
        <f t="shared" si="46"/>
        <v>67.68163769661389</v>
      </c>
    </row>
    <row r="46" spans="1:120" s="16" customFormat="1" x14ac:dyDescent="0.2">
      <c r="A46" s="119" t="s">
        <v>365</v>
      </c>
      <c r="B46" s="100" t="s">
        <v>374</v>
      </c>
      <c r="C46" s="45" t="s">
        <v>352</v>
      </c>
      <c r="D46" s="58">
        <v>10</v>
      </c>
      <c r="E46" s="30">
        <v>0.1</v>
      </c>
      <c r="F46" s="46">
        <v>43281</v>
      </c>
      <c r="G46" s="125">
        <v>120</v>
      </c>
      <c r="H46" s="145">
        <f t="shared" si="11"/>
        <v>0.83333333333333337</v>
      </c>
      <c r="I46" s="165">
        <f t="shared" si="12"/>
        <v>44.166666666666671</v>
      </c>
      <c r="J46" s="48">
        <f t="shared" si="13"/>
        <v>53</v>
      </c>
      <c r="K46" s="165">
        <f t="shared" si="14"/>
        <v>55.833333333333336</v>
      </c>
      <c r="L46" s="48">
        <f t="shared" si="15"/>
        <v>67</v>
      </c>
      <c r="M46" s="165">
        <f t="shared" si="16"/>
        <v>44.166666666666671</v>
      </c>
      <c r="N46" s="48">
        <f t="shared" si="17"/>
        <v>53</v>
      </c>
      <c r="O46" s="165">
        <f t="shared" si="18"/>
        <v>11.666666666666664</v>
      </c>
      <c r="P46" s="48">
        <f t="shared" si="18"/>
        <v>14</v>
      </c>
      <c r="Q46" s="462">
        <f t="shared" si="19"/>
        <v>45292</v>
      </c>
      <c r="R46" s="125" t="s">
        <v>360</v>
      </c>
      <c r="S46" s="132">
        <v>41640</v>
      </c>
      <c r="T46" s="118">
        <v>314</v>
      </c>
      <c r="U46" s="72"/>
      <c r="V46" s="154">
        <v>31.430000000000007</v>
      </c>
      <c r="W46" s="154">
        <v>282.57</v>
      </c>
      <c r="X46" s="55">
        <v>2.62</v>
      </c>
      <c r="Y46" s="106">
        <f t="shared" si="20"/>
        <v>13.100000000000001</v>
      </c>
      <c r="Z46" s="258">
        <f t="shared" si="21"/>
        <v>269.46999999999997</v>
      </c>
      <c r="AA46" s="57">
        <v>115.958</v>
      </c>
      <c r="AB46" s="84">
        <v>112.505</v>
      </c>
      <c r="AC46" s="57">
        <f t="shared" si="22"/>
        <v>1.0306919692458114</v>
      </c>
      <c r="AD46" s="55">
        <f t="shared" si="23"/>
        <v>30.451833688699359</v>
      </c>
      <c r="AE46" s="55">
        <f t="shared" si="24"/>
        <v>31.386460431751484</v>
      </c>
      <c r="AF46" s="55"/>
      <c r="AG46" s="55"/>
      <c r="AH46" s="55"/>
      <c r="AI46" s="55"/>
      <c r="AJ46" s="55"/>
      <c r="AK46" s="55">
        <f t="shared" si="25"/>
        <v>31.386460431751484</v>
      </c>
      <c r="AL46" s="55">
        <v>2.6965103393462986</v>
      </c>
      <c r="AM46" s="55">
        <v>2.6965103393462986</v>
      </c>
      <c r="AN46" s="55">
        <v>2.6965103393462986</v>
      </c>
      <c r="AO46" s="55">
        <v>2.6965103393462986</v>
      </c>
      <c r="AP46" s="55">
        <v>2.6965103393462986</v>
      </c>
      <c r="AQ46" s="55">
        <v>2.6965103393462986</v>
      </c>
      <c r="AR46" s="55">
        <f t="shared" si="26"/>
        <v>47.565522467829268</v>
      </c>
      <c r="AS46" s="72">
        <f t="shared" si="27"/>
        <v>221.90447753217069</v>
      </c>
      <c r="AT46" s="55"/>
      <c r="AU46" s="55"/>
      <c r="AV46" s="55">
        <f t="shared" si="2"/>
        <v>2.6965103393462986</v>
      </c>
      <c r="AW46" s="55">
        <f t="shared" si="2"/>
        <v>2.6965103393462986</v>
      </c>
      <c r="AX46" s="55">
        <f t="shared" si="2"/>
        <v>2.6965103393462986</v>
      </c>
      <c r="AY46" s="55">
        <f t="shared" si="2"/>
        <v>2.6965103393462986</v>
      </c>
      <c r="AZ46" s="55">
        <f t="shared" si="2"/>
        <v>2.6965103393462986</v>
      </c>
      <c r="BA46" s="57">
        <v>118.901</v>
      </c>
      <c r="BB46" s="84">
        <v>112.505</v>
      </c>
      <c r="BC46" s="55">
        <f t="shared" si="28"/>
        <v>1.0568508066308164</v>
      </c>
      <c r="BD46" s="55">
        <f t="shared" si="29"/>
        <v>2.6166666666666667</v>
      </c>
      <c r="BE46" s="55">
        <f t="shared" si="30"/>
        <v>2.7654262773506364</v>
      </c>
      <c r="BF46" s="55">
        <f t="shared" si="31"/>
        <v>2.7654262773506364</v>
      </c>
      <c r="BG46" s="55">
        <f t="shared" si="31"/>
        <v>2.7654262773506364</v>
      </c>
      <c r="BH46" s="55">
        <f t="shared" si="31"/>
        <v>2.7654262773506364</v>
      </c>
      <c r="BI46" s="55">
        <f t="shared" si="31"/>
        <v>2.7654262773506364</v>
      </c>
      <c r="BJ46" s="55">
        <f t="shared" si="31"/>
        <v>2.7654262773506364</v>
      </c>
      <c r="BK46" s="55">
        <f t="shared" si="31"/>
        <v>2.7654262773506364</v>
      </c>
      <c r="BL46" s="55">
        <f t="shared" si="31"/>
        <v>2.7654262773506364</v>
      </c>
      <c r="BM46" s="55">
        <f t="shared" si="32"/>
        <v>32.840535638185941</v>
      </c>
      <c r="BN46" s="448">
        <f t="shared" si="33"/>
        <v>189.06394189398475</v>
      </c>
      <c r="BO46" s="55">
        <f t="shared" si="34"/>
        <v>2.7654262773506364</v>
      </c>
      <c r="BP46" s="55">
        <f t="shared" si="34"/>
        <v>2.7654262773506364</v>
      </c>
      <c r="BQ46" s="55">
        <f t="shared" si="34"/>
        <v>2.7654262773506364</v>
      </c>
      <c r="BR46" s="55">
        <f t="shared" si="34"/>
        <v>2.7654262773506364</v>
      </c>
      <c r="BS46" s="55">
        <f t="shared" si="34"/>
        <v>2.7654262773506364</v>
      </c>
      <c r="BT46" s="55">
        <f t="shared" si="35"/>
        <v>13.827131386753182</v>
      </c>
      <c r="BU46" s="753">
        <f t="shared" si="36"/>
        <v>175.23681050723155</v>
      </c>
      <c r="BV46" s="448">
        <v>203.1075675851518</v>
      </c>
      <c r="BW46" s="57">
        <v>132.28200000000001</v>
      </c>
      <c r="BX46" s="84">
        <v>112.505</v>
      </c>
      <c r="BY46" s="55">
        <f t="shared" si="37"/>
        <v>1.1757877427669883</v>
      </c>
      <c r="BZ46" s="55">
        <f t="shared" si="38"/>
        <v>3.031456232614206</v>
      </c>
      <c r="CA46" s="55">
        <f t="shared" si="39"/>
        <v>3.5643490810423755</v>
      </c>
      <c r="CB46" s="55">
        <v>2.8886954001261116</v>
      </c>
      <c r="CC46" s="55">
        <v>2.8886954001261116</v>
      </c>
      <c r="CD46" s="55">
        <v>2.8886954001261116</v>
      </c>
      <c r="CE46" s="55">
        <v>2.8886954001261116</v>
      </c>
      <c r="CF46" s="55">
        <v>2.8886954001261116</v>
      </c>
      <c r="CG46" s="55">
        <v>2.8886954001261116</v>
      </c>
      <c r="CH46" s="55">
        <v>2.8886954001261116</v>
      </c>
      <c r="CI46" s="55">
        <f t="shared" si="40"/>
        <v>20.220867800882779</v>
      </c>
      <c r="CJ46" s="448">
        <f t="shared" si="41"/>
        <v>182.88669978426901</v>
      </c>
      <c r="CK46" s="55">
        <v>2.8886954001261116</v>
      </c>
      <c r="CL46" s="55">
        <v>2.8886954001261116</v>
      </c>
      <c r="CM46" s="55">
        <v>2.8886954001261116</v>
      </c>
      <c r="CN46" s="55">
        <v>2.8886954001261116</v>
      </c>
      <c r="CO46" s="55">
        <v>2.8886954001261116</v>
      </c>
      <c r="CP46" s="505">
        <f t="shared" si="42"/>
        <v>14.443477000630558</v>
      </c>
      <c r="CQ46" s="679">
        <f t="shared" si="43"/>
        <v>168.44322278363845</v>
      </c>
      <c r="CR46" s="956">
        <v>132.28200000000001</v>
      </c>
      <c r="CS46" s="84">
        <v>112.505</v>
      </c>
      <c r="CT46" s="957">
        <f t="shared" si="47"/>
        <v>1.1757877427669883</v>
      </c>
      <c r="CU46" s="511">
        <f t="shared" si="44"/>
        <v>3.1781740147856312</v>
      </c>
      <c r="CV46" s="511">
        <f t="shared" si="45"/>
        <v>3.7368580509654943</v>
      </c>
      <c r="CW46" s="511">
        <v>3.7368580509654943</v>
      </c>
      <c r="CX46" s="511">
        <v>3.7368580509654943</v>
      </c>
      <c r="CY46" s="511">
        <v>3.7368580509654943</v>
      </c>
      <c r="CZ46" s="511">
        <v>3.7368580509654943</v>
      </c>
      <c r="DA46" s="511">
        <v>3.7368580509654943</v>
      </c>
      <c r="DB46" s="511">
        <v>3.7368580509654943</v>
      </c>
      <c r="DC46" s="511">
        <v>3.7368580509654943</v>
      </c>
      <c r="DD46" s="511">
        <v>3.7368580509654943</v>
      </c>
      <c r="DE46" s="511">
        <v>3.7368580509654943</v>
      </c>
      <c r="DF46" s="511">
        <v>3.7368580509654943</v>
      </c>
      <c r="DG46" s="511">
        <v>3.7368580509654943</v>
      </c>
      <c r="DH46" s="511">
        <v>3.7368580509654943</v>
      </c>
      <c r="DI46" s="511">
        <v>3.7368580509654943</v>
      </c>
      <c r="DJ46" s="511">
        <v>3.7368580509654943</v>
      </c>
      <c r="DK46" s="511">
        <v>3.7368580509654943</v>
      </c>
      <c r="DL46" s="511">
        <v>3.7368580509654943</v>
      </c>
      <c r="DM46" s="511">
        <v>3.7368580509654943</v>
      </c>
      <c r="DN46" s="511">
        <v>3.7368580509654943</v>
      </c>
      <c r="DO46" s="511">
        <f t="shared" si="4"/>
        <v>67.263444917378891</v>
      </c>
      <c r="DP46" s="960">
        <f t="shared" si="46"/>
        <v>101.17977786625956</v>
      </c>
    </row>
    <row r="47" spans="1:120" s="16" customFormat="1" x14ac:dyDescent="0.2">
      <c r="A47" s="26" t="s">
        <v>126</v>
      </c>
      <c r="B47" s="26"/>
      <c r="C47" s="124"/>
      <c r="D47" s="58"/>
      <c r="E47" s="30"/>
      <c r="F47" s="46"/>
      <c r="G47" s="125"/>
      <c r="H47" s="145"/>
      <c r="I47" s="165"/>
      <c r="J47" s="48"/>
      <c r="K47" s="165"/>
      <c r="L47" s="48"/>
      <c r="M47" s="165"/>
      <c r="N47" s="48"/>
      <c r="O47" s="165"/>
      <c r="P47" s="48"/>
      <c r="Q47" s="48"/>
      <c r="R47" s="125"/>
      <c r="S47" s="132"/>
      <c r="T47" s="118"/>
      <c r="U47" s="72"/>
      <c r="V47" s="154"/>
      <c r="W47" s="154"/>
      <c r="X47" s="55"/>
      <c r="Y47" s="106"/>
      <c r="Z47" s="258"/>
      <c r="AA47" s="57"/>
      <c r="AB47" s="84"/>
      <c r="AC47" s="57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72"/>
      <c r="AT47" s="55"/>
      <c r="AU47" s="55"/>
      <c r="AV47" s="55"/>
      <c r="AW47" s="55"/>
      <c r="AX47" s="55"/>
      <c r="AY47" s="55"/>
      <c r="AZ47" s="55"/>
      <c r="BA47" s="57"/>
      <c r="BB47" s="84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448"/>
      <c r="BO47" s="55"/>
      <c r="BP47" s="55"/>
      <c r="BQ47" s="55"/>
      <c r="BR47" s="55"/>
      <c r="BS47" s="55"/>
      <c r="BT47" s="55"/>
      <c r="BU47" s="55"/>
      <c r="BV47" s="448"/>
      <c r="BW47" s="57"/>
      <c r="BX47" s="84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448"/>
      <c r="CK47" s="55"/>
      <c r="CL47" s="55"/>
      <c r="CM47" s="55"/>
      <c r="CN47" s="55"/>
      <c r="CO47" s="55"/>
      <c r="CP47" s="505"/>
      <c r="CQ47" s="679"/>
      <c r="CR47" s="623"/>
      <c r="CS47" s="84"/>
      <c r="CT47" s="957"/>
      <c r="CU47" s="511"/>
      <c r="CV47" s="511"/>
      <c r="CW47" s="511"/>
      <c r="CX47" s="511"/>
      <c r="CY47" s="511"/>
      <c r="CZ47" s="511"/>
      <c r="DA47" s="511"/>
      <c r="DB47" s="511"/>
      <c r="DC47" s="511"/>
      <c r="DD47" s="511"/>
      <c r="DE47" s="511"/>
      <c r="DF47" s="511"/>
      <c r="DG47" s="511"/>
      <c r="DH47" s="511"/>
      <c r="DI47" s="511"/>
      <c r="DJ47" s="511"/>
      <c r="DK47" s="511"/>
      <c r="DL47" s="511"/>
      <c r="DM47" s="511"/>
      <c r="DN47" s="511"/>
      <c r="DO47" s="511">
        <f t="shared" si="4"/>
        <v>0</v>
      </c>
      <c r="DP47" s="1029"/>
    </row>
    <row r="48" spans="1:120" s="16" customFormat="1" x14ac:dyDescent="0.2">
      <c r="A48" s="120" t="s">
        <v>1086</v>
      </c>
      <c r="B48" s="9"/>
      <c r="C48" s="45"/>
      <c r="D48" s="58"/>
      <c r="E48" s="30"/>
      <c r="F48" s="46"/>
      <c r="G48" s="125"/>
      <c r="H48" s="145"/>
      <c r="I48" s="165"/>
      <c r="J48" s="48"/>
      <c r="K48" s="165"/>
      <c r="L48" s="48"/>
      <c r="M48" s="165"/>
      <c r="N48" s="48"/>
      <c r="O48" s="165"/>
      <c r="P48" s="48"/>
      <c r="Q48" s="48"/>
      <c r="R48" s="125"/>
      <c r="S48" s="132"/>
      <c r="T48" s="118"/>
      <c r="U48" s="72"/>
      <c r="V48" s="154"/>
      <c r="W48" s="154"/>
      <c r="X48" s="55"/>
      <c r="Y48" s="106"/>
      <c r="Z48" s="258"/>
      <c r="AA48" s="57"/>
      <c r="AB48" s="84"/>
      <c r="AC48" s="57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72"/>
      <c r="AT48" s="55"/>
      <c r="AU48" s="55"/>
      <c r="AV48" s="55"/>
      <c r="AW48" s="55"/>
      <c r="AX48" s="55"/>
      <c r="AY48" s="55"/>
      <c r="AZ48" s="55"/>
      <c r="BA48" s="57"/>
      <c r="BB48" s="84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448"/>
      <c r="BO48" s="55"/>
      <c r="BP48" s="55"/>
      <c r="BQ48" s="55"/>
      <c r="BR48" s="55"/>
      <c r="BS48" s="55"/>
      <c r="BT48" s="55"/>
      <c r="BU48" s="55"/>
      <c r="BV48" s="448"/>
      <c r="BW48" s="57"/>
      <c r="BX48" s="84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448"/>
      <c r="CK48" s="55"/>
      <c r="CL48" s="55"/>
      <c r="CM48" s="55"/>
      <c r="CN48" s="55"/>
      <c r="CO48" s="55"/>
      <c r="CP48" s="505"/>
      <c r="CQ48" s="679"/>
      <c r="CR48" s="656"/>
      <c r="CS48" s="84"/>
      <c r="CT48" s="957"/>
      <c r="CU48" s="511"/>
      <c r="CV48" s="511"/>
      <c r="CW48" s="511"/>
      <c r="CX48" s="511"/>
      <c r="CY48" s="511"/>
      <c r="CZ48" s="511"/>
      <c r="DA48" s="511"/>
      <c r="DB48" s="511"/>
      <c r="DC48" s="511"/>
      <c r="DD48" s="511"/>
      <c r="DE48" s="511"/>
      <c r="DF48" s="511"/>
      <c r="DG48" s="511"/>
      <c r="DH48" s="511"/>
      <c r="DI48" s="511"/>
      <c r="DJ48" s="511"/>
      <c r="DK48" s="511"/>
      <c r="DL48" s="511"/>
      <c r="DM48" s="511"/>
      <c r="DN48" s="511"/>
      <c r="DO48" s="511">
        <f t="shared" si="4"/>
        <v>0</v>
      </c>
      <c r="DP48" s="1029">
        <f>CX48-DO48</f>
        <v>0</v>
      </c>
    </row>
    <row r="49" spans="1:120" s="16" customFormat="1" x14ac:dyDescent="0.2">
      <c r="A49" s="119" t="s">
        <v>1087</v>
      </c>
      <c r="B49" s="100" t="s">
        <v>1088</v>
      </c>
      <c r="C49" s="45" t="s">
        <v>1089</v>
      </c>
      <c r="D49" s="58">
        <v>10</v>
      </c>
      <c r="E49" s="30">
        <v>0.1</v>
      </c>
      <c r="F49" s="46">
        <v>43281</v>
      </c>
      <c r="G49" s="125">
        <v>120</v>
      </c>
      <c r="H49" s="145">
        <f>100/G49</f>
        <v>0.83333333333333337</v>
      </c>
      <c r="I49" s="165">
        <f>H49*J49</f>
        <v>15</v>
      </c>
      <c r="J49" s="48">
        <f>(YEAR(F49)-YEAR(S49))*12+MONTH(F49)-MONTH(S49)</f>
        <v>18</v>
      </c>
      <c r="K49" s="165">
        <f>L49*H49</f>
        <v>85</v>
      </c>
      <c r="L49" s="48">
        <f>G49-J49</f>
        <v>102</v>
      </c>
      <c r="M49" s="165">
        <f>N49*H49</f>
        <v>15</v>
      </c>
      <c r="N49" s="48">
        <f>G49-L49</f>
        <v>18</v>
      </c>
      <c r="O49" s="165">
        <f>K49-M49</f>
        <v>70</v>
      </c>
      <c r="P49" s="48">
        <f>L49-N49</f>
        <v>84</v>
      </c>
      <c r="Q49" s="462">
        <f>DATE(YEAR(S49),MONTH(S49)+G49,DAY(S49))</f>
        <v>46357</v>
      </c>
      <c r="R49" s="119" t="s">
        <v>1090</v>
      </c>
      <c r="S49" s="132">
        <v>42705</v>
      </c>
      <c r="T49" s="118">
        <v>899</v>
      </c>
      <c r="U49" s="72"/>
      <c r="V49" s="154"/>
      <c r="W49" s="154"/>
      <c r="X49" s="55"/>
      <c r="Y49" s="106"/>
      <c r="Z49" s="258"/>
      <c r="AA49" s="57"/>
      <c r="AB49" s="84"/>
      <c r="AC49" s="57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72">
        <v>899</v>
      </c>
      <c r="AT49" s="55"/>
      <c r="AU49" s="55"/>
      <c r="AV49" s="55"/>
      <c r="AW49" s="55"/>
      <c r="AX49" s="55"/>
      <c r="AY49" s="55"/>
      <c r="AZ49" s="55"/>
      <c r="BA49" s="57">
        <v>118.901</v>
      </c>
      <c r="BB49" s="84">
        <v>122.515</v>
      </c>
      <c r="BC49" s="55">
        <f>BA49/BB49</f>
        <v>0.97050157123617509</v>
      </c>
      <c r="BD49" s="55">
        <f>T49/(D49*12)</f>
        <v>7.4916666666666663</v>
      </c>
      <c r="BE49" s="55">
        <f>BD49*BC49</f>
        <v>7.2706742711776782</v>
      </c>
      <c r="BF49" s="55"/>
      <c r="BG49" s="55"/>
      <c r="BH49" s="55"/>
      <c r="BI49" s="55"/>
      <c r="BJ49" s="55"/>
      <c r="BK49" s="55"/>
      <c r="BL49" s="55"/>
      <c r="BM49" s="55">
        <v>0</v>
      </c>
      <c r="BN49" s="448">
        <f>(AS49-BM49)</f>
        <v>899</v>
      </c>
      <c r="BO49" s="55">
        <v>7.27</v>
      </c>
      <c r="BP49" s="55">
        <v>7.27</v>
      </c>
      <c r="BQ49" s="55">
        <v>7.27</v>
      </c>
      <c r="BR49" s="55">
        <v>7.27</v>
      </c>
      <c r="BS49" s="55">
        <v>7.27</v>
      </c>
      <c r="BT49" s="55">
        <f>SUM(BO49:BS49)</f>
        <v>36.349999999999994</v>
      </c>
      <c r="BU49" s="753">
        <f>BN49-BT49</f>
        <v>862.65</v>
      </c>
      <c r="BV49" s="448">
        <v>862.65</v>
      </c>
      <c r="BW49" s="57">
        <v>132.28200000000001</v>
      </c>
      <c r="BX49" s="84">
        <v>122.515</v>
      </c>
      <c r="BY49" s="55">
        <f>BW49/BX49</f>
        <v>1.0797208505081011</v>
      </c>
      <c r="BZ49" s="55">
        <f>BV49/L49</f>
        <v>8.4573529411764703</v>
      </c>
      <c r="CA49" s="55">
        <f>BZ49*BY49</f>
        <v>9.1315803106942486</v>
      </c>
      <c r="CB49" s="55">
        <v>7.4171775700934575</v>
      </c>
      <c r="CC49" s="55">
        <v>7.4171775700934575</v>
      </c>
      <c r="CD49" s="55">
        <v>7.4171775700934575</v>
      </c>
      <c r="CE49" s="55">
        <v>7.4171775700934575</v>
      </c>
      <c r="CF49" s="55">
        <v>7.4171775700934575</v>
      </c>
      <c r="CG49" s="55">
        <v>7.4171775700934575</v>
      </c>
      <c r="CH49" s="55">
        <v>7.4171775700934575</v>
      </c>
      <c r="CI49" s="55">
        <f>SUM(CB49:CH49)</f>
        <v>51.920242990654202</v>
      </c>
      <c r="CJ49" s="448">
        <f>BV49-CI49</f>
        <v>810.7297570093458</v>
      </c>
      <c r="CK49" s="55">
        <v>7.4171775700934575</v>
      </c>
      <c r="CL49" s="55">
        <v>7.4171775700934575</v>
      </c>
      <c r="CM49" s="55">
        <v>7.4171775700934575</v>
      </c>
      <c r="CN49" s="55">
        <v>7.4171775700934575</v>
      </c>
      <c r="CO49" s="55">
        <v>7.4171775700934575</v>
      </c>
      <c r="CP49" s="505">
        <f>SUM(CK49:CO49)</f>
        <v>37.085887850467287</v>
      </c>
      <c r="CQ49" s="679">
        <f>CJ49-CP49</f>
        <v>773.64386915887849</v>
      </c>
      <c r="CR49" s="956">
        <v>132.28200000000001</v>
      </c>
      <c r="CS49" s="84">
        <v>122.515</v>
      </c>
      <c r="CT49" s="957">
        <f>CR49/CS49</f>
        <v>1.0797208505081011</v>
      </c>
      <c r="CU49" s="511">
        <f>CQ49/N49</f>
        <v>42.98021495327103</v>
      </c>
      <c r="CV49" s="511">
        <f>CU49*CT49</f>
        <v>46.406634244366799</v>
      </c>
      <c r="CW49" s="511">
        <v>46.406634244366799</v>
      </c>
      <c r="CX49" s="511">
        <v>46.406634244366799</v>
      </c>
      <c r="CY49" s="511">
        <v>46.406634244366799</v>
      </c>
      <c r="CZ49" s="511">
        <v>46.406634244366799</v>
      </c>
      <c r="DA49" s="511">
        <v>46.406634244366799</v>
      </c>
      <c r="DB49" s="511">
        <v>46.406634244366799</v>
      </c>
      <c r="DC49" s="511">
        <v>46.406634244366799</v>
      </c>
      <c r="DD49" s="511">
        <v>46.406634244366799</v>
      </c>
      <c r="DE49" s="511">
        <v>46.406634244366799</v>
      </c>
      <c r="DF49" s="511">
        <v>46.406634244366799</v>
      </c>
      <c r="DG49" s="511">
        <v>46.406634244366799</v>
      </c>
      <c r="DH49" s="511">
        <v>46.406634244366799</v>
      </c>
      <c r="DI49" s="511">
        <v>46.406634244366799</v>
      </c>
      <c r="DJ49" s="511">
        <v>46.406634244366799</v>
      </c>
      <c r="DK49" s="511">
        <v>46.406634244366799</v>
      </c>
      <c r="DL49" s="511">
        <v>46.406634244366799</v>
      </c>
      <c r="DM49" s="511">
        <v>30.14</v>
      </c>
      <c r="DN49" s="511">
        <v>0</v>
      </c>
      <c r="DO49" s="511">
        <f t="shared" si="4"/>
        <v>772.64614790986889</v>
      </c>
      <c r="DP49" s="960">
        <f>CQ49-DO49</f>
        <v>0.9977212490096008</v>
      </c>
    </row>
    <row r="50" spans="1:120" s="16" customFormat="1" x14ac:dyDescent="0.2">
      <c r="A50" s="26" t="s">
        <v>126</v>
      </c>
      <c r="B50" s="26"/>
      <c r="C50" s="124"/>
      <c r="D50" s="111"/>
      <c r="E50" s="25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20"/>
      <c r="S50" s="119"/>
      <c r="T50" s="7"/>
      <c r="U50" s="14"/>
      <c r="V50" s="14"/>
      <c r="W50" s="14"/>
      <c r="X50" s="14"/>
      <c r="Y50" s="108"/>
      <c r="Z50" s="66"/>
      <c r="AA50" s="66"/>
      <c r="AB50" s="140"/>
      <c r="AC50" s="66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73"/>
      <c r="AT50" s="55"/>
      <c r="AU50" s="55"/>
      <c r="AV50" s="55">
        <f t="shared" si="2"/>
        <v>0</v>
      </c>
      <c r="AW50" s="55">
        <f t="shared" si="2"/>
        <v>0</v>
      </c>
      <c r="AX50" s="55">
        <f t="shared" si="2"/>
        <v>0</v>
      </c>
      <c r="AY50" s="55">
        <f t="shared" si="2"/>
        <v>0</v>
      </c>
      <c r="AZ50" s="55">
        <f t="shared" si="2"/>
        <v>0</v>
      </c>
      <c r="BA50" s="66"/>
      <c r="BB50" s="140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448"/>
      <c r="BO50" s="55"/>
      <c r="BP50" s="55"/>
      <c r="BQ50" s="55"/>
      <c r="BR50" s="55"/>
      <c r="BS50" s="55"/>
      <c r="BT50" s="55"/>
      <c r="BU50" s="55"/>
      <c r="BV50" s="448"/>
      <c r="BW50" s="66"/>
      <c r="BX50" s="140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448"/>
      <c r="CK50" s="55"/>
      <c r="CL50" s="55"/>
      <c r="CM50" s="55"/>
      <c r="CN50" s="55"/>
      <c r="CO50" s="55"/>
      <c r="CP50" s="505"/>
      <c r="CQ50" s="679"/>
      <c r="CR50" s="55"/>
      <c r="CS50" s="140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11">
        <f t="shared" si="4"/>
        <v>0</v>
      </c>
      <c r="DP50" s="56"/>
    </row>
    <row r="51" spans="1:120" s="16" customFormat="1" x14ac:dyDescent="0.2">
      <c r="A51" s="120" t="s">
        <v>1085</v>
      </c>
      <c r="B51" s="9"/>
      <c r="C51" s="45"/>
      <c r="D51" s="58"/>
      <c r="E51" s="3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20"/>
      <c r="S51" s="128"/>
      <c r="T51" s="7"/>
      <c r="U51" s="14"/>
      <c r="V51" s="14"/>
      <c r="W51" s="14"/>
      <c r="X51" s="14"/>
      <c r="Y51" s="108"/>
      <c r="Z51" s="66"/>
      <c r="AA51" s="66"/>
      <c r="AB51" s="84"/>
      <c r="AC51" s="66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73"/>
      <c r="AT51" s="55"/>
      <c r="AU51" s="55"/>
      <c r="AV51" s="55">
        <f t="shared" si="2"/>
        <v>0</v>
      </c>
      <c r="AW51" s="55">
        <f t="shared" si="2"/>
        <v>0</v>
      </c>
      <c r="AX51" s="55">
        <f t="shared" si="2"/>
        <v>0</v>
      </c>
      <c r="AY51" s="55">
        <f t="shared" si="2"/>
        <v>0</v>
      </c>
      <c r="AZ51" s="55">
        <f t="shared" si="2"/>
        <v>0</v>
      </c>
      <c r="BA51" s="66"/>
      <c r="BB51" s="84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448"/>
      <c r="BO51" s="55"/>
      <c r="BP51" s="55"/>
      <c r="BQ51" s="55"/>
      <c r="BR51" s="55"/>
      <c r="BS51" s="55"/>
      <c r="BT51" s="55"/>
      <c r="BU51" s="55"/>
      <c r="BV51" s="448"/>
      <c r="BW51" s="66"/>
      <c r="BX51" s="84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448"/>
      <c r="CK51" s="55"/>
      <c r="CL51" s="55"/>
      <c r="CM51" s="55"/>
      <c r="CN51" s="55"/>
      <c r="CO51" s="55"/>
      <c r="CP51" s="505"/>
      <c r="CQ51" s="679"/>
      <c r="CR51" s="956"/>
      <c r="CS51" s="84"/>
      <c r="CT51" s="957"/>
      <c r="CU51" s="511"/>
      <c r="CV51" s="511"/>
      <c r="CW51" s="511"/>
      <c r="CX51" s="511"/>
      <c r="CY51" s="511"/>
      <c r="CZ51" s="511"/>
      <c r="DA51" s="511"/>
      <c r="DB51" s="511"/>
      <c r="DC51" s="511"/>
      <c r="DD51" s="511"/>
      <c r="DE51" s="511"/>
      <c r="DF51" s="511"/>
      <c r="DG51" s="511"/>
      <c r="DH51" s="511"/>
      <c r="DI51" s="511"/>
      <c r="DJ51" s="511"/>
      <c r="DK51" s="511"/>
      <c r="DL51" s="511"/>
      <c r="DM51" s="511"/>
      <c r="DN51" s="511"/>
      <c r="DO51" s="511">
        <f t="shared" si="4"/>
        <v>0</v>
      </c>
      <c r="DP51" s="960"/>
    </row>
    <row r="52" spans="1:120" s="16" customFormat="1" x14ac:dyDescent="0.2">
      <c r="A52" s="119" t="s">
        <v>262</v>
      </c>
      <c r="B52" s="100" t="s">
        <v>364</v>
      </c>
      <c r="C52" s="45" t="s">
        <v>391</v>
      </c>
      <c r="D52" s="58">
        <v>10</v>
      </c>
      <c r="E52" s="30">
        <v>0.1</v>
      </c>
      <c r="F52" s="46">
        <v>43281</v>
      </c>
      <c r="G52" s="125">
        <v>120</v>
      </c>
      <c r="H52" s="145">
        <f>100/G52</f>
        <v>0.83333333333333337</v>
      </c>
      <c r="I52" s="165">
        <f>H52*J52</f>
        <v>41.666666666666671</v>
      </c>
      <c r="J52" s="48">
        <f>(YEAR(F52)-YEAR(S52))*12+MONTH(F52)-MONTH(S52)</f>
        <v>50</v>
      </c>
      <c r="K52" s="165">
        <f>L52*H52</f>
        <v>58.333333333333336</v>
      </c>
      <c r="L52" s="48">
        <f>G52-J52</f>
        <v>70</v>
      </c>
      <c r="M52" s="165">
        <f>N52*H52</f>
        <v>41.666666666666671</v>
      </c>
      <c r="N52" s="48">
        <f>G52-L52</f>
        <v>50</v>
      </c>
      <c r="O52" s="165">
        <f>K52-M52</f>
        <v>16.666666666666664</v>
      </c>
      <c r="P52" s="48">
        <f>L52-N52</f>
        <v>20</v>
      </c>
      <c r="Q52" s="462">
        <f>DATE(YEAR(S52),MONTH(S52)+G52,DAY(S52))</f>
        <v>45396</v>
      </c>
      <c r="R52" s="125" t="s">
        <v>360</v>
      </c>
      <c r="S52" s="132">
        <v>41743</v>
      </c>
      <c r="T52" s="118">
        <v>4251.8900000000003</v>
      </c>
      <c r="U52" s="72"/>
      <c r="V52" s="154">
        <v>318.87</v>
      </c>
      <c r="W52" s="154">
        <v>3933.0200000000004</v>
      </c>
      <c r="X52" s="55">
        <v>35.43</v>
      </c>
      <c r="Y52" s="106">
        <f>X52*5</f>
        <v>177.15</v>
      </c>
      <c r="Z52" s="258">
        <f>W52-Y52</f>
        <v>3755.8700000000003</v>
      </c>
      <c r="AA52" s="57">
        <v>115.958</v>
      </c>
      <c r="AB52" s="84">
        <v>112.88800000000001</v>
      </c>
      <c r="AC52" s="57">
        <f>AA52/AB52</f>
        <v>1.0271950960243781</v>
      </c>
      <c r="AD52" s="55">
        <f>Z52*M52/100/K52*100/7</f>
        <v>383.25204081632666</v>
      </c>
      <c r="AE52" s="55">
        <f>AD52*AC52</f>
        <v>393.67461686786555</v>
      </c>
      <c r="AF52" s="55"/>
      <c r="AG52" s="55"/>
      <c r="AH52" s="55"/>
      <c r="AI52" s="55"/>
      <c r="AJ52" s="55"/>
      <c r="AK52" s="55">
        <f>AE52</f>
        <v>393.67461686786555</v>
      </c>
      <c r="AL52" s="55">
        <v>36.396332502878131</v>
      </c>
      <c r="AM52" s="55">
        <v>36.396332502878131</v>
      </c>
      <c r="AN52" s="55">
        <v>36.396332502878131</v>
      </c>
      <c r="AO52" s="55">
        <v>36.396332502878131</v>
      </c>
      <c r="AP52" s="55">
        <v>36.396332502878131</v>
      </c>
      <c r="AQ52" s="55">
        <v>36.396332502878131</v>
      </c>
      <c r="AR52" s="55">
        <f>SUM(AF52:AQ52)</f>
        <v>612.05261188513441</v>
      </c>
      <c r="AS52" s="72">
        <f>Z52-AR52</f>
        <v>3143.8173881148659</v>
      </c>
      <c r="AT52" s="55"/>
      <c r="AU52" s="55"/>
      <c r="AV52" s="55">
        <f t="shared" si="2"/>
        <v>36.396332502878131</v>
      </c>
      <c r="AW52" s="55">
        <f t="shared" si="2"/>
        <v>36.396332502878131</v>
      </c>
      <c r="AX52" s="55">
        <f t="shared" si="2"/>
        <v>36.396332502878131</v>
      </c>
      <c r="AY52" s="55">
        <f t="shared" si="2"/>
        <v>36.396332502878131</v>
      </c>
      <c r="AZ52" s="55">
        <f t="shared" si="2"/>
        <v>36.396332502878131</v>
      </c>
      <c r="BA52" s="57">
        <v>118.901</v>
      </c>
      <c r="BB52" s="84">
        <v>112.88800000000001</v>
      </c>
      <c r="BC52" s="55">
        <f>BA52/BB52</f>
        <v>1.0532651831904187</v>
      </c>
      <c r="BD52" s="55">
        <f>T52/(D52*12)</f>
        <v>35.432416666666668</v>
      </c>
      <c r="BE52" s="55">
        <f>BD52*BC52</f>
        <v>37.319730831295914</v>
      </c>
      <c r="BF52" s="55">
        <f t="shared" ref="BF52:BL52" si="48">$BE52</f>
        <v>37.319730831295914</v>
      </c>
      <c r="BG52" s="55">
        <f t="shared" si="48"/>
        <v>37.319730831295914</v>
      </c>
      <c r="BH52" s="55">
        <f t="shared" si="48"/>
        <v>37.319730831295914</v>
      </c>
      <c r="BI52" s="55">
        <f t="shared" si="48"/>
        <v>37.319730831295914</v>
      </c>
      <c r="BJ52" s="55">
        <f t="shared" si="48"/>
        <v>37.319730831295914</v>
      </c>
      <c r="BK52" s="55">
        <f t="shared" si="48"/>
        <v>37.319730831295914</v>
      </c>
      <c r="BL52" s="55">
        <f t="shared" si="48"/>
        <v>37.319730831295914</v>
      </c>
      <c r="BM52" s="55">
        <f>SUM((AV52:AZ52),(BF52:BL52))</f>
        <v>443.21977833346216</v>
      </c>
      <c r="BN52" s="448">
        <f>(AS52-BM52)</f>
        <v>2700.5976097814037</v>
      </c>
      <c r="BO52" s="55">
        <f>$BE52</f>
        <v>37.319730831295914</v>
      </c>
      <c r="BP52" s="55">
        <f>$BE52</f>
        <v>37.319730831295914</v>
      </c>
      <c r="BQ52" s="55">
        <f>$BE52</f>
        <v>37.319730831295914</v>
      </c>
      <c r="BR52" s="55">
        <f>$BE52</f>
        <v>37.319730831295914</v>
      </c>
      <c r="BS52" s="55">
        <f>$BE52</f>
        <v>37.319730831295914</v>
      </c>
      <c r="BT52" s="55">
        <f>SUM(BO52:BS52)</f>
        <v>186.59865415647957</v>
      </c>
      <c r="BU52" s="753">
        <f>BN52-BT52</f>
        <v>2513.9989556249243</v>
      </c>
      <c r="BV52" s="448">
        <v>2860.6246548671184</v>
      </c>
      <c r="BW52" s="57">
        <v>132.28200000000001</v>
      </c>
      <c r="BX52" s="84">
        <v>112.88800000000001</v>
      </c>
      <c r="BY52" s="55">
        <f>BW52/BX52</f>
        <v>1.1717985968393452</v>
      </c>
      <c r="BZ52" s="55">
        <f>BV52/L52</f>
        <v>40.866066498101688</v>
      </c>
      <c r="CA52" s="55">
        <f>BZ52*BY52</f>
        <v>47.886799380818928</v>
      </c>
      <c r="CB52" s="55">
        <v>39.063738695080765</v>
      </c>
      <c r="CC52" s="55">
        <v>39.063738695080765</v>
      </c>
      <c r="CD52" s="55">
        <v>39.063738695080765</v>
      </c>
      <c r="CE52" s="55">
        <v>39.063738695080765</v>
      </c>
      <c r="CF52" s="55">
        <v>39.063738695080765</v>
      </c>
      <c r="CG52" s="55">
        <v>39.063738695080765</v>
      </c>
      <c r="CH52" s="55">
        <v>39.063738695080765</v>
      </c>
      <c r="CI52" s="55">
        <f>SUM(CB52:CH52)</f>
        <v>273.44617086556536</v>
      </c>
      <c r="CJ52" s="448">
        <f>BV52-CI52</f>
        <v>2587.178484001553</v>
      </c>
      <c r="CK52" s="55">
        <v>39.063738695080765</v>
      </c>
      <c r="CL52" s="55">
        <v>39.063738695080765</v>
      </c>
      <c r="CM52" s="55">
        <v>39.063738695080765</v>
      </c>
      <c r="CN52" s="55">
        <v>39.063738695080765</v>
      </c>
      <c r="CO52" s="55">
        <v>39.063738695080765</v>
      </c>
      <c r="CP52" s="505">
        <f>SUM(CK52:CO52)</f>
        <v>195.31869347540382</v>
      </c>
      <c r="CQ52" s="679">
        <f>CJ52-CP52</f>
        <v>2391.859790526149</v>
      </c>
      <c r="CR52" s="956">
        <v>132.28200000000001</v>
      </c>
      <c r="CS52" s="84">
        <v>112.88800000000001</v>
      </c>
      <c r="CT52" s="957">
        <f>CR52/CS52</f>
        <v>1.1717985968393452</v>
      </c>
      <c r="CU52" s="511">
        <f>CQ52/N52</f>
        <v>47.837195810522978</v>
      </c>
      <c r="CV52" s="511">
        <f>CU52*CT52</f>
        <v>56.055558927499824</v>
      </c>
      <c r="CW52" s="511">
        <v>56.055558927499824</v>
      </c>
      <c r="CX52" s="511">
        <v>56.055558927499824</v>
      </c>
      <c r="CY52" s="511">
        <v>56.055558927499824</v>
      </c>
      <c r="CZ52" s="511">
        <v>56.055558927499824</v>
      </c>
      <c r="DA52" s="511">
        <v>56.055558927499824</v>
      </c>
      <c r="DB52" s="511">
        <v>56.055558927499824</v>
      </c>
      <c r="DC52" s="511">
        <v>56.055558927499824</v>
      </c>
      <c r="DD52" s="511">
        <v>56.055558927499824</v>
      </c>
      <c r="DE52" s="511">
        <v>56.055558927499824</v>
      </c>
      <c r="DF52" s="511">
        <v>56.055558927499824</v>
      </c>
      <c r="DG52" s="511">
        <v>56.055558927499824</v>
      </c>
      <c r="DH52" s="511">
        <v>56.055558927499824</v>
      </c>
      <c r="DI52" s="511">
        <v>56.055558927499824</v>
      </c>
      <c r="DJ52" s="511">
        <v>56.055558927499824</v>
      </c>
      <c r="DK52" s="511">
        <v>56.055558927499824</v>
      </c>
      <c r="DL52" s="511">
        <v>56.055558927499824</v>
      </c>
      <c r="DM52" s="511">
        <v>56.055558927499824</v>
      </c>
      <c r="DN52" s="511">
        <v>56.055558927499824</v>
      </c>
      <c r="DO52" s="511">
        <f t="shared" si="4"/>
        <v>1009.0000606949973</v>
      </c>
      <c r="DP52" s="960">
        <f>CQ52-DO52</f>
        <v>1382.8597298311518</v>
      </c>
    </row>
    <row r="53" spans="1:120" s="16" customFormat="1" x14ac:dyDescent="0.2">
      <c r="A53" s="26" t="s">
        <v>126</v>
      </c>
      <c r="B53" s="26"/>
      <c r="C53" s="124"/>
      <c r="D53" s="111"/>
      <c r="E53" s="25"/>
      <c r="F53" s="20"/>
      <c r="G53" s="125"/>
      <c r="H53" s="145"/>
      <c r="I53" s="165"/>
      <c r="J53" s="48"/>
      <c r="K53" s="165"/>
      <c r="L53" s="48"/>
      <c r="M53" s="165"/>
      <c r="N53" s="48"/>
      <c r="O53" s="165"/>
      <c r="P53" s="48"/>
      <c r="Q53" s="48"/>
      <c r="R53" s="125"/>
      <c r="S53" s="119"/>
      <c r="T53" s="7"/>
      <c r="U53" s="72"/>
      <c r="V53" s="154"/>
      <c r="W53" s="154"/>
      <c r="X53" s="55"/>
      <c r="Y53" s="106"/>
      <c r="Z53" s="258"/>
      <c r="AA53" s="57"/>
      <c r="AB53" s="140"/>
      <c r="AC53" s="57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72"/>
      <c r="AT53" s="55"/>
      <c r="AU53" s="55"/>
      <c r="AV53" s="55">
        <f t="shared" si="2"/>
        <v>0</v>
      </c>
      <c r="AW53" s="55">
        <f t="shared" si="2"/>
        <v>0</v>
      </c>
      <c r="AX53" s="55">
        <f t="shared" si="2"/>
        <v>0</v>
      </c>
      <c r="AY53" s="55">
        <f t="shared" si="2"/>
        <v>0</v>
      </c>
      <c r="AZ53" s="55">
        <f t="shared" si="2"/>
        <v>0</v>
      </c>
      <c r="BA53" s="57"/>
      <c r="BB53" s="140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448"/>
      <c r="BO53" s="55"/>
      <c r="BP53" s="55"/>
      <c r="BQ53" s="55"/>
      <c r="BR53" s="55"/>
      <c r="BS53" s="55"/>
      <c r="BT53" s="55"/>
      <c r="BU53" s="55"/>
      <c r="BV53" s="448"/>
      <c r="BW53" s="57"/>
      <c r="BX53" s="140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448"/>
      <c r="CK53" s="55"/>
      <c r="CL53" s="55"/>
      <c r="CM53" s="55"/>
      <c r="CN53" s="55"/>
      <c r="CO53" s="55"/>
      <c r="CP53" s="505"/>
      <c r="CQ53" s="679"/>
      <c r="CR53" s="623"/>
      <c r="CS53" s="140"/>
      <c r="CT53" s="957"/>
      <c r="CU53" s="511"/>
      <c r="CV53" s="511"/>
      <c r="CW53" s="511"/>
      <c r="CX53" s="511"/>
      <c r="CY53" s="511"/>
      <c r="CZ53" s="511"/>
      <c r="DA53" s="511"/>
      <c r="DB53" s="511"/>
      <c r="DC53" s="511"/>
      <c r="DD53" s="511"/>
      <c r="DE53" s="511"/>
      <c r="DF53" s="511"/>
      <c r="DG53" s="511"/>
      <c r="DH53" s="511"/>
      <c r="DI53" s="511"/>
      <c r="DJ53" s="511"/>
      <c r="DK53" s="511"/>
      <c r="DL53" s="511"/>
      <c r="DM53" s="511"/>
      <c r="DN53" s="511"/>
      <c r="DO53" s="511">
        <f t="shared" si="4"/>
        <v>0</v>
      </c>
      <c r="DP53" s="1029"/>
    </row>
    <row r="54" spans="1:120" s="16" customFormat="1" x14ac:dyDescent="0.2">
      <c r="A54" s="120" t="s">
        <v>378</v>
      </c>
      <c r="B54" s="9"/>
      <c r="C54" s="45"/>
      <c r="D54" s="58"/>
      <c r="E54" s="30"/>
      <c r="F54" s="20"/>
      <c r="G54" s="252"/>
      <c r="H54" s="145"/>
      <c r="I54" s="165"/>
      <c r="J54" s="48"/>
      <c r="K54" s="165"/>
      <c r="L54" s="48"/>
      <c r="M54" s="165"/>
      <c r="N54" s="48"/>
      <c r="O54" s="165"/>
      <c r="P54" s="48"/>
      <c r="Q54" s="48"/>
      <c r="R54" s="125"/>
      <c r="S54" s="128"/>
      <c r="T54" s="7"/>
      <c r="U54" s="72"/>
      <c r="V54" s="154"/>
      <c r="W54" s="154"/>
      <c r="X54" s="55"/>
      <c r="Y54" s="106"/>
      <c r="Z54" s="258"/>
      <c r="AA54" s="57"/>
      <c r="AB54" s="84"/>
      <c r="AC54" s="57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72"/>
      <c r="AT54" s="55"/>
      <c r="AU54" s="55"/>
      <c r="AV54" s="55">
        <f t="shared" si="2"/>
        <v>0</v>
      </c>
      <c r="AW54" s="55">
        <f t="shared" si="2"/>
        <v>0</v>
      </c>
      <c r="AX54" s="55">
        <f t="shared" si="2"/>
        <v>0</v>
      </c>
      <c r="AY54" s="55">
        <f t="shared" si="2"/>
        <v>0</v>
      </c>
      <c r="AZ54" s="55">
        <f t="shared" si="2"/>
        <v>0</v>
      </c>
      <c r="BA54" s="57"/>
      <c r="BB54" s="84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448"/>
      <c r="BO54" s="55"/>
      <c r="BP54" s="55"/>
      <c r="BQ54" s="55"/>
      <c r="BR54" s="55"/>
      <c r="BS54" s="55"/>
      <c r="BT54" s="55"/>
      <c r="BU54" s="55"/>
      <c r="BV54" s="448"/>
      <c r="BW54" s="57"/>
      <c r="BX54" s="84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448"/>
      <c r="CK54" s="55"/>
      <c r="CL54" s="55"/>
      <c r="CM54" s="55"/>
      <c r="CN54" s="55"/>
      <c r="CO54" s="55"/>
      <c r="CP54" s="505"/>
      <c r="CQ54" s="679"/>
      <c r="CR54" s="656"/>
      <c r="CS54" s="84"/>
      <c r="CT54" s="957"/>
      <c r="CU54" s="511"/>
      <c r="CV54" s="511"/>
      <c r="CW54" s="511"/>
      <c r="CX54" s="511"/>
      <c r="CY54" s="511"/>
      <c r="CZ54" s="511"/>
      <c r="DA54" s="511"/>
      <c r="DB54" s="511"/>
      <c r="DC54" s="511"/>
      <c r="DD54" s="511"/>
      <c r="DE54" s="511"/>
      <c r="DF54" s="511"/>
      <c r="DG54" s="511"/>
      <c r="DH54" s="511"/>
      <c r="DI54" s="511"/>
      <c r="DJ54" s="511"/>
      <c r="DK54" s="511"/>
      <c r="DL54" s="511"/>
      <c r="DM54" s="511"/>
      <c r="DN54" s="511"/>
      <c r="DO54" s="511">
        <f t="shared" si="4"/>
        <v>0</v>
      </c>
      <c r="DP54" s="1029">
        <f>CX54-DO54</f>
        <v>0</v>
      </c>
    </row>
    <row r="55" spans="1:120" s="16" customFormat="1" x14ac:dyDescent="0.2">
      <c r="A55" s="119" t="s">
        <v>392</v>
      </c>
      <c r="B55" s="100" t="s">
        <v>377</v>
      </c>
      <c r="C55" s="45" t="s">
        <v>393</v>
      </c>
      <c r="D55" s="58">
        <v>10</v>
      </c>
      <c r="E55" s="30">
        <v>0.1</v>
      </c>
      <c r="F55" s="46">
        <v>43281</v>
      </c>
      <c r="G55" s="125">
        <v>120</v>
      </c>
      <c r="H55" s="145">
        <f>100/G55</f>
        <v>0.83333333333333337</v>
      </c>
      <c r="I55" s="165">
        <f>H55*J55</f>
        <v>44.166666666666671</v>
      </c>
      <c r="J55" s="48">
        <f>(YEAR(F55)-YEAR(S55))*12+MONTH(F55)-MONTH(S55)</f>
        <v>53</v>
      </c>
      <c r="K55" s="165">
        <f>L55*H55</f>
        <v>55.833333333333336</v>
      </c>
      <c r="L55" s="48">
        <f>G55-J55</f>
        <v>67</v>
      </c>
      <c r="M55" s="165">
        <f>N55*H55</f>
        <v>44.166666666666671</v>
      </c>
      <c r="N55" s="48">
        <f>G55-L55</f>
        <v>53</v>
      </c>
      <c r="O55" s="165">
        <f t="shared" ref="O55:P57" si="49">K55-M55</f>
        <v>11.666666666666664</v>
      </c>
      <c r="P55" s="48">
        <f t="shared" si="49"/>
        <v>14</v>
      </c>
      <c r="Q55" s="462">
        <f>DATE(YEAR(S55),MONTH(S55)+G55,DAY(S55))</f>
        <v>45308</v>
      </c>
      <c r="R55" s="125" t="s">
        <v>360</v>
      </c>
      <c r="S55" s="21">
        <v>41656</v>
      </c>
      <c r="T55" s="118">
        <v>1594.83</v>
      </c>
      <c r="U55" s="72"/>
      <c r="V55" s="154">
        <v>159.48074999999994</v>
      </c>
      <c r="W55" s="154">
        <v>1435.34925</v>
      </c>
      <c r="X55" s="55">
        <v>13.29</v>
      </c>
      <c r="Y55" s="106">
        <f>X55*5</f>
        <v>66.449999999999989</v>
      </c>
      <c r="Z55" s="258">
        <f>W55-Y55</f>
        <v>1368.8992499999999</v>
      </c>
      <c r="AA55" s="57">
        <v>115.958</v>
      </c>
      <c r="AB55" s="84">
        <v>112.505</v>
      </c>
      <c r="AC55" s="57">
        <f>AA55/AB55</f>
        <v>1.0306919692458114</v>
      </c>
      <c r="AD55" s="55">
        <f>Z55*M55/100/K55*100/7</f>
        <v>154.69437153518126</v>
      </c>
      <c r="AE55" s="55">
        <f>AD55*AC55</f>
        <v>159.44224642883916</v>
      </c>
      <c r="AF55" s="55"/>
      <c r="AG55" s="55"/>
      <c r="AH55" s="55"/>
      <c r="AI55" s="55"/>
      <c r="AJ55" s="55"/>
      <c r="AK55" s="55">
        <f>AE55</f>
        <v>159.44224642883916</v>
      </c>
      <c r="AL55" s="55">
        <v>13.698188967782663</v>
      </c>
      <c r="AM55" s="55">
        <v>13.698188967782663</v>
      </c>
      <c r="AN55" s="55">
        <v>13.698188967782663</v>
      </c>
      <c r="AO55" s="55">
        <v>13.698188967782663</v>
      </c>
      <c r="AP55" s="55">
        <v>13.698188967782663</v>
      </c>
      <c r="AQ55" s="55">
        <v>13.698188967782663</v>
      </c>
      <c r="AR55" s="55">
        <f>SUM(AF55:AQ55)</f>
        <v>241.63138023553518</v>
      </c>
      <c r="AS55" s="72">
        <f>Z55-AR55</f>
        <v>1127.2678697644646</v>
      </c>
      <c r="AT55" s="55"/>
      <c r="AU55" s="55"/>
      <c r="AV55" s="55">
        <f t="shared" si="2"/>
        <v>13.698188967782663</v>
      </c>
      <c r="AW55" s="55">
        <f t="shared" si="2"/>
        <v>13.698188967782663</v>
      </c>
      <c r="AX55" s="55">
        <f t="shared" si="2"/>
        <v>13.698188967782663</v>
      </c>
      <c r="AY55" s="55">
        <f t="shared" si="2"/>
        <v>13.698188967782663</v>
      </c>
      <c r="AZ55" s="55">
        <f t="shared" si="2"/>
        <v>13.698188967782663</v>
      </c>
      <c r="BA55" s="57">
        <v>118.901</v>
      </c>
      <c r="BB55" s="84">
        <v>112.505</v>
      </c>
      <c r="BC55" s="55">
        <f>BA55/BB55</f>
        <v>1.0568508066308164</v>
      </c>
      <c r="BD55" s="55">
        <f>T55/(D55*12)</f>
        <v>13.290249999999999</v>
      </c>
      <c r="BE55" s="55">
        <f>BD55*BC55</f>
        <v>14.045811432825207</v>
      </c>
      <c r="BF55" s="55">
        <f t="shared" ref="BF55:BL57" si="50">$BE55</f>
        <v>14.045811432825207</v>
      </c>
      <c r="BG55" s="55">
        <f t="shared" si="50"/>
        <v>14.045811432825207</v>
      </c>
      <c r="BH55" s="55">
        <f t="shared" si="50"/>
        <v>14.045811432825207</v>
      </c>
      <c r="BI55" s="55">
        <f t="shared" si="50"/>
        <v>14.045811432825207</v>
      </c>
      <c r="BJ55" s="55">
        <f t="shared" si="50"/>
        <v>14.045811432825207</v>
      </c>
      <c r="BK55" s="55">
        <f t="shared" si="50"/>
        <v>14.045811432825207</v>
      </c>
      <c r="BL55" s="55">
        <f t="shared" si="50"/>
        <v>14.045811432825207</v>
      </c>
      <c r="BM55" s="55">
        <f>SUM((AV55:AZ55),(BF55:BL55))</f>
        <v>166.81162486868979</v>
      </c>
      <c r="BN55" s="448">
        <f>(AS55-BM55)</f>
        <v>960.45624489577483</v>
      </c>
      <c r="BO55" s="55">
        <f t="shared" ref="BO55:BS57" si="51">$BE55</f>
        <v>14.045811432825207</v>
      </c>
      <c r="BP55" s="55">
        <f t="shared" si="51"/>
        <v>14.045811432825207</v>
      </c>
      <c r="BQ55" s="55">
        <f t="shared" si="51"/>
        <v>14.045811432825207</v>
      </c>
      <c r="BR55" s="55">
        <f t="shared" si="51"/>
        <v>14.045811432825207</v>
      </c>
      <c r="BS55" s="55">
        <f t="shared" si="51"/>
        <v>14.045811432825207</v>
      </c>
      <c r="BT55" s="55">
        <f>SUM(BO55:BS55)</f>
        <v>70.229057164126033</v>
      </c>
      <c r="BU55" s="753">
        <f>BN55-BT55</f>
        <v>890.22718773164877</v>
      </c>
      <c r="BV55" s="448">
        <v>1031.8097700632525</v>
      </c>
      <c r="BW55" s="57">
        <v>132.28200000000001</v>
      </c>
      <c r="BX55" s="84">
        <v>112.505</v>
      </c>
      <c r="BY55" s="55">
        <f>BW55/BX55</f>
        <v>1.1757877427669883</v>
      </c>
      <c r="BZ55" s="55">
        <f>BV55/L55</f>
        <v>15.400145821839589</v>
      </c>
      <c r="CA55" s="55">
        <f>BZ55*BY55</f>
        <v>18.107302694143236</v>
      </c>
      <c r="CB55" s="55">
        <v>14.674904396840379</v>
      </c>
      <c r="CC55" s="55">
        <v>14.674904396840379</v>
      </c>
      <c r="CD55" s="55">
        <v>14.674904396840379</v>
      </c>
      <c r="CE55" s="55">
        <v>14.674904396840379</v>
      </c>
      <c r="CF55" s="55">
        <v>14.674904396840379</v>
      </c>
      <c r="CG55" s="55">
        <v>14.674904396840379</v>
      </c>
      <c r="CH55" s="55">
        <v>14.674904396840379</v>
      </c>
      <c r="CI55" s="55">
        <f>SUM(CB55:CH55)</f>
        <v>102.72433077788264</v>
      </c>
      <c r="CJ55" s="448">
        <f>BV55-CI55</f>
        <v>929.08543928536983</v>
      </c>
      <c r="CK55" s="55">
        <v>14.674904396840379</v>
      </c>
      <c r="CL55" s="55">
        <v>14.674904396840379</v>
      </c>
      <c r="CM55" s="55">
        <v>14.674904396840379</v>
      </c>
      <c r="CN55" s="55">
        <v>14.674904396840379</v>
      </c>
      <c r="CO55" s="55">
        <v>14.674904396840379</v>
      </c>
      <c r="CP55" s="505">
        <f>SUM(CK55:CO55)</f>
        <v>73.374521984201891</v>
      </c>
      <c r="CQ55" s="679">
        <f>CJ55-CP55</f>
        <v>855.71091730116791</v>
      </c>
      <c r="CR55" s="956">
        <v>132.28200000000001</v>
      </c>
      <c r="CS55" s="84">
        <v>112.505</v>
      </c>
      <c r="CT55" s="957">
        <f>CR55/CS55</f>
        <v>1.1757877427669883</v>
      </c>
      <c r="CU55" s="511">
        <f>CQ55/N55</f>
        <v>16.145489005682414</v>
      </c>
      <c r="CV55" s="511">
        <f>CU55*CT55</f>
        <v>18.983668073860553</v>
      </c>
      <c r="CW55" s="511">
        <v>18.983668073860553</v>
      </c>
      <c r="CX55" s="511">
        <v>18.983668073860553</v>
      </c>
      <c r="CY55" s="511">
        <v>18.983668073860553</v>
      </c>
      <c r="CZ55" s="511">
        <v>18.983668073860553</v>
      </c>
      <c r="DA55" s="511">
        <v>18.983668073860553</v>
      </c>
      <c r="DB55" s="511">
        <v>18.983668073860553</v>
      </c>
      <c r="DC55" s="511">
        <v>18.983668073860553</v>
      </c>
      <c r="DD55" s="511">
        <v>18.983668073860553</v>
      </c>
      <c r="DE55" s="511">
        <v>18.983668073860553</v>
      </c>
      <c r="DF55" s="511">
        <v>18.983668073860553</v>
      </c>
      <c r="DG55" s="511">
        <v>18.983668073860553</v>
      </c>
      <c r="DH55" s="511">
        <v>18.983668073860553</v>
      </c>
      <c r="DI55" s="511">
        <v>18.983668073860553</v>
      </c>
      <c r="DJ55" s="511">
        <v>18.983668073860553</v>
      </c>
      <c r="DK55" s="511">
        <v>18.983668073860553</v>
      </c>
      <c r="DL55" s="511">
        <v>18.983668073860553</v>
      </c>
      <c r="DM55" s="511">
        <v>18.983668073860553</v>
      </c>
      <c r="DN55" s="511">
        <v>18.983668073860553</v>
      </c>
      <c r="DO55" s="511">
        <f t="shared" si="4"/>
        <v>341.70602532948988</v>
      </c>
      <c r="DP55" s="960">
        <f>CQ55-DO55</f>
        <v>514.00489197167803</v>
      </c>
    </row>
    <row r="56" spans="1:120" s="16" customFormat="1" x14ac:dyDescent="0.2">
      <c r="A56" s="119" t="s">
        <v>379</v>
      </c>
      <c r="B56" s="100" t="s">
        <v>256</v>
      </c>
      <c r="C56" s="45" t="s">
        <v>352</v>
      </c>
      <c r="D56" s="58">
        <v>10</v>
      </c>
      <c r="E56" s="30">
        <v>0.1</v>
      </c>
      <c r="F56" s="46">
        <v>43281</v>
      </c>
      <c r="G56" s="125">
        <v>120</v>
      </c>
      <c r="H56" s="145">
        <f>100/G56</f>
        <v>0.83333333333333337</v>
      </c>
      <c r="I56" s="165">
        <f>H56*J56</f>
        <v>44.166666666666671</v>
      </c>
      <c r="J56" s="48">
        <f>(YEAR(F56)-YEAR(S56))*12+MONTH(F56)-MONTH(S56)</f>
        <v>53</v>
      </c>
      <c r="K56" s="165">
        <f>L56*H56</f>
        <v>55.833333333333336</v>
      </c>
      <c r="L56" s="48">
        <f>G56-J56</f>
        <v>67</v>
      </c>
      <c r="M56" s="165">
        <f>N56*H56</f>
        <v>44.166666666666671</v>
      </c>
      <c r="N56" s="48">
        <f>G56-L56</f>
        <v>53</v>
      </c>
      <c r="O56" s="165">
        <f t="shared" si="49"/>
        <v>11.666666666666664</v>
      </c>
      <c r="P56" s="48">
        <f t="shared" si="49"/>
        <v>14</v>
      </c>
      <c r="Q56" s="462">
        <f>DATE(YEAR(S56),MONTH(S56)+G56,DAY(S56))</f>
        <v>45308</v>
      </c>
      <c r="R56" s="125" t="s">
        <v>360</v>
      </c>
      <c r="S56" s="21">
        <v>41656</v>
      </c>
      <c r="T56" s="118">
        <v>732.46</v>
      </c>
      <c r="U56" s="72"/>
      <c r="V56" s="154">
        <v>73.211500000000001</v>
      </c>
      <c r="W56" s="154">
        <v>659.24850000000004</v>
      </c>
      <c r="X56" s="55">
        <v>6.1</v>
      </c>
      <c r="Y56" s="106">
        <f>X56*5</f>
        <v>30.5</v>
      </c>
      <c r="Z56" s="258">
        <f>W56-Y56</f>
        <v>628.74850000000004</v>
      </c>
      <c r="AA56" s="57">
        <v>115.958</v>
      </c>
      <c r="AB56" s="84">
        <v>112.505</v>
      </c>
      <c r="AC56" s="57">
        <f>AA56/AB56</f>
        <v>1.0306919692458114</v>
      </c>
      <c r="AD56" s="55">
        <f>Z56*M56/100/K56*100/7</f>
        <v>71.052602345415792</v>
      </c>
      <c r="AE56" s="55">
        <f>AD56*AC56</f>
        <v>73.233346631436163</v>
      </c>
      <c r="AF56" s="55"/>
      <c r="AG56" s="55"/>
      <c r="AH56" s="55"/>
      <c r="AI56" s="55"/>
      <c r="AJ56" s="55"/>
      <c r="AK56" s="55">
        <f>AE56</f>
        <v>73.233346631436163</v>
      </c>
      <c r="AL56" s="55">
        <v>6.291709025488835</v>
      </c>
      <c r="AM56" s="55">
        <v>6.291709025488835</v>
      </c>
      <c r="AN56" s="55">
        <v>6.291709025488835</v>
      </c>
      <c r="AO56" s="55">
        <v>6.291709025488835</v>
      </c>
      <c r="AP56" s="55">
        <v>6.291709025488835</v>
      </c>
      <c r="AQ56" s="55">
        <v>6.291709025488835</v>
      </c>
      <c r="AR56" s="55">
        <f>SUM(AF56:AQ56)</f>
        <v>110.9836007843692</v>
      </c>
      <c r="AS56" s="72">
        <f>Z56-AR56</f>
        <v>517.76489921563086</v>
      </c>
      <c r="AT56" s="55"/>
      <c r="AU56" s="55"/>
      <c r="AV56" s="55">
        <f t="shared" si="2"/>
        <v>6.291709025488835</v>
      </c>
      <c r="AW56" s="55">
        <f t="shared" si="2"/>
        <v>6.291709025488835</v>
      </c>
      <c r="AX56" s="55">
        <f t="shared" si="2"/>
        <v>6.291709025488835</v>
      </c>
      <c r="AY56" s="55">
        <f t="shared" si="2"/>
        <v>6.291709025488835</v>
      </c>
      <c r="AZ56" s="55">
        <f t="shared" si="2"/>
        <v>6.291709025488835</v>
      </c>
      <c r="BA56" s="57">
        <v>118.901</v>
      </c>
      <c r="BB56" s="84">
        <v>112.505</v>
      </c>
      <c r="BC56" s="55">
        <f>BA56/BB56</f>
        <v>1.0568508066308164</v>
      </c>
      <c r="BD56" s="55">
        <f>T56/(D56*12)</f>
        <v>6.1038333333333332</v>
      </c>
      <c r="BE56" s="55">
        <f>BD56*BC56</f>
        <v>6.4508411818733986</v>
      </c>
      <c r="BF56" s="55">
        <f t="shared" si="50"/>
        <v>6.4508411818733986</v>
      </c>
      <c r="BG56" s="55">
        <f t="shared" si="50"/>
        <v>6.4508411818733986</v>
      </c>
      <c r="BH56" s="55">
        <f t="shared" si="50"/>
        <v>6.4508411818733986</v>
      </c>
      <c r="BI56" s="55">
        <f t="shared" si="50"/>
        <v>6.4508411818733986</v>
      </c>
      <c r="BJ56" s="55">
        <f t="shared" si="50"/>
        <v>6.4508411818733986</v>
      </c>
      <c r="BK56" s="55">
        <f t="shared" si="50"/>
        <v>6.4508411818733986</v>
      </c>
      <c r="BL56" s="55">
        <f t="shared" si="50"/>
        <v>6.4508411818733986</v>
      </c>
      <c r="BM56" s="55">
        <f>SUM((AV56:AZ56),(BF56:BL56))</f>
        <v>76.614433400557971</v>
      </c>
      <c r="BN56" s="448">
        <f>(AS56-BM56)</f>
        <v>441.15046581507289</v>
      </c>
      <c r="BO56" s="55">
        <f t="shared" si="51"/>
        <v>6.4508411818733986</v>
      </c>
      <c r="BP56" s="55">
        <f t="shared" si="51"/>
        <v>6.4508411818733986</v>
      </c>
      <c r="BQ56" s="55">
        <f t="shared" si="51"/>
        <v>6.4508411818733986</v>
      </c>
      <c r="BR56" s="55">
        <f t="shared" si="51"/>
        <v>6.4508411818733986</v>
      </c>
      <c r="BS56" s="55">
        <f t="shared" si="51"/>
        <v>6.4508411818733986</v>
      </c>
      <c r="BT56" s="55">
        <f>SUM(BO56:BS56)</f>
        <v>32.254205909366995</v>
      </c>
      <c r="BU56" s="753">
        <f>BN56-BT56</f>
        <v>408.8962599057059</v>
      </c>
      <c r="BV56" s="448">
        <v>473.92649223808695</v>
      </c>
      <c r="BW56" s="57">
        <v>132.28200000000001</v>
      </c>
      <c r="BX56" s="84">
        <v>112.505</v>
      </c>
      <c r="BY56" s="55">
        <f>BW56/BX56</f>
        <v>1.1757877427669883</v>
      </c>
      <c r="BZ56" s="55">
        <f>BV56/L56</f>
        <v>7.0735297348968205</v>
      </c>
      <c r="CA56" s="55">
        <f>BZ56*BY56</f>
        <v>8.3169695603895057</v>
      </c>
      <c r="CB56" s="55">
        <v>6.7404149161114182</v>
      </c>
      <c r="CC56" s="55">
        <v>6.7404149161114182</v>
      </c>
      <c r="CD56" s="55">
        <v>6.7404149161114182</v>
      </c>
      <c r="CE56" s="55">
        <v>6.7404149161114182</v>
      </c>
      <c r="CF56" s="55">
        <v>6.7404149161114182</v>
      </c>
      <c r="CG56" s="55">
        <v>6.7404149161114182</v>
      </c>
      <c r="CH56" s="55">
        <v>6.7404149161114182</v>
      </c>
      <c r="CI56" s="55">
        <f>SUM(CB56:CH56)</f>
        <v>47.182904412779926</v>
      </c>
      <c r="CJ56" s="448">
        <f>BV56-CI56</f>
        <v>426.74358782530703</v>
      </c>
      <c r="CK56" s="55">
        <v>6.7404149161114182</v>
      </c>
      <c r="CL56" s="55">
        <v>6.7404149161114182</v>
      </c>
      <c r="CM56" s="55">
        <v>6.7404149161114182</v>
      </c>
      <c r="CN56" s="55">
        <v>6.7404149161114182</v>
      </c>
      <c r="CO56" s="55">
        <v>6.7404149161114182</v>
      </c>
      <c r="CP56" s="505">
        <f>SUM(CK56:CO56)</f>
        <v>33.702074580557088</v>
      </c>
      <c r="CQ56" s="679">
        <f>CJ56-CP56</f>
        <v>393.04151324474992</v>
      </c>
      <c r="CR56" s="956">
        <v>132.28200000000001</v>
      </c>
      <c r="CS56" s="84">
        <v>112.505</v>
      </c>
      <c r="CT56" s="957">
        <f>CR56/CS56</f>
        <v>1.1757877427669883</v>
      </c>
      <c r="CU56" s="511">
        <f>CQ56/N56</f>
        <v>7.4158776083915079</v>
      </c>
      <c r="CV56" s="511">
        <f>CU56*CT56</f>
        <v>8.7194979938069022</v>
      </c>
      <c r="CW56" s="511">
        <v>8.7194979938069022</v>
      </c>
      <c r="CX56" s="511">
        <v>8.7194979938069022</v>
      </c>
      <c r="CY56" s="511">
        <v>8.7194979938069022</v>
      </c>
      <c r="CZ56" s="511">
        <v>8.7194979938069022</v>
      </c>
      <c r="DA56" s="511">
        <v>8.7194979938069022</v>
      </c>
      <c r="DB56" s="511">
        <v>8.7194979938069022</v>
      </c>
      <c r="DC56" s="511">
        <v>8.7194979938069022</v>
      </c>
      <c r="DD56" s="511">
        <v>8.7194979938069022</v>
      </c>
      <c r="DE56" s="511">
        <v>8.7194979938069022</v>
      </c>
      <c r="DF56" s="511">
        <v>8.7194979938069022</v>
      </c>
      <c r="DG56" s="511">
        <v>8.7194979938069022</v>
      </c>
      <c r="DH56" s="511">
        <v>8.7194979938069022</v>
      </c>
      <c r="DI56" s="511">
        <v>8.7194979938069022</v>
      </c>
      <c r="DJ56" s="511">
        <v>8.7194979938069022</v>
      </c>
      <c r="DK56" s="511">
        <v>8.7194979938069022</v>
      </c>
      <c r="DL56" s="511">
        <v>8.7194979938069022</v>
      </c>
      <c r="DM56" s="511">
        <v>8.7194979938069022</v>
      </c>
      <c r="DN56" s="511">
        <v>8.7194979938069022</v>
      </c>
      <c r="DO56" s="511">
        <f t="shared" si="4"/>
        <v>156.9509638885242</v>
      </c>
      <c r="DP56" s="960">
        <f>CQ56-DO56</f>
        <v>236.09054935622572</v>
      </c>
    </row>
    <row r="57" spans="1:120" s="16" customFormat="1" x14ac:dyDescent="0.2">
      <c r="A57" s="119" t="s">
        <v>365</v>
      </c>
      <c r="B57" s="100" t="s">
        <v>388</v>
      </c>
      <c r="C57" s="45" t="s">
        <v>352</v>
      </c>
      <c r="D57" s="58">
        <v>10</v>
      </c>
      <c r="E57" s="30">
        <v>0.1</v>
      </c>
      <c r="F57" s="46">
        <v>43281</v>
      </c>
      <c r="G57" s="125">
        <v>120</v>
      </c>
      <c r="H57" s="145">
        <f>100/G57</f>
        <v>0.83333333333333337</v>
      </c>
      <c r="I57" s="165">
        <f>H57*J57</f>
        <v>44.166666666666671</v>
      </c>
      <c r="J57" s="48">
        <f>(YEAR(F57)-YEAR(S57))*12+MONTH(F57)-MONTH(S57)</f>
        <v>53</v>
      </c>
      <c r="K57" s="165">
        <f>L57*H57</f>
        <v>55.833333333333336</v>
      </c>
      <c r="L57" s="48">
        <f>G57-J57</f>
        <v>67</v>
      </c>
      <c r="M57" s="165">
        <f>N57*H57</f>
        <v>44.166666666666671</v>
      </c>
      <c r="N57" s="48">
        <f>G57-L57</f>
        <v>53</v>
      </c>
      <c r="O57" s="165">
        <f t="shared" si="49"/>
        <v>11.666666666666664</v>
      </c>
      <c r="P57" s="48">
        <f t="shared" si="49"/>
        <v>14</v>
      </c>
      <c r="Q57" s="462">
        <f>DATE(YEAR(S57),MONTH(S57)+G57,DAY(S57))</f>
        <v>45292</v>
      </c>
      <c r="R57" s="125" t="s">
        <v>360</v>
      </c>
      <c r="S57" s="132">
        <v>41640</v>
      </c>
      <c r="T57" s="118">
        <v>1425</v>
      </c>
      <c r="U57" s="72"/>
      <c r="V57" s="154">
        <v>90.524999999999977</v>
      </c>
      <c r="W57" s="154">
        <v>1334.4749999999999</v>
      </c>
      <c r="X57" s="55">
        <v>6.1</v>
      </c>
      <c r="Y57" s="106">
        <f>X57*5</f>
        <v>30.5</v>
      </c>
      <c r="Z57" s="258">
        <f>W57-Y57</f>
        <v>1303.9749999999999</v>
      </c>
      <c r="AA57" s="57">
        <v>115.958</v>
      </c>
      <c r="AB57" s="84">
        <v>112.505</v>
      </c>
      <c r="AC57" s="57">
        <f>AA57/AB57</f>
        <v>1.0306919692458114</v>
      </c>
      <c r="AD57" s="55">
        <f>Z57*M57/100/K57*100/7</f>
        <v>147.35751599147125</v>
      </c>
      <c r="AE57" s="55">
        <f>AD57*AC57</f>
        <v>151.88020834042064</v>
      </c>
      <c r="AF57" s="55"/>
      <c r="AG57" s="55"/>
      <c r="AH57" s="55"/>
      <c r="AI57" s="55"/>
      <c r="AJ57" s="55"/>
      <c r="AK57" s="55">
        <f>AE57</f>
        <v>151.88020834042064</v>
      </c>
      <c r="AL57" s="55">
        <v>13.048510297061235</v>
      </c>
      <c r="AM57" s="55">
        <v>13.048510297061235</v>
      </c>
      <c r="AN57" s="55">
        <v>13.048510297061235</v>
      </c>
      <c r="AO57" s="55">
        <v>13.048510297061235</v>
      </c>
      <c r="AP57" s="55">
        <v>13.048510297061235</v>
      </c>
      <c r="AQ57" s="55">
        <v>13.048510297061235</v>
      </c>
      <c r="AR57" s="55">
        <f>SUM(AF57:AQ57)</f>
        <v>230.171270122788</v>
      </c>
      <c r="AS57" s="72">
        <f>Z57-AR57</f>
        <v>1073.8037298772119</v>
      </c>
      <c r="AT57" s="55"/>
      <c r="AU57" s="55"/>
      <c r="AV57" s="55">
        <f t="shared" si="2"/>
        <v>13.048510297061235</v>
      </c>
      <c r="AW57" s="55">
        <f t="shared" si="2"/>
        <v>13.048510297061235</v>
      </c>
      <c r="AX57" s="55">
        <f t="shared" si="2"/>
        <v>13.048510297061235</v>
      </c>
      <c r="AY57" s="55">
        <f t="shared" si="2"/>
        <v>13.048510297061235</v>
      </c>
      <c r="AZ57" s="55">
        <f t="shared" si="2"/>
        <v>13.048510297061235</v>
      </c>
      <c r="BA57" s="57">
        <v>118.901</v>
      </c>
      <c r="BB57" s="84">
        <v>112.505</v>
      </c>
      <c r="BC57" s="55">
        <f>BA57/BB57</f>
        <v>1.0568508066308164</v>
      </c>
      <c r="BD57" s="55">
        <f>T57/(D57*12)</f>
        <v>11.875</v>
      </c>
      <c r="BE57" s="55">
        <f>BD57*BC57</f>
        <v>12.550103328740946</v>
      </c>
      <c r="BF57" s="55">
        <f t="shared" si="50"/>
        <v>12.550103328740946</v>
      </c>
      <c r="BG57" s="55">
        <f t="shared" si="50"/>
        <v>12.550103328740946</v>
      </c>
      <c r="BH57" s="55">
        <f t="shared" si="50"/>
        <v>12.550103328740946</v>
      </c>
      <c r="BI57" s="55">
        <f t="shared" si="50"/>
        <v>12.550103328740946</v>
      </c>
      <c r="BJ57" s="55">
        <f t="shared" si="50"/>
        <v>12.550103328740946</v>
      </c>
      <c r="BK57" s="55">
        <f t="shared" si="50"/>
        <v>12.550103328740946</v>
      </c>
      <c r="BL57" s="55">
        <f t="shared" si="50"/>
        <v>12.550103328740946</v>
      </c>
      <c r="BM57" s="55">
        <f>SUM((AV57:AZ57),(BF57:BL57))</f>
        <v>153.09327478649277</v>
      </c>
      <c r="BN57" s="448">
        <f>(AS57-BM57)</f>
        <v>920.71045509071917</v>
      </c>
      <c r="BO57" s="55">
        <f t="shared" si="51"/>
        <v>12.550103328740946</v>
      </c>
      <c r="BP57" s="55">
        <f t="shared" si="51"/>
        <v>12.550103328740946</v>
      </c>
      <c r="BQ57" s="55">
        <f t="shared" si="51"/>
        <v>12.550103328740946</v>
      </c>
      <c r="BR57" s="55">
        <f t="shared" si="51"/>
        <v>12.550103328740946</v>
      </c>
      <c r="BS57" s="55">
        <f t="shared" si="51"/>
        <v>12.550103328740946</v>
      </c>
      <c r="BT57" s="55">
        <f>SUM(BO57:BS57)</f>
        <v>62.750516643704728</v>
      </c>
      <c r="BU57" s="753">
        <f>BN57-BT57</f>
        <v>857.95993844701445</v>
      </c>
      <c r="BV57" s="448">
        <v>992.82753209633006</v>
      </c>
      <c r="BW57" s="57">
        <v>132.28200000000001</v>
      </c>
      <c r="BX57" s="84">
        <v>112.505</v>
      </c>
      <c r="BY57" s="55">
        <f>BW57/BX57</f>
        <v>1.1757877427669883</v>
      </c>
      <c r="BZ57" s="55">
        <f>BV57/L57</f>
        <v>14.81832137457209</v>
      </c>
      <c r="CA57" s="55">
        <f>BZ57*BY57</f>
        <v>17.423200640603934</v>
      </c>
      <c r="CB57" s="55">
        <v>14.120479897347222</v>
      </c>
      <c r="CC57" s="55">
        <v>14.120479897347222</v>
      </c>
      <c r="CD57" s="55">
        <v>14.120479897347222</v>
      </c>
      <c r="CE57" s="55">
        <v>14.120479897347222</v>
      </c>
      <c r="CF57" s="55">
        <v>14.120479897347222</v>
      </c>
      <c r="CG57" s="55">
        <v>14.120479897347222</v>
      </c>
      <c r="CH57" s="55">
        <v>14.120479897347222</v>
      </c>
      <c r="CI57" s="55">
        <f>SUM(CB57:CH57)</f>
        <v>98.843359281430551</v>
      </c>
      <c r="CJ57" s="448">
        <f>BV57-CI57</f>
        <v>893.98417281489947</v>
      </c>
      <c r="CK57" s="55">
        <v>14.120479897347222</v>
      </c>
      <c r="CL57" s="55">
        <v>14.120479897347222</v>
      </c>
      <c r="CM57" s="55">
        <v>14.120479897347222</v>
      </c>
      <c r="CN57" s="55">
        <v>14.120479897347222</v>
      </c>
      <c r="CO57" s="55">
        <v>14.120479897347222</v>
      </c>
      <c r="CP57" s="505">
        <f>SUM(CK57:CO57)</f>
        <v>70.602399486736104</v>
      </c>
      <c r="CQ57" s="679">
        <f>CJ57-CP57</f>
        <v>823.38177332816338</v>
      </c>
      <c r="CR57" s="956">
        <v>132.28200000000001</v>
      </c>
      <c r="CS57" s="84">
        <v>112.505</v>
      </c>
      <c r="CT57" s="957">
        <f>CR57/CS57</f>
        <v>1.1757877427669883</v>
      </c>
      <c r="CU57" s="511">
        <f>CQ57/N57</f>
        <v>15.535505157135159</v>
      </c>
      <c r="CV57" s="511">
        <f>CU57*CT57</f>
        <v>18.266456541452854</v>
      </c>
      <c r="CW57" s="511">
        <v>18.266456541452854</v>
      </c>
      <c r="CX57" s="511">
        <v>18.266456541452854</v>
      </c>
      <c r="CY57" s="511">
        <v>18.266456541452854</v>
      </c>
      <c r="CZ57" s="511">
        <v>18.266456541452854</v>
      </c>
      <c r="DA57" s="511">
        <v>18.266456541452854</v>
      </c>
      <c r="DB57" s="511">
        <v>18.266456541452854</v>
      </c>
      <c r="DC57" s="511">
        <v>18.266456541452854</v>
      </c>
      <c r="DD57" s="511">
        <v>18.266456541452854</v>
      </c>
      <c r="DE57" s="511">
        <v>18.266456541452854</v>
      </c>
      <c r="DF57" s="511">
        <v>18.266456541452854</v>
      </c>
      <c r="DG57" s="511">
        <v>18.266456541452854</v>
      </c>
      <c r="DH57" s="511">
        <v>18.266456541452854</v>
      </c>
      <c r="DI57" s="511">
        <v>18.266456541452854</v>
      </c>
      <c r="DJ57" s="511">
        <v>18.266456541452854</v>
      </c>
      <c r="DK57" s="511">
        <v>18.266456541452854</v>
      </c>
      <c r="DL57" s="511">
        <v>18.266456541452854</v>
      </c>
      <c r="DM57" s="511">
        <v>18.266456541452854</v>
      </c>
      <c r="DN57" s="511">
        <v>18.266456541452854</v>
      </c>
      <c r="DO57" s="511">
        <f t="shared" si="4"/>
        <v>328.79621774615123</v>
      </c>
      <c r="DP57" s="960">
        <f>CQ57-DO57</f>
        <v>494.58555558201215</v>
      </c>
    </row>
    <row r="58" spans="1:120" s="16" customFormat="1" x14ac:dyDescent="0.2">
      <c r="A58" s="26" t="s">
        <v>126</v>
      </c>
      <c r="B58" s="120"/>
      <c r="C58" s="124"/>
      <c r="D58" s="111"/>
      <c r="E58" s="111"/>
      <c r="F58" s="46"/>
      <c r="G58" s="125"/>
      <c r="H58" s="145"/>
      <c r="I58" s="165"/>
      <c r="J58" s="48"/>
      <c r="K58" s="165"/>
      <c r="L58" s="48"/>
      <c r="M58" s="165"/>
      <c r="N58" s="48"/>
      <c r="O58" s="165"/>
      <c r="P58" s="48"/>
      <c r="Q58" s="48"/>
      <c r="R58" s="125"/>
      <c r="S58" s="119"/>
      <c r="T58" s="7"/>
      <c r="U58" s="72"/>
      <c r="V58" s="154"/>
      <c r="W58" s="154"/>
      <c r="X58" s="55"/>
      <c r="Y58" s="106"/>
      <c r="Z58" s="258"/>
      <c r="AA58" s="57"/>
      <c r="AB58" s="82"/>
      <c r="AC58" s="57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72"/>
      <c r="AT58" s="55"/>
      <c r="AU58" s="55"/>
      <c r="AV58" s="55">
        <f t="shared" si="2"/>
        <v>0</v>
      </c>
      <c r="AW58" s="55">
        <f t="shared" si="2"/>
        <v>0</v>
      </c>
      <c r="AX58" s="55">
        <f t="shared" si="2"/>
        <v>0</v>
      </c>
      <c r="AY58" s="55">
        <f t="shared" si="2"/>
        <v>0</v>
      </c>
      <c r="AZ58" s="55">
        <f t="shared" si="2"/>
        <v>0</v>
      </c>
      <c r="BA58" s="57"/>
      <c r="BB58" s="82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448"/>
      <c r="BO58" s="55"/>
      <c r="BP58" s="55"/>
      <c r="BQ58" s="55"/>
      <c r="BR58" s="55"/>
      <c r="BS58" s="55"/>
      <c r="BT58" s="55"/>
      <c r="BU58" s="55"/>
      <c r="BV58" s="448"/>
      <c r="BW58" s="57"/>
      <c r="BX58" s="82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448"/>
      <c r="CK58" s="55"/>
      <c r="CL58" s="55"/>
      <c r="CM58" s="55"/>
      <c r="CN58" s="55"/>
      <c r="CO58" s="55"/>
      <c r="CP58" s="505"/>
      <c r="CQ58" s="679"/>
      <c r="CR58" s="511"/>
      <c r="CS58" s="82"/>
      <c r="CT58" s="957"/>
      <c r="CU58" s="511"/>
      <c r="CV58" s="511"/>
      <c r="CW58" s="511"/>
      <c r="CX58" s="511"/>
      <c r="CY58" s="511"/>
      <c r="CZ58" s="511"/>
      <c r="DA58" s="511"/>
      <c r="DB58" s="511"/>
      <c r="DC58" s="511"/>
      <c r="DD58" s="511"/>
      <c r="DE58" s="511"/>
      <c r="DF58" s="511"/>
      <c r="DG58" s="511"/>
      <c r="DH58" s="511"/>
      <c r="DI58" s="511"/>
      <c r="DJ58" s="511"/>
      <c r="DK58" s="511"/>
      <c r="DL58" s="511"/>
      <c r="DM58" s="511"/>
      <c r="DN58" s="511"/>
      <c r="DO58" s="511">
        <f t="shared" si="4"/>
        <v>0</v>
      </c>
      <c r="DP58" s="1029"/>
    </row>
    <row r="59" spans="1:120" s="16" customFormat="1" x14ac:dyDescent="0.2">
      <c r="A59" s="120" t="s">
        <v>370</v>
      </c>
      <c r="B59" s="9"/>
      <c r="C59" s="45"/>
      <c r="D59" s="58"/>
      <c r="E59" s="130"/>
      <c r="F59" s="46"/>
      <c r="G59" s="125"/>
      <c r="H59" s="145"/>
      <c r="I59" s="165"/>
      <c r="J59" s="48"/>
      <c r="K59" s="165"/>
      <c r="L59" s="48"/>
      <c r="M59" s="165"/>
      <c r="N59" s="48"/>
      <c r="O59" s="165"/>
      <c r="P59" s="48"/>
      <c r="Q59" s="48"/>
      <c r="R59" s="125"/>
      <c r="S59" s="128"/>
      <c r="T59" s="129"/>
      <c r="U59" s="72"/>
      <c r="V59" s="154"/>
      <c r="W59" s="154"/>
      <c r="X59" s="55"/>
      <c r="Y59" s="106"/>
      <c r="Z59" s="258"/>
      <c r="AA59" s="57"/>
      <c r="AB59" s="80"/>
      <c r="AC59" s="57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72"/>
      <c r="AT59" s="55"/>
      <c r="AU59" s="55"/>
      <c r="AV59" s="55">
        <f t="shared" si="2"/>
        <v>0</v>
      </c>
      <c r="AW59" s="55">
        <f t="shared" si="2"/>
        <v>0</v>
      </c>
      <c r="AX59" s="55">
        <f t="shared" si="2"/>
        <v>0</v>
      </c>
      <c r="AY59" s="55">
        <f t="shared" si="2"/>
        <v>0</v>
      </c>
      <c r="AZ59" s="55">
        <f t="shared" si="2"/>
        <v>0</v>
      </c>
      <c r="BA59" s="57"/>
      <c r="BB59" s="80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448"/>
      <c r="BO59" s="55"/>
      <c r="BP59" s="55"/>
      <c r="BQ59" s="55"/>
      <c r="BR59" s="55"/>
      <c r="BS59" s="55"/>
      <c r="BT59" s="55"/>
      <c r="BU59" s="55"/>
      <c r="BV59" s="448"/>
      <c r="BW59" s="57"/>
      <c r="BX59" s="80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448"/>
      <c r="CK59" s="55"/>
      <c r="CL59" s="55"/>
      <c r="CM59" s="55"/>
      <c r="CN59" s="55"/>
      <c r="CO59" s="55"/>
      <c r="CP59" s="505"/>
      <c r="CQ59" s="679"/>
      <c r="CR59" s="623"/>
      <c r="CS59" s="80"/>
      <c r="CT59" s="957"/>
      <c r="CU59" s="511"/>
      <c r="CV59" s="511"/>
      <c r="CW59" s="511"/>
      <c r="CX59" s="511"/>
      <c r="CY59" s="511"/>
      <c r="CZ59" s="511"/>
      <c r="DA59" s="511"/>
      <c r="DB59" s="511"/>
      <c r="DC59" s="511"/>
      <c r="DD59" s="511"/>
      <c r="DE59" s="511"/>
      <c r="DF59" s="511"/>
      <c r="DG59" s="511"/>
      <c r="DH59" s="511"/>
      <c r="DI59" s="511"/>
      <c r="DJ59" s="511"/>
      <c r="DK59" s="511"/>
      <c r="DL59" s="511"/>
      <c r="DM59" s="511"/>
      <c r="DN59" s="511"/>
      <c r="DO59" s="511">
        <f t="shared" si="4"/>
        <v>0</v>
      </c>
      <c r="DP59" s="1029"/>
    </row>
    <row r="60" spans="1:120" s="35" customFormat="1" x14ac:dyDescent="0.2">
      <c r="A60" s="119" t="s">
        <v>262</v>
      </c>
      <c r="B60" s="100" t="s">
        <v>608</v>
      </c>
      <c r="C60" s="100" t="s">
        <v>390</v>
      </c>
      <c r="D60" s="8">
        <v>10</v>
      </c>
      <c r="E60" s="127">
        <v>0.1</v>
      </c>
      <c r="F60" s="119">
        <v>43281</v>
      </c>
      <c r="G60" s="125">
        <v>120</v>
      </c>
      <c r="H60" s="146">
        <f>100/G60</f>
        <v>0.83333333333333337</v>
      </c>
      <c r="I60" s="1167">
        <f>H60*J60</f>
        <v>43.333333333333336</v>
      </c>
      <c r="J60" s="125">
        <f>(YEAR(F60)-YEAR(S60))*12+MONTH(F60)-MONTH(S60)</f>
        <v>52</v>
      </c>
      <c r="K60" s="1167">
        <f>L60*H60</f>
        <v>56.666666666666671</v>
      </c>
      <c r="L60" s="125">
        <f>G60-J60</f>
        <v>68</v>
      </c>
      <c r="M60" s="1167">
        <f>N60*H60</f>
        <v>43.333333333333336</v>
      </c>
      <c r="N60" s="125">
        <f>G60-L60</f>
        <v>52</v>
      </c>
      <c r="O60" s="1167">
        <f t="shared" ref="O60:P62" si="52">K60-M60</f>
        <v>13.333333333333336</v>
      </c>
      <c r="P60" s="125">
        <f t="shared" si="52"/>
        <v>16</v>
      </c>
      <c r="Q60" s="367">
        <f>DATE(YEAR(S60),MONTH(S60)+G60,DAY(S60))</f>
        <v>45343</v>
      </c>
      <c r="R60" s="125" t="s">
        <v>360</v>
      </c>
      <c r="S60" s="128">
        <v>41691</v>
      </c>
      <c r="T60" s="251">
        <v>11200</v>
      </c>
      <c r="U60" s="1169"/>
      <c r="V60" s="776">
        <v>1026.6366666666668</v>
      </c>
      <c r="W60" s="776">
        <v>10173.363333333333</v>
      </c>
      <c r="X60" s="62">
        <v>93.33</v>
      </c>
      <c r="Y60" s="7">
        <f>X60*5</f>
        <v>466.65</v>
      </c>
      <c r="Z60" s="129">
        <f>W60-Y60</f>
        <v>9706.7133333333331</v>
      </c>
      <c r="AA60" s="64">
        <v>115.958</v>
      </c>
      <c r="AB60" s="1214">
        <v>112.79</v>
      </c>
      <c r="AC60" s="64">
        <f>AA60/AB60</f>
        <v>1.0280875964181222</v>
      </c>
      <c r="AD60" s="62">
        <f>Z60*M60/100/K60*100/7</f>
        <v>1060.3972549019607</v>
      </c>
      <c r="AE60" s="62">
        <f>AD60*AC60</f>
        <v>1090.1812650405316</v>
      </c>
      <c r="AF60" s="62"/>
      <c r="AG60" s="62"/>
      <c r="AH60" s="62"/>
      <c r="AI60" s="62"/>
      <c r="AJ60" s="62"/>
      <c r="AK60" s="62">
        <f>AE60</f>
        <v>1090.1812650405316</v>
      </c>
      <c r="AL60" s="62">
        <v>95.955303653715447</v>
      </c>
      <c r="AM60" s="62">
        <v>95.955303653715447</v>
      </c>
      <c r="AN60" s="62">
        <v>95.955303653715447</v>
      </c>
      <c r="AO60" s="62">
        <v>95.955303653715447</v>
      </c>
      <c r="AP60" s="62">
        <v>95.955303653715447</v>
      </c>
      <c r="AQ60" s="62">
        <v>95.955303653715447</v>
      </c>
      <c r="AR60" s="62">
        <f>SUM(AF60:AQ60)</f>
        <v>1665.9130869628241</v>
      </c>
      <c r="AS60" s="1169">
        <f>Z60-AR60</f>
        <v>8040.8002463705088</v>
      </c>
      <c r="AT60" s="62"/>
      <c r="AU60" s="62"/>
      <c r="AV60" s="62">
        <f t="shared" si="2"/>
        <v>95.955303653715447</v>
      </c>
      <c r="AW60" s="62">
        <f t="shared" si="2"/>
        <v>95.955303653715447</v>
      </c>
      <c r="AX60" s="62">
        <f t="shared" si="2"/>
        <v>95.955303653715447</v>
      </c>
      <c r="AY60" s="62">
        <f t="shared" si="2"/>
        <v>95.955303653715447</v>
      </c>
      <c r="AZ60" s="62">
        <f t="shared" si="2"/>
        <v>95.955303653715447</v>
      </c>
      <c r="BA60" s="64">
        <v>118.901</v>
      </c>
      <c r="BB60" s="1214">
        <v>112.79</v>
      </c>
      <c r="BC60" s="62">
        <f>BA60/BB60</f>
        <v>1.0541803351360934</v>
      </c>
      <c r="BD60" s="62">
        <f>T60/(D60*12)</f>
        <v>93.333333333333329</v>
      </c>
      <c r="BE60" s="62">
        <f>BD60*BC60</f>
        <v>98.390164612702051</v>
      </c>
      <c r="BF60" s="62">
        <f t="shared" ref="BF60:BL62" si="53">$BE60</f>
        <v>98.390164612702051</v>
      </c>
      <c r="BG60" s="62">
        <f t="shared" si="53"/>
        <v>98.390164612702051</v>
      </c>
      <c r="BH60" s="62">
        <f t="shared" si="53"/>
        <v>98.390164612702051</v>
      </c>
      <c r="BI60" s="62">
        <f t="shared" si="53"/>
        <v>98.390164612702051</v>
      </c>
      <c r="BJ60" s="62">
        <f t="shared" si="53"/>
        <v>98.390164612702051</v>
      </c>
      <c r="BK60" s="62">
        <f t="shared" si="53"/>
        <v>98.390164612702051</v>
      </c>
      <c r="BL60" s="62">
        <f t="shared" si="53"/>
        <v>98.390164612702051</v>
      </c>
      <c r="BM60" s="62">
        <f>SUM((AV60:AZ60),(BF60:BL60))</f>
        <v>1168.5076705574916</v>
      </c>
      <c r="BN60" s="927">
        <f>(AS60-BM60)</f>
        <v>6872.2925758130168</v>
      </c>
      <c r="BO60" s="62">
        <f t="shared" ref="BO60:BS62" si="54">$BE60</f>
        <v>98.390164612702051</v>
      </c>
      <c r="BP60" s="62">
        <f t="shared" si="54"/>
        <v>98.390164612702051</v>
      </c>
      <c r="BQ60" s="62">
        <f t="shared" si="54"/>
        <v>98.390164612702051</v>
      </c>
      <c r="BR60" s="62">
        <f t="shared" si="54"/>
        <v>98.390164612702051</v>
      </c>
      <c r="BS60" s="62">
        <f t="shared" si="54"/>
        <v>98.390164612702051</v>
      </c>
      <c r="BT60" s="62">
        <f>SUM(BO60:BS60)</f>
        <v>491.95082306351026</v>
      </c>
      <c r="BU60" s="1204">
        <f>BN60-BT60</f>
        <v>6380.3417527495067</v>
      </c>
      <c r="BV60" s="927">
        <v>7345.7811230402085</v>
      </c>
      <c r="BW60" s="64">
        <v>132.28200000000001</v>
      </c>
      <c r="BX60" s="1214">
        <v>112.79</v>
      </c>
      <c r="BY60" s="62">
        <f>BW60/BX60</f>
        <v>1.1728167390726127</v>
      </c>
      <c r="BZ60" s="62">
        <f>BV60/L60</f>
        <v>108.02619298588542</v>
      </c>
      <c r="CA60" s="62">
        <f>BZ60*BY60</f>
        <v>126.69492739213489</v>
      </c>
      <c r="CB60" s="62">
        <v>102.90866878726689</v>
      </c>
      <c r="CC60" s="62">
        <v>102.90866878726689</v>
      </c>
      <c r="CD60" s="62">
        <v>102.90866878726689</v>
      </c>
      <c r="CE60" s="62">
        <v>102.90866878726689</v>
      </c>
      <c r="CF60" s="62">
        <v>102.90866878726689</v>
      </c>
      <c r="CG60" s="62">
        <v>102.90866878726689</v>
      </c>
      <c r="CH60" s="62">
        <v>102.90866878726689</v>
      </c>
      <c r="CI60" s="62">
        <f>SUM(CB60:CH60)</f>
        <v>720.36068151086806</v>
      </c>
      <c r="CJ60" s="927">
        <f>BV60-CI60</f>
        <v>6625.4204415293407</v>
      </c>
      <c r="CK60" s="62">
        <v>102.90866878726689</v>
      </c>
      <c r="CL60" s="62">
        <v>102.90866878726689</v>
      </c>
      <c r="CM60" s="62">
        <v>102.90866878726689</v>
      </c>
      <c r="CN60" s="62">
        <v>102.90866878726689</v>
      </c>
      <c r="CO60" s="62">
        <v>102.90866878726689</v>
      </c>
      <c r="CP60" s="1170">
        <f>SUM(CK60:CO60)</f>
        <v>514.5433439363344</v>
      </c>
      <c r="CQ60" s="679">
        <f>CJ60-CP60</f>
        <v>6110.8770975930065</v>
      </c>
      <c r="CR60" s="1171">
        <v>132.28200000000001</v>
      </c>
      <c r="CS60" s="1214">
        <v>112.79</v>
      </c>
      <c r="CT60" s="1200">
        <f>CR60/CS60</f>
        <v>1.1728167390726127</v>
      </c>
      <c r="CU60" s="510">
        <f>CQ60/N60</f>
        <v>117.51686726140397</v>
      </c>
      <c r="CV60" s="510">
        <f>CU60*CT60</f>
        <v>137.8257490475489</v>
      </c>
      <c r="CW60" s="510">
        <v>137.8257490475489</v>
      </c>
      <c r="CX60" s="510">
        <v>137.8257490475489</v>
      </c>
      <c r="CY60" s="510">
        <v>137.8257490475489</v>
      </c>
      <c r="CZ60" s="510">
        <v>137.8257490475489</v>
      </c>
      <c r="DA60" s="510">
        <v>137.8257490475489</v>
      </c>
      <c r="DB60" s="510">
        <v>137.8257490475489</v>
      </c>
      <c r="DC60" s="510">
        <v>137.8257490475489</v>
      </c>
      <c r="DD60" s="510">
        <v>137.8257490475489</v>
      </c>
      <c r="DE60" s="510">
        <v>137.8257490475489</v>
      </c>
      <c r="DF60" s="510">
        <v>137.8257490475489</v>
      </c>
      <c r="DG60" s="510">
        <v>137.8257490475489</v>
      </c>
      <c r="DH60" s="510">
        <v>137.8257490475489</v>
      </c>
      <c r="DI60" s="510">
        <v>137.8257490475489</v>
      </c>
      <c r="DJ60" s="510">
        <v>137.8257490475489</v>
      </c>
      <c r="DK60" s="510">
        <v>137.8257490475489</v>
      </c>
      <c r="DL60" s="510">
        <v>137.8257490475489</v>
      </c>
      <c r="DM60" s="510">
        <v>137.8257490475489</v>
      </c>
      <c r="DN60" s="510">
        <v>137.8257490475489</v>
      </c>
      <c r="DO60" s="510">
        <f t="shared" si="4"/>
        <v>2480.8634828558802</v>
      </c>
      <c r="DP60" s="960">
        <f>CQ60-DO60</f>
        <v>3630.0136147371263</v>
      </c>
    </row>
    <row r="61" spans="1:120" s="16" customFormat="1" x14ac:dyDescent="0.2">
      <c r="A61" s="20" t="s">
        <v>263</v>
      </c>
      <c r="B61" s="9" t="s">
        <v>247</v>
      </c>
      <c r="C61" s="45" t="s">
        <v>352</v>
      </c>
      <c r="D61" s="58">
        <v>10</v>
      </c>
      <c r="E61" s="30">
        <v>0.1</v>
      </c>
      <c r="F61" s="46">
        <v>43281</v>
      </c>
      <c r="G61" s="125">
        <v>120</v>
      </c>
      <c r="H61" s="145">
        <f>100/G61</f>
        <v>0.83333333333333337</v>
      </c>
      <c r="I61" s="165">
        <f>H61*J61</f>
        <v>44.166666666666671</v>
      </c>
      <c r="J61" s="48">
        <f>(YEAR(F61)-YEAR(S61))*12+MONTH(F61)-MONTH(S61)</f>
        <v>53</v>
      </c>
      <c r="K61" s="165">
        <f>L61*H61</f>
        <v>55.833333333333336</v>
      </c>
      <c r="L61" s="48">
        <f>G61-J61</f>
        <v>67</v>
      </c>
      <c r="M61" s="165">
        <f>N61*H61</f>
        <v>44.166666666666671</v>
      </c>
      <c r="N61" s="48">
        <f>G61-L61</f>
        <v>53</v>
      </c>
      <c r="O61" s="165">
        <f t="shared" si="52"/>
        <v>11.666666666666664</v>
      </c>
      <c r="P61" s="48">
        <f t="shared" si="52"/>
        <v>14</v>
      </c>
      <c r="Q61" s="462">
        <f>DATE(YEAR(S61),MONTH(S61)+G61,DAY(S61))</f>
        <v>45318</v>
      </c>
      <c r="R61" s="125" t="s">
        <v>360</v>
      </c>
      <c r="S61" s="33">
        <v>41666</v>
      </c>
      <c r="T61" s="142">
        <v>6000</v>
      </c>
      <c r="U61" s="72"/>
      <c r="V61" s="154">
        <v>600</v>
      </c>
      <c r="W61" s="154">
        <v>5400</v>
      </c>
      <c r="X61" s="55">
        <v>50</v>
      </c>
      <c r="Y61" s="106">
        <f>X61*5</f>
        <v>250</v>
      </c>
      <c r="Z61" s="258">
        <f>W61-Y61</f>
        <v>5150</v>
      </c>
      <c r="AA61" s="57">
        <v>115.958</v>
      </c>
      <c r="AB61" s="139">
        <v>112.505</v>
      </c>
      <c r="AC61" s="57">
        <f>AA61/AB61</f>
        <v>1.0306919692458114</v>
      </c>
      <c r="AD61" s="55">
        <f>Z61*M61/100/K61*100/7</f>
        <v>581.98294243070382</v>
      </c>
      <c r="AE61" s="55">
        <f>AD61*AC61</f>
        <v>599.84514500137379</v>
      </c>
      <c r="AF61" s="55"/>
      <c r="AG61" s="55"/>
      <c r="AH61" s="55"/>
      <c r="AI61" s="55"/>
      <c r="AJ61" s="55"/>
      <c r="AK61" s="55">
        <f>AE61</f>
        <v>599.84514500137379</v>
      </c>
      <c r="AL61" s="55">
        <v>51.534598462290575</v>
      </c>
      <c r="AM61" s="55">
        <v>51.534598462290575</v>
      </c>
      <c r="AN61" s="55">
        <v>51.534598462290575</v>
      </c>
      <c r="AO61" s="55">
        <v>51.534598462290575</v>
      </c>
      <c r="AP61" s="55">
        <v>51.534598462290575</v>
      </c>
      <c r="AQ61" s="55">
        <v>51.534598462290575</v>
      </c>
      <c r="AR61" s="55">
        <f>SUM(AF61:AQ61)</f>
        <v>909.05273577511707</v>
      </c>
      <c r="AS61" s="72">
        <f>Z61-AR61</f>
        <v>4240.9472642248829</v>
      </c>
      <c r="AT61" s="55"/>
      <c r="AU61" s="55"/>
      <c r="AV61" s="55">
        <f t="shared" si="2"/>
        <v>51.534598462290575</v>
      </c>
      <c r="AW61" s="55">
        <f t="shared" si="2"/>
        <v>51.534598462290575</v>
      </c>
      <c r="AX61" s="55">
        <f t="shared" si="2"/>
        <v>51.534598462290575</v>
      </c>
      <c r="AY61" s="55">
        <f t="shared" si="2"/>
        <v>51.534598462290575</v>
      </c>
      <c r="AZ61" s="55">
        <f t="shared" si="2"/>
        <v>51.534598462290575</v>
      </c>
      <c r="BA61" s="57">
        <v>118.901</v>
      </c>
      <c r="BB61" s="139">
        <v>112.505</v>
      </c>
      <c r="BC61" s="55">
        <f>BA61/BB61</f>
        <v>1.0568508066308164</v>
      </c>
      <c r="BD61" s="55">
        <f>T61/(D61*12)</f>
        <v>50</v>
      </c>
      <c r="BE61" s="55">
        <f>BD61*BC61</f>
        <v>52.842540331540825</v>
      </c>
      <c r="BF61" s="55">
        <f t="shared" si="53"/>
        <v>52.842540331540825</v>
      </c>
      <c r="BG61" s="55">
        <f t="shared" si="53"/>
        <v>52.842540331540825</v>
      </c>
      <c r="BH61" s="55">
        <f t="shared" si="53"/>
        <v>52.842540331540825</v>
      </c>
      <c r="BI61" s="55">
        <f t="shared" si="53"/>
        <v>52.842540331540825</v>
      </c>
      <c r="BJ61" s="55">
        <f t="shared" si="53"/>
        <v>52.842540331540825</v>
      </c>
      <c r="BK61" s="55">
        <f t="shared" si="53"/>
        <v>52.842540331540825</v>
      </c>
      <c r="BL61" s="55">
        <f t="shared" si="53"/>
        <v>52.842540331540825</v>
      </c>
      <c r="BM61" s="55">
        <f>SUM((AV61:AZ61),(BF61:BL61))</f>
        <v>627.57077463223857</v>
      </c>
      <c r="BN61" s="448">
        <f>(AS61-BM61)</f>
        <v>3613.3764895926442</v>
      </c>
      <c r="BO61" s="55">
        <f t="shared" si="54"/>
        <v>52.842540331540825</v>
      </c>
      <c r="BP61" s="55">
        <f t="shared" si="54"/>
        <v>52.842540331540825</v>
      </c>
      <c r="BQ61" s="55">
        <f t="shared" si="54"/>
        <v>52.842540331540825</v>
      </c>
      <c r="BR61" s="55">
        <f t="shared" si="54"/>
        <v>52.842540331540825</v>
      </c>
      <c r="BS61" s="55">
        <f t="shared" si="54"/>
        <v>52.842540331540825</v>
      </c>
      <c r="BT61" s="55">
        <f>SUM(BO61:BS61)</f>
        <v>264.21270165770414</v>
      </c>
      <c r="BU61" s="753">
        <f>BN61-BT61</f>
        <v>3349.16378793494</v>
      </c>
      <c r="BV61" s="448">
        <v>3881.8182539285172</v>
      </c>
      <c r="BW61" s="57">
        <v>132.28200000000001</v>
      </c>
      <c r="BX61" s="139">
        <v>112.505</v>
      </c>
      <c r="BY61" s="55">
        <f>BW61/BX61</f>
        <v>1.1757877427669883</v>
      </c>
      <c r="BZ61" s="55">
        <f>BV61/L61</f>
        <v>57.937585879530104</v>
      </c>
      <c r="CA61" s="55">
        <f>BZ61*BY61</f>
        <v>68.122303322661239</v>
      </c>
      <c r="CB61" s="55">
        <v>55.209122277276677</v>
      </c>
      <c r="CC61" s="55">
        <v>55.209122277276677</v>
      </c>
      <c r="CD61" s="55">
        <v>55.209122277276677</v>
      </c>
      <c r="CE61" s="55">
        <v>55.209122277276677</v>
      </c>
      <c r="CF61" s="55">
        <v>55.209122277276677</v>
      </c>
      <c r="CG61" s="55">
        <v>55.209122277276677</v>
      </c>
      <c r="CH61" s="55">
        <v>55.209122277276677</v>
      </c>
      <c r="CI61" s="55">
        <f>SUM(CB61:CH61)</f>
        <v>386.4638559409367</v>
      </c>
      <c r="CJ61" s="448">
        <f>BV61-CI61</f>
        <v>3495.3543979875803</v>
      </c>
      <c r="CK61" s="55">
        <v>55.209122277276677</v>
      </c>
      <c r="CL61" s="55">
        <v>55.209122277276677</v>
      </c>
      <c r="CM61" s="55">
        <v>55.209122277276677</v>
      </c>
      <c r="CN61" s="55">
        <v>55.209122277276677</v>
      </c>
      <c r="CO61" s="55">
        <v>55.209122277276677</v>
      </c>
      <c r="CP61" s="505">
        <f>SUM(CK61:CO61)</f>
        <v>276.04561138638337</v>
      </c>
      <c r="CQ61" s="679">
        <f>CJ61-CP61</f>
        <v>3219.308786601197</v>
      </c>
      <c r="CR61" s="956">
        <v>132.28200000000001</v>
      </c>
      <c r="CS61" s="139">
        <v>112.505</v>
      </c>
      <c r="CT61" s="957">
        <f>CR61/CS61</f>
        <v>1.1757877427669883</v>
      </c>
      <c r="CU61" s="511">
        <f>CQ61/N61</f>
        <v>60.741675218890506</v>
      </c>
      <c r="CV61" s="511">
        <f>CU61*CT61</f>
        <v>71.419317197504782</v>
      </c>
      <c r="CW61" s="511">
        <v>71.419317197504782</v>
      </c>
      <c r="CX61" s="511">
        <v>71.419317197504782</v>
      </c>
      <c r="CY61" s="511">
        <v>71.419317197504782</v>
      </c>
      <c r="CZ61" s="511">
        <v>71.419317197504782</v>
      </c>
      <c r="DA61" s="511">
        <v>71.419317197504782</v>
      </c>
      <c r="DB61" s="511">
        <v>71.419317197504782</v>
      </c>
      <c r="DC61" s="511">
        <v>71.419317197504782</v>
      </c>
      <c r="DD61" s="511">
        <v>71.419317197504782</v>
      </c>
      <c r="DE61" s="511">
        <v>71.419317197504782</v>
      </c>
      <c r="DF61" s="511">
        <v>71.419317197504782</v>
      </c>
      <c r="DG61" s="511">
        <v>71.419317197504782</v>
      </c>
      <c r="DH61" s="511">
        <v>71.419317197504782</v>
      </c>
      <c r="DI61" s="511">
        <v>71.419317197504782</v>
      </c>
      <c r="DJ61" s="511">
        <v>71.419317197504782</v>
      </c>
      <c r="DK61" s="511">
        <v>71.419317197504782</v>
      </c>
      <c r="DL61" s="511">
        <v>71.419317197504782</v>
      </c>
      <c r="DM61" s="511">
        <v>71.419317197504782</v>
      </c>
      <c r="DN61" s="511">
        <v>71.419317197504782</v>
      </c>
      <c r="DO61" s="511">
        <f t="shared" si="4"/>
        <v>1285.5477095550864</v>
      </c>
      <c r="DP61" s="960">
        <f>CQ61-DO61</f>
        <v>1933.7610770461106</v>
      </c>
    </row>
    <row r="62" spans="1:120" s="16" customFormat="1" x14ac:dyDescent="0.2">
      <c r="A62" s="20" t="s">
        <v>263</v>
      </c>
      <c r="B62" s="9" t="s">
        <v>247</v>
      </c>
      <c r="C62" s="45" t="s">
        <v>352</v>
      </c>
      <c r="D62" s="58">
        <v>10</v>
      </c>
      <c r="E62" s="30">
        <v>0.1</v>
      </c>
      <c r="F62" s="46">
        <v>43281</v>
      </c>
      <c r="G62" s="125">
        <v>120</v>
      </c>
      <c r="H62" s="145">
        <f>100/G62</f>
        <v>0.83333333333333337</v>
      </c>
      <c r="I62" s="165">
        <f>H62*J62</f>
        <v>43.333333333333336</v>
      </c>
      <c r="J62" s="48">
        <f>(YEAR(F62)-YEAR(S62))*12+MONTH(F62)-MONTH(S62)</f>
        <v>52</v>
      </c>
      <c r="K62" s="165">
        <f>L62*H62</f>
        <v>56.666666666666671</v>
      </c>
      <c r="L62" s="48">
        <f>G62-J62</f>
        <v>68</v>
      </c>
      <c r="M62" s="165">
        <f>N62*H62</f>
        <v>43.333333333333336</v>
      </c>
      <c r="N62" s="48">
        <f>G62-L62</f>
        <v>52</v>
      </c>
      <c r="O62" s="165">
        <f t="shared" si="52"/>
        <v>13.333333333333336</v>
      </c>
      <c r="P62" s="48">
        <f t="shared" si="52"/>
        <v>16</v>
      </c>
      <c r="Q62" s="462">
        <f>DATE(YEAR(S62),MONTH(S62)+G62,DAY(S62))</f>
        <v>45340</v>
      </c>
      <c r="R62" s="125" t="s">
        <v>360</v>
      </c>
      <c r="S62" s="33">
        <v>41688</v>
      </c>
      <c r="T62" s="5">
        <v>6000</v>
      </c>
      <c r="U62" s="72"/>
      <c r="V62" s="154">
        <v>550</v>
      </c>
      <c r="W62" s="154">
        <v>5450</v>
      </c>
      <c r="X62" s="55">
        <v>50</v>
      </c>
      <c r="Y62" s="106">
        <f>X62*5</f>
        <v>250</v>
      </c>
      <c r="Z62" s="258">
        <f>W62-Y62</f>
        <v>5200</v>
      </c>
      <c r="AA62" s="57">
        <v>115.958</v>
      </c>
      <c r="AB62" s="139">
        <v>112.79</v>
      </c>
      <c r="AC62" s="57">
        <f>AA62/AB62</f>
        <v>1.0280875964181222</v>
      </c>
      <c r="AD62" s="55">
        <f>Z62*M62/100/K62*100/7</f>
        <v>568.06722689075627</v>
      </c>
      <c r="AE62" s="55">
        <f>AD62*AC62</f>
        <v>584.02286989802565</v>
      </c>
      <c r="AF62" s="55"/>
      <c r="AG62" s="55"/>
      <c r="AH62" s="55"/>
      <c r="AI62" s="55"/>
      <c r="AJ62" s="55"/>
      <c r="AK62" s="55">
        <f>AE62</f>
        <v>584.02286989802565</v>
      </c>
      <c r="AL62" s="55">
        <v>51.404379820906115</v>
      </c>
      <c r="AM62" s="55">
        <v>51.404379820906115</v>
      </c>
      <c r="AN62" s="55">
        <v>51.404379820906115</v>
      </c>
      <c r="AO62" s="55">
        <v>51.404379820906115</v>
      </c>
      <c r="AP62" s="55">
        <v>51.404379820906115</v>
      </c>
      <c r="AQ62" s="55">
        <v>51.404379820906115</v>
      </c>
      <c r="AR62" s="55">
        <f>SUM(AF62:AQ62)</f>
        <v>892.44914882346234</v>
      </c>
      <c r="AS62" s="72">
        <f>Z62-AR62</f>
        <v>4307.5508511765374</v>
      </c>
      <c r="AT62" s="55"/>
      <c r="AU62" s="55"/>
      <c r="AV62" s="55">
        <f t="shared" si="2"/>
        <v>51.404379820906115</v>
      </c>
      <c r="AW62" s="55">
        <f t="shared" si="2"/>
        <v>51.404379820906115</v>
      </c>
      <c r="AX62" s="55">
        <f t="shared" si="2"/>
        <v>51.404379820906115</v>
      </c>
      <c r="AY62" s="55">
        <f t="shared" si="2"/>
        <v>51.404379820906115</v>
      </c>
      <c r="AZ62" s="55">
        <f t="shared" si="2"/>
        <v>51.404379820906115</v>
      </c>
      <c r="BA62" s="57">
        <v>118.901</v>
      </c>
      <c r="BB62" s="139">
        <v>112.79</v>
      </c>
      <c r="BC62" s="55">
        <f>BA62/BB62</f>
        <v>1.0541803351360934</v>
      </c>
      <c r="BD62" s="55">
        <f>T62/(D62*12)</f>
        <v>50</v>
      </c>
      <c r="BE62" s="55">
        <f>BD62*BC62</f>
        <v>52.709016756804672</v>
      </c>
      <c r="BF62" s="55">
        <f t="shared" si="53"/>
        <v>52.709016756804672</v>
      </c>
      <c r="BG62" s="55">
        <f t="shared" si="53"/>
        <v>52.709016756804672</v>
      </c>
      <c r="BH62" s="55">
        <f t="shared" si="53"/>
        <v>52.709016756804672</v>
      </c>
      <c r="BI62" s="55">
        <f t="shared" si="53"/>
        <v>52.709016756804672</v>
      </c>
      <c r="BJ62" s="55">
        <f t="shared" si="53"/>
        <v>52.709016756804672</v>
      </c>
      <c r="BK62" s="55">
        <f t="shared" si="53"/>
        <v>52.709016756804672</v>
      </c>
      <c r="BL62" s="55">
        <f t="shared" si="53"/>
        <v>52.709016756804672</v>
      </c>
      <c r="BM62" s="55">
        <f>SUM((AV62:AZ62),(BF62:BL62))</f>
        <v>625.98501640216318</v>
      </c>
      <c r="BN62" s="448">
        <f>(AS62-BM62)</f>
        <v>3681.5658347743743</v>
      </c>
      <c r="BO62" s="55">
        <f t="shared" si="54"/>
        <v>52.709016756804672</v>
      </c>
      <c r="BP62" s="55">
        <f t="shared" si="54"/>
        <v>52.709016756804672</v>
      </c>
      <c r="BQ62" s="55">
        <f t="shared" si="54"/>
        <v>52.709016756804672</v>
      </c>
      <c r="BR62" s="55">
        <f t="shared" si="54"/>
        <v>52.709016756804672</v>
      </c>
      <c r="BS62" s="55">
        <f t="shared" si="54"/>
        <v>52.709016756804672</v>
      </c>
      <c r="BT62" s="55">
        <f>SUM(BO62:BS62)</f>
        <v>263.54508378402335</v>
      </c>
      <c r="BU62" s="753">
        <f>BN62-BT62</f>
        <v>3418.0207509903507</v>
      </c>
      <c r="BV62" s="448">
        <v>3935.217927121199</v>
      </c>
      <c r="BW62" s="57">
        <v>132.28200000000001</v>
      </c>
      <c r="BX62" s="139">
        <v>112.79</v>
      </c>
      <c r="BY62" s="55">
        <f>BW62/BX62</f>
        <v>1.1728167390726127</v>
      </c>
      <c r="BZ62" s="55">
        <f>BV62/L62</f>
        <v>57.870851869429394</v>
      </c>
      <c r="CA62" s="55">
        <f>BZ62*BY62</f>
        <v>67.871903776858403</v>
      </c>
      <c r="CB62" s="55">
        <v>55.129336347585841</v>
      </c>
      <c r="CC62" s="55">
        <v>55.129336347585841</v>
      </c>
      <c r="CD62" s="55">
        <v>55.129336347585841</v>
      </c>
      <c r="CE62" s="55">
        <v>55.129336347585841</v>
      </c>
      <c r="CF62" s="55">
        <v>55.129336347585841</v>
      </c>
      <c r="CG62" s="55">
        <v>55.129336347585841</v>
      </c>
      <c r="CH62" s="55">
        <v>55.129336347585841</v>
      </c>
      <c r="CI62" s="55">
        <f>SUM(CB62:CH62)</f>
        <v>385.90535443310085</v>
      </c>
      <c r="CJ62" s="448">
        <f>BV62-CI62</f>
        <v>3549.312572688098</v>
      </c>
      <c r="CK62" s="55">
        <v>55.129336347585841</v>
      </c>
      <c r="CL62" s="55">
        <v>55.129336347585841</v>
      </c>
      <c r="CM62" s="55">
        <v>55.129336347585841</v>
      </c>
      <c r="CN62" s="55">
        <v>55.129336347585841</v>
      </c>
      <c r="CO62" s="55">
        <v>55.129336347585841</v>
      </c>
      <c r="CP62" s="505">
        <f>SUM(CK62:CO62)</f>
        <v>275.64668173792921</v>
      </c>
      <c r="CQ62" s="679">
        <f>CJ62-CP62</f>
        <v>3273.6658909501689</v>
      </c>
      <c r="CR62" s="956">
        <v>132.28200000000001</v>
      </c>
      <c r="CS62" s="139">
        <v>112.79</v>
      </c>
      <c r="CT62" s="957">
        <f>CR62/CS62</f>
        <v>1.1728167390726127</v>
      </c>
      <c r="CU62" s="511">
        <f>CQ62/N62</f>
        <v>62.955113287503245</v>
      </c>
      <c r="CV62" s="511">
        <f>CU62*CT62</f>
        <v>73.834810673796468</v>
      </c>
      <c r="CW62" s="511">
        <v>73.834810673796468</v>
      </c>
      <c r="CX62" s="511">
        <v>73.834810673796468</v>
      </c>
      <c r="CY62" s="511">
        <v>73.834810673796468</v>
      </c>
      <c r="CZ62" s="511">
        <v>73.834810673796468</v>
      </c>
      <c r="DA62" s="511">
        <v>73.834810673796468</v>
      </c>
      <c r="DB62" s="511">
        <v>73.834810673796468</v>
      </c>
      <c r="DC62" s="511">
        <v>73.834810673796468</v>
      </c>
      <c r="DD62" s="511">
        <v>73.834810673796468</v>
      </c>
      <c r="DE62" s="511">
        <v>73.834810673796468</v>
      </c>
      <c r="DF62" s="511">
        <v>73.834810673796468</v>
      </c>
      <c r="DG62" s="511">
        <v>73.834810673796468</v>
      </c>
      <c r="DH62" s="511">
        <v>73.834810673796468</v>
      </c>
      <c r="DI62" s="511">
        <v>73.834810673796468</v>
      </c>
      <c r="DJ62" s="511">
        <v>73.834810673796468</v>
      </c>
      <c r="DK62" s="511">
        <v>73.834810673796468</v>
      </c>
      <c r="DL62" s="511">
        <v>73.834810673796468</v>
      </c>
      <c r="DM62" s="511">
        <v>73.834810673796468</v>
      </c>
      <c r="DN62" s="511">
        <v>73.834810673796468</v>
      </c>
      <c r="DO62" s="511">
        <f t="shared" si="4"/>
        <v>1329.0265921283365</v>
      </c>
      <c r="DP62" s="960">
        <f>CQ62-DO62</f>
        <v>1944.6392988218324</v>
      </c>
    </row>
    <row r="63" spans="1:120" s="16" customFormat="1" x14ac:dyDescent="0.2">
      <c r="A63" s="26" t="s">
        <v>126</v>
      </c>
      <c r="B63" s="26"/>
      <c r="C63" s="124"/>
      <c r="D63" s="111"/>
      <c r="E63" s="25"/>
      <c r="F63" s="20"/>
      <c r="G63" s="125"/>
      <c r="H63" s="145"/>
      <c r="I63" s="165"/>
      <c r="J63" s="48"/>
      <c r="K63" s="165"/>
      <c r="L63" s="48"/>
      <c r="M63" s="165"/>
      <c r="N63" s="48"/>
      <c r="O63" s="165"/>
      <c r="P63" s="48"/>
      <c r="Q63" s="48"/>
      <c r="R63" s="125"/>
      <c r="S63" s="119"/>
      <c r="T63" s="7"/>
      <c r="U63" s="72"/>
      <c r="V63" s="154"/>
      <c r="W63" s="154"/>
      <c r="X63" s="55"/>
      <c r="Y63" s="106"/>
      <c r="Z63" s="258"/>
      <c r="AA63" s="57"/>
      <c r="AB63" s="140"/>
      <c r="AC63" s="57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72"/>
      <c r="AT63" s="55"/>
      <c r="AU63" s="55"/>
      <c r="AV63" s="55">
        <f t="shared" si="2"/>
        <v>0</v>
      </c>
      <c r="AW63" s="55">
        <f t="shared" si="2"/>
        <v>0</v>
      </c>
      <c r="AX63" s="55">
        <f t="shared" si="2"/>
        <v>0</v>
      </c>
      <c r="AY63" s="55">
        <f t="shared" si="2"/>
        <v>0</v>
      </c>
      <c r="AZ63" s="55">
        <f t="shared" si="2"/>
        <v>0</v>
      </c>
      <c r="BA63" s="57"/>
      <c r="BB63" s="140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448"/>
      <c r="BO63" s="55"/>
      <c r="BP63" s="55"/>
      <c r="BQ63" s="55"/>
      <c r="BR63" s="55"/>
      <c r="BS63" s="55"/>
      <c r="BT63" s="55"/>
      <c r="BU63" s="55"/>
      <c r="BV63" s="448"/>
      <c r="BW63" s="57"/>
      <c r="BX63" s="140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448"/>
      <c r="CK63" s="55"/>
      <c r="CL63" s="55"/>
      <c r="CM63" s="55"/>
      <c r="CN63" s="55"/>
      <c r="CO63" s="55"/>
      <c r="CP63" s="505"/>
      <c r="CQ63" s="679"/>
      <c r="CR63" s="956"/>
      <c r="CS63" s="140"/>
      <c r="CT63" s="957"/>
      <c r="CU63" s="511"/>
      <c r="CV63" s="511"/>
      <c r="CW63" s="511"/>
      <c r="CX63" s="511"/>
      <c r="CY63" s="511"/>
      <c r="CZ63" s="511"/>
      <c r="DA63" s="511"/>
      <c r="DB63" s="511"/>
      <c r="DC63" s="511"/>
      <c r="DD63" s="511"/>
      <c r="DE63" s="511"/>
      <c r="DF63" s="511"/>
      <c r="DG63" s="511"/>
      <c r="DH63" s="511"/>
      <c r="DI63" s="511"/>
      <c r="DJ63" s="511"/>
      <c r="DK63" s="511"/>
      <c r="DL63" s="511"/>
      <c r="DM63" s="511"/>
      <c r="DN63" s="511"/>
      <c r="DO63" s="511">
        <f t="shared" si="4"/>
        <v>0</v>
      </c>
      <c r="DP63" s="960"/>
    </row>
    <row r="64" spans="1:120" s="16" customFormat="1" x14ac:dyDescent="0.2">
      <c r="A64" s="120" t="s">
        <v>368</v>
      </c>
      <c r="B64" s="9"/>
      <c r="C64" s="45"/>
      <c r="D64" s="58"/>
      <c r="E64" s="30"/>
      <c r="F64" s="20"/>
      <c r="G64" s="252"/>
      <c r="H64" s="145"/>
      <c r="I64" s="165"/>
      <c r="J64" s="48"/>
      <c r="K64" s="165"/>
      <c r="L64" s="48"/>
      <c r="M64" s="165"/>
      <c r="N64" s="48"/>
      <c r="O64" s="165"/>
      <c r="P64" s="48"/>
      <c r="Q64" s="48"/>
      <c r="R64" s="125"/>
      <c r="S64" s="128"/>
      <c r="T64" s="7"/>
      <c r="U64" s="72"/>
      <c r="V64" s="154"/>
      <c r="W64" s="154"/>
      <c r="X64" s="55"/>
      <c r="Y64" s="106"/>
      <c r="Z64" s="258"/>
      <c r="AA64" s="57"/>
      <c r="AB64" s="84"/>
      <c r="AC64" s="57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72"/>
      <c r="AT64" s="55"/>
      <c r="AU64" s="55"/>
      <c r="AV64" s="55">
        <f t="shared" si="2"/>
        <v>0</v>
      </c>
      <c r="AW64" s="55">
        <f t="shared" si="2"/>
        <v>0</v>
      </c>
      <c r="AX64" s="55">
        <f t="shared" si="2"/>
        <v>0</v>
      </c>
      <c r="AY64" s="55">
        <f t="shared" si="2"/>
        <v>0</v>
      </c>
      <c r="AZ64" s="55">
        <f t="shared" si="2"/>
        <v>0</v>
      </c>
      <c r="BA64" s="57"/>
      <c r="BB64" s="84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448"/>
      <c r="BO64" s="55"/>
      <c r="BP64" s="55"/>
      <c r="BQ64" s="55"/>
      <c r="BR64" s="55"/>
      <c r="BS64" s="55"/>
      <c r="BT64" s="55"/>
      <c r="BU64" s="55"/>
      <c r="BV64" s="448"/>
      <c r="BW64" s="57"/>
      <c r="BX64" s="84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448"/>
      <c r="CK64" s="55"/>
      <c r="CL64" s="55"/>
      <c r="CM64" s="55"/>
      <c r="CN64" s="55"/>
      <c r="CO64" s="55"/>
      <c r="CP64" s="505"/>
      <c r="CQ64" s="679"/>
      <c r="CR64" s="511"/>
      <c r="CS64" s="84"/>
      <c r="CT64" s="957"/>
      <c r="CU64" s="511"/>
      <c r="CV64" s="511"/>
      <c r="CW64" s="511"/>
      <c r="CX64" s="511"/>
      <c r="CY64" s="511"/>
      <c r="CZ64" s="511"/>
      <c r="DA64" s="511"/>
      <c r="DB64" s="511"/>
      <c r="DC64" s="511"/>
      <c r="DD64" s="511"/>
      <c r="DE64" s="511"/>
      <c r="DF64" s="511"/>
      <c r="DG64" s="511"/>
      <c r="DH64" s="511"/>
      <c r="DI64" s="511"/>
      <c r="DJ64" s="511"/>
      <c r="DK64" s="511"/>
      <c r="DL64" s="511"/>
      <c r="DM64" s="511"/>
      <c r="DN64" s="511"/>
      <c r="DO64" s="511">
        <f t="shared" si="4"/>
        <v>0</v>
      </c>
      <c r="DP64" s="1029"/>
    </row>
    <row r="65" spans="1:120" s="16" customFormat="1" x14ac:dyDescent="0.2">
      <c r="A65" s="119" t="s">
        <v>389</v>
      </c>
      <c r="B65" s="100" t="s">
        <v>353</v>
      </c>
      <c r="C65" s="45" t="s">
        <v>390</v>
      </c>
      <c r="D65" s="58">
        <v>10</v>
      </c>
      <c r="E65" s="30">
        <v>0.1</v>
      </c>
      <c r="F65" s="46">
        <v>43281</v>
      </c>
      <c r="G65" s="125">
        <v>120</v>
      </c>
      <c r="H65" s="145">
        <f>100/G65</f>
        <v>0.83333333333333337</v>
      </c>
      <c r="I65" s="165">
        <f>H65*J65</f>
        <v>38.333333333333336</v>
      </c>
      <c r="J65" s="48">
        <f>(YEAR(F65)-YEAR(S65))*12+MONTH(F65)-MONTH(S65)</f>
        <v>46</v>
      </c>
      <c r="K65" s="165">
        <f>L65*H65</f>
        <v>61.666666666666671</v>
      </c>
      <c r="L65" s="48">
        <f>G65-J65</f>
        <v>74</v>
      </c>
      <c r="M65" s="165">
        <f>N65*H65</f>
        <v>38.333333333333336</v>
      </c>
      <c r="N65" s="48">
        <f>G65-L65</f>
        <v>46</v>
      </c>
      <c r="O65" s="165">
        <f>K65-M65</f>
        <v>23.333333333333336</v>
      </c>
      <c r="P65" s="48">
        <f>L65-N65</f>
        <v>28</v>
      </c>
      <c r="Q65" s="462">
        <f>DATE(YEAR(S65),MONTH(S65)+G65,DAY(S65))</f>
        <v>45516</v>
      </c>
      <c r="R65" s="125" t="s">
        <v>360</v>
      </c>
      <c r="S65" s="132">
        <v>41863</v>
      </c>
      <c r="T65" s="118">
        <v>11500</v>
      </c>
      <c r="U65" s="72"/>
      <c r="V65" s="154">
        <v>479.15</v>
      </c>
      <c r="W65" s="154">
        <v>11020.85</v>
      </c>
      <c r="X65" s="55">
        <v>95.83</v>
      </c>
      <c r="Y65" s="106">
        <f>X65*5</f>
        <v>479.15</v>
      </c>
      <c r="Z65" s="258">
        <f>W65-Y65</f>
        <v>10541.7</v>
      </c>
      <c r="AA65" s="57">
        <v>115.958</v>
      </c>
      <c r="AB65" s="84">
        <v>113.438</v>
      </c>
      <c r="AC65" s="57">
        <f>AA65/AB65</f>
        <v>1.0222147781166804</v>
      </c>
      <c r="AD65" s="55">
        <f>Z65*M65/100/K65*100/7</f>
        <v>936.13552123552131</v>
      </c>
      <c r="AE65" s="55">
        <f>AD65*AC65</f>
        <v>956.93156412691133</v>
      </c>
      <c r="AF65" s="55"/>
      <c r="AG65" s="55"/>
      <c r="AH65" s="55"/>
      <c r="AI65" s="55"/>
      <c r="AJ65" s="55"/>
      <c r="AK65" s="55">
        <f>AE65</f>
        <v>956.93156412691133</v>
      </c>
      <c r="AL65" s="55">
        <v>97.962559331569182</v>
      </c>
      <c r="AM65" s="55">
        <v>97.962559331569182</v>
      </c>
      <c r="AN65" s="55">
        <v>97.962559331569182</v>
      </c>
      <c r="AO65" s="55">
        <v>97.962559331569182</v>
      </c>
      <c r="AP65" s="55">
        <v>97.962559331569182</v>
      </c>
      <c r="AQ65" s="55">
        <v>97.962559331569182</v>
      </c>
      <c r="AR65" s="55">
        <f>SUM(AF65:AQ65)</f>
        <v>1544.7069201163258</v>
      </c>
      <c r="AS65" s="72">
        <f>Z65-AR65</f>
        <v>8996.9930798836758</v>
      </c>
      <c r="AT65" s="55"/>
      <c r="AU65" s="55"/>
      <c r="AV65" s="55">
        <f t="shared" si="2"/>
        <v>97.962559331569182</v>
      </c>
      <c r="AW65" s="55">
        <f t="shared" si="2"/>
        <v>97.962559331569182</v>
      </c>
      <c r="AX65" s="55">
        <f t="shared" si="2"/>
        <v>97.962559331569182</v>
      </c>
      <c r="AY65" s="55">
        <f t="shared" si="2"/>
        <v>97.962559331569182</v>
      </c>
      <c r="AZ65" s="55">
        <f t="shared" si="2"/>
        <v>97.962559331569182</v>
      </c>
      <c r="BA65" s="57">
        <v>118.901</v>
      </c>
      <c r="BB65" s="84">
        <v>113.438</v>
      </c>
      <c r="BC65" s="55">
        <f>BA65/BB65</f>
        <v>1.0481584654172322</v>
      </c>
      <c r="BD65" s="55">
        <f>T65/(D65*12)</f>
        <v>95.833333333333329</v>
      </c>
      <c r="BE65" s="55">
        <f>BD65*BC65</f>
        <v>100.44851960248475</v>
      </c>
      <c r="BF65" s="55">
        <f t="shared" ref="BF65:BL65" si="55">$BE65</f>
        <v>100.44851960248475</v>
      </c>
      <c r="BG65" s="55">
        <f t="shared" si="55"/>
        <v>100.44851960248475</v>
      </c>
      <c r="BH65" s="55">
        <f t="shared" si="55"/>
        <v>100.44851960248475</v>
      </c>
      <c r="BI65" s="55">
        <f t="shared" si="55"/>
        <v>100.44851960248475</v>
      </c>
      <c r="BJ65" s="55">
        <f t="shared" si="55"/>
        <v>100.44851960248475</v>
      </c>
      <c r="BK65" s="55">
        <f t="shared" si="55"/>
        <v>100.44851960248475</v>
      </c>
      <c r="BL65" s="55">
        <f t="shared" si="55"/>
        <v>100.44851960248475</v>
      </c>
      <c r="BM65" s="55">
        <f>SUM((AV65:AZ65),(BF65:BL65))</f>
        <v>1192.9524338752394</v>
      </c>
      <c r="BN65" s="448">
        <f>(AS65-BM65)</f>
        <v>7804.0406460084359</v>
      </c>
      <c r="BO65" s="55">
        <f>$BE65</f>
        <v>100.44851960248475</v>
      </c>
      <c r="BP65" s="55">
        <f>$BE65</f>
        <v>100.44851960248475</v>
      </c>
      <c r="BQ65" s="55">
        <f>$BE65</f>
        <v>100.44851960248475</v>
      </c>
      <c r="BR65" s="55">
        <f>$BE65</f>
        <v>100.44851960248475</v>
      </c>
      <c r="BS65" s="55">
        <f>$BE65</f>
        <v>100.44851960248475</v>
      </c>
      <c r="BT65" s="55">
        <f>SUM(BO65:BS65)</f>
        <v>502.24259801242374</v>
      </c>
      <c r="BU65" s="753">
        <f>BN65-BT65</f>
        <v>7301.7980479960124</v>
      </c>
      <c r="BV65" s="448">
        <v>8133.4286641406825</v>
      </c>
      <c r="BW65" s="57">
        <v>132.28200000000001</v>
      </c>
      <c r="BX65" s="84">
        <v>113.438</v>
      </c>
      <c r="BY65" s="55">
        <f>BW65/BX65</f>
        <v>1.1661171741391774</v>
      </c>
      <c r="BZ65" s="55">
        <f>BV65/L65</f>
        <v>109.91119816406328</v>
      </c>
      <c r="CA65" s="55">
        <f>BZ65*BY65</f>
        <v>128.1693358093286</v>
      </c>
      <c r="CB65" s="55">
        <v>105.38801141825401</v>
      </c>
      <c r="CC65" s="55">
        <v>105.38801141825401</v>
      </c>
      <c r="CD65" s="55">
        <v>105.38801141825401</v>
      </c>
      <c r="CE65" s="55">
        <v>105.38801141825401</v>
      </c>
      <c r="CF65" s="55">
        <v>105.38801141825401</v>
      </c>
      <c r="CG65" s="55">
        <v>105.38801141825401</v>
      </c>
      <c r="CH65" s="55">
        <v>105.38801141825401</v>
      </c>
      <c r="CI65" s="55">
        <f>SUM(CB65:CH65)</f>
        <v>737.71607992777808</v>
      </c>
      <c r="CJ65" s="448">
        <f>BV65-CI65</f>
        <v>7395.7125842129044</v>
      </c>
      <c r="CK65" s="55">
        <v>105.38801141825401</v>
      </c>
      <c r="CL65" s="55">
        <v>105.38801141825401</v>
      </c>
      <c r="CM65" s="55">
        <v>105.38801141825401</v>
      </c>
      <c r="CN65" s="55">
        <v>105.38801141825401</v>
      </c>
      <c r="CO65" s="55">
        <v>105.38801141825401</v>
      </c>
      <c r="CP65" s="505">
        <f>SUM(CK65:CO65)</f>
        <v>526.94005709127009</v>
      </c>
      <c r="CQ65" s="679">
        <f>CJ65-CP65</f>
        <v>6868.7725271216341</v>
      </c>
      <c r="CR65" s="956">
        <v>132.28200000000001</v>
      </c>
      <c r="CS65" s="84">
        <v>113.438</v>
      </c>
      <c r="CT65" s="957">
        <f>CR65/CS65</f>
        <v>1.1661171741391774</v>
      </c>
      <c r="CU65" s="511">
        <f>CQ65/N65</f>
        <v>149.32114189394858</v>
      </c>
      <c r="CV65" s="511">
        <f>CU65*CT65</f>
        <v>174.12594802460646</v>
      </c>
      <c r="CW65" s="511">
        <v>174.12594802460646</v>
      </c>
      <c r="CX65" s="511">
        <v>174.12594802460646</v>
      </c>
      <c r="CY65" s="511">
        <v>174.12594802460646</v>
      </c>
      <c r="CZ65" s="511">
        <v>174.12594802460646</v>
      </c>
      <c r="DA65" s="511">
        <v>174.12594802460646</v>
      </c>
      <c r="DB65" s="511">
        <v>174.12594802460646</v>
      </c>
      <c r="DC65" s="511">
        <v>174.12594802460646</v>
      </c>
      <c r="DD65" s="511">
        <v>174.12594802460646</v>
      </c>
      <c r="DE65" s="511">
        <v>174.12594802460646</v>
      </c>
      <c r="DF65" s="511">
        <v>174.12594802460646</v>
      </c>
      <c r="DG65" s="511">
        <v>174.12594802460646</v>
      </c>
      <c r="DH65" s="511">
        <v>174.12594802460646</v>
      </c>
      <c r="DI65" s="511">
        <v>174.12594802460646</v>
      </c>
      <c r="DJ65" s="511">
        <v>174.12594802460646</v>
      </c>
      <c r="DK65" s="511">
        <v>174.12594802460646</v>
      </c>
      <c r="DL65" s="511">
        <v>174.12594802460646</v>
      </c>
      <c r="DM65" s="511">
        <v>174.12594802460646</v>
      </c>
      <c r="DN65" s="511">
        <v>174.12594802460646</v>
      </c>
      <c r="DO65" s="511">
        <f t="shared" si="4"/>
        <v>3134.2670644429149</v>
      </c>
      <c r="DP65" s="960">
        <f>CQ65-DO65</f>
        <v>3734.5054626787191</v>
      </c>
    </row>
    <row r="66" spans="1:120" s="16" customFormat="1" x14ac:dyDescent="0.2">
      <c r="A66" s="26" t="s">
        <v>126</v>
      </c>
      <c r="B66" s="26"/>
      <c r="C66" s="124"/>
      <c r="D66" s="111"/>
      <c r="E66" s="25"/>
      <c r="F66" s="46"/>
      <c r="G66" s="125"/>
      <c r="H66" s="145"/>
      <c r="I66" s="165"/>
      <c r="J66" s="48"/>
      <c r="K66" s="165"/>
      <c r="L66" s="48"/>
      <c r="M66" s="165"/>
      <c r="N66" s="48"/>
      <c r="O66" s="165"/>
      <c r="P66" s="48"/>
      <c r="Q66" s="48"/>
      <c r="R66" s="125"/>
      <c r="S66" s="119"/>
      <c r="T66" s="7"/>
      <c r="U66" s="72"/>
      <c r="V66" s="154"/>
      <c r="W66" s="154"/>
      <c r="X66" s="55"/>
      <c r="Y66" s="106"/>
      <c r="Z66" s="258"/>
      <c r="AA66" s="57"/>
      <c r="AB66" s="140"/>
      <c r="AC66" s="57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72"/>
      <c r="AT66" s="55"/>
      <c r="AU66" s="55"/>
      <c r="AV66" s="55">
        <f t="shared" si="2"/>
        <v>0</v>
      </c>
      <c r="AW66" s="55">
        <f t="shared" si="2"/>
        <v>0</v>
      </c>
      <c r="AX66" s="55">
        <f t="shared" si="2"/>
        <v>0</v>
      </c>
      <c r="AY66" s="55">
        <f t="shared" si="2"/>
        <v>0</v>
      </c>
      <c r="AZ66" s="55">
        <f t="shared" si="2"/>
        <v>0</v>
      </c>
      <c r="BA66" s="57"/>
      <c r="BB66" s="140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448"/>
      <c r="BO66" s="55"/>
      <c r="BP66" s="55"/>
      <c r="BQ66" s="55"/>
      <c r="BR66" s="55"/>
      <c r="BS66" s="55"/>
      <c r="BT66" s="55"/>
      <c r="BU66" s="55"/>
      <c r="BV66" s="448"/>
      <c r="BW66" s="57"/>
      <c r="BX66" s="140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448"/>
      <c r="CK66" s="55"/>
      <c r="CL66" s="55"/>
      <c r="CM66" s="55"/>
      <c r="CN66" s="55"/>
      <c r="CO66" s="55"/>
      <c r="CP66" s="505"/>
      <c r="CQ66" s="679"/>
      <c r="CR66" s="656"/>
      <c r="CS66" s="140"/>
      <c r="CT66" s="957"/>
      <c r="CU66" s="511"/>
      <c r="CV66" s="511"/>
      <c r="CW66" s="511"/>
      <c r="CX66" s="511"/>
      <c r="CY66" s="511"/>
      <c r="CZ66" s="511"/>
      <c r="DA66" s="511"/>
      <c r="DB66" s="511"/>
      <c r="DC66" s="511"/>
      <c r="DD66" s="511"/>
      <c r="DE66" s="511"/>
      <c r="DF66" s="511"/>
      <c r="DG66" s="511"/>
      <c r="DH66" s="511"/>
      <c r="DI66" s="511"/>
      <c r="DJ66" s="511"/>
      <c r="DK66" s="511"/>
      <c r="DL66" s="511"/>
      <c r="DM66" s="511"/>
      <c r="DN66" s="511"/>
      <c r="DO66" s="511">
        <f t="shared" si="4"/>
        <v>0</v>
      </c>
      <c r="DP66" s="1029">
        <f>CX66-DO66</f>
        <v>0</v>
      </c>
    </row>
    <row r="67" spans="1:120" s="16" customFormat="1" x14ac:dyDescent="0.2">
      <c r="A67" s="120" t="s">
        <v>380</v>
      </c>
      <c r="B67" s="9"/>
      <c r="C67" s="45"/>
      <c r="D67" s="58"/>
      <c r="E67" s="30"/>
      <c r="F67" s="20"/>
      <c r="G67" s="125"/>
      <c r="H67" s="145"/>
      <c r="I67" s="165"/>
      <c r="J67" s="48"/>
      <c r="K67" s="165"/>
      <c r="L67" s="48"/>
      <c r="M67" s="165"/>
      <c r="N67" s="48"/>
      <c r="O67" s="165"/>
      <c r="P67" s="48"/>
      <c r="Q67" s="48"/>
      <c r="R67" s="125"/>
      <c r="S67" s="128"/>
      <c r="T67" s="7"/>
      <c r="U67" s="72"/>
      <c r="V67" s="154"/>
      <c r="W67" s="154"/>
      <c r="X67" s="55"/>
      <c r="Y67" s="106"/>
      <c r="Z67" s="258"/>
      <c r="AA67" s="57"/>
      <c r="AB67" s="84"/>
      <c r="AC67" s="57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72"/>
      <c r="AT67" s="55"/>
      <c r="AU67" s="55"/>
      <c r="AV67" s="55">
        <f t="shared" si="2"/>
        <v>0</v>
      </c>
      <c r="AW67" s="55">
        <f t="shared" si="2"/>
        <v>0</v>
      </c>
      <c r="AX67" s="55">
        <f t="shared" si="2"/>
        <v>0</v>
      </c>
      <c r="AY67" s="55">
        <f t="shared" si="2"/>
        <v>0</v>
      </c>
      <c r="AZ67" s="55">
        <f t="shared" si="2"/>
        <v>0</v>
      </c>
      <c r="BA67" s="57"/>
      <c r="BB67" s="84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448"/>
      <c r="BO67" s="55"/>
      <c r="BP67" s="55"/>
      <c r="BQ67" s="55"/>
      <c r="BR67" s="55"/>
      <c r="BS67" s="55"/>
      <c r="BT67" s="55"/>
      <c r="BU67" s="55"/>
      <c r="BV67" s="448"/>
      <c r="BW67" s="57"/>
      <c r="BX67" s="84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448"/>
      <c r="CK67" s="55"/>
      <c r="CL67" s="55"/>
      <c r="CM67" s="55"/>
      <c r="CN67" s="55"/>
      <c r="CO67" s="55"/>
      <c r="CP67" s="505"/>
      <c r="CQ67" s="679"/>
      <c r="CR67" s="623"/>
      <c r="CS67" s="84"/>
      <c r="CT67" s="957"/>
      <c r="CU67" s="511"/>
      <c r="CV67" s="511"/>
      <c r="CW67" s="511"/>
      <c r="CX67" s="511"/>
      <c r="CY67" s="511"/>
      <c r="CZ67" s="511"/>
      <c r="DA67" s="511"/>
      <c r="DB67" s="511"/>
      <c r="DC67" s="511"/>
      <c r="DD67" s="511"/>
      <c r="DE67" s="511"/>
      <c r="DF67" s="511"/>
      <c r="DG67" s="511"/>
      <c r="DH67" s="511"/>
      <c r="DI67" s="511"/>
      <c r="DJ67" s="511"/>
      <c r="DK67" s="511"/>
      <c r="DL67" s="511"/>
      <c r="DM67" s="511"/>
      <c r="DN67" s="511"/>
      <c r="DO67" s="511">
        <f t="shared" si="4"/>
        <v>0</v>
      </c>
      <c r="DP67" s="1029"/>
    </row>
    <row r="68" spans="1:120" s="16" customFormat="1" x14ac:dyDescent="0.2">
      <c r="A68" s="20" t="s">
        <v>264</v>
      </c>
      <c r="B68" s="100" t="s">
        <v>257</v>
      </c>
      <c r="C68" s="45" t="s">
        <v>352</v>
      </c>
      <c r="D68" s="58">
        <v>10</v>
      </c>
      <c r="E68" s="30">
        <v>0.1</v>
      </c>
      <c r="F68" s="46">
        <v>43281</v>
      </c>
      <c r="G68" s="125">
        <v>120</v>
      </c>
      <c r="H68" s="145">
        <f>100/G68</f>
        <v>0.83333333333333337</v>
      </c>
      <c r="I68" s="165">
        <f>H68*J68</f>
        <v>43.333333333333336</v>
      </c>
      <c r="J68" s="48">
        <f>(YEAR(F68)-YEAR(S68))*12+MONTH(F68)-MONTH(S68)</f>
        <v>52</v>
      </c>
      <c r="K68" s="165">
        <f>L68*H68</f>
        <v>56.666666666666671</v>
      </c>
      <c r="L68" s="48">
        <f>G68-J68</f>
        <v>68</v>
      </c>
      <c r="M68" s="165">
        <f>N68*H68</f>
        <v>43.333333333333336</v>
      </c>
      <c r="N68" s="48">
        <f>G68-L68</f>
        <v>52</v>
      </c>
      <c r="O68" s="165">
        <f>K68-M68</f>
        <v>13.333333333333336</v>
      </c>
      <c r="P68" s="48">
        <f>L68-N68</f>
        <v>16</v>
      </c>
      <c r="Q68" s="462">
        <f>DATE(YEAR(S68),MONTH(S68)+G68,DAY(S68))</f>
        <v>45337</v>
      </c>
      <c r="R68" s="125" t="s">
        <v>360</v>
      </c>
      <c r="S68" s="20">
        <v>41685</v>
      </c>
      <c r="T68" s="5">
        <v>750</v>
      </c>
      <c r="U68" s="72"/>
      <c r="V68" s="154">
        <v>68.75</v>
      </c>
      <c r="W68" s="154">
        <v>681.25</v>
      </c>
      <c r="X68" s="55">
        <v>6.25</v>
      </c>
      <c r="Y68" s="106">
        <f>X68*5</f>
        <v>31.25</v>
      </c>
      <c r="Z68" s="258">
        <f>W68-Y68</f>
        <v>650</v>
      </c>
      <c r="AA68" s="57">
        <v>115.958</v>
      </c>
      <c r="AB68" s="84">
        <v>112.79</v>
      </c>
      <c r="AC68" s="57">
        <f>AA68/AB68</f>
        <v>1.0280875964181222</v>
      </c>
      <c r="AD68" s="55">
        <f>Z68*M68/100/K68*100/7</f>
        <v>71.008403361344534</v>
      </c>
      <c r="AE68" s="55">
        <f>AD68*AC68</f>
        <v>73.002858737253206</v>
      </c>
      <c r="AF68" s="55"/>
      <c r="AG68" s="55"/>
      <c r="AH68" s="55"/>
      <c r="AI68" s="55"/>
      <c r="AJ68" s="55"/>
      <c r="AK68" s="55">
        <f>AE68</f>
        <v>73.002858737253206</v>
      </c>
      <c r="AL68" s="55">
        <v>6.4255474776132644</v>
      </c>
      <c r="AM68" s="55">
        <v>6.4255474776132644</v>
      </c>
      <c r="AN68" s="55">
        <v>6.4255474776132644</v>
      </c>
      <c r="AO68" s="55">
        <v>6.4255474776132644</v>
      </c>
      <c r="AP68" s="55">
        <v>6.4255474776132644</v>
      </c>
      <c r="AQ68" s="55">
        <v>6.4255474776132644</v>
      </c>
      <c r="AR68" s="55">
        <f>SUM(AF68:AQ68)</f>
        <v>111.55614360293279</v>
      </c>
      <c r="AS68" s="72">
        <f>Z68-AR68</f>
        <v>538.44385639706718</v>
      </c>
      <c r="AT68" s="55"/>
      <c r="AU68" s="55"/>
      <c r="AV68" s="55">
        <f t="shared" si="2"/>
        <v>6.4255474776132644</v>
      </c>
      <c r="AW68" s="55">
        <f t="shared" si="2"/>
        <v>6.4255474776132644</v>
      </c>
      <c r="AX68" s="55">
        <f t="shared" si="2"/>
        <v>6.4255474776132644</v>
      </c>
      <c r="AY68" s="55">
        <f t="shared" si="2"/>
        <v>6.4255474776132644</v>
      </c>
      <c r="AZ68" s="55">
        <f t="shared" si="2"/>
        <v>6.4255474776132644</v>
      </c>
      <c r="BA68" s="57">
        <v>118.901</v>
      </c>
      <c r="BB68" s="84">
        <v>112.79</v>
      </c>
      <c r="BC68" s="55">
        <f>BA68/BB68</f>
        <v>1.0541803351360934</v>
      </c>
      <c r="BD68" s="55">
        <f>T68/(D68*12)</f>
        <v>6.25</v>
      </c>
      <c r="BE68" s="55">
        <f>BD68*BC68</f>
        <v>6.588627094600584</v>
      </c>
      <c r="BF68" s="55">
        <f t="shared" ref="BF68:BL69" si="56">$BE68</f>
        <v>6.588627094600584</v>
      </c>
      <c r="BG68" s="55">
        <f t="shared" si="56"/>
        <v>6.588627094600584</v>
      </c>
      <c r="BH68" s="55">
        <f t="shared" si="56"/>
        <v>6.588627094600584</v>
      </c>
      <c r="BI68" s="55">
        <f t="shared" si="56"/>
        <v>6.588627094600584</v>
      </c>
      <c r="BJ68" s="55">
        <f t="shared" si="56"/>
        <v>6.588627094600584</v>
      </c>
      <c r="BK68" s="55">
        <f t="shared" si="56"/>
        <v>6.588627094600584</v>
      </c>
      <c r="BL68" s="55">
        <f t="shared" si="56"/>
        <v>6.588627094600584</v>
      </c>
      <c r="BM68" s="55">
        <f>SUM((AV68:AZ68),(BF68:BL68))</f>
        <v>78.248127050270398</v>
      </c>
      <c r="BN68" s="448">
        <f>(AS68-BM68)</f>
        <v>460.19572934679678</v>
      </c>
      <c r="BO68" s="55">
        <f t="shared" ref="BO68:BS69" si="57">$BE68</f>
        <v>6.588627094600584</v>
      </c>
      <c r="BP68" s="55">
        <f t="shared" si="57"/>
        <v>6.588627094600584</v>
      </c>
      <c r="BQ68" s="55">
        <f t="shared" si="57"/>
        <v>6.588627094600584</v>
      </c>
      <c r="BR68" s="55">
        <f t="shared" si="57"/>
        <v>6.588627094600584</v>
      </c>
      <c r="BS68" s="55">
        <f t="shared" si="57"/>
        <v>6.588627094600584</v>
      </c>
      <c r="BT68" s="55">
        <f>SUM(BO68:BS68)</f>
        <v>32.943135473002918</v>
      </c>
      <c r="BU68" s="753">
        <f>BN68-BT68</f>
        <v>427.25259387379384</v>
      </c>
      <c r="BV68" s="448">
        <v>491.90224089014987</v>
      </c>
      <c r="BW68" s="57">
        <v>132.28200000000001</v>
      </c>
      <c r="BX68" s="84">
        <v>112.79</v>
      </c>
      <c r="BY68" s="55">
        <f>BW68/BX68</f>
        <v>1.1728167390726127</v>
      </c>
      <c r="BZ68" s="55">
        <f>BV68/L68</f>
        <v>7.2338564836786743</v>
      </c>
      <c r="CA68" s="55">
        <f>BZ68*BY68</f>
        <v>8.4839879721073004</v>
      </c>
      <c r="CB68" s="55">
        <v>6.8911670434482302</v>
      </c>
      <c r="CC68" s="55">
        <v>6.8911670434482302</v>
      </c>
      <c r="CD68" s="55">
        <v>6.8911670434482302</v>
      </c>
      <c r="CE68" s="55">
        <v>6.8911670434482302</v>
      </c>
      <c r="CF68" s="55">
        <v>6.8911670434482302</v>
      </c>
      <c r="CG68" s="55">
        <v>6.8911670434482302</v>
      </c>
      <c r="CH68" s="55">
        <v>6.8911670434482302</v>
      </c>
      <c r="CI68" s="55">
        <f>SUM(CB68:CH68)</f>
        <v>48.238169304137607</v>
      </c>
      <c r="CJ68" s="448">
        <f>BV68-CI68</f>
        <v>443.66407158601226</v>
      </c>
      <c r="CK68" s="55">
        <v>6.8911670434482302</v>
      </c>
      <c r="CL68" s="55">
        <v>6.8911670434482302</v>
      </c>
      <c r="CM68" s="55">
        <v>6.8911670434482302</v>
      </c>
      <c r="CN68" s="55">
        <v>6.8911670434482302</v>
      </c>
      <c r="CO68" s="55">
        <v>6.8911670434482302</v>
      </c>
      <c r="CP68" s="505">
        <f>SUM(CK68:CO68)</f>
        <v>34.455835217241152</v>
      </c>
      <c r="CQ68" s="679">
        <f>CJ68-CP68</f>
        <v>409.20823636877111</v>
      </c>
      <c r="CR68" s="956">
        <v>132.28200000000001</v>
      </c>
      <c r="CS68" s="84">
        <v>112.79</v>
      </c>
      <c r="CT68" s="957">
        <f>CR68/CS68</f>
        <v>1.1728167390726127</v>
      </c>
      <c r="CU68" s="511">
        <f>CQ68/N68</f>
        <v>7.8693891609379056</v>
      </c>
      <c r="CV68" s="511">
        <f>CU68*CT68</f>
        <v>9.2293513342245586</v>
      </c>
      <c r="CW68" s="511">
        <v>9.2293513342245586</v>
      </c>
      <c r="CX68" s="511">
        <v>9.2293513342245586</v>
      </c>
      <c r="CY68" s="511">
        <v>9.2293513342245586</v>
      </c>
      <c r="CZ68" s="511">
        <v>9.2293513342245586</v>
      </c>
      <c r="DA68" s="511">
        <v>9.2293513342245586</v>
      </c>
      <c r="DB68" s="511">
        <v>9.2293513342245586</v>
      </c>
      <c r="DC68" s="511">
        <v>9.2293513342245586</v>
      </c>
      <c r="DD68" s="511">
        <v>9.2293513342245586</v>
      </c>
      <c r="DE68" s="511">
        <v>9.2293513342245586</v>
      </c>
      <c r="DF68" s="511">
        <v>9.2293513342245586</v>
      </c>
      <c r="DG68" s="511">
        <v>9.2293513342245586</v>
      </c>
      <c r="DH68" s="511">
        <v>9.2293513342245586</v>
      </c>
      <c r="DI68" s="511">
        <v>9.2293513342245586</v>
      </c>
      <c r="DJ68" s="511">
        <v>9.2293513342245586</v>
      </c>
      <c r="DK68" s="511">
        <v>9.2293513342245586</v>
      </c>
      <c r="DL68" s="511">
        <v>9.2293513342245586</v>
      </c>
      <c r="DM68" s="511">
        <v>9.2293513342245586</v>
      </c>
      <c r="DN68" s="511">
        <v>9.2293513342245586</v>
      </c>
      <c r="DO68" s="511">
        <f t="shared" si="4"/>
        <v>166.12832401604206</v>
      </c>
      <c r="DP68" s="960">
        <f>CQ68-DO68</f>
        <v>243.07991235272905</v>
      </c>
    </row>
    <row r="69" spans="1:120" s="16" customFormat="1" x14ac:dyDescent="0.2">
      <c r="A69" s="20" t="s">
        <v>264</v>
      </c>
      <c r="B69" s="100" t="s">
        <v>257</v>
      </c>
      <c r="C69" s="45" t="s">
        <v>352</v>
      </c>
      <c r="D69" s="58">
        <v>10</v>
      </c>
      <c r="E69" s="30">
        <v>0.1</v>
      </c>
      <c r="F69" s="46">
        <v>43281</v>
      </c>
      <c r="G69" s="125">
        <v>120</v>
      </c>
      <c r="H69" s="145">
        <f>100/G69</f>
        <v>0.83333333333333337</v>
      </c>
      <c r="I69" s="165">
        <f>H69*J69</f>
        <v>43.333333333333336</v>
      </c>
      <c r="J69" s="48">
        <f>(YEAR(F69)-YEAR(S69))*12+MONTH(F69)-MONTH(S69)</f>
        <v>52</v>
      </c>
      <c r="K69" s="165">
        <f>L69*H69</f>
        <v>56.666666666666671</v>
      </c>
      <c r="L69" s="48">
        <f>G69-J69</f>
        <v>68</v>
      </c>
      <c r="M69" s="165">
        <f>N69*H69</f>
        <v>43.333333333333336</v>
      </c>
      <c r="N69" s="48">
        <f>G69-L69</f>
        <v>52</v>
      </c>
      <c r="O69" s="165">
        <f>K69-M69</f>
        <v>13.333333333333336</v>
      </c>
      <c r="P69" s="48">
        <f>L69-N69</f>
        <v>16</v>
      </c>
      <c r="Q69" s="462">
        <f>DATE(YEAR(S69),MONTH(S69)+G69,DAY(S69))</f>
        <v>45337</v>
      </c>
      <c r="R69" s="125" t="s">
        <v>360</v>
      </c>
      <c r="S69" s="20">
        <v>41685</v>
      </c>
      <c r="T69" s="5">
        <v>750</v>
      </c>
      <c r="U69" s="72"/>
      <c r="V69" s="154">
        <v>68.75</v>
      </c>
      <c r="W69" s="154">
        <v>681.25</v>
      </c>
      <c r="X69" s="55">
        <v>6.25</v>
      </c>
      <c r="Y69" s="106">
        <f>X69*5</f>
        <v>31.25</v>
      </c>
      <c r="Z69" s="258">
        <f>W69-Y69</f>
        <v>650</v>
      </c>
      <c r="AA69" s="57">
        <v>115.958</v>
      </c>
      <c r="AB69" s="84">
        <v>112.79</v>
      </c>
      <c r="AC69" s="57">
        <f>AA69/AB69</f>
        <v>1.0280875964181222</v>
      </c>
      <c r="AD69" s="55">
        <f>Z69*M69/100/K69*100/7</f>
        <v>71.008403361344534</v>
      </c>
      <c r="AE69" s="55">
        <f>AD69*AC69</f>
        <v>73.002858737253206</v>
      </c>
      <c r="AF69" s="55"/>
      <c r="AG69" s="55"/>
      <c r="AH69" s="55"/>
      <c r="AI69" s="55"/>
      <c r="AJ69" s="55"/>
      <c r="AK69" s="55">
        <f>AE69</f>
        <v>73.002858737253206</v>
      </c>
      <c r="AL69" s="55">
        <v>6.4255474776132644</v>
      </c>
      <c r="AM69" s="55">
        <v>6.4255474776132644</v>
      </c>
      <c r="AN69" s="55">
        <v>6.4255474776132644</v>
      </c>
      <c r="AO69" s="55">
        <v>6.4255474776132644</v>
      </c>
      <c r="AP69" s="55">
        <v>6.4255474776132644</v>
      </c>
      <c r="AQ69" s="55">
        <v>6.4255474776132644</v>
      </c>
      <c r="AR69" s="55">
        <f>SUM(AF69:AQ69)</f>
        <v>111.55614360293279</v>
      </c>
      <c r="AS69" s="72">
        <f>Z69-AR69</f>
        <v>538.44385639706718</v>
      </c>
      <c r="AT69" s="55"/>
      <c r="AU69" s="55"/>
      <c r="AV69" s="55">
        <f t="shared" si="2"/>
        <v>6.4255474776132644</v>
      </c>
      <c r="AW69" s="55">
        <f t="shared" si="2"/>
        <v>6.4255474776132644</v>
      </c>
      <c r="AX69" s="55">
        <f t="shared" si="2"/>
        <v>6.4255474776132644</v>
      </c>
      <c r="AY69" s="55">
        <f t="shared" si="2"/>
        <v>6.4255474776132644</v>
      </c>
      <c r="AZ69" s="55">
        <f t="shared" si="2"/>
        <v>6.4255474776132644</v>
      </c>
      <c r="BA69" s="57">
        <v>118.901</v>
      </c>
      <c r="BB69" s="84">
        <v>112.79</v>
      </c>
      <c r="BC69" s="55">
        <f>BA69/BB69</f>
        <v>1.0541803351360934</v>
      </c>
      <c r="BD69" s="55">
        <f>T69/(D69*12)</f>
        <v>6.25</v>
      </c>
      <c r="BE69" s="55">
        <f>BD69*BC69</f>
        <v>6.588627094600584</v>
      </c>
      <c r="BF69" s="55">
        <f t="shared" si="56"/>
        <v>6.588627094600584</v>
      </c>
      <c r="BG69" s="55">
        <f t="shared" si="56"/>
        <v>6.588627094600584</v>
      </c>
      <c r="BH69" s="55">
        <f t="shared" si="56"/>
        <v>6.588627094600584</v>
      </c>
      <c r="BI69" s="55">
        <f t="shared" si="56"/>
        <v>6.588627094600584</v>
      </c>
      <c r="BJ69" s="55">
        <f t="shared" si="56"/>
        <v>6.588627094600584</v>
      </c>
      <c r="BK69" s="55">
        <f t="shared" si="56"/>
        <v>6.588627094600584</v>
      </c>
      <c r="BL69" s="55">
        <f t="shared" si="56"/>
        <v>6.588627094600584</v>
      </c>
      <c r="BM69" s="55">
        <f>SUM((AV69:AZ69),(BF69:BL69))</f>
        <v>78.248127050270398</v>
      </c>
      <c r="BN69" s="448">
        <f>(AS69-BM69)</f>
        <v>460.19572934679678</v>
      </c>
      <c r="BO69" s="55">
        <f t="shared" si="57"/>
        <v>6.588627094600584</v>
      </c>
      <c r="BP69" s="55">
        <f t="shared" si="57"/>
        <v>6.588627094600584</v>
      </c>
      <c r="BQ69" s="55">
        <f t="shared" si="57"/>
        <v>6.588627094600584</v>
      </c>
      <c r="BR69" s="55">
        <f t="shared" si="57"/>
        <v>6.588627094600584</v>
      </c>
      <c r="BS69" s="55">
        <f t="shared" si="57"/>
        <v>6.588627094600584</v>
      </c>
      <c r="BT69" s="55">
        <f>SUM(BO69:BS69)</f>
        <v>32.943135473002918</v>
      </c>
      <c r="BU69" s="753">
        <f>BN69-BT69</f>
        <v>427.25259387379384</v>
      </c>
      <c r="BV69" s="448">
        <v>491.90224089014987</v>
      </c>
      <c r="BW69" s="57">
        <v>132.28200000000001</v>
      </c>
      <c r="BX69" s="84">
        <v>112.79</v>
      </c>
      <c r="BY69" s="55">
        <f>BW69/BX69</f>
        <v>1.1728167390726127</v>
      </c>
      <c r="BZ69" s="55">
        <f>BV69/L69</f>
        <v>7.2338564836786743</v>
      </c>
      <c r="CA69" s="55">
        <f>BZ69*BY69</f>
        <v>8.4839879721073004</v>
      </c>
      <c r="CB69" s="55">
        <v>6.8911670434482302</v>
      </c>
      <c r="CC69" s="55">
        <v>6.8911670434482302</v>
      </c>
      <c r="CD69" s="55">
        <v>6.8911670434482302</v>
      </c>
      <c r="CE69" s="55">
        <v>6.8911670434482302</v>
      </c>
      <c r="CF69" s="55">
        <v>6.8911670434482302</v>
      </c>
      <c r="CG69" s="55">
        <v>6.8911670434482302</v>
      </c>
      <c r="CH69" s="55">
        <v>6.8911670434482302</v>
      </c>
      <c r="CI69" s="55">
        <f>SUM(CB69:CH69)</f>
        <v>48.238169304137607</v>
      </c>
      <c r="CJ69" s="448">
        <f>BV69-CI69</f>
        <v>443.66407158601226</v>
      </c>
      <c r="CK69" s="55">
        <v>6.8911670434482302</v>
      </c>
      <c r="CL69" s="55">
        <v>6.8911670434482302</v>
      </c>
      <c r="CM69" s="55">
        <v>6.8911670434482302</v>
      </c>
      <c r="CN69" s="55">
        <v>6.8911670434482302</v>
      </c>
      <c r="CO69" s="55">
        <v>6.8911670434482302</v>
      </c>
      <c r="CP69" s="505">
        <f>SUM(CK69:CO69)</f>
        <v>34.455835217241152</v>
      </c>
      <c r="CQ69" s="679">
        <f>CJ69-CP69</f>
        <v>409.20823636877111</v>
      </c>
      <c r="CR69" s="956">
        <v>132.28200000000001</v>
      </c>
      <c r="CS69" s="84">
        <v>112.79</v>
      </c>
      <c r="CT69" s="957">
        <f>CR69/CS69</f>
        <v>1.1728167390726127</v>
      </c>
      <c r="CU69" s="511">
        <f>CQ69/N69</f>
        <v>7.8693891609379056</v>
      </c>
      <c r="CV69" s="511">
        <f>CU69*CT69</f>
        <v>9.2293513342245586</v>
      </c>
      <c r="CW69" s="511">
        <v>9.2293513342245586</v>
      </c>
      <c r="CX69" s="511">
        <v>9.2293513342245586</v>
      </c>
      <c r="CY69" s="511">
        <v>9.2293513342245586</v>
      </c>
      <c r="CZ69" s="511">
        <v>9.2293513342245586</v>
      </c>
      <c r="DA69" s="511">
        <v>9.2293513342245586</v>
      </c>
      <c r="DB69" s="511">
        <v>9.2293513342245586</v>
      </c>
      <c r="DC69" s="511">
        <v>9.2293513342245586</v>
      </c>
      <c r="DD69" s="511">
        <v>9.2293513342245586</v>
      </c>
      <c r="DE69" s="511">
        <v>9.2293513342245586</v>
      </c>
      <c r="DF69" s="511">
        <v>9.2293513342245586</v>
      </c>
      <c r="DG69" s="511">
        <v>9.2293513342245586</v>
      </c>
      <c r="DH69" s="511">
        <v>9.2293513342245586</v>
      </c>
      <c r="DI69" s="511">
        <v>9.2293513342245586</v>
      </c>
      <c r="DJ69" s="511">
        <v>9.2293513342245586</v>
      </c>
      <c r="DK69" s="511">
        <v>9.2293513342245586</v>
      </c>
      <c r="DL69" s="511">
        <v>9.2293513342245586</v>
      </c>
      <c r="DM69" s="511">
        <v>9.2293513342245586</v>
      </c>
      <c r="DN69" s="511">
        <v>9.2293513342245586</v>
      </c>
      <c r="DO69" s="511">
        <f t="shared" si="4"/>
        <v>166.12832401604206</v>
      </c>
      <c r="DP69" s="960">
        <f>CQ69-DO69</f>
        <v>243.07991235272905</v>
      </c>
    </row>
    <row r="70" spans="1:120" s="16" customFormat="1" x14ac:dyDescent="0.2">
      <c r="A70" s="26" t="s">
        <v>126</v>
      </c>
      <c r="B70" s="26"/>
      <c r="C70" s="124"/>
      <c r="D70" s="111"/>
      <c r="E70" s="25"/>
      <c r="F70" s="46"/>
      <c r="G70" s="125"/>
      <c r="H70" s="145"/>
      <c r="I70" s="165"/>
      <c r="J70" s="48"/>
      <c r="K70" s="165"/>
      <c r="L70" s="48"/>
      <c r="M70" s="165"/>
      <c r="N70" s="48"/>
      <c r="O70" s="165"/>
      <c r="P70" s="48"/>
      <c r="Q70" s="48"/>
      <c r="R70" s="125"/>
      <c r="S70" s="119"/>
      <c r="T70" s="7"/>
      <c r="U70" s="72"/>
      <c r="V70" s="154"/>
      <c r="W70" s="154"/>
      <c r="X70" s="55"/>
      <c r="Y70" s="106"/>
      <c r="Z70" s="258"/>
      <c r="AA70" s="57"/>
      <c r="AB70" s="140"/>
      <c r="AC70" s="57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72"/>
      <c r="AT70" s="55"/>
      <c r="AU70" s="55"/>
      <c r="AV70" s="55">
        <f>$AQ70</f>
        <v>0</v>
      </c>
      <c r="AW70" s="55">
        <f>$AQ70</f>
        <v>0</v>
      </c>
      <c r="AX70" s="55">
        <f>$AQ70</f>
        <v>0</v>
      </c>
      <c r="AY70" s="55">
        <f>$AQ70</f>
        <v>0</v>
      </c>
      <c r="AZ70" s="55">
        <f>$AQ70</f>
        <v>0</v>
      </c>
      <c r="BA70" s="57"/>
      <c r="BB70" s="140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448"/>
      <c r="BO70" s="55"/>
      <c r="BP70" s="55"/>
      <c r="BQ70" s="55"/>
      <c r="BR70" s="55"/>
      <c r="BS70" s="55"/>
      <c r="BT70" s="55"/>
      <c r="BU70" s="55"/>
      <c r="BV70" s="448"/>
      <c r="BW70" s="57"/>
      <c r="BX70" s="140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448"/>
      <c r="CK70" s="55"/>
      <c r="CL70" s="55"/>
      <c r="CM70" s="55"/>
      <c r="CN70" s="55"/>
      <c r="CO70" s="55"/>
      <c r="CP70" s="505"/>
      <c r="CQ70" s="679"/>
      <c r="CR70" s="511"/>
      <c r="CS70" s="140"/>
      <c r="CT70" s="957"/>
      <c r="CU70" s="511"/>
      <c r="CV70" s="511"/>
      <c r="CW70" s="511"/>
      <c r="CX70" s="511"/>
      <c r="CY70" s="511"/>
      <c r="CZ70" s="511"/>
      <c r="DA70" s="511"/>
      <c r="DB70" s="511"/>
      <c r="DC70" s="511"/>
      <c r="DD70" s="511"/>
      <c r="DE70" s="511"/>
      <c r="DF70" s="511"/>
      <c r="DG70" s="511"/>
      <c r="DH70" s="511"/>
      <c r="DI70" s="511"/>
      <c r="DJ70" s="511"/>
      <c r="DK70" s="511"/>
      <c r="DL70" s="511"/>
      <c r="DM70" s="511"/>
      <c r="DN70" s="511"/>
      <c r="DO70" s="511">
        <f t="shared" si="4"/>
        <v>0</v>
      </c>
      <c r="DP70" s="1029"/>
    </row>
    <row r="71" spans="1:120" s="16" customFormat="1" x14ac:dyDescent="0.2">
      <c r="A71" s="120" t="s">
        <v>983</v>
      </c>
      <c r="B71" s="9"/>
      <c r="C71" s="45"/>
      <c r="D71" s="58"/>
      <c r="E71" s="30"/>
      <c r="F71" s="20"/>
      <c r="G71" s="125"/>
      <c r="H71" s="145"/>
      <c r="I71" s="165"/>
      <c r="J71" s="48"/>
      <c r="K71" s="165"/>
      <c r="L71" s="48"/>
      <c r="M71" s="165"/>
      <c r="N71" s="48"/>
      <c r="O71" s="165"/>
      <c r="P71" s="48"/>
      <c r="Q71" s="48"/>
      <c r="R71" s="125"/>
      <c r="S71" s="128"/>
      <c r="T71" s="7"/>
      <c r="U71" s="72"/>
      <c r="V71" s="154"/>
      <c r="W71" s="154"/>
      <c r="X71" s="55"/>
      <c r="Y71" s="106"/>
      <c r="Z71" s="258"/>
      <c r="AA71" s="57"/>
      <c r="AB71" s="84"/>
      <c r="AC71" s="57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72"/>
      <c r="AT71" s="55"/>
      <c r="AU71" s="55"/>
      <c r="AV71" s="55"/>
      <c r="AW71" s="55"/>
      <c r="AX71" s="55"/>
      <c r="AY71" s="55"/>
      <c r="AZ71" s="55"/>
      <c r="BA71" s="57"/>
      <c r="BB71" s="84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448"/>
      <c r="BO71" s="55"/>
      <c r="BP71" s="55"/>
      <c r="BQ71" s="55"/>
      <c r="BR71" s="55"/>
      <c r="BS71" s="55"/>
      <c r="BT71" s="55"/>
      <c r="BU71" s="55"/>
      <c r="BV71" s="448"/>
      <c r="BW71" s="57"/>
      <c r="BX71" s="84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448"/>
      <c r="CK71" s="55"/>
      <c r="CL71" s="55"/>
      <c r="CM71" s="55"/>
      <c r="CN71" s="55"/>
      <c r="CO71" s="55"/>
      <c r="CP71" s="505"/>
      <c r="CQ71" s="679"/>
      <c r="CR71" s="623"/>
      <c r="CS71" s="84"/>
      <c r="CT71" s="957"/>
      <c r="CU71" s="511"/>
      <c r="CV71" s="511"/>
      <c r="CW71" s="511"/>
      <c r="CX71" s="511"/>
      <c r="CY71" s="511"/>
      <c r="CZ71" s="511"/>
      <c r="DA71" s="511"/>
      <c r="DB71" s="511"/>
      <c r="DC71" s="511"/>
      <c r="DD71" s="511"/>
      <c r="DE71" s="511"/>
      <c r="DF71" s="511"/>
      <c r="DG71" s="511"/>
      <c r="DH71" s="511"/>
      <c r="DI71" s="511"/>
      <c r="DJ71" s="511"/>
      <c r="DK71" s="511"/>
      <c r="DL71" s="511"/>
      <c r="DM71" s="511"/>
      <c r="DN71" s="511"/>
      <c r="DO71" s="511">
        <f t="shared" si="4"/>
        <v>0</v>
      </c>
      <c r="DP71" s="1029"/>
    </row>
    <row r="72" spans="1:120" s="16" customFormat="1" x14ac:dyDescent="0.2">
      <c r="A72" s="411" t="s">
        <v>984</v>
      </c>
      <c r="B72" s="411" t="s">
        <v>985</v>
      </c>
      <c r="C72" s="423" t="s">
        <v>986</v>
      </c>
      <c r="D72" s="424">
        <v>10</v>
      </c>
      <c r="E72" s="425">
        <v>0.1</v>
      </c>
      <c r="F72" s="46">
        <v>43281</v>
      </c>
      <c r="G72" s="424">
        <f>D72*12</f>
        <v>120</v>
      </c>
      <c r="H72" s="413">
        <f>100/G72</f>
        <v>0.83333333333333337</v>
      </c>
      <c r="I72" s="165">
        <f>H72*J72</f>
        <v>24.166666666666668</v>
      </c>
      <c r="J72" s="48">
        <f>(YEAR(F72)-YEAR(S72))*12+MONTH(F72)-MONTH(S72)</f>
        <v>29</v>
      </c>
      <c r="K72" s="414">
        <f>L72*H72</f>
        <v>75.833333333333343</v>
      </c>
      <c r="L72" s="412">
        <f>G72-J72</f>
        <v>91</v>
      </c>
      <c r="M72" s="165">
        <f>N72*H72</f>
        <v>24.166666666666668</v>
      </c>
      <c r="N72" s="48">
        <f>G72-L72</f>
        <v>29</v>
      </c>
      <c r="O72" s="414">
        <f>P72*H72</f>
        <v>51.666666666666671</v>
      </c>
      <c r="P72" s="412">
        <f>L72-N72</f>
        <v>62</v>
      </c>
      <c r="Q72" s="462">
        <f>DATE(YEAR(S72),MONTH(S72)+G72,DAY(S72))</f>
        <v>46028</v>
      </c>
      <c r="R72" s="426" t="s">
        <v>987</v>
      </c>
      <c r="S72" s="415">
        <v>42375</v>
      </c>
      <c r="T72" s="416">
        <v>35288.6</v>
      </c>
      <c r="U72" s="427">
        <v>0</v>
      </c>
      <c r="V72" s="417">
        <v>0</v>
      </c>
      <c r="W72" s="428"/>
      <c r="X72" s="418">
        <v>115.958</v>
      </c>
      <c r="Y72" s="428"/>
      <c r="Z72" s="418">
        <v>0</v>
      </c>
      <c r="AA72" s="418">
        <v>115.958</v>
      </c>
      <c r="AB72" s="419">
        <v>119.505</v>
      </c>
      <c r="AC72" s="420">
        <f>AA72/AB72</f>
        <v>0.97031923350487426</v>
      </c>
      <c r="AD72" s="420"/>
      <c r="AE72" s="420"/>
      <c r="AF72" s="420"/>
      <c r="AG72" s="420"/>
      <c r="AH72" s="420"/>
      <c r="AI72" s="420"/>
      <c r="AJ72" s="420"/>
      <c r="AK72" s="420"/>
      <c r="AL72" s="420"/>
      <c r="AM72" s="420"/>
      <c r="AN72" s="420">
        <v>0</v>
      </c>
      <c r="AO72" s="420">
        <v>0</v>
      </c>
      <c r="AP72" s="421">
        <v>0</v>
      </c>
      <c r="AQ72" s="420">
        <v>0</v>
      </c>
      <c r="AR72" s="420">
        <v>0</v>
      </c>
      <c r="AS72" s="420">
        <f>T72</f>
        <v>35288.6</v>
      </c>
      <c r="AT72" s="55">
        <f>(AS72*E72)/12</f>
        <v>294.07166666666666</v>
      </c>
      <c r="AU72" s="55">
        <f>AC72*AT72</f>
        <v>285.34339419550088</v>
      </c>
      <c r="AV72" s="55">
        <f>AU72</f>
        <v>285.34339419550088</v>
      </c>
      <c r="AW72" s="55">
        <f>AV72</f>
        <v>285.34339419550088</v>
      </c>
      <c r="AX72" s="55">
        <f>AW72</f>
        <v>285.34339419550088</v>
      </c>
      <c r="AY72" s="55">
        <f>AX72</f>
        <v>285.34339419550088</v>
      </c>
      <c r="AZ72" s="55">
        <f>AY72</f>
        <v>285.34339419550088</v>
      </c>
      <c r="BA72" s="57">
        <v>118.901</v>
      </c>
      <c r="BB72" s="419">
        <v>119.505</v>
      </c>
      <c r="BC72" s="55">
        <f>BA72/BB72</f>
        <v>0.99494581816660388</v>
      </c>
      <c r="BD72" s="55">
        <f>T72/(D72*12)</f>
        <v>294.07166666666666</v>
      </c>
      <c r="BE72" s="55">
        <f>BD72*BC72</f>
        <v>292.58537499128346</v>
      </c>
      <c r="BF72" s="55">
        <f t="shared" ref="BF72:BL72" si="58">$BE72</f>
        <v>292.58537499128346</v>
      </c>
      <c r="BG72" s="55">
        <f t="shared" si="58"/>
        <v>292.58537499128346</v>
      </c>
      <c r="BH72" s="55">
        <f t="shared" si="58"/>
        <v>292.58537499128346</v>
      </c>
      <c r="BI72" s="55">
        <f t="shared" si="58"/>
        <v>292.58537499128346</v>
      </c>
      <c r="BJ72" s="55">
        <f t="shared" si="58"/>
        <v>292.58537499128346</v>
      </c>
      <c r="BK72" s="55">
        <f t="shared" si="58"/>
        <v>292.58537499128346</v>
      </c>
      <c r="BL72" s="55">
        <f t="shared" si="58"/>
        <v>292.58537499128346</v>
      </c>
      <c r="BM72" s="55">
        <f>SUM((AV72:AZ72),(BF72:BL72))</f>
        <v>3474.814595916489</v>
      </c>
      <c r="BN72" s="448">
        <f>(AS72-BM72)</f>
        <v>31813.785404083508</v>
      </c>
      <c r="BO72" s="55">
        <f>$BE72</f>
        <v>292.58537499128346</v>
      </c>
      <c r="BP72" s="55">
        <f>$BE72</f>
        <v>292.58537499128346</v>
      </c>
      <c r="BQ72" s="55">
        <f>$BE72</f>
        <v>292.58537499128346</v>
      </c>
      <c r="BR72" s="55">
        <f>$BE72</f>
        <v>292.58537499128346</v>
      </c>
      <c r="BS72" s="55">
        <f>$BE72</f>
        <v>292.58537499128346</v>
      </c>
      <c r="BT72" s="55">
        <f>SUM(BO72:BS72)</f>
        <v>1462.9268749564174</v>
      </c>
      <c r="BU72" s="753">
        <f>BN72-BT72</f>
        <v>30350.85852912709</v>
      </c>
      <c r="BV72" s="448">
        <v>30350.85852912709</v>
      </c>
      <c r="BW72" s="57">
        <v>132.28200000000001</v>
      </c>
      <c r="BX72" s="419">
        <v>119.505</v>
      </c>
      <c r="BY72" s="55">
        <f>BW72/BX72</f>
        <v>1.1069160286180495</v>
      </c>
      <c r="BZ72" s="55">
        <f>BV72/L72</f>
        <v>333.52591790249551</v>
      </c>
      <c r="CA72" s="55">
        <f>BZ72*BY72</f>
        <v>369.18518448581995</v>
      </c>
      <c r="CB72" s="55">
        <v>267.53352892835011</v>
      </c>
      <c r="CC72" s="55">
        <v>267.53352892835011</v>
      </c>
      <c r="CD72" s="55">
        <v>267.53352892835011</v>
      </c>
      <c r="CE72" s="55">
        <v>267.53352892835011</v>
      </c>
      <c r="CF72" s="55">
        <v>267.53352892835011</v>
      </c>
      <c r="CG72" s="55">
        <v>267.53352892835011</v>
      </c>
      <c r="CH72" s="55">
        <v>267.53352892835011</v>
      </c>
      <c r="CI72" s="55">
        <f>SUM(CB72:CH72)</f>
        <v>1872.7347024984506</v>
      </c>
      <c r="CJ72" s="448">
        <f>BV72-CI72</f>
        <v>28478.123826628638</v>
      </c>
      <c r="CK72" s="55">
        <v>267.53352892835011</v>
      </c>
      <c r="CL72" s="55">
        <v>267.53352892835011</v>
      </c>
      <c r="CM72" s="55">
        <v>267.53352892835011</v>
      </c>
      <c r="CN72" s="55">
        <v>267.53352892835011</v>
      </c>
      <c r="CO72" s="55">
        <v>267.53352892835011</v>
      </c>
      <c r="CP72" s="505">
        <f>SUM(CK72:CO72)</f>
        <v>1337.6676446417505</v>
      </c>
      <c r="CQ72" s="679">
        <f>CJ72-CP72</f>
        <v>27140.456181986887</v>
      </c>
      <c r="CR72" s="956">
        <v>132.28200000000001</v>
      </c>
      <c r="CS72" s="419">
        <v>119.505</v>
      </c>
      <c r="CT72" s="957">
        <f>CR72/CS72</f>
        <v>1.1069160286180495</v>
      </c>
      <c r="CU72" s="511">
        <f>CQ72/N72</f>
        <v>935.87779937885819</v>
      </c>
      <c r="CV72" s="511">
        <f>CU72*CT72</f>
        <v>1035.9381369602454</v>
      </c>
      <c r="CW72" s="511">
        <v>1035.9381369602454</v>
      </c>
      <c r="CX72" s="511">
        <v>1035.9381369602454</v>
      </c>
      <c r="CY72" s="511">
        <v>1035.9381369602454</v>
      </c>
      <c r="CZ72" s="511">
        <v>1035.9381369602454</v>
      </c>
      <c r="DA72" s="511">
        <v>1035.9381369602454</v>
      </c>
      <c r="DB72" s="511">
        <v>1035.9381369602454</v>
      </c>
      <c r="DC72" s="511">
        <v>1035.9381369602454</v>
      </c>
      <c r="DD72" s="511">
        <v>1035.9381369602454</v>
      </c>
      <c r="DE72" s="511">
        <v>1035.9381369602454</v>
      </c>
      <c r="DF72" s="511">
        <v>1035.9381369602454</v>
      </c>
      <c r="DG72" s="511">
        <v>1035.9381369602454</v>
      </c>
      <c r="DH72" s="511">
        <v>1035.9381369602454</v>
      </c>
      <c r="DI72" s="511">
        <v>1035.9381369602454</v>
      </c>
      <c r="DJ72" s="511">
        <v>1035.9381369602454</v>
      </c>
      <c r="DK72" s="511">
        <v>1035.9381369602454</v>
      </c>
      <c r="DL72" s="511">
        <v>1035.9381369602454</v>
      </c>
      <c r="DM72" s="511">
        <v>1035.9381369602454</v>
      </c>
      <c r="DN72" s="511">
        <v>1035.9381369602454</v>
      </c>
      <c r="DO72" s="511">
        <f t="shared" si="4"/>
        <v>18646.886465284417</v>
      </c>
      <c r="DP72" s="960">
        <f>CQ72-DO72</f>
        <v>8493.56971670247</v>
      </c>
    </row>
    <row r="73" spans="1:120" ht="15" x14ac:dyDescent="0.2">
      <c r="R73" s="175"/>
      <c r="V73" s="254"/>
      <c r="W73" s="254"/>
      <c r="X73" s="254">
        <f>SUM(X19:X69)</f>
        <v>425.33</v>
      </c>
      <c r="Y73" s="254"/>
      <c r="Z73" s="254"/>
      <c r="AD73" s="195"/>
      <c r="AE73" s="195"/>
      <c r="AF73" s="195" t="e">
        <f>SUM(#REF!)</f>
        <v>#REF!</v>
      </c>
      <c r="AG73" s="195" t="e">
        <f>SUM(#REF!)</f>
        <v>#REF!</v>
      </c>
      <c r="AH73" s="195" t="e">
        <f>SUM(#REF!)</f>
        <v>#REF!</v>
      </c>
      <c r="AI73" s="195" t="e">
        <f>SUM(#REF!)</f>
        <v>#REF!</v>
      </c>
      <c r="AJ73" s="195" t="e">
        <f>SUM(#REF!)</f>
        <v>#REF!</v>
      </c>
      <c r="AK73" s="254">
        <f>SUM(AK16:AK69)</f>
        <v>5322.9365924150388</v>
      </c>
      <c r="AL73" s="254"/>
      <c r="AM73" s="195"/>
      <c r="AN73" s="195"/>
      <c r="AO73" s="195"/>
      <c r="AP73" s="195">
        <f>SUM(AP16:AP69)</f>
        <v>447.69829089235429</v>
      </c>
      <c r="AQ73" s="254">
        <f>SUM(AQ15:AQ69)</f>
        <v>492.08651135074376</v>
      </c>
      <c r="AR73" s="254">
        <f>SUM(AR15:AR69)</f>
        <v>8091.8963377691653</v>
      </c>
      <c r="AS73" s="254">
        <f>SUM(AS15:AS69)</f>
        <v>40867.819745564171</v>
      </c>
      <c r="AV73" s="13">
        <f>SUM(AV14:AV72)</f>
        <v>777.42990554624464</v>
      </c>
      <c r="AW73" s="13">
        <f>SUM(AW14:AW72)</f>
        <v>777.42990554624464</v>
      </c>
      <c r="AX73" s="13">
        <f>SUM(AX14:AX72)</f>
        <v>777.42990554624464</v>
      </c>
      <c r="AY73" s="13">
        <f>SUM(AY14:AY72)</f>
        <v>791.41867449593985</v>
      </c>
      <c r="AZ73" s="13">
        <f>SUM(AZ14:AZ72)</f>
        <v>784.50990554624468</v>
      </c>
      <c r="BD73" s="195"/>
      <c r="BE73" s="195"/>
      <c r="BF73" s="13">
        <f t="shared" ref="BF73:BL73" si="59">SUM(BF14:BF72)</f>
        <v>803.95558479755005</v>
      </c>
      <c r="BG73" s="13">
        <f t="shared" si="59"/>
        <v>803.95558479755005</v>
      </c>
      <c r="BH73" s="13">
        <f t="shared" si="59"/>
        <v>803.95558479755005</v>
      </c>
      <c r="BI73" s="13">
        <f t="shared" si="59"/>
        <v>803.95558479755005</v>
      </c>
      <c r="BJ73" s="13">
        <f t="shared" si="59"/>
        <v>803.95558479755005</v>
      </c>
      <c r="BK73" s="13">
        <f t="shared" si="59"/>
        <v>803.95558479755005</v>
      </c>
      <c r="BL73" s="13">
        <f t="shared" si="59"/>
        <v>803.95558479755005</v>
      </c>
      <c r="BN73" s="13">
        <f>SUM(BN13:BN72)</f>
        <v>88520.512355300394</v>
      </c>
      <c r="BO73" s="13">
        <f t="shared" ref="BO73:BU73" si="60">SUM(BO14:BO72)</f>
        <v>811.22558479755003</v>
      </c>
      <c r="BP73" s="13">
        <f t="shared" si="60"/>
        <v>1345.0155847975498</v>
      </c>
      <c r="BQ73" s="13">
        <f t="shared" si="60"/>
        <v>1345.0155847975498</v>
      </c>
      <c r="BR73" s="13">
        <f t="shared" si="60"/>
        <v>1345.0155847975498</v>
      </c>
      <c r="BS73" s="13">
        <f t="shared" si="60"/>
        <v>1345.0155847975498</v>
      </c>
      <c r="BT73" s="13">
        <f t="shared" si="60"/>
        <v>6191.2879239877484</v>
      </c>
      <c r="BU73" s="13">
        <f t="shared" si="60"/>
        <v>82329.224431312658</v>
      </c>
      <c r="BV73" s="13">
        <f>SUM(BV13:BV72)</f>
        <v>87059.381601517423</v>
      </c>
      <c r="BW73" s="13"/>
      <c r="BX73" s="13"/>
      <c r="BY73" s="13">
        <f t="shared" ref="BY73:CI73" si="61">SUM(BY14:BY72)</f>
        <v>31.96765242607761</v>
      </c>
      <c r="BZ73" s="13">
        <f t="shared" si="61"/>
        <v>1588.176430631665</v>
      </c>
      <c r="CA73" s="13">
        <f>SUM(CA14:CA72)</f>
        <v>1724.583272192569</v>
      </c>
      <c r="CB73" s="13">
        <f t="shared" si="61"/>
        <v>816.711894940006</v>
      </c>
      <c r="CC73" s="13">
        <f t="shared" si="61"/>
        <v>816.711894940006</v>
      </c>
      <c r="CD73" s="13">
        <f>SUM(CD14:CD72)</f>
        <v>2418.0818949400059</v>
      </c>
      <c r="CE73" s="13">
        <f>SUM(CE13:CE72)</f>
        <v>1350.501894940006</v>
      </c>
      <c r="CF73" s="13">
        <f>SUM(CF13:CF72)</f>
        <v>1350.501894940006</v>
      </c>
      <c r="CG73" s="524">
        <f t="shared" si="61"/>
        <v>1350.501894940006</v>
      </c>
      <c r="CH73" s="524">
        <f t="shared" si="61"/>
        <v>1350.501894940006</v>
      </c>
      <c r="CI73" s="13">
        <f t="shared" si="61"/>
        <v>9453.5132645800422</v>
      </c>
      <c r="CJ73" s="13">
        <f t="shared" ref="CJ73:CO73" si="62">SUM(CJ13:CJ72)</f>
        <v>77605.86833693739</v>
      </c>
      <c r="CK73" s="13">
        <f t="shared" si="62"/>
        <v>1350.501894940006</v>
      </c>
      <c r="CL73" s="13">
        <f t="shared" si="62"/>
        <v>1350.501894940006</v>
      </c>
      <c r="CM73" s="603">
        <f t="shared" si="62"/>
        <v>1350.501894940006</v>
      </c>
      <c r="CN73" s="603">
        <f t="shared" si="62"/>
        <v>1350.501894940006</v>
      </c>
      <c r="CO73" s="603">
        <f t="shared" si="62"/>
        <v>1350.501894940006</v>
      </c>
      <c r="CP73" s="13">
        <f>SUM(CP14:CP72)</f>
        <v>6752.5094747000294</v>
      </c>
      <c r="CQ73" s="13">
        <f>SUM(CQ14:CQ72)</f>
        <v>70853.35886223735</v>
      </c>
      <c r="CR73" s="13">
        <f>SUM(CR13:CR72)</f>
        <v>3703.8960000000015</v>
      </c>
      <c r="CS73" s="13">
        <f>SUM(CS13:CS72)</f>
        <v>3255.2580000000016</v>
      </c>
      <c r="CT73" s="13">
        <f>SUM(CT13:CT72)</f>
        <v>31.96765242607761</v>
      </c>
      <c r="CU73" s="13">
        <f t="shared" ref="CU73:DP73" si="63">SUM(CU13:CU72)</f>
        <v>2479.5131983598153</v>
      </c>
      <c r="CV73" s="13">
        <f t="shared" si="63"/>
        <v>2761.0334987484948</v>
      </c>
      <c r="CW73" s="13">
        <f t="shared" si="63"/>
        <v>2761.0334987484948</v>
      </c>
      <c r="CX73" s="13">
        <f t="shared" si="63"/>
        <v>2743.9822535197518</v>
      </c>
      <c r="CY73" s="13">
        <f t="shared" si="63"/>
        <v>2689.6622535197521</v>
      </c>
      <c r="CZ73" s="13">
        <f t="shared" si="63"/>
        <v>2689.6622535197521</v>
      </c>
      <c r="DA73" s="13">
        <f t="shared" si="63"/>
        <v>2689.6622535197521</v>
      </c>
      <c r="DB73" s="603">
        <f t="shared" si="63"/>
        <v>2689.6622535197521</v>
      </c>
      <c r="DC73" s="13">
        <f t="shared" si="63"/>
        <v>2567.6686553463433</v>
      </c>
      <c r="DD73" s="13">
        <f t="shared" ref="DD73:DE73" si="64">SUM(DD13:DD72)</f>
        <v>2527.5359568137183</v>
      </c>
      <c r="DE73" s="13">
        <f t="shared" si="64"/>
        <v>2515.1559568137181</v>
      </c>
      <c r="DF73" s="13">
        <f t="shared" ref="DF73:DG73" si="65">SUM(DF13:DF72)</f>
        <v>2515.1559568137181</v>
      </c>
      <c r="DG73" s="13">
        <f t="shared" si="65"/>
        <v>2515.1559568137181</v>
      </c>
      <c r="DH73" s="13">
        <f t="shared" ref="DH73:DN73" si="66">SUM(DH13:DH72)</f>
        <v>2515.1559568137181</v>
      </c>
      <c r="DI73" s="13">
        <f t="shared" ref="DI73:DM73" si="67">SUM(DI13:DI72)</f>
        <v>2515.1559568137181</v>
      </c>
      <c r="DJ73" s="13">
        <f t="shared" si="67"/>
        <v>2515.1559568137181</v>
      </c>
      <c r="DK73" s="13">
        <f t="shared" si="67"/>
        <v>2515.1559568137181</v>
      </c>
      <c r="DL73" s="13">
        <f t="shared" si="67"/>
        <v>2515.1559568137181</v>
      </c>
      <c r="DM73" s="13">
        <f t="shared" si="67"/>
        <v>2498.889322569351</v>
      </c>
      <c r="DN73" s="13">
        <f t="shared" si="66"/>
        <v>2098.9329077469024</v>
      </c>
      <c r="DO73" s="13">
        <f t="shared" si="63"/>
        <v>46077.939263333305</v>
      </c>
      <c r="DP73" s="13">
        <f t="shared" si="63"/>
        <v>24775.419598904042</v>
      </c>
    </row>
    <row r="74" spans="1:120" s="104" customFormat="1" x14ac:dyDescent="0.2">
      <c r="A74" s="110" t="s">
        <v>315</v>
      </c>
      <c r="B74" s="87"/>
      <c r="C74" s="87"/>
      <c r="D74" s="88"/>
      <c r="E74" s="88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9"/>
      <c r="S74" s="89"/>
      <c r="T74" s="90"/>
      <c r="U74" s="90"/>
      <c r="V74" s="90"/>
      <c r="W74" s="90"/>
      <c r="X74" s="90"/>
      <c r="Z74"/>
      <c r="AA74"/>
      <c r="AB74" s="77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 s="69"/>
      <c r="AT74" s="103"/>
      <c r="AU74" s="103"/>
      <c r="BA74"/>
      <c r="BB74" s="77"/>
      <c r="BC74"/>
      <c r="BD74"/>
      <c r="BE74"/>
      <c r="BN74" s="104">
        <f>BN73-BO73-BP73</f>
        <v>86364.271185705293</v>
      </c>
      <c r="BT74"/>
      <c r="BU74"/>
      <c r="BW74"/>
      <c r="BX74" s="77"/>
      <c r="BY74"/>
      <c r="BZ74"/>
      <c r="CA74"/>
      <c r="CQ74" s="104">
        <f>CJ73-CP73</f>
        <v>70853.358862237365</v>
      </c>
      <c r="DP74" s="104">
        <f>CQ74-DO73</f>
        <v>24775.41959890406</v>
      </c>
    </row>
    <row r="75" spans="1:120" s="104" customFormat="1" x14ac:dyDescent="0.2">
      <c r="A75" s="238" t="s">
        <v>568</v>
      </c>
      <c r="B75" s="239"/>
      <c r="C75" s="239"/>
      <c r="D75" s="240"/>
      <c r="E75" s="240"/>
      <c r="F75"/>
      <c r="G75"/>
      <c r="H75"/>
      <c r="I75"/>
      <c r="J75"/>
      <c r="K75"/>
      <c r="L75"/>
      <c r="M75"/>
      <c r="N75"/>
      <c r="O75"/>
      <c r="P75"/>
      <c r="Q75"/>
      <c r="R75" s="19"/>
      <c r="S75" s="19"/>
      <c r="T75" s="12"/>
      <c r="U75" s="12"/>
      <c r="V75" s="12"/>
      <c r="W75" s="12"/>
      <c r="X75" s="12"/>
      <c r="Z75" s="255"/>
      <c r="AA75"/>
      <c r="AB75" s="85"/>
      <c r="AC75"/>
      <c r="AD75"/>
      <c r="AE75" s="12"/>
      <c r="AF75"/>
      <c r="AG75"/>
      <c r="AH75"/>
      <c r="AI75"/>
      <c r="AJ75"/>
      <c r="AK75"/>
      <c r="AL75"/>
      <c r="AM75"/>
      <c r="AN75"/>
      <c r="AO75"/>
      <c r="AP75"/>
      <c r="AQ75"/>
      <c r="AR75" s="386"/>
      <c r="AS75" s="69"/>
      <c r="AT75" s="103"/>
      <c r="AU75" s="103"/>
      <c r="BA75"/>
      <c r="BB75" s="85"/>
      <c r="BC75"/>
      <c r="BD75"/>
      <c r="BE75" s="12"/>
      <c r="BT75" s="12"/>
      <c r="BU75" s="12"/>
      <c r="BW75"/>
      <c r="BX75" s="85"/>
      <c r="BY75"/>
      <c r="BZ75"/>
      <c r="CA75" s="12"/>
      <c r="CJ75" s="104">
        <f>BV73-CI73</f>
        <v>77605.868336937376</v>
      </c>
    </row>
    <row r="76" spans="1:120" ht="30.75" hidden="1" customHeight="1" x14ac:dyDescent="0.2">
      <c r="A76" s="1271" t="s">
        <v>462</v>
      </c>
      <c r="B76" s="1271"/>
      <c r="C76" s="1271"/>
      <c r="D76" s="1271"/>
      <c r="E76" s="1271"/>
      <c r="F76" s="1271"/>
      <c r="G76" s="1271"/>
      <c r="H76" s="1271"/>
      <c r="I76" s="1271"/>
      <c r="J76" s="1271"/>
      <c r="K76" s="1271"/>
      <c r="L76" s="1271"/>
      <c r="M76" s="1271"/>
      <c r="N76" s="1271"/>
      <c r="O76" s="1271"/>
      <c r="P76" s="1271"/>
      <c r="Q76" s="1271"/>
      <c r="R76" s="1271"/>
      <c r="S76" s="1271"/>
      <c r="T76" s="1271"/>
      <c r="U76" s="1271"/>
      <c r="V76" s="1271"/>
      <c r="W76" s="1271"/>
      <c r="X76" s="1271"/>
      <c r="Y76" s="1271"/>
      <c r="Z76" s="1271"/>
      <c r="AA76" s="1271"/>
      <c r="AB76" s="171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BB76" s="171"/>
      <c r="BC76" s="170"/>
      <c r="BD76" s="170"/>
      <c r="BE76" s="170"/>
      <c r="BT76" s="170"/>
      <c r="BU76" s="170"/>
      <c r="BX76" s="171"/>
      <c r="BY76" s="170"/>
      <c r="BZ76" s="170"/>
      <c r="CA76" s="170"/>
    </row>
    <row r="77" spans="1:120" hidden="1" x14ac:dyDescent="0.2">
      <c r="A77" s="1271"/>
      <c r="B77" s="1271"/>
      <c r="C77" s="1271"/>
      <c r="D77" s="1271"/>
      <c r="E77" s="1271"/>
      <c r="F77" s="1271"/>
      <c r="G77" s="1271"/>
      <c r="H77" s="1271"/>
      <c r="I77" s="1271"/>
      <c r="J77" s="1271"/>
      <c r="K77" s="1271"/>
      <c r="L77" s="1271"/>
      <c r="M77" s="1271"/>
      <c r="N77" s="1271"/>
      <c r="O77" s="1271"/>
      <c r="P77" s="1271"/>
      <c r="Q77" s="1271"/>
      <c r="R77" s="1271"/>
      <c r="S77" s="1271"/>
      <c r="T77" s="1271"/>
      <c r="U77" s="1271"/>
      <c r="V77" s="1271"/>
      <c r="W77" s="1271"/>
      <c r="X77" s="1271"/>
      <c r="Y77" s="1271"/>
      <c r="Z77" s="1271"/>
      <c r="AA77" s="1271"/>
    </row>
    <row r="79" spans="1:120" x14ac:dyDescent="0.2">
      <c r="AB79" s="1266"/>
      <c r="AC79" s="1270"/>
      <c r="AD79" s="1270"/>
      <c r="AE79" s="1270"/>
      <c r="AF79" s="1270"/>
      <c r="BB79"/>
      <c r="BO79" s="13"/>
      <c r="BX79"/>
    </row>
    <row r="80" spans="1:120" x14ac:dyDescent="0.2">
      <c r="AB80" s="1270"/>
      <c r="AC80" s="1270"/>
      <c r="AD80" s="1270"/>
      <c r="AE80" s="1270"/>
      <c r="AF80" s="1270"/>
      <c r="AR80" s="401">
        <f>AQ73-AQ25-AQ15</f>
        <v>447.69829089235429</v>
      </c>
      <c r="BB80"/>
      <c r="BO80" s="289"/>
      <c r="BX80"/>
    </row>
    <row r="81" spans="28:78" x14ac:dyDescent="0.2">
      <c r="AB81" s="1270"/>
      <c r="AC81" s="1270"/>
      <c r="AD81" s="1270"/>
      <c r="AE81" s="1270"/>
      <c r="AF81" s="1270"/>
      <c r="AR81" s="104"/>
      <c r="BB81"/>
      <c r="BX81"/>
      <c r="BZ81" s="12" t="s">
        <v>1100</v>
      </c>
    </row>
    <row r="82" spans="28:78" x14ac:dyDescent="0.2">
      <c r="AB82" s="1270"/>
      <c r="AC82" s="1270"/>
      <c r="AD82" s="1270"/>
      <c r="AE82" s="1270"/>
      <c r="AF82" s="1270"/>
      <c r="BB82"/>
      <c r="BX82"/>
    </row>
  </sheetData>
  <mergeCells count="40">
    <mergeCell ref="BZ11:BZ12"/>
    <mergeCell ref="CA11:CA12"/>
    <mergeCell ref="W10:BD10"/>
    <mergeCell ref="L11:L12"/>
    <mergeCell ref="M11:M12"/>
    <mergeCell ref="O11:O12"/>
    <mergeCell ref="BD11:BD12"/>
    <mergeCell ref="BU11:BU12"/>
    <mergeCell ref="F11:F12"/>
    <mergeCell ref="G11:G12"/>
    <mergeCell ref="J11:J12"/>
    <mergeCell ref="K11:K12"/>
    <mergeCell ref="BE11:BE12"/>
    <mergeCell ref="W11:W12"/>
    <mergeCell ref="Y11:Y12"/>
    <mergeCell ref="Q11:Q12"/>
    <mergeCell ref="AT11:AT12"/>
    <mergeCell ref="AU11:AU12"/>
    <mergeCell ref="AB79:AF82"/>
    <mergeCell ref="D10:P10"/>
    <mergeCell ref="R10:T10"/>
    <mergeCell ref="H11:H12"/>
    <mergeCell ref="I11:I12"/>
    <mergeCell ref="Z11:Z12"/>
    <mergeCell ref="AD11:AD12"/>
    <mergeCell ref="AE11:AE12"/>
    <mergeCell ref="A76:AA77"/>
    <mergeCell ref="R11:R12"/>
    <mergeCell ref="S11:S12"/>
    <mergeCell ref="T11:T12"/>
    <mergeCell ref="V11:V12"/>
    <mergeCell ref="A11:A12"/>
    <mergeCell ref="B11:B12"/>
    <mergeCell ref="E11:E12"/>
    <mergeCell ref="DP11:DP12"/>
    <mergeCell ref="CP11:CP12"/>
    <mergeCell ref="CQ11:CQ12"/>
    <mergeCell ref="CU11:CU12"/>
    <mergeCell ref="CV11:CV12"/>
    <mergeCell ref="DO11:DO12"/>
  </mergeCells>
  <printOptions horizontalCentered="1"/>
  <pageMargins left="0.19685039370078741" right="0.19685039370078741" top="0.39370078740157483" bottom="0.39370078740157483" header="0" footer="0"/>
  <pageSetup scale="45" orientation="landscape" r:id="rId1"/>
  <headerFooter alignWithMargins="0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ES35"/>
  <sheetViews>
    <sheetView topLeftCell="B10" zoomScaleNormal="100" workbookViewId="0">
      <selection activeCell="EQ35" sqref="EQ35"/>
    </sheetView>
  </sheetViews>
  <sheetFormatPr baseColWidth="10" defaultRowHeight="12.75" x14ac:dyDescent="0.2"/>
  <cols>
    <col min="1" max="1" width="16.140625" customWidth="1"/>
    <col min="2" max="2" width="23.42578125" customWidth="1"/>
    <col min="3" max="3" width="13" customWidth="1"/>
    <col min="4" max="4" width="5.140625" style="18" hidden="1" customWidth="1"/>
    <col min="5" max="5" width="7.42578125" style="18" hidden="1" customWidth="1"/>
    <col min="6" max="6" width="9.7109375" hidden="1" customWidth="1"/>
    <col min="7" max="7" width="5.28515625" hidden="1" customWidth="1"/>
    <col min="8" max="8" width="7.28515625" hidden="1" customWidth="1"/>
    <col min="9" max="9" width="7.140625" hidden="1" customWidth="1"/>
    <col min="10" max="10" width="5.85546875" hidden="1" customWidth="1"/>
    <col min="11" max="11" width="8.5703125" hidden="1" customWidth="1"/>
    <col min="12" max="12" width="6.42578125" hidden="1" customWidth="1"/>
    <col min="13" max="14" width="8.5703125" hidden="1" customWidth="1"/>
    <col min="15" max="15" width="7.7109375" hidden="1" customWidth="1"/>
    <col min="16" max="16" width="8.5703125" hidden="1" customWidth="1"/>
    <col min="17" max="17" width="11" hidden="1" customWidth="1"/>
    <col min="18" max="19" width="9.5703125" style="19" hidden="1" customWidth="1"/>
    <col min="20" max="20" width="9.140625" style="12" hidden="1" customWidth="1"/>
    <col min="21" max="21" width="8.42578125" style="12" hidden="1" customWidth="1"/>
    <col min="22" max="22" width="9" style="12" hidden="1" customWidth="1"/>
    <col min="23" max="23" width="11.42578125" style="12" hidden="1" customWidth="1"/>
    <col min="24" max="24" width="10.7109375" style="12" hidden="1" customWidth="1"/>
    <col min="25" max="25" width="10.140625" style="104" hidden="1" customWidth="1"/>
    <col min="26" max="26" width="10" hidden="1" customWidth="1"/>
    <col min="27" max="27" width="8.7109375" hidden="1" customWidth="1"/>
    <col min="28" max="28" width="8.7109375" style="77" hidden="1" customWidth="1"/>
    <col min="29" max="29" width="7.42578125" hidden="1" customWidth="1"/>
    <col min="30" max="30" width="9" hidden="1" customWidth="1"/>
    <col min="31" max="31" width="9.7109375" hidden="1" customWidth="1"/>
    <col min="32" max="36" width="7.7109375" hidden="1" customWidth="1"/>
    <col min="37" max="38" width="9" hidden="1" customWidth="1"/>
    <col min="39" max="39" width="9.42578125" hidden="1" customWidth="1"/>
    <col min="40" max="40" width="9" hidden="1" customWidth="1"/>
    <col min="41" max="41" width="9.140625" hidden="1" customWidth="1"/>
    <col min="42" max="42" width="9.28515625" hidden="1" customWidth="1"/>
    <col min="43" max="43" width="9.5703125" hidden="1" customWidth="1"/>
    <col min="44" max="44" width="9.7109375" hidden="1" customWidth="1"/>
    <col min="45" max="45" width="12" style="69" hidden="1" customWidth="1"/>
    <col min="46" max="47" width="8.140625" hidden="1" customWidth="1"/>
    <col min="48" max="48" width="10.28515625" hidden="1" customWidth="1"/>
    <col min="49" max="51" width="11.42578125" hidden="1" customWidth="1"/>
    <col min="52" max="52" width="10.5703125" hidden="1" customWidth="1"/>
    <col min="53" max="53" width="8.7109375" hidden="1" customWidth="1"/>
    <col min="54" max="54" width="8.7109375" style="77" hidden="1" customWidth="1"/>
    <col min="55" max="55" width="7.42578125" hidden="1" customWidth="1"/>
    <col min="56" max="56" width="9" hidden="1" customWidth="1"/>
    <col min="57" max="57" width="9.7109375" hidden="1" customWidth="1"/>
    <col min="58" max="63" width="10.7109375" hidden="1" customWidth="1"/>
    <col min="64" max="64" width="11.42578125" hidden="1" customWidth="1"/>
    <col min="65" max="65" width="10.140625" hidden="1" customWidth="1"/>
    <col min="66" max="66" width="11.7109375" hidden="1" customWidth="1"/>
    <col min="67" max="67" width="10.28515625" hidden="1" customWidth="1"/>
    <col min="68" max="70" width="11.42578125" hidden="1" customWidth="1"/>
    <col min="71" max="71" width="10.5703125" hidden="1" customWidth="1"/>
    <col min="72" max="72" width="8.7109375" hidden="1" customWidth="1"/>
    <col min="73" max="73" width="8.7109375" style="77" hidden="1" customWidth="1"/>
    <col min="74" max="74" width="7.42578125" hidden="1" customWidth="1"/>
    <col min="75" max="75" width="9" hidden="1" customWidth="1"/>
    <col min="76" max="76" width="9.7109375" hidden="1" customWidth="1"/>
    <col min="77" max="82" width="10.7109375" hidden="1" customWidth="1"/>
    <col min="83" max="83" width="11.42578125" hidden="1" customWidth="1"/>
    <col min="84" max="84" width="11.5703125" hidden="1" customWidth="1"/>
    <col min="85" max="85" width="13.5703125" hidden="1" customWidth="1"/>
    <col min="86" max="86" width="5.140625" style="18" customWidth="1"/>
    <col min="87" max="87" width="7.42578125" style="18" customWidth="1"/>
    <col min="88" max="88" width="9.7109375" customWidth="1"/>
    <col min="89" max="89" width="5.28515625" customWidth="1"/>
    <col min="90" max="90" width="7.28515625" hidden="1" customWidth="1"/>
    <col min="91" max="91" width="7.140625" hidden="1" customWidth="1"/>
    <col min="92" max="92" width="5.85546875" hidden="1" customWidth="1"/>
    <col min="93" max="93" width="8.5703125" hidden="1" customWidth="1"/>
    <col min="94" max="94" width="6.42578125" customWidth="1"/>
    <col min="95" max="96" width="8.5703125" hidden="1" customWidth="1"/>
    <col min="97" max="97" width="7.7109375" customWidth="1"/>
    <col min="98" max="98" width="8.5703125" customWidth="1"/>
    <col min="99" max="99" width="11" customWidth="1"/>
    <col min="100" max="101" width="9.5703125" style="19" customWidth="1"/>
    <col min="102" max="102" width="9.140625" style="12" customWidth="1"/>
    <col min="103" max="103" width="14" style="12" hidden="1" customWidth="1"/>
    <col min="104" max="104" width="9.85546875" hidden="1" customWidth="1"/>
    <col min="105" max="105" width="9.85546875" style="77" hidden="1" customWidth="1"/>
    <col min="106" max="106" width="7.42578125" hidden="1" customWidth="1"/>
    <col min="107" max="107" width="12" hidden="1" customWidth="1"/>
    <col min="108" max="108" width="10.42578125" hidden="1" customWidth="1"/>
    <col min="109" max="109" width="13.28515625" hidden="1" customWidth="1"/>
    <col min="110" max="113" width="10.7109375" hidden="1" customWidth="1"/>
    <col min="114" max="114" width="12.28515625" hidden="1" customWidth="1"/>
    <col min="115" max="115" width="11.7109375" hidden="1" customWidth="1"/>
    <col min="116" max="116" width="13.42578125" hidden="1" customWidth="1"/>
    <col min="117" max="117" width="13.5703125" hidden="1" customWidth="1"/>
    <col min="118" max="123" width="11.42578125" hidden="1" customWidth="1"/>
    <col min="124" max="124" width="0" hidden="1" customWidth="1"/>
    <col min="125" max="127" width="11.42578125" hidden="1" customWidth="1"/>
    <col min="128" max="129" width="11.42578125" customWidth="1"/>
    <col min="130" max="144" width="11.42578125" hidden="1" customWidth="1"/>
    <col min="145" max="149" width="11.42578125" customWidth="1"/>
  </cols>
  <sheetData>
    <row r="1" spans="1:149" x14ac:dyDescent="0.2">
      <c r="A1" s="637"/>
      <c r="B1" s="638" t="s">
        <v>27</v>
      </c>
      <c r="C1" s="637"/>
      <c r="D1" s="639"/>
      <c r="E1" s="639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40"/>
      <c r="S1" s="640"/>
      <c r="T1" s="637"/>
      <c r="U1" s="637"/>
      <c r="V1" s="637"/>
      <c r="W1" s="637"/>
      <c r="X1" s="637"/>
      <c r="Y1" s="661"/>
      <c r="Z1" s="662"/>
      <c r="AA1" s="662"/>
      <c r="AB1" s="663"/>
      <c r="AC1" s="662"/>
      <c r="AD1" s="662"/>
      <c r="AE1" s="662"/>
      <c r="AF1" s="662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62" t="s">
        <v>1072</v>
      </c>
      <c r="AR1" s="637"/>
      <c r="AS1" s="664"/>
      <c r="BA1" s="541"/>
      <c r="BB1" s="542"/>
      <c r="BC1" s="541"/>
      <c r="BD1" s="541"/>
      <c r="BE1" s="541"/>
      <c r="BT1" s="541"/>
      <c r="BU1" s="542"/>
      <c r="BV1" s="541"/>
      <c r="BW1" s="541"/>
      <c r="BX1" s="541"/>
      <c r="CH1" s="639"/>
      <c r="CI1" s="639"/>
      <c r="CJ1" s="637"/>
      <c r="CK1" s="637"/>
      <c r="CL1" s="637"/>
      <c r="CM1" s="637"/>
      <c r="CN1" s="637"/>
      <c r="CO1" s="637"/>
      <c r="CP1" s="637"/>
      <c r="CQ1" s="637"/>
      <c r="CR1" s="637"/>
      <c r="CS1" s="637"/>
      <c r="CT1" s="637"/>
      <c r="CU1" s="637"/>
      <c r="CV1" s="640"/>
      <c r="CW1" s="640"/>
      <c r="CX1" s="637"/>
      <c r="CY1" s="637"/>
      <c r="CZ1" s="541"/>
      <c r="DA1" s="542"/>
      <c r="DB1" s="541"/>
      <c r="DC1" s="541"/>
      <c r="DD1" s="541"/>
    </row>
    <row r="2" spans="1:149" x14ac:dyDescent="0.2">
      <c r="A2" s="637"/>
      <c r="B2" s="638" t="s">
        <v>1273</v>
      </c>
      <c r="C2" s="637"/>
      <c r="D2" s="639"/>
      <c r="E2" s="639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40"/>
      <c r="S2" s="640"/>
      <c r="T2" s="637"/>
      <c r="U2" s="637"/>
      <c r="V2" s="637"/>
      <c r="W2" s="637"/>
      <c r="X2" s="637"/>
      <c r="Y2" s="661"/>
      <c r="Z2" s="662"/>
      <c r="AA2" s="662"/>
      <c r="AB2" s="663"/>
      <c r="AC2" s="662"/>
      <c r="AD2" s="662"/>
      <c r="AE2" s="662"/>
      <c r="AF2" s="662"/>
      <c r="AG2" s="637"/>
      <c r="AH2" s="637"/>
      <c r="AI2" s="637"/>
      <c r="AJ2" s="637"/>
      <c r="AK2" s="637"/>
      <c r="AL2" s="637"/>
      <c r="AM2" s="637"/>
      <c r="AN2" s="637"/>
      <c r="AO2" s="637"/>
      <c r="AP2" s="637"/>
      <c r="AQ2" s="637"/>
      <c r="AR2" s="637"/>
      <c r="AS2" s="664"/>
      <c r="BA2" s="541"/>
      <c r="BB2" s="542"/>
      <c r="BC2" s="541"/>
      <c r="BD2" s="541"/>
      <c r="BE2" s="541"/>
      <c r="BT2" s="541"/>
      <c r="BU2" s="542"/>
      <c r="BV2" s="541"/>
      <c r="BW2" s="541"/>
      <c r="BX2" s="541"/>
      <c r="CH2" s="639"/>
      <c r="CI2" s="639"/>
      <c r="CJ2" s="637"/>
      <c r="CK2" s="637"/>
      <c r="CL2" s="637"/>
      <c r="CM2" s="637"/>
      <c r="CN2" s="637"/>
      <c r="CO2" s="637"/>
      <c r="CP2" s="637"/>
      <c r="CQ2" s="637"/>
      <c r="CR2" s="637"/>
      <c r="CS2" s="637"/>
      <c r="CT2" s="637"/>
      <c r="CU2" s="637"/>
      <c r="CV2" s="640"/>
      <c r="CW2" s="640"/>
      <c r="CX2" s="637"/>
      <c r="CY2" s="637"/>
      <c r="CZ2" s="541"/>
      <c r="DA2" s="542"/>
      <c r="DB2" s="541"/>
      <c r="DC2" s="541"/>
      <c r="DD2" s="541"/>
    </row>
    <row r="3" spans="1:149" x14ac:dyDescent="0.2">
      <c r="A3" s="637"/>
      <c r="B3" s="637"/>
      <c r="C3" s="638"/>
      <c r="D3" s="641"/>
      <c r="E3" s="639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38"/>
      <c r="S3" s="638"/>
      <c r="T3" s="642"/>
      <c r="U3" s="642"/>
      <c r="V3" s="642"/>
      <c r="W3" s="642"/>
      <c r="X3" s="642"/>
      <c r="Y3" s="665"/>
      <c r="Z3" s="662"/>
      <c r="AA3" s="662"/>
      <c r="AB3" s="663"/>
      <c r="AC3" s="662"/>
      <c r="AD3" s="662"/>
      <c r="AE3" s="662"/>
      <c r="AF3" s="662"/>
      <c r="AG3" s="637"/>
      <c r="AH3" s="637"/>
      <c r="AI3" s="637"/>
      <c r="AJ3" s="637"/>
      <c r="AK3" s="637"/>
      <c r="AL3" s="637"/>
      <c r="AM3" s="637"/>
      <c r="AN3" s="637"/>
      <c r="AO3" s="637"/>
      <c r="AP3" s="637"/>
      <c r="AQ3" s="637"/>
      <c r="AR3" s="637"/>
      <c r="AS3" s="664"/>
      <c r="BA3" s="541"/>
      <c r="BB3" s="542"/>
      <c r="BC3" s="541"/>
      <c r="BD3" s="541"/>
      <c r="BE3" s="541"/>
      <c r="BT3" s="541"/>
      <c r="BU3" s="542"/>
      <c r="BV3" s="541"/>
      <c r="BW3" s="541"/>
      <c r="BX3" s="541"/>
      <c r="CH3" s="641"/>
      <c r="CI3" s="639"/>
      <c r="CJ3" s="642"/>
      <c r="CK3" s="642"/>
      <c r="CL3" s="642"/>
      <c r="CM3" s="642"/>
      <c r="CN3" s="642"/>
      <c r="CO3" s="642"/>
      <c r="CP3" s="642"/>
      <c r="CQ3" s="642"/>
      <c r="CR3" s="642"/>
      <c r="CS3" s="642"/>
      <c r="CT3" s="642"/>
      <c r="CU3" s="642"/>
      <c r="CV3" s="638"/>
      <c r="CW3" s="638"/>
      <c r="CX3" s="642"/>
      <c r="CY3" s="642"/>
      <c r="CZ3" s="541"/>
      <c r="DA3" s="542"/>
      <c r="DB3" s="541"/>
      <c r="DC3" s="541"/>
      <c r="DD3" s="541"/>
    </row>
    <row r="4" spans="1:149" x14ac:dyDescent="0.2">
      <c r="A4" s="637"/>
      <c r="B4" s="637" t="s">
        <v>309</v>
      </c>
      <c r="C4" s="638"/>
      <c r="D4" s="641"/>
      <c r="E4" s="639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38"/>
      <c r="S4" s="638"/>
      <c r="T4" s="642"/>
      <c r="U4" s="642"/>
      <c r="V4" s="642"/>
      <c r="W4" s="642"/>
      <c r="X4" s="642"/>
      <c r="Y4" s="665"/>
      <c r="Z4" s="662"/>
      <c r="AA4" s="662"/>
      <c r="AB4" s="663"/>
      <c r="AC4" s="662"/>
      <c r="AD4" s="662"/>
      <c r="AE4" s="662"/>
      <c r="AF4" s="662"/>
      <c r="AG4" s="637"/>
      <c r="AH4" s="637"/>
      <c r="AI4" s="637"/>
      <c r="AJ4" s="637"/>
      <c r="AK4" s="637"/>
      <c r="AL4" s="637"/>
      <c r="AM4" s="637"/>
      <c r="AN4" s="637"/>
      <c r="AO4" s="637"/>
      <c r="AP4" s="637"/>
      <c r="AQ4" s="637"/>
      <c r="AR4" s="637"/>
      <c r="AS4" s="664"/>
      <c r="BA4" s="541"/>
      <c r="BB4" s="542"/>
      <c r="BC4" s="541"/>
      <c r="BD4" s="541"/>
      <c r="BE4" s="541"/>
      <c r="BT4" s="541"/>
      <c r="BU4" s="542"/>
      <c r="BV4" s="541"/>
      <c r="BW4" s="541"/>
      <c r="BX4" s="541"/>
      <c r="CH4" s="641"/>
      <c r="CI4" s="639"/>
      <c r="CJ4" s="642"/>
      <c r="CK4" s="642"/>
      <c r="CL4" s="642"/>
      <c r="CM4" s="642"/>
      <c r="CN4" s="642"/>
      <c r="CO4" s="642"/>
      <c r="CP4" s="642"/>
      <c r="CQ4" s="642"/>
      <c r="CR4" s="642"/>
      <c r="CS4" s="642"/>
      <c r="CT4" s="642"/>
      <c r="CU4" s="642"/>
      <c r="CV4" s="638"/>
      <c r="CW4" s="638"/>
      <c r="CX4" s="642"/>
      <c r="CY4" s="642"/>
      <c r="CZ4" s="541"/>
      <c r="DA4" s="542"/>
      <c r="DB4" s="541"/>
      <c r="DC4" s="541"/>
      <c r="DD4" s="541"/>
    </row>
    <row r="5" spans="1:149" x14ac:dyDescent="0.2">
      <c r="A5" s="637"/>
      <c r="B5" s="642" t="s">
        <v>613</v>
      </c>
      <c r="C5" s="637"/>
      <c r="D5" s="639"/>
      <c r="E5" s="639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40"/>
      <c r="S5" s="640"/>
      <c r="T5" s="637"/>
      <c r="U5" s="637"/>
      <c r="V5" s="637"/>
      <c r="W5" s="637"/>
      <c r="X5" s="637"/>
      <c r="Y5" s="661"/>
      <c r="Z5" s="662"/>
      <c r="AA5" s="662"/>
      <c r="AB5" s="663"/>
      <c r="AC5" s="662"/>
      <c r="AD5" s="662"/>
      <c r="AE5" s="662"/>
      <c r="AF5" s="662"/>
      <c r="AG5" s="637"/>
      <c r="AH5" s="637"/>
      <c r="AI5" s="637"/>
      <c r="AJ5" s="637"/>
      <c r="AK5" s="637"/>
      <c r="AL5" s="637"/>
      <c r="AM5" s="637"/>
      <c r="AN5" s="637"/>
      <c r="AO5" s="637"/>
      <c r="AP5" s="637"/>
      <c r="AQ5" s="637"/>
      <c r="AR5" s="637"/>
      <c r="AS5" s="664"/>
      <c r="BA5" s="541"/>
      <c r="BB5" s="542"/>
      <c r="BC5" s="541"/>
      <c r="BD5" s="541"/>
      <c r="BE5" s="541"/>
      <c r="BT5" s="541"/>
      <c r="BU5" s="542"/>
      <c r="BV5" s="541"/>
      <c r="BW5" s="541"/>
      <c r="BX5" s="541"/>
      <c r="CH5" s="639"/>
      <c r="CI5" s="639"/>
      <c r="CJ5" s="637"/>
      <c r="CK5" s="637"/>
      <c r="CL5" s="637"/>
      <c r="CM5" s="637"/>
      <c r="CN5" s="637"/>
      <c r="CO5" s="637"/>
      <c r="CP5" s="637"/>
      <c r="CQ5" s="637"/>
      <c r="CR5" s="637"/>
      <c r="CS5" s="637"/>
      <c r="CT5" s="637"/>
      <c r="CU5" s="637"/>
      <c r="CV5" s="640"/>
      <c r="CW5" s="640"/>
      <c r="CX5" s="637"/>
      <c r="CY5" s="637"/>
      <c r="CZ5" s="541"/>
      <c r="DA5" s="542"/>
      <c r="DB5" s="541"/>
      <c r="DC5" s="541"/>
      <c r="DD5" s="541"/>
    </row>
    <row r="6" spans="1:149" x14ac:dyDescent="0.2">
      <c r="A6" s="637"/>
      <c r="B6" s="637" t="s">
        <v>1272</v>
      </c>
      <c r="C6" s="637"/>
      <c r="D6" s="639"/>
      <c r="E6" s="639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40"/>
      <c r="S6" s="640"/>
      <c r="T6" s="637"/>
      <c r="U6" s="637"/>
      <c r="V6" s="637"/>
      <c r="W6" s="637"/>
      <c r="X6" s="637"/>
      <c r="Y6" s="661"/>
      <c r="Z6" s="662"/>
      <c r="AA6" s="662"/>
      <c r="AB6" s="663"/>
      <c r="AC6" s="662"/>
      <c r="AD6" s="662"/>
      <c r="AE6" s="662"/>
      <c r="AF6" s="662"/>
      <c r="AG6" s="637"/>
      <c r="AH6" s="637"/>
      <c r="AI6" s="637"/>
      <c r="AJ6" s="637"/>
      <c r="AK6" s="637"/>
      <c r="AL6" s="637"/>
      <c r="AM6" s="637"/>
      <c r="AN6" s="637"/>
      <c r="AO6" s="637"/>
      <c r="AP6" s="637"/>
      <c r="AQ6" s="637"/>
      <c r="AR6" s="637"/>
      <c r="AS6" s="664"/>
      <c r="BA6" s="541"/>
      <c r="BB6" s="542"/>
      <c r="BC6" s="541"/>
      <c r="BD6" s="541"/>
      <c r="BE6" s="541"/>
      <c r="BT6" s="541"/>
      <c r="BU6" s="542"/>
      <c r="BV6" s="541"/>
      <c r="BW6" s="541"/>
      <c r="BX6" s="541"/>
      <c r="CH6" s="639"/>
      <c r="CI6" s="639"/>
      <c r="CJ6" s="637"/>
      <c r="CK6" s="637"/>
      <c r="CL6" s="637"/>
      <c r="CM6" s="637"/>
      <c r="CN6" s="637"/>
      <c r="CO6" s="637"/>
      <c r="CP6" s="637"/>
      <c r="CQ6" s="637"/>
      <c r="CR6" s="637"/>
      <c r="CS6" s="637"/>
      <c r="CT6" s="637"/>
      <c r="CU6" s="637"/>
      <c r="CV6" s="640"/>
      <c r="CW6" s="640"/>
      <c r="CX6" s="637"/>
      <c r="CY6" s="637"/>
      <c r="CZ6" s="541"/>
      <c r="DA6" s="542"/>
      <c r="DB6" s="541"/>
      <c r="DC6" s="541"/>
      <c r="DD6" s="541"/>
    </row>
    <row r="7" spans="1:149" x14ac:dyDescent="0.2">
      <c r="A7" s="637"/>
      <c r="B7" s="637"/>
      <c r="C7" s="637"/>
      <c r="D7" s="639"/>
      <c r="E7" s="639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40"/>
      <c r="S7" s="640"/>
      <c r="T7" s="637"/>
      <c r="U7" s="637"/>
      <c r="V7" s="637"/>
      <c r="W7" s="637"/>
      <c r="X7" s="637"/>
      <c r="Y7" s="661"/>
      <c r="Z7" s="662"/>
      <c r="AA7" s="662"/>
      <c r="AB7" s="663"/>
      <c r="AC7" s="662"/>
      <c r="AD7" s="662"/>
      <c r="AE7" s="662"/>
      <c r="AF7" s="662"/>
      <c r="AG7" s="637"/>
      <c r="AH7" s="637"/>
      <c r="AI7" s="637"/>
      <c r="AJ7" s="637"/>
      <c r="AK7" s="637"/>
      <c r="AL7" s="637"/>
      <c r="AM7" s="637"/>
      <c r="AN7" s="637"/>
      <c r="AO7" s="637"/>
      <c r="AP7" s="637"/>
      <c r="AQ7" s="637"/>
      <c r="AR7" s="637"/>
      <c r="AS7" s="664"/>
      <c r="BA7" s="541"/>
      <c r="BB7" s="542"/>
      <c r="BC7" s="541"/>
      <c r="BD7" s="541"/>
      <c r="BE7" s="541"/>
      <c r="BT7" s="541"/>
      <c r="BU7" s="542"/>
      <c r="BV7" s="541"/>
      <c r="BW7" s="541"/>
      <c r="BX7" s="541"/>
      <c r="CH7" s="639"/>
      <c r="CI7" s="639"/>
      <c r="CJ7" s="637"/>
      <c r="CK7" s="637"/>
      <c r="CL7" s="637"/>
      <c r="CM7" s="637"/>
      <c r="CN7" s="637"/>
      <c r="CO7" s="637"/>
      <c r="CP7" s="637"/>
      <c r="CQ7" s="637"/>
      <c r="CR7" s="637"/>
      <c r="CS7" s="637"/>
      <c r="CT7" s="637"/>
      <c r="CU7" s="637"/>
      <c r="CV7" s="640"/>
      <c r="CW7" s="640"/>
      <c r="CX7" s="637"/>
      <c r="CY7" s="637"/>
      <c r="CZ7" s="541"/>
      <c r="DA7" s="542"/>
      <c r="DB7" s="541"/>
      <c r="DC7" s="541"/>
      <c r="DD7" s="541"/>
    </row>
    <row r="8" spans="1:149" s="16" customFormat="1" x14ac:dyDescent="0.2">
      <c r="D8" s="38"/>
      <c r="E8" s="38"/>
      <c r="R8" s="37"/>
      <c r="S8" s="37"/>
      <c r="T8" s="35"/>
      <c r="U8" s="35"/>
      <c r="V8" s="35"/>
      <c r="W8" s="35"/>
      <c r="X8" s="35"/>
      <c r="Y8" s="103"/>
      <c r="Z8" s="39"/>
      <c r="AA8" s="39"/>
      <c r="AB8" s="76"/>
      <c r="AC8" s="39"/>
      <c r="AD8" s="39"/>
      <c r="AE8" s="39"/>
      <c r="AF8" s="39"/>
      <c r="AS8" s="68"/>
      <c r="BA8" s="39"/>
      <c r="BB8" s="76"/>
      <c r="BC8" s="39"/>
      <c r="BD8" s="39"/>
      <c r="BE8" s="39"/>
      <c r="BT8" s="39"/>
      <c r="BU8" s="76"/>
      <c r="BV8" s="39"/>
      <c r="BW8" s="39"/>
      <c r="BX8" s="39"/>
      <c r="CH8" s="38"/>
      <c r="CI8" s="38"/>
      <c r="CV8" s="37"/>
      <c r="CW8" s="37"/>
      <c r="CX8" s="35"/>
      <c r="CY8" s="35"/>
      <c r="CZ8" s="39"/>
      <c r="DA8" s="76"/>
      <c r="DB8" s="39"/>
      <c r="DC8" s="39"/>
      <c r="DD8" s="39"/>
    </row>
    <row r="9" spans="1:149" s="16" customFormat="1" ht="20.25" customHeight="1" x14ac:dyDescent="0.2">
      <c r="D9" s="38"/>
      <c r="E9" s="38"/>
      <c r="R9" s="37"/>
      <c r="S9" s="37"/>
      <c r="T9" s="35"/>
      <c r="U9" s="35"/>
      <c r="V9" s="35"/>
      <c r="W9" s="35"/>
      <c r="X9" s="35"/>
      <c r="Y9" s="103"/>
      <c r="Z9" s="39"/>
      <c r="AA9" s="39"/>
      <c r="AB9" s="76"/>
      <c r="AC9" s="39"/>
      <c r="AD9" s="39"/>
      <c r="AE9" s="39"/>
      <c r="AF9" s="39"/>
      <c r="AS9" s="68"/>
      <c r="BA9" s="39"/>
      <c r="BB9" s="76"/>
      <c r="BC9" s="39"/>
      <c r="BD9" s="39"/>
      <c r="BE9" s="39"/>
      <c r="BT9" s="39"/>
      <c r="BU9" s="76"/>
      <c r="BV9" s="39"/>
      <c r="BW9" s="39"/>
      <c r="BX9" s="39"/>
      <c r="CH9" s="38"/>
      <c r="CI9" s="38"/>
      <c r="CV9" s="37"/>
      <c r="CW9" s="37"/>
      <c r="CX9" s="35"/>
      <c r="CY9" s="35"/>
      <c r="CZ9" s="39"/>
      <c r="DA9" s="76"/>
      <c r="DB9" s="39"/>
      <c r="DC9" s="39"/>
      <c r="DD9" s="39"/>
    </row>
    <row r="10" spans="1:149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1068"/>
      <c r="V10" s="253"/>
      <c r="W10" s="1275" t="s">
        <v>450</v>
      </c>
      <c r="X10" s="1275"/>
      <c r="Y10" s="1275"/>
      <c r="Z10" s="1275"/>
      <c r="AA10" s="1275"/>
      <c r="AB10" s="1275"/>
      <c r="AC10" s="1275"/>
      <c r="AD10" s="1275"/>
      <c r="AE10" s="1275"/>
      <c r="AF10" s="1275"/>
      <c r="AG10" s="1275"/>
      <c r="AH10" s="1275"/>
      <c r="AI10" s="1275"/>
      <c r="AJ10" s="1275"/>
      <c r="AK10" s="1275"/>
      <c r="AL10" s="1275"/>
      <c r="AM10" s="1275"/>
      <c r="AN10" s="1275"/>
      <c r="AO10" s="1275"/>
      <c r="AP10" s="1275"/>
      <c r="AQ10" s="1275"/>
      <c r="AR10" s="1275"/>
      <c r="AS10" s="1275"/>
      <c r="AT10" s="1275"/>
      <c r="AU10" s="1275"/>
      <c r="AV10" s="1275"/>
      <c r="AW10" s="1275"/>
      <c r="AX10" s="1275"/>
      <c r="AY10" s="1275"/>
      <c r="AZ10" s="1275"/>
      <c r="BA10" s="1275"/>
      <c r="BB10" s="1275"/>
      <c r="BC10" s="1275"/>
      <c r="BU10"/>
      <c r="CH10" s="1258" t="s">
        <v>532</v>
      </c>
      <c r="CI10" s="1258"/>
      <c r="CJ10" s="1258"/>
      <c r="CK10" s="1258"/>
      <c r="CL10" s="1258"/>
      <c r="CM10" s="1258"/>
      <c r="CN10" s="1258"/>
      <c r="CO10" s="1258"/>
      <c r="CP10" s="1258"/>
      <c r="CQ10" s="1258"/>
      <c r="CR10" s="1258"/>
      <c r="CS10" s="1258"/>
      <c r="CT10" s="1258"/>
      <c r="CU10" s="191"/>
      <c r="CV10" s="1259" t="s">
        <v>448</v>
      </c>
      <c r="CW10" s="1259"/>
      <c r="CX10" s="1259"/>
      <c r="CY10" s="738"/>
      <c r="DA10"/>
    </row>
    <row r="11" spans="1:149" ht="54" customHeight="1" x14ac:dyDescent="0.25">
      <c r="A11" s="1261" t="s">
        <v>57</v>
      </c>
      <c r="B11" s="1261" t="s">
        <v>0</v>
      </c>
      <c r="C11" s="1073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526</v>
      </c>
      <c r="J11" s="1254" t="s">
        <v>525</v>
      </c>
      <c r="K11" s="1254" t="s">
        <v>534</v>
      </c>
      <c r="L11" s="1254" t="s">
        <v>493</v>
      </c>
      <c r="M11" s="1254" t="s">
        <v>535</v>
      </c>
      <c r="N11" s="1069" t="s">
        <v>529</v>
      </c>
      <c r="O11" s="1254" t="s">
        <v>492</v>
      </c>
      <c r="P11" s="1070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1071"/>
      <c r="V11" s="1245" t="s">
        <v>595</v>
      </c>
      <c r="W11" s="1245" t="s">
        <v>596</v>
      </c>
      <c r="X11" s="1067"/>
      <c r="Y11" s="1268" t="s">
        <v>569</v>
      </c>
      <c r="Z11" s="1245" t="s">
        <v>599</v>
      </c>
      <c r="AA11" s="158" t="s">
        <v>15</v>
      </c>
      <c r="AB11" s="159" t="s">
        <v>15</v>
      </c>
      <c r="AC11" s="158" t="s">
        <v>16</v>
      </c>
      <c r="AD11" s="1245" t="s">
        <v>527</v>
      </c>
      <c r="AE11" s="1245" t="s">
        <v>536</v>
      </c>
      <c r="AF11" s="158" t="s">
        <v>3</v>
      </c>
      <c r="AG11" s="158" t="s">
        <v>4</v>
      </c>
      <c r="AH11" s="158" t="s">
        <v>5</v>
      </c>
      <c r="AI11" s="158" t="s">
        <v>6</v>
      </c>
      <c r="AJ11" s="158" t="s">
        <v>7</v>
      </c>
      <c r="AK11" s="158" t="s">
        <v>8</v>
      </c>
      <c r="AL11" s="158" t="s">
        <v>9</v>
      </c>
      <c r="AM11" s="158" t="s">
        <v>10</v>
      </c>
      <c r="AN11" s="158" t="s">
        <v>11</v>
      </c>
      <c r="AO11" s="158" t="s">
        <v>12</v>
      </c>
      <c r="AP11" s="158" t="s">
        <v>13</v>
      </c>
      <c r="AQ11" s="158" t="s">
        <v>14</v>
      </c>
      <c r="AR11" s="1066" t="s">
        <v>531</v>
      </c>
      <c r="AS11" s="160" t="s">
        <v>63</v>
      </c>
      <c r="AT11" s="1245" t="s">
        <v>976</v>
      </c>
      <c r="AU11" s="1245" t="s">
        <v>536</v>
      </c>
      <c r="AV11" s="158" t="s">
        <v>3</v>
      </c>
      <c r="AW11" s="158" t="s">
        <v>4</v>
      </c>
      <c r="AX11" s="158" t="s">
        <v>5</v>
      </c>
      <c r="AY11" s="158" t="s">
        <v>6</v>
      </c>
      <c r="AZ11" s="158" t="s">
        <v>7</v>
      </c>
      <c r="BA11" s="158" t="s">
        <v>15</v>
      </c>
      <c r="BB11" s="159" t="s">
        <v>15</v>
      </c>
      <c r="BC11" s="158" t="s">
        <v>16</v>
      </c>
      <c r="BD11" s="1245" t="s">
        <v>1059</v>
      </c>
      <c r="BE11" s="1245" t="s">
        <v>536</v>
      </c>
      <c r="BF11" s="158" t="s">
        <v>8</v>
      </c>
      <c r="BG11" s="158" t="s">
        <v>9</v>
      </c>
      <c r="BH11" s="158" t="s">
        <v>10</v>
      </c>
      <c r="BI11" s="158" t="s">
        <v>11</v>
      </c>
      <c r="BJ11" s="158" t="s">
        <v>12</v>
      </c>
      <c r="BK11" s="158" t="s">
        <v>13</v>
      </c>
      <c r="BL11" s="158" t="s">
        <v>14</v>
      </c>
      <c r="BM11" s="1066" t="s">
        <v>1058</v>
      </c>
      <c r="BN11" s="160" t="s">
        <v>63</v>
      </c>
      <c r="BO11" s="158" t="s">
        <v>3</v>
      </c>
      <c r="BP11" s="158" t="s">
        <v>4</v>
      </c>
      <c r="BQ11" s="158" t="s">
        <v>5</v>
      </c>
      <c r="BR11" s="158" t="s">
        <v>6</v>
      </c>
      <c r="BS11" s="158" t="s">
        <v>7</v>
      </c>
      <c r="BT11" s="158" t="s">
        <v>15</v>
      </c>
      <c r="BU11" s="159" t="s">
        <v>15</v>
      </c>
      <c r="BV11" s="158" t="s">
        <v>16</v>
      </c>
      <c r="BW11" s="1245" t="s">
        <v>1004</v>
      </c>
      <c r="BX11" s="1245" t="s">
        <v>536</v>
      </c>
      <c r="BY11" s="158" t="s">
        <v>8</v>
      </c>
      <c r="BZ11" s="158" t="s">
        <v>9</v>
      </c>
      <c r="CA11" s="158" t="s">
        <v>10</v>
      </c>
      <c r="CB11" s="158" t="s">
        <v>11</v>
      </c>
      <c r="CC11" s="158" t="s">
        <v>12</v>
      </c>
      <c r="CD11" s="158" t="s">
        <v>13</v>
      </c>
      <c r="CE11" s="158" t="s">
        <v>14</v>
      </c>
      <c r="CF11" s="1066" t="s">
        <v>1058</v>
      </c>
      <c r="CG11" s="160" t="s">
        <v>63</v>
      </c>
      <c r="CH11" s="166" t="s">
        <v>306</v>
      </c>
      <c r="CI11" s="1263" t="s">
        <v>55</v>
      </c>
      <c r="CJ11" s="1254" t="s">
        <v>564</v>
      </c>
      <c r="CK11" s="1254" t="s">
        <v>446</v>
      </c>
      <c r="CL11" s="1254" t="s">
        <v>533</v>
      </c>
      <c r="CM11" s="1254" t="s">
        <v>1126</v>
      </c>
      <c r="CN11" s="1254" t="s">
        <v>1127</v>
      </c>
      <c r="CO11" s="1254" t="s">
        <v>534</v>
      </c>
      <c r="CP11" s="1254" t="s">
        <v>493</v>
      </c>
      <c r="CQ11" s="1254" t="s">
        <v>1148</v>
      </c>
      <c r="CR11" s="1069" t="s">
        <v>529</v>
      </c>
      <c r="CS11" s="1254" t="s">
        <v>492</v>
      </c>
      <c r="CT11" s="1070" t="s">
        <v>530</v>
      </c>
      <c r="CU11" s="1256" t="s">
        <v>528</v>
      </c>
      <c r="CV11" s="1250" t="s">
        <v>437</v>
      </c>
      <c r="CW11" s="1250" t="s">
        <v>56</v>
      </c>
      <c r="CX11" s="1252" t="s">
        <v>449</v>
      </c>
      <c r="CY11" s="160" t="s">
        <v>63</v>
      </c>
      <c r="CZ11" s="158" t="s">
        <v>15</v>
      </c>
      <c r="DA11" s="159" t="s">
        <v>15</v>
      </c>
      <c r="DB11" s="158" t="s">
        <v>16</v>
      </c>
      <c r="DC11" s="1245" t="s">
        <v>1004</v>
      </c>
      <c r="DD11" s="1245" t="s">
        <v>536</v>
      </c>
      <c r="DE11" s="158" t="s">
        <v>8</v>
      </c>
      <c r="DF11" s="158" t="s">
        <v>9</v>
      </c>
      <c r="DG11" s="158" t="s">
        <v>10</v>
      </c>
      <c r="DH11" s="158" t="s">
        <v>11</v>
      </c>
      <c r="DI11" s="158" t="s">
        <v>12</v>
      </c>
      <c r="DJ11" s="158" t="s">
        <v>13</v>
      </c>
      <c r="DK11" s="158" t="s">
        <v>14</v>
      </c>
      <c r="DL11" s="1066" t="s">
        <v>1058</v>
      </c>
      <c r="DM11" s="160" t="s">
        <v>63</v>
      </c>
      <c r="DN11" s="158" t="s">
        <v>3</v>
      </c>
      <c r="DO11" s="158" t="s">
        <v>4</v>
      </c>
      <c r="DP11" s="158" t="s">
        <v>5</v>
      </c>
      <c r="DQ11" s="158" t="s">
        <v>6</v>
      </c>
      <c r="DR11" s="158" t="s">
        <v>7</v>
      </c>
      <c r="DS11" s="1247" t="s">
        <v>1252</v>
      </c>
      <c r="DT11" s="1247" t="s">
        <v>1253</v>
      </c>
      <c r="DU11" s="158" t="s">
        <v>15</v>
      </c>
      <c r="DV11" s="159" t="s">
        <v>15</v>
      </c>
      <c r="DW11" s="158" t="s">
        <v>16</v>
      </c>
      <c r="DX11" s="1245" t="s">
        <v>1254</v>
      </c>
      <c r="DY11" s="1245" t="s">
        <v>536</v>
      </c>
      <c r="DZ11" s="158" t="s">
        <v>8</v>
      </c>
      <c r="EA11" s="158" t="s">
        <v>9</v>
      </c>
      <c r="EB11" s="158" t="s">
        <v>10</v>
      </c>
      <c r="EC11" s="158" t="s">
        <v>11</v>
      </c>
      <c r="ED11" s="158" t="s">
        <v>12</v>
      </c>
      <c r="EE11" s="158" t="s">
        <v>13</v>
      </c>
      <c r="EF11" s="158" t="s">
        <v>14</v>
      </c>
      <c r="EG11" s="158" t="s">
        <v>3</v>
      </c>
      <c r="EH11" s="158" t="s">
        <v>4</v>
      </c>
      <c r="EI11" s="158" t="s">
        <v>5</v>
      </c>
      <c r="EJ11" s="158" t="s">
        <v>6</v>
      </c>
      <c r="EK11" s="158" t="s">
        <v>7</v>
      </c>
      <c r="EL11" s="158" t="s">
        <v>8</v>
      </c>
      <c r="EM11" s="158" t="s">
        <v>9</v>
      </c>
      <c r="EN11" s="158" t="s">
        <v>10</v>
      </c>
      <c r="EO11" s="158" t="s">
        <v>11</v>
      </c>
      <c r="EP11" s="158" t="s">
        <v>12</v>
      </c>
      <c r="EQ11" s="158" t="s">
        <v>13</v>
      </c>
      <c r="ER11" s="1247" t="s">
        <v>1274</v>
      </c>
      <c r="ES11" s="1247" t="s">
        <v>1263</v>
      </c>
    </row>
    <row r="12" spans="1:149" ht="32.25" customHeight="1" x14ac:dyDescent="0.25">
      <c r="A12" s="1262"/>
      <c r="B12" s="1262"/>
      <c r="C12" s="161" t="s">
        <v>613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1072"/>
      <c r="V12" s="1267"/>
      <c r="W12" s="1267"/>
      <c r="X12" s="1074" t="s">
        <v>570</v>
      </c>
      <c r="Y12" s="1272"/>
      <c r="Z12" s="1246"/>
      <c r="AA12" s="162" t="s">
        <v>20</v>
      </c>
      <c r="AB12" s="163" t="s">
        <v>21</v>
      </c>
      <c r="AC12" s="162" t="s">
        <v>22</v>
      </c>
      <c r="AD12" s="1246"/>
      <c r="AE12" s="1246"/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>
        <v>2015</v>
      </c>
      <c r="AQ12" s="162">
        <v>2015</v>
      </c>
      <c r="AR12" s="162">
        <v>2015</v>
      </c>
      <c r="AS12" s="162" t="s">
        <v>64</v>
      </c>
      <c r="AT12" s="1246"/>
      <c r="AU12" s="1246"/>
      <c r="AV12" s="162">
        <v>2016</v>
      </c>
      <c r="AW12" s="162">
        <v>2016</v>
      </c>
      <c r="AX12" s="162">
        <v>2016</v>
      </c>
      <c r="AY12" s="162">
        <v>2016</v>
      </c>
      <c r="AZ12" s="162">
        <v>2016</v>
      </c>
      <c r="BA12" s="162" t="s">
        <v>20</v>
      </c>
      <c r="BB12" s="163" t="s">
        <v>21</v>
      </c>
      <c r="BC12" s="162" t="s">
        <v>22</v>
      </c>
      <c r="BD12" s="1246"/>
      <c r="BE12" s="1246"/>
      <c r="BF12" s="162">
        <v>2016</v>
      </c>
      <c r="BG12" s="162">
        <v>2016</v>
      </c>
      <c r="BH12" s="162">
        <v>2016</v>
      </c>
      <c r="BI12" s="162">
        <v>2016</v>
      </c>
      <c r="BJ12" s="162">
        <v>2016</v>
      </c>
      <c r="BK12" s="162">
        <v>2016</v>
      </c>
      <c r="BL12" s="162">
        <v>2016</v>
      </c>
      <c r="BM12" s="162">
        <v>2017</v>
      </c>
      <c r="BN12" s="162" t="s">
        <v>64</v>
      </c>
      <c r="BO12" s="162">
        <v>2017</v>
      </c>
      <c r="BP12" s="162">
        <v>2017</v>
      </c>
      <c r="BQ12" s="162">
        <v>2017</v>
      </c>
      <c r="BR12" s="162">
        <v>2017</v>
      </c>
      <c r="BS12" s="162">
        <v>2017</v>
      </c>
      <c r="BT12" s="162" t="s">
        <v>20</v>
      </c>
      <c r="BU12" s="163" t="s">
        <v>21</v>
      </c>
      <c r="BV12" s="162" t="s">
        <v>22</v>
      </c>
      <c r="BW12" s="1246"/>
      <c r="BX12" s="1246"/>
      <c r="BY12" s="162">
        <v>2017</v>
      </c>
      <c r="BZ12" s="162">
        <v>2017</v>
      </c>
      <c r="CA12" s="162">
        <v>2017</v>
      </c>
      <c r="CB12" s="162">
        <v>2017</v>
      </c>
      <c r="CC12" s="162">
        <v>2017</v>
      </c>
      <c r="CD12" s="162">
        <v>2017</v>
      </c>
      <c r="CE12" s="162">
        <v>2017</v>
      </c>
      <c r="CF12" s="162">
        <v>2017</v>
      </c>
      <c r="CG12" s="162" t="s">
        <v>64</v>
      </c>
      <c r="CH12" s="167"/>
      <c r="CI12" s="1264"/>
      <c r="CJ12" s="1255"/>
      <c r="CK12" s="1255"/>
      <c r="CL12" s="1255"/>
      <c r="CM12" s="1255"/>
      <c r="CN12" s="1255"/>
      <c r="CO12" s="1255"/>
      <c r="CP12" s="1255"/>
      <c r="CQ12" s="1255"/>
      <c r="CR12" s="194"/>
      <c r="CS12" s="1255"/>
      <c r="CT12" s="193"/>
      <c r="CU12" s="1257"/>
      <c r="CV12" s="1251" t="s">
        <v>18</v>
      </c>
      <c r="CW12" s="1251" t="s">
        <v>18</v>
      </c>
      <c r="CX12" s="1253"/>
      <c r="CY12" s="739"/>
      <c r="CZ12" s="162" t="s">
        <v>20</v>
      </c>
      <c r="DA12" s="163" t="s">
        <v>21</v>
      </c>
      <c r="DB12" s="162" t="s">
        <v>22</v>
      </c>
      <c r="DC12" s="1246"/>
      <c r="DD12" s="1246"/>
      <c r="DE12" s="162">
        <v>2017</v>
      </c>
      <c r="DF12" s="162">
        <v>2017</v>
      </c>
      <c r="DG12" s="162">
        <v>2017</v>
      </c>
      <c r="DH12" s="162">
        <v>2017</v>
      </c>
      <c r="DI12" s="162">
        <v>2017</v>
      </c>
      <c r="DJ12" s="162">
        <v>2017</v>
      </c>
      <c r="DK12" s="162">
        <v>2017</v>
      </c>
      <c r="DL12" s="162">
        <v>2017</v>
      </c>
      <c r="DM12" s="162" t="s">
        <v>64</v>
      </c>
      <c r="DN12" s="162">
        <v>2018</v>
      </c>
      <c r="DO12" s="162">
        <v>2018</v>
      </c>
      <c r="DP12" s="162">
        <v>2018</v>
      </c>
      <c r="DQ12" s="162">
        <v>2018</v>
      </c>
      <c r="DR12" s="162">
        <v>2018</v>
      </c>
      <c r="DS12" s="1248"/>
      <c r="DT12" s="1248"/>
      <c r="DU12" s="162" t="s">
        <v>20</v>
      </c>
      <c r="DV12" s="163" t="s">
        <v>21</v>
      </c>
      <c r="DW12" s="162" t="s">
        <v>22</v>
      </c>
      <c r="DX12" s="1246"/>
      <c r="DY12" s="1246"/>
      <c r="DZ12" s="162">
        <v>2018</v>
      </c>
      <c r="EA12" s="162">
        <v>2018</v>
      </c>
      <c r="EB12" s="162">
        <v>2018</v>
      </c>
      <c r="EC12" s="162">
        <v>2018</v>
      </c>
      <c r="ED12" s="162">
        <v>2018</v>
      </c>
      <c r="EE12" s="162">
        <v>2018</v>
      </c>
      <c r="EF12" s="162">
        <v>2018</v>
      </c>
      <c r="EG12" s="162">
        <v>2019</v>
      </c>
      <c r="EH12" s="162">
        <v>2019</v>
      </c>
      <c r="EI12" s="162">
        <v>2019</v>
      </c>
      <c r="EJ12" s="162">
        <v>2019</v>
      </c>
      <c r="EK12" s="162">
        <v>2019</v>
      </c>
      <c r="EL12" s="162">
        <v>2019</v>
      </c>
      <c r="EM12" s="162">
        <v>2019</v>
      </c>
      <c r="EN12" s="162">
        <v>2019</v>
      </c>
      <c r="EO12" s="162">
        <v>2019</v>
      </c>
      <c r="EP12" s="162">
        <v>2019</v>
      </c>
      <c r="EQ12" s="162">
        <v>2019</v>
      </c>
      <c r="ER12" s="1248"/>
      <c r="ES12" s="1248"/>
    </row>
    <row r="13" spans="1:149" s="16" customFormat="1" x14ac:dyDescent="0.2">
      <c r="A13" s="120" t="s">
        <v>614</v>
      </c>
      <c r="B13" s="120"/>
      <c r="C13" s="124"/>
      <c r="D13" s="111"/>
      <c r="E13" s="130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19"/>
      <c r="S13" s="119"/>
      <c r="T13" s="134"/>
      <c r="U13" s="134"/>
      <c r="V13" s="134"/>
      <c r="W13" s="134"/>
      <c r="X13" s="134"/>
      <c r="Y13" s="108"/>
      <c r="Z13" s="66"/>
      <c r="AA13" s="66"/>
      <c r="AB13" s="81"/>
      <c r="AC13" s="66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73"/>
      <c r="AT13" s="55"/>
      <c r="AU13" s="55"/>
      <c r="AV13" s="55"/>
      <c r="AW13" s="55"/>
      <c r="AX13" s="55"/>
      <c r="AY13" s="55"/>
      <c r="AZ13" s="55"/>
      <c r="BA13" s="66"/>
      <c r="BB13" s="81"/>
      <c r="BC13" s="66"/>
      <c r="BD13" s="65"/>
      <c r="BE13" s="6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66"/>
      <c r="BU13" s="81"/>
      <c r="BV13" s="66"/>
      <c r="BW13" s="65"/>
      <c r="BX13" s="65"/>
      <c r="BY13" s="55"/>
      <c r="BZ13" s="55"/>
      <c r="CA13" s="55"/>
      <c r="CB13" s="55"/>
      <c r="CC13" s="55"/>
      <c r="CD13" s="55"/>
      <c r="CE13" s="55"/>
      <c r="CF13" s="55"/>
      <c r="CG13" s="55"/>
      <c r="CH13" s="111"/>
      <c r="CI13" s="130"/>
      <c r="CJ13" s="125"/>
      <c r="CK13" s="125"/>
      <c r="CL13" s="125"/>
      <c r="CM13" s="125"/>
      <c r="CN13" s="125"/>
      <c r="CO13" s="125"/>
      <c r="CP13" s="125"/>
      <c r="CQ13" s="125"/>
      <c r="CR13" s="125"/>
      <c r="CS13" s="125"/>
      <c r="CT13" s="125"/>
      <c r="CU13" s="125"/>
      <c r="CV13" s="119"/>
      <c r="CW13" s="119"/>
      <c r="CX13" s="134"/>
      <c r="CY13" s="134"/>
      <c r="CZ13" s="66"/>
      <c r="DA13" s="81"/>
      <c r="DB13" s="66"/>
      <c r="DC13" s="65"/>
      <c r="DD13" s="6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05"/>
      <c r="DP13" s="505"/>
      <c r="DQ13" s="505"/>
      <c r="DR13" s="505"/>
      <c r="DS13" s="505"/>
      <c r="DT13" s="50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1055"/>
      <c r="ES13" s="55"/>
    </row>
    <row r="14" spans="1:149" s="16" customFormat="1" x14ac:dyDescent="0.2">
      <c r="A14" s="120" t="s">
        <v>615</v>
      </c>
      <c r="B14" s="100"/>
      <c r="C14" s="45"/>
      <c r="D14" s="150"/>
      <c r="E14" s="130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19"/>
      <c r="S14" s="119"/>
      <c r="T14" s="134"/>
      <c r="U14" s="134"/>
      <c r="V14" s="134"/>
      <c r="W14" s="134"/>
      <c r="X14" s="134"/>
      <c r="Y14" s="108"/>
      <c r="Z14" s="66"/>
      <c r="AA14" s="66"/>
      <c r="AB14" s="112"/>
      <c r="AC14" s="66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73"/>
      <c r="AT14" s="55"/>
      <c r="AU14" s="55"/>
      <c r="AV14" s="55"/>
      <c r="AW14" s="55"/>
      <c r="AX14" s="55"/>
      <c r="AY14" s="55"/>
      <c r="AZ14" s="55"/>
      <c r="BA14" s="66"/>
      <c r="BB14" s="112"/>
      <c r="BC14" s="66"/>
      <c r="BD14" s="65"/>
      <c r="BE14" s="6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66"/>
      <c r="BU14" s="112"/>
      <c r="BV14" s="66"/>
      <c r="BW14" s="65"/>
      <c r="BX14" s="65"/>
      <c r="BY14" s="55"/>
      <c r="BZ14" s="55"/>
      <c r="CA14" s="55"/>
      <c r="CB14" s="55"/>
      <c r="CC14" s="55"/>
      <c r="CD14" s="55"/>
      <c r="CE14" s="55"/>
      <c r="CF14" s="55"/>
      <c r="CG14" s="55"/>
      <c r="CH14" s="150"/>
      <c r="CI14" s="130"/>
      <c r="CJ14" s="125"/>
      <c r="CK14" s="125"/>
      <c r="CL14" s="125"/>
      <c r="CM14" s="125"/>
      <c r="CN14" s="125"/>
      <c r="CO14" s="125"/>
      <c r="CP14" s="125"/>
      <c r="CQ14" s="125"/>
      <c r="CR14" s="125"/>
      <c r="CS14" s="125"/>
      <c r="CT14" s="125"/>
      <c r="CU14" s="125"/>
      <c r="CV14" s="119"/>
      <c r="CW14" s="119"/>
      <c r="CX14" s="134"/>
      <c r="CY14" s="134"/>
      <c r="CZ14" s="66"/>
      <c r="DA14" s="112"/>
      <c r="DB14" s="66"/>
      <c r="DC14" s="65"/>
      <c r="DD14" s="6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05"/>
      <c r="DP14" s="505"/>
      <c r="DQ14" s="505"/>
      <c r="DR14" s="505"/>
      <c r="DS14" s="505"/>
      <c r="DT14" s="50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</row>
    <row r="15" spans="1:149" s="16" customFormat="1" x14ac:dyDescent="0.2">
      <c r="A15" s="119" t="s">
        <v>615</v>
      </c>
      <c r="B15" s="100" t="s">
        <v>616</v>
      </c>
      <c r="C15" s="45" t="s">
        <v>537</v>
      </c>
      <c r="D15" s="58">
        <v>5</v>
      </c>
      <c r="E15" s="127">
        <v>0.2</v>
      </c>
      <c r="F15" s="46">
        <v>42185</v>
      </c>
      <c r="G15" s="125">
        <v>60</v>
      </c>
      <c r="H15" s="145">
        <f t="shared" ref="H15:H22" si="0">100/G15</f>
        <v>1.6666666666666667</v>
      </c>
      <c r="I15" s="165">
        <f t="shared" ref="I15:I22" si="1">H15*J15</f>
        <v>15</v>
      </c>
      <c r="J15" s="48">
        <f t="shared" ref="J15:J22" si="2">(YEAR(F15)-YEAR(S15))*12+MONTH(F15)-MONTH(S15)</f>
        <v>9</v>
      </c>
      <c r="K15" s="165">
        <f t="shared" ref="K15:K22" si="3">L15*H15</f>
        <v>85</v>
      </c>
      <c r="L15" s="48">
        <f t="shared" ref="L15:L22" si="4">G15-J15</f>
        <v>51</v>
      </c>
      <c r="M15" s="165">
        <f t="shared" ref="M15:M22" si="5">N15*H15</f>
        <v>11.666666666666668</v>
      </c>
      <c r="N15" s="48">
        <v>7</v>
      </c>
      <c r="O15" s="165">
        <f t="shared" ref="O15:Q22" si="6">K15-M15</f>
        <v>73.333333333333329</v>
      </c>
      <c r="P15" s="48">
        <f t="shared" si="6"/>
        <v>44</v>
      </c>
      <c r="Q15" s="48">
        <f t="shared" si="6"/>
        <v>-61.666666666666657</v>
      </c>
      <c r="R15" s="125" t="s">
        <v>620</v>
      </c>
      <c r="S15" s="128">
        <v>41908</v>
      </c>
      <c r="T15" s="7">
        <v>64913.599999999999</v>
      </c>
      <c r="U15" s="72"/>
      <c r="V15" s="776">
        <f t="shared" ref="V15:V22" si="7">SUM(T15*0.2/12*3)</f>
        <v>3245.6800000000003</v>
      </c>
      <c r="W15" s="776">
        <f t="shared" ref="W15:W22" si="8">T15-V15</f>
        <v>61667.92</v>
      </c>
      <c r="X15" s="55">
        <f t="shared" ref="X15:X22" si="9">V15/3</f>
        <v>1081.8933333333334</v>
      </c>
      <c r="Y15" s="106">
        <f t="shared" ref="Y15:Y22" si="10">X15*5</f>
        <v>5409.4666666666672</v>
      </c>
      <c r="Z15" s="258">
        <f t="shared" ref="Z15:Z22" si="11">W15-Y15</f>
        <v>56258.453333333331</v>
      </c>
      <c r="AA15" s="57">
        <v>115.958</v>
      </c>
      <c r="AB15" s="57">
        <v>140.047</v>
      </c>
      <c r="AC15" s="57">
        <f t="shared" ref="AC15:AC22" si="12">AA15/AB15</f>
        <v>0.82799345933865065</v>
      </c>
      <c r="AD15" s="55">
        <f t="shared" ref="AD15:AD22" si="13">Z15*M15/100/K15*100/7</f>
        <v>1103.1069281045752</v>
      </c>
      <c r="AE15" s="55">
        <f t="shared" ref="AE15:AE22" si="14">AD15*AC15</f>
        <v>913.3653214217394</v>
      </c>
      <c r="AF15" s="55"/>
      <c r="AG15" s="55"/>
      <c r="AH15" s="55"/>
      <c r="AI15" s="55"/>
      <c r="AJ15" s="55"/>
      <c r="AK15" s="55">
        <f t="shared" ref="AK15:AK22" si="15">AE15</f>
        <v>913.3653214217394</v>
      </c>
      <c r="AL15" s="55">
        <v>913.3653214217394</v>
      </c>
      <c r="AM15" s="55">
        <v>913.3653214217394</v>
      </c>
      <c r="AN15" s="55">
        <v>913.3653214217394</v>
      </c>
      <c r="AO15" s="55">
        <v>913.3653214217394</v>
      </c>
      <c r="AP15" s="55">
        <v>913.3653214217394</v>
      </c>
      <c r="AQ15" s="55">
        <v>913.3653214217394</v>
      </c>
      <c r="AR15" s="55">
        <f>SUM(AF15:AQ15)</f>
        <v>6393.5572499521759</v>
      </c>
      <c r="AS15" s="72">
        <f>Z15-AR15</f>
        <v>49864.896083381158</v>
      </c>
      <c r="AT15" s="55"/>
      <c r="AU15" s="55"/>
      <c r="AV15" s="55">
        <f>$AQ15</f>
        <v>913.3653214217394</v>
      </c>
      <c r="AW15" s="55">
        <f>$AQ15</f>
        <v>913.3653214217394</v>
      </c>
      <c r="AX15" s="55">
        <f>$AQ15</f>
        <v>913.3653214217394</v>
      </c>
      <c r="AY15" s="55">
        <f>$AQ15</f>
        <v>913.3653214217394</v>
      </c>
      <c r="AZ15" s="55">
        <f>$AQ15</f>
        <v>913.3653214217394</v>
      </c>
      <c r="BA15" s="57">
        <v>118.901</v>
      </c>
      <c r="BB15" s="57">
        <v>140.047</v>
      </c>
      <c r="BC15" s="57">
        <f>BA15/BB15</f>
        <v>0.84900783308460726</v>
      </c>
      <c r="BD15" s="55">
        <f>T15/(D15*12)</f>
        <v>1081.8933333333332</v>
      </c>
      <c r="BE15" s="55">
        <f>BD15*BC15</f>
        <v>918.53591456201593</v>
      </c>
      <c r="BF15" s="55">
        <f t="shared" ref="BF15:BL29" si="16">$BE15</f>
        <v>918.53591456201593</v>
      </c>
      <c r="BG15" s="55">
        <f t="shared" si="16"/>
        <v>918.53591456201593</v>
      </c>
      <c r="BH15" s="55">
        <f t="shared" si="16"/>
        <v>918.53591456201593</v>
      </c>
      <c r="BI15" s="55">
        <f t="shared" si="16"/>
        <v>918.53591456201593</v>
      </c>
      <c r="BJ15" s="55">
        <f t="shared" si="16"/>
        <v>918.53591456201593</v>
      </c>
      <c r="BK15" s="55">
        <f t="shared" si="16"/>
        <v>918.53591456201593</v>
      </c>
      <c r="BL15" s="55">
        <f t="shared" si="16"/>
        <v>918.53591456201593</v>
      </c>
      <c r="BM15" s="55">
        <f>SUM((AV15:AZ15),(BF15:BL15))</f>
        <v>10996.578009042812</v>
      </c>
      <c r="BN15" s="448">
        <f>(AS15-BM15)</f>
        <v>38868.318074338342</v>
      </c>
      <c r="BO15" s="511">
        <f t="shared" ref="BO15:BS29" si="17">$BE15</f>
        <v>918.53591456201593</v>
      </c>
      <c r="BP15" s="511">
        <f t="shared" si="17"/>
        <v>918.53591456201593</v>
      </c>
      <c r="BQ15" s="511">
        <f t="shared" si="17"/>
        <v>918.53591456201593</v>
      </c>
      <c r="BR15" s="511">
        <f t="shared" si="17"/>
        <v>918.53591456201593</v>
      </c>
      <c r="BS15" s="511">
        <f t="shared" si="17"/>
        <v>918.53591456201593</v>
      </c>
      <c r="BT15" s="656">
        <v>118.901</v>
      </c>
      <c r="BU15" s="656">
        <v>140.047</v>
      </c>
      <c r="BV15" s="656">
        <f t="shared" ref="BV15:BV22" si="18">BT15/BU15</f>
        <v>0.84900783308460726</v>
      </c>
      <c r="BW15" s="511">
        <f>AM15/(W15*12)</f>
        <v>1.2342523760351402E-3</v>
      </c>
      <c r="BX15" s="511">
        <f t="shared" ref="BX15:BX22" si="19">BW15*BV15</f>
        <v>1.0478899352571222E-3</v>
      </c>
      <c r="BY15" s="511"/>
      <c r="BZ15" s="511"/>
      <c r="CA15" s="511"/>
      <c r="CB15" s="511"/>
      <c r="CC15" s="511"/>
      <c r="CD15" s="511"/>
      <c r="CE15" s="511"/>
      <c r="CF15" s="511">
        <f t="shared" ref="CF15:CF22" si="20">SUM((BO15:BS15),(BY15:CE15))</f>
        <v>4592.6795728100797</v>
      </c>
      <c r="CG15" s="657">
        <f t="shared" ref="CG15:CG22" si="21">BN15-CF15</f>
        <v>34275.638501528265</v>
      </c>
      <c r="CH15" s="58">
        <v>5</v>
      </c>
      <c r="CI15" s="127">
        <v>0.2</v>
      </c>
      <c r="CJ15" s="46">
        <v>43281</v>
      </c>
      <c r="CK15" s="125">
        <v>60</v>
      </c>
      <c r="CL15" s="145">
        <f t="shared" ref="CL15:CL22" si="22">100/CK15</f>
        <v>1.6666666666666667</v>
      </c>
      <c r="CM15" s="165">
        <f t="shared" ref="CM15:CM22" si="23">CL15*CN15</f>
        <v>75</v>
      </c>
      <c r="CN15" s="48">
        <f t="shared" ref="CN15:CN22" si="24">(YEAR(CJ15)-YEAR(CW15))*12+MONTH(CJ15)-MONTH(CW15)</f>
        <v>45</v>
      </c>
      <c r="CO15" s="165">
        <f t="shared" ref="CO15:CO22" si="25">CP15*CL15</f>
        <v>25</v>
      </c>
      <c r="CP15" s="48">
        <f t="shared" ref="CP15:CP22" si="26">CK15-CN15</f>
        <v>15</v>
      </c>
      <c r="CQ15" s="165">
        <f t="shared" ref="CQ15:CQ22" si="27">CR15*CL15</f>
        <v>11.666666666666668</v>
      </c>
      <c r="CR15" s="48">
        <v>7</v>
      </c>
      <c r="CS15" s="165">
        <f t="shared" ref="CS15:CT22" si="28">CO15-CQ15</f>
        <v>13.333333333333332</v>
      </c>
      <c r="CT15" s="48">
        <f t="shared" si="28"/>
        <v>8</v>
      </c>
      <c r="CU15" s="462">
        <f t="shared" ref="CU15:CU22" si="29">DATE(YEAR(CW15),MONTH(CW15)+CK15,DAY(CW15))</f>
        <v>43734</v>
      </c>
      <c r="CV15" s="125" t="s">
        <v>620</v>
      </c>
      <c r="CW15" s="128">
        <v>41908</v>
      </c>
      <c r="CX15" s="7">
        <v>64913.599999999999</v>
      </c>
      <c r="CY15" s="657">
        <v>34275.638501528265</v>
      </c>
      <c r="CZ15" s="656">
        <v>126.408</v>
      </c>
      <c r="DA15" s="656">
        <v>140.047</v>
      </c>
      <c r="DB15" s="656">
        <f>CZ15/DA15</f>
        <v>0.90261126621776977</v>
      </c>
      <c r="DC15" s="511">
        <f t="shared" ref="DC15:DC22" si="30">CY15/CP15</f>
        <v>2285.0425667685508</v>
      </c>
      <c r="DD15" s="511">
        <f t="shared" ref="DD15:DD22" si="31">DC15*DB15</f>
        <v>2062.5051645524645</v>
      </c>
      <c r="DE15" s="511">
        <v>1145.8362025291469</v>
      </c>
      <c r="DF15" s="511">
        <v>1145.8362025291469</v>
      </c>
      <c r="DG15" s="511">
        <v>1145.8362025291469</v>
      </c>
      <c r="DH15" s="511">
        <v>1145.8362025291469</v>
      </c>
      <c r="DI15" s="511">
        <v>1145.8362025291469</v>
      </c>
      <c r="DJ15" s="511">
        <v>1145.8362025291469</v>
      </c>
      <c r="DK15" s="511">
        <v>1145.8362025291469</v>
      </c>
      <c r="DL15" s="511">
        <f t="shared" ref="DL15:DL22" si="32">SUM(DE15:DK15)</f>
        <v>8020.8534177040292</v>
      </c>
      <c r="DM15" s="657">
        <f t="shared" ref="DM15:DM22" si="33">CY15-DL15</f>
        <v>26254.785083824238</v>
      </c>
      <c r="DN15" s="511">
        <v>1145.8362025291469</v>
      </c>
      <c r="DO15" s="511">
        <v>1145.8362025291469</v>
      </c>
      <c r="DP15" s="511">
        <v>1145.8362025291469</v>
      </c>
      <c r="DQ15" s="511">
        <v>1145.8362025291469</v>
      </c>
      <c r="DR15" s="511">
        <v>1145.8362025291469</v>
      </c>
      <c r="DS15" s="505">
        <f t="shared" ref="DS15:DS22" si="34">SUM(DN15:DR15)</f>
        <v>5729.1810126457349</v>
      </c>
      <c r="DT15" s="679">
        <f t="shared" ref="DT15:DT22" si="35">DM15-DS15</f>
        <v>20525.604071178503</v>
      </c>
      <c r="DU15" s="956">
        <v>132.28200000000001</v>
      </c>
      <c r="DV15" s="656">
        <v>140.047</v>
      </c>
      <c r="DW15" s="957">
        <f>DU15/DV15</f>
        <v>0.9445543281898221</v>
      </c>
      <c r="DX15" s="511">
        <f t="shared" ref="DX15:DX22" si="36">DT15/CP15</f>
        <v>1368.3736047452335</v>
      </c>
      <c r="DY15" s="511">
        <f>DX15*DW15</f>
        <v>1292.5032109428191</v>
      </c>
      <c r="DZ15" s="511">
        <v>1292.5032109428191</v>
      </c>
      <c r="EA15" s="511">
        <v>1292.5032109428191</v>
      </c>
      <c r="EB15" s="511">
        <v>1292.5032109428191</v>
      </c>
      <c r="EC15" s="511">
        <v>1292.5032109428191</v>
      </c>
      <c r="ED15" s="511">
        <v>1292.5032109428191</v>
      </c>
      <c r="EE15" s="511">
        <v>1292.5032109428191</v>
      </c>
      <c r="EF15" s="511">
        <v>1292.5032109428191</v>
      </c>
      <c r="EG15" s="511">
        <v>1292.5032109428191</v>
      </c>
      <c r="EH15" s="511">
        <v>1292.5032109428191</v>
      </c>
      <c r="EI15" s="511">
        <v>1292.5032109428191</v>
      </c>
      <c r="EJ15" s="511">
        <v>1292.5032109428191</v>
      </c>
      <c r="EK15" s="511">
        <v>1292.5032109428191</v>
      </c>
      <c r="EL15" s="511">
        <v>1292.5032109428191</v>
      </c>
      <c r="EM15" s="511">
        <v>1292.5032109428191</v>
      </c>
      <c r="EN15" s="511">
        <v>1292.5032109428191</v>
      </c>
      <c r="EO15" s="511">
        <v>1137.06</v>
      </c>
      <c r="EP15" s="511">
        <v>0</v>
      </c>
      <c r="EQ15" s="511">
        <v>0</v>
      </c>
      <c r="ER15" s="511">
        <f t="shared" ref="ER15:ER30" si="37">SUM(DZ15:EQ15)</f>
        <v>20524.608164142286</v>
      </c>
      <c r="ES15" s="960">
        <f t="shared" ref="ES15:ES22" si="38">DT15-ER15</f>
        <v>0.9959070362165221</v>
      </c>
    </row>
    <row r="16" spans="1:149" s="16" customFormat="1" x14ac:dyDescent="0.2">
      <c r="A16" s="119" t="s">
        <v>617</v>
      </c>
      <c r="B16" s="100" t="s">
        <v>618</v>
      </c>
      <c r="C16" s="45" t="s">
        <v>537</v>
      </c>
      <c r="D16" s="58">
        <v>5</v>
      </c>
      <c r="E16" s="127">
        <v>0.2</v>
      </c>
      <c r="F16" s="46">
        <v>42185</v>
      </c>
      <c r="G16" s="125">
        <v>60</v>
      </c>
      <c r="H16" s="145">
        <f t="shared" si="0"/>
        <v>1.6666666666666667</v>
      </c>
      <c r="I16" s="165">
        <f t="shared" si="1"/>
        <v>15</v>
      </c>
      <c r="J16" s="48">
        <f t="shared" si="2"/>
        <v>9</v>
      </c>
      <c r="K16" s="165">
        <f t="shared" si="3"/>
        <v>85</v>
      </c>
      <c r="L16" s="48">
        <f t="shared" si="4"/>
        <v>51</v>
      </c>
      <c r="M16" s="165">
        <f t="shared" si="5"/>
        <v>11.666666666666668</v>
      </c>
      <c r="N16" s="48">
        <v>7</v>
      </c>
      <c r="O16" s="165">
        <f t="shared" si="6"/>
        <v>73.333333333333329</v>
      </c>
      <c r="P16" s="48">
        <f t="shared" si="6"/>
        <v>44</v>
      </c>
      <c r="Q16" s="48">
        <f t="shared" si="6"/>
        <v>-61.666666666666657</v>
      </c>
      <c r="R16" s="125" t="s">
        <v>620</v>
      </c>
      <c r="S16" s="128">
        <v>41908</v>
      </c>
      <c r="T16" s="7">
        <v>72210</v>
      </c>
      <c r="U16" s="72"/>
      <c r="V16" s="776">
        <f t="shared" si="7"/>
        <v>3610.5</v>
      </c>
      <c r="W16" s="776">
        <f t="shared" si="8"/>
        <v>68599.5</v>
      </c>
      <c r="X16" s="55">
        <f t="shared" si="9"/>
        <v>1203.5</v>
      </c>
      <c r="Y16" s="106">
        <f t="shared" si="10"/>
        <v>6017.5</v>
      </c>
      <c r="Z16" s="258">
        <f t="shared" si="11"/>
        <v>62582</v>
      </c>
      <c r="AA16" s="57">
        <v>115.958</v>
      </c>
      <c r="AB16" s="57">
        <v>140.047</v>
      </c>
      <c r="AC16" s="57">
        <f t="shared" si="12"/>
        <v>0.82799345933865065</v>
      </c>
      <c r="AD16" s="55">
        <f t="shared" si="13"/>
        <v>1227.0980392156864</v>
      </c>
      <c r="AE16" s="55">
        <f t="shared" si="14"/>
        <v>1016.0291504378714</v>
      </c>
      <c r="AF16" s="55"/>
      <c r="AG16" s="55"/>
      <c r="AH16" s="55"/>
      <c r="AI16" s="55"/>
      <c r="AJ16" s="55"/>
      <c r="AK16" s="55">
        <f t="shared" si="15"/>
        <v>1016.0291504378714</v>
      </c>
      <c r="AL16" s="55">
        <v>1016.0291504378714</v>
      </c>
      <c r="AM16" s="55">
        <v>1016.0291504378714</v>
      </c>
      <c r="AN16" s="55">
        <v>1016.0291504378714</v>
      </c>
      <c r="AO16" s="55">
        <v>1016.0291504378714</v>
      </c>
      <c r="AP16" s="55">
        <v>1016.0291504378714</v>
      </c>
      <c r="AQ16" s="55">
        <v>1016.0291504378714</v>
      </c>
      <c r="AR16" s="55">
        <f t="shared" ref="AR16:AR22" si="39">SUM(AF16:AQ16)</f>
        <v>7112.2040530650993</v>
      </c>
      <c r="AS16" s="72">
        <f t="shared" ref="AS16:AS22" si="40">Z16-AR16</f>
        <v>55469.795946934901</v>
      </c>
      <c r="AT16" s="55"/>
      <c r="AU16" s="55"/>
      <c r="AV16" s="55">
        <f t="shared" ref="AV16:AZ29" si="41">$AQ16</f>
        <v>1016.0291504378714</v>
      </c>
      <c r="AW16" s="55">
        <f t="shared" si="41"/>
        <v>1016.0291504378714</v>
      </c>
      <c r="AX16" s="55">
        <f t="shared" si="41"/>
        <v>1016.0291504378714</v>
      </c>
      <c r="AY16" s="55">
        <f t="shared" si="41"/>
        <v>1016.0291504378714</v>
      </c>
      <c r="AZ16" s="55">
        <f t="shared" si="41"/>
        <v>1016.0291504378714</v>
      </c>
      <c r="BA16" s="57">
        <v>118.901</v>
      </c>
      <c r="BB16" s="57">
        <v>140.047</v>
      </c>
      <c r="BC16" s="57">
        <f t="shared" ref="BC16:BC29" si="42">BA16/BB16</f>
        <v>0.84900783308460726</v>
      </c>
      <c r="BD16" s="55">
        <f t="shared" ref="BD16:BD29" si="43">T16/(D16*12)</f>
        <v>1203.5</v>
      </c>
      <c r="BE16" s="55">
        <f t="shared" ref="BE16:BE29" si="44">BD16*BC16</f>
        <v>1021.7809271173248</v>
      </c>
      <c r="BF16" s="55">
        <f t="shared" si="16"/>
        <v>1021.7809271173248</v>
      </c>
      <c r="BG16" s="55">
        <f t="shared" si="16"/>
        <v>1021.7809271173248</v>
      </c>
      <c r="BH16" s="55">
        <f t="shared" si="16"/>
        <v>1021.7809271173248</v>
      </c>
      <c r="BI16" s="55">
        <f t="shared" si="16"/>
        <v>1021.7809271173248</v>
      </c>
      <c r="BJ16" s="55">
        <f t="shared" si="16"/>
        <v>1021.7809271173248</v>
      </c>
      <c r="BK16" s="55">
        <f t="shared" si="16"/>
        <v>1021.7809271173248</v>
      </c>
      <c r="BL16" s="55">
        <f t="shared" si="16"/>
        <v>1021.7809271173248</v>
      </c>
      <c r="BM16" s="55">
        <f t="shared" ref="BM16:BM29" si="45">SUM((AV16:AZ16),(BF16:BL16))</f>
        <v>12232.612242010629</v>
      </c>
      <c r="BN16" s="448">
        <f t="shared" ref="BN16:BN29" si="46">(AS16-BM16)</f>
        <v>43237.183704924275</v>
      </c>
      <c r="BO16" s="511">
        <f t="shared" si="17"/>
        <v>1021.7809271173248</v>
      </c>
      <c r="BP16" s="511">
        <f t="shared" si="17"/>
        <v>1021.7809271173248</v>
      </c>
      <c r="BQ16" s="511">
        <f t="shared" si="17"/>
        <v>1021.7809271173248</v>
      </c>
      <c r="BR16" s="511">
        <f t="shared" si="17"/>
        <v>1021.7809271173248</v>
      </c>
      <c r="BS16" s="511">
        <f t="shared" si="17"/>
        <v>1021.7809271173248</v>
      </c>
      <c r="BT16" s="656">
        <v>118.901</v>
      </c>
      <c r="BU16" s="656">
        <v>140.047</v>
      </c>
      <c r="BV16" s="656">
        <f t="shared" si="18"/>
        <v>0.84900783308460726</v>
      </c>
      <c r="BW16" s="511">
        <f t="shared" ref="BW16:BW22" si="47">AM16/(W16*12)</f>
        <v>1.2342523760351404E-3</v>
      </c>
      <c r="BX16" s="511">
        <f t="shared" si="19"/>
        <v>1.0478899352571224E-3</v>
      </c>
      <c r="BY16" s="511"/>
      <c r="BZ16" s="511"/>
      <c r="CA16" s="511"/>
      <c r="CB16" s="511"/>
      <c r="CC16" s="511"/>
      <c r="CD16" s="511"/>
      <c r="CE16" s="511"/>
      <c r="CF16" s="511">
        <f t="shared" si="20"/>
        <v>5108.904635586624</v>
      </c>
      <c r="CG16" s="657">
        <f t="shared" si="21"/>
        <v>38128.279069337652</v>
      </c>
      <c r="CH16" s="58">
        <v>5</v>
      </c>
      <c r="CI16" s="127">
        <v>0.2</v>
      </c>
      <c r="CJ16" s="46">
        <v>43281</v>
      </c>
      <c r="CK16" s="125">
        <v>60</v>
      </c>
      <c r="CL16" s="145">
        <f t="shared" si="22"/>
        <v>1.6666666666666667</v>
      </c>
      <c r="CM16" s="165">
        <f t="shared" si="23"/>
        <v>75</v>
      </c>
      <c r="CN16" s="48">
        <f t="shared" si="24"/>
        <v>45</v>
      </c>
      <c r="CO16" s="165">
        <f t="shared" si="25"/>
        <v>25</v>
      </c>
      <c r="CP16" s="48">
        <f t="shared" si="26"/>
        <v>15</v>
      </c>
      <c r="CQ16" s="165">
        <f t="shared" si="27"/>
        <v>11.666666666666668</v>
      </c>
      <c r="CR16" s="48">
        <v>7</v>
      </c>
      <c r="CS16" s="165">
        <f t="shared" si="28"/>
        <v>13.333333333333332</v>
      </c>
      <c r="CT16" s="48">
        <f t="shared" si="28"/>
        <v>8</v>
      </c>
      <c r="CU16" s="462">
        <f t="shared" si="29"/>
        <v>43734</v>
      </c>
      <c r="CV16" s="125" t="s">
        <v>620</v>
      </c>
      <c r="CW16" s="128">
        <v>41908</v>
      </c>
      <c r="CX16" s="7">
        <v>72210</v>
      </c>
      <c r="CY16" s="657">
        <v>38128.279069337652</v>
      </c>
      <c r="CZ16" s="656">
        <v>126.408</v>
      </c>
      <c r="DA16" s="656">
        <v>140.047</v>
      </c>
      <c r="DB16" s="656">
        <f>CZ16/DA16</f>
        <v>0.90261126621776977</v>
      </c>
      <c r="DC16" s="511">
        <f t="shared" si="30"/>
        <v>2541.8852712891767</v>
      </c>
      <c r="DD16" s="511">
        <f t="shared" si="31"/>
        <v>2294.3342832986232</v>
      </c>
      <c r="DE16" s="511">
        <v>1274.630157388124</v>
      </c>
      <c r="DF16" s="511">
        <v>1274.630157388124</v>
      </c>
      <c r="DG16" s="511">
        <v>1274.630157388124</v>
      </c>
      <c r="DH16" s="511">
        <v>1274.630157388124</v>
      </c>
      <c r="DI16" s="511">
        <v>1274.630157388124</v>
      </c>
      <c r="DJ16" s="511">
        <v>1274.630157388124</v>
      </c>
      <c r="DK16" s="511">
        <v>1274.630157388124</v>
      </c>
      <c r="DL16" s="511">
        <f t="shared" si="32"/>
        <v>8922.4111017168671</v>
      </c>
      <c r="DM16" s="657">
        <f t="shared" si="33"/>
        <v>29205.867967620783</v>
      </c>
      <c r="DN16" s="511">
        <v>1274.630157388124</v>
      </c>
      <c r="DO16" s="511">
        <v>1274.630157388124</v>
      </c>
      <c r="DP16" s="511">
        <v>1274.630157388124</v>
      </c>
      <c r="DQ16" s="511">
        <v>1274.630157388124</v>
      </c>
      <c r="DR16" s="511">
        <v>1274.630157388124</v>
      </c>
      <c r="DS16" s="505">
        <f t="shared" si="34"/>
        <v>6373.1507869406196</v>
      </c>
      <c r="DT16" s="679">
        <f t="shared" si="35"/>
        <v>22832.717180680163</v>
      </c>
      <c r="DU16" s="956">
        <v>132.28200000000001</v>
      </c>
      <c r="DV16" s="656">
        <v>140.047</v>
      </c>
      <c r="DW16" s="957">
        <f t="shared" ref="DW16:DW22" si="48">DU16/DV16</f>
        <v>0.9445543281898221</v>
      </c>
      <c r="DX16" s="511">
        <f t="shared" si="36"/>
        <v>1522.1811453786775</v>
      </c>
      <c r="DY16" s="511">
        <f t="shared" ref="DY16:DY22" si="49">DX16*DW16</f>
        <v>1437.7827891563707</v>
      </c>
      <c r="DZ16" s="511">
        <v>1437.7827891563707</v>
      </c>
      <c r="EA16" s="511">
        <v>1437.7827891563707</v>
      </c>
      <c r="EB16" s="511">
        <v>1437.7827891563707</v>
      </c>
      <c r="EC16" s="511">
        <v>1437.7827891563707</v>
      </c>
      <c r="ED16" s="511">
        <v>1437.7827891563707</v>
      </c>
      <c r="EE16" s="511">
        <v>1437.7827891563707</v>
      </c>
      <c r="EF16" s="511">
        <v>1437.7827891563707</v>
      </c>
      <c r="EG16" s="511">
        <v>1437.7827891563707</v>
      </c>
      <c r="EH16" s="511">
        <v>1437.7827891563707</v>
      </c>
      <c r="EI16" s="511">
        <v>1437.7827891563707</v>
      </c>
      <c r="EJ16" s="511">
        <v>1437.7827891563707</v>
      </c>
      <c r="EK16" s="511">
        <v>1437.7827891563707</v>
      </c>
      <c r="EL16" s="511">
        <v>1437.7827891563707</v>
      </c>
      <c r="EM16" s="511">
        <v>1437.7827891563707</v>
      </c>
      <c r="EN16" s="511">
        <v>1437.7827891563707</v>
      </c>
      <c r="EO16" s="511">
        <v>1264.98</v>
      </c>
      <c r="EP16" s="511">
        <v>0</v>
      </c>
      <c r="EQ16" s="511">
        <v>0</v>
      </c>
      <c r="ER16" s="511">
        <f t="shared" si="37"/>
        <v>22831.721837345562</v>
      </c>
      <c r="ES16" s="960">
        <f t="shared" si="38"/>
        <v>0.99534333460178459</v>
      </c>
    </row>
    <row r="17" spans="1:149" s="16" customFormat="1" x14ac:dyDescent="0.2">
      <c r="A17" s="119" t="s">
        <v>626</v>
      </c>
      <c r="B17" s="100" t="s">
        <v>619</v>
      </c>
      <c r="C17" s="45" t="s">
        <v>537</v>
      </c>
      <c r="D17" s="58">
        <v>5</v>
      </c>
      <c r="E17" s="127">
        <v>0.2</v>
      </c>
      <c r="F17" s="46">
        <v>42185</v>
      </c>
      <c r="G17" s="125">
        <v>60</v>
      </c>
      <c r="H17" s="145">
        <f t="shared" si="0"/>
        <v>1.6666666666666667</v>
      </c>
      <c r="I17" s="165">
        <f t="shared" si="1"/>
        <v>15</v>
      </c>
      <c r="J17" s="48">
        <f t="shared" si="2"/>
        <v>9</v>
      </c>
      <c r="K17" s="165">
        <f t="shared" si="3"/>
        <v>85</v>
      </c>
      <c r="L17" s="48">
        <f t="shared" si="4"/>
        <v>51</v>
      </c>
      <c r="M17" s="165">
        <f t="shared" si="5"/>
        <v>11.666666666666668</v>
      </c>
      <c r="N17" s="48">
        <v>7</v>
      </c>
      <c r="O17" s="165">
        <f t="shared" si="6"/>
        <v>73.333333333333329</v>
      </c>
      <c r="P17" s="48">
        <f t="shared" si="6"/>
        <v>44</v>
      </c>
      <c r="Q17" s="48">
        <f t="shared" si="6"/>
        <v>-61.666666666666657</v>
      </c>
      <c r="R17" s="125" t="s">
        <v>620</v>
      </c>
      <c r="S17" s="128">
        <v>41908</v>
      </c>
      <c r="T17" s="7">
        <v>75400</v>
      </c>
      <c r="U17" s="72"/>
      <c r="V17" s="776">
        <f t="shared" si="7"/>
        <v>3770</v>
      </c>
      <c r="W17" s="776">
        <f t="shared" si="8"/>
        <v>71630</v>
      </c>
      <c r="X17" s="55">
        <f t="shared" si="9"/>
        <v>1256.6666666666667</v>
      </c>
      <c r="Y17" s="106">
        <f t="shared" si="10"/>
        <v>6283.3333333333339</v>
      </c>
      <c r="Z17" s="258">
        <f t="shared" si="11"/>
        <v>65346.666666666664</v>
      </c>
      <c r="AA17" s="57">
        <v>115.958</v>
      </c>
      <c r="AB17" s="57">
        <v>140.047</v>
      </c>
      <c r="AC17" s="57">
        <f t="shared" si="12"/>
        <v>0.82799345933865065</v>
      </c>
      <c r="AD17" s="55">
        <f t="shared" si="13"/>
        <v>1281.3071895424837</v>
      </c>
      <c r="AE17" s="55">
        <f t="shared" si="14"/>
        <v>1060.9139723447652</v>
      </c>
      <c r="AF17" s="55"/>
      <c r="AG17" s="55"/>
      <c r="AH17" s="55"/>
      <c r="AI17" s="55"/>
      <c r="AJ17" s="55"/>
      <c r="AK17" s="55">
        <f t="shared" si="15"/>
        <v>1060.9139723447652</v>
      </c>
      <c r="AL17" s="55">
        <v>1060.9139723447652</v>
      </c>
      <c r="AM17" s="55">
        <v>1060.9139723447652</v>
      </c>
      <c r="AN17" s="55">
        <v>1060.9139723447652</v>
      </c>
      <c r="AO17" s="55">
        <v>1060.9139723447652</v>
      </c>
      <c r="AP17" s="55">
        <v>1060.9139723447652</v>
      </c>
      <c r="AQ17" s="55">
        <v>1060.9139723447652</v>
      </c>
      <c r="AR17" s="55">
        <f t="shared" si="39"/>
        <v>7426.3978064133562</v>
      </c>
      <c r="AS17" s="72">
        <f t="shared" si="40"/>
        <v>57920.268860253309</v>
      </c>
      <c r="AT17" s="55"/>
      <c r="AU17" s="55"/>
      <c r="AV17" s="55">
        <f t="shared" si="41"/>
        <v>1060.9139723447652</v>
      </c>
      <c r="AW17" s="55">
        <f t="shared" si="41"/>
        <v>1060.9139723447652</v>
      </c>
      <c r="AX17" s="55">
        <f t="shared" si="41"/>
        <v>1060.9139723447652</v>
      </c>
      <c r="AY17" s="55">
        <f t="shared" si="41"/>
        <v>1060.9139723447652</v>
      </c>
      <c r="AZ17" s="55">
        <f t="shared" si="41"/>
        <v>1060.9139723447652</v>
      </c>
      <c r="BA17" s="57">
        <v>118.901</v>
      </c>
      <c r="BB17" s="57">
        <v>140.047</v>
      </c>
      <c r="BC17" s="57">
        <f t="shared" si="42"/>
        <v>0.84900783308460726</v>
      </c>
      <c r="BD17" s="55">
        <f t="shared" si="43"/>
        <v>1256.6666666666667</v>
      </c>
      <c r="BE17" s="55">
        <f t="shared" si="44"/>
        <v>1066.9198435763233</v>
      </c>
      <c r="BF17" s="55">
        <f t="shared" si="16"/>
        <v>1066.9198435763233</v>
      </c>
      <c r="BG17" s="55">
        <f t="shared" si="16"/>
        <v>1066.9198435763233</v>
      </c>
      <c r="BH17" s="55">
        <f t="shared" si="16"/>
        <v>1066.9198435763233</v>
      </c>
      <c r="BI17" s="55">
        <f t="shared" si="16"/>
        <v>1066.9198435763233</v>
      </c>
      <c r="BJ17" s="55">
        <f t="shared" si="16"/>
        <v>1066.9198435763233</v>
      </c>
      <c r="BK17" s="55">
        <f t="shared" si="16"/>
        <v>1066.9198435763233</v>
      </c>
      <c r="BL17" s="55">
        <f t="shared" si="16"/>
        <v>1066.9198435763233</v>
      </c>
      <c r="BM17" s="55">
        <f t="shared" si="45"/>
        <v>12773.008766758086</v>
      </c>
      <c r="BN17" s="448">
        <f t="shared" si="46"/>
        <v>45147.260093495221</v>
      </c>
      <c r="BO17" s="511">
        <f t="shared" si="17"/>
        <v>1066.9198435763233</v>
      </c>
      <c r="BP17" s="511">
        <f t="shared" si="17"/>
        <v>1066.9198435763233</v>
      </c>
      <c r="BQ17" s="511">
        <f t="shared" si="17"/>
        <v>1066.9198435763233</v>
      </c>
      <c r="BR17" s="511">
        <f t="shared" si="17"/>
        <v>1066.9198435763233</v>
      </c>
      <c r="BS17" s="511">
        <f t="shared" si="17"/>
        <v>1066.9198435763233</v>
      </c>
      <c r="BT17" s="656">
        <v>118.901</v>
      </c>
      <c r="BU17" s="656">
        <v>140.047</v>
      </c>
      <c r="BV17" s="656">
        <f t="shared" si="18"/>
        <v>0.84900783308460726</v>
      </c>
      <c r="BW17" s="511">
        <f t="shared" si="47"/>
        <v>1.2342523760351402E-3</v>
      </c>
      <c r="BX17" s="511">
        <f t="shared" si="19"/>
        <v>1.0478899352571222E-3</v>
      </c>
      <c r="BY17" s="511"/>
      <c r="BZ17" s="511"/>
      <c r="CA17" s="511"/>
      <c r="CB17" s="511"/>
      <c r="CC17" s="511"/>
      <c r="CD17" s="511"/>
      <c r="CE17" s="511"/>
      <c r="CF17" s="511">
        <f t="shared" si="20"/>
        <v>5334.5992178816159</v>
      </c>
      <c r="CG17" s="657">
        <f t="shared" si="21"/>
        <v>39812.660875613605</v>
      </c>
      <c r="CH17" s="58">
        <v>5</v>
      </c>
      <c r="CI17" s="127">
        <v>0.2</v>
      </c>
      <c r="CJ17" s="46">
        <v>43281</v>
      </c>
      <c r="CK17" s="125">
        <v>60</v>
      </c>
      <c r="CL17" s="145">
        <f t="shared" si="22"/>
        <v>1.6666666666666667</v>
      </c>
      <c r="CM17" s="165">
        <f t="shared" si="23"/>
        <v>75</v>
      </c>
      <c r="CN17" s="48">
        <f t="shared" si="24"/>
        <v>45</v>
      </c>
      <c r="CO17" s="165">
        <f t="shared" si="25"/>
        <v>25</v>
      </c>
      <c r="CP17" s="48">
        <f t="shared" si="26"/>
        <v>15</v>
      </c>
      <c r="CQ17" s="165">
        <f t="shared" si="27"/>
        <v>11.666666666666668</v>
      </c>
      <c r="CR17" s="48">
        <v>7</v>
      </c>
      <c r="CS17" s="165">
        <f t="shared" si="28"/>
        <v>13.333333333333332</v>
      </c>
      <c r="CT17" s="48">
        <f t="shared" si="28"/>
        <v>8</v>
      </c>
      <c r="CU17" s="462">
        <f t="shared" si="29"/>
        <v>43734</v>
      </c>
      <c r="CV17" s="125" t="s">
        <v>620</v>
      </c>
      <c r="CW17" s="128">
        <v>41908</v>
      </c>
      <c r="CX17" s="7">
        <v>75400</v>
      </c>
      <c r="CY17" s="657">
        <v>39812.660875613605</v>
      </c>
      <c r="CZ17" s="656">
        <v>126.408</v>
      </c>
      <c r="DA17" s="656">
        <v>140.047</v>
      </c>
      <c r="DB17" s="656">
        <f t="shared" ref="DB17:DB22" si="50">CZ17/DA17</f>
        <v>0.90261126621776977</v>
      </c>
      <c r="DC17" s="511">
        <f t="shared" si="30"/>
        <v>2654.1773917075739</v>
      </c>
      <c r="DD17" s="511">
        <f t="shared" si="31"/>
        <v>2395.6904162957508</v>
      </c>
      <c r="DE17" s="511">
        <v>1330.9391201643057</v>
      </c>
      <c r="DF17" s="511">
        <v>1330.9391201643057</v>
      </c>
      <c r="DG17" s="511">
        <v>1330.9391201643057</v>
      </c>
      <c r="DH17" s="511">
        <v>1330.9391201643057</v>
      </c>
      <c r="DI17" s="511">
        <v>1330.9391201643057</v>
      </c>
      <c r="DJ17" s="511">
        <v>1330.9391201643057</v>
      </c>
      <c r="DK17" s="511">
        <v>1330.9391201643057</v>
      </c>
      <c r="DL17" s="511">
        <f t="shared" si="32"/>
        <v>9316.5738411501407</v>
      </c>
      <c r="DM17" s="657">
        <f t="shared" si="33"/>
        <v>30496.087034463464</v>
      </c>
      <c r="DN17" s="511">
        <v>1330.9391201643057</v>
      </c>
      <c r="DO17" s="511">
        <v>1330.9391201643057</v>
      </c>
      <c r="DP17" s="511">
        <v>1330.9391201643057</v>
      </c>
      <c r="DQ17" s="511">
        <v>1330.9391201643057</v>
      </c>
      <c r="DR17" s="511">
        <v>1330.9391201643057</v>
      </c>
      <c r="DS17" s="505">
        <f t="shared" si="34"/>
        <v>6654.6956008215284</v>
      </c>
      <c r="DT17" s="679">
        <f t="shared" si="35"/>
        <v>23841.391433641937</v>
      </c>
      <c r="DU17" s="956">
        <v>132.28200000000001</v>
      </c>
      <c r="DV17" s="656">
        <v>140.047</v>
      </c>
      <c r="DW17" s="957">
        <f t="shared" si="48"/>
        <v>0.9445543281898221</v>
      </c>
      <c r="DX17" s="511">
        <f t="shared" si="36"/>
        <v>1589.426095576129</v>
      </c>
      <c r="DY17" s="511">
        <f t="shared" si="49"/>
        <v>1501.2992979142825</v>
      </c>
      <c r="DZ17" s="511">
        <v>1501.2992979142825</v>
      </c>
      <c r="EA17" s="511">
        <v>1501.2992979142825</v>
      </c>
      <c r="EB17" s="511">
        <v>1501.2992979142825</v>
      </c>
      <c r="EC17" s="511">
        <v>1501.2992979142825</v>
      </c>
      <c r="ED17" s="511">
        <v>1501.2992979142825</v>
      </c>
      <c r="EE17" s="511">
        <v>1501.2992979142825</v>
      </c>
      <c r="EF17" s="511">
        <v>1501.2992979142825</v>
      </c>
      <c r="EG17" s="511">
        <v>1501.2992979142825</v>
      </c>
      <c r="EH17" s="511">
        <v>1501.2992979142825</v>
      </c>
      <c r="EI17" s="511">
        <v>1501.2992979142825</v>
      </c>
      <c r="EJ17" s="511">
        <v>1501.2992979142825</v>
      </c>
      <c r="EK17" s="511">
        <v>1501.2992979142825</v>
      </c>
      <c r="EL17" s="511">
        <v>1501.2992979142825</v>
      </c>
      <c r="EM17" s="511">
        <v>1501.2992979142825</v>
      </c>
      <c r="EN17" s="511">
        <v>1501.2992979142825</v>
      </c>
      <c r="EO17" s="511">
        <v>1320.9</v>
      </c>
      <c r="EP17" s="511">
        <v>0</v>
      </c>
      <c r="EQ17" s="511">
        <v>0</v>
      </c>
      <c r="ER17" s="511">
        <f t="shared" si="37"/>
        <v>23840.389468714242</v>
      </c>
      <c r="ES17" s="960">
        <f t="shared" si="38"/>
        <v>1.0019649276946438</v>
      </c>
    </row>
    <row r="18" spans="1:149" s="16" customFormat="1" x14ac:dyDescent="0.2">
      <c r="A18" s="119" t="s">
        <v>621</v>
      </c>
      <c r="B18" s="100" t="s">
        <v>622</v>
      </c>
      <c r="C18" s="45" t="s">
        <v>537</v>
      </c>
      <c r="D18" s="58">
        <v>5</v>
      </c>
      <c r="E18" s="127">
        <v>0.2</v>
      </c>
      <c r="F18" s="46">
        <v>42185</v>
      </c>
      <c r="G18" s="125">
        <v>60</v>
      </c>
      <c r="H18" s="145">
        <f t="shared" si="0"/>
        <v>1.6666666666666667</v>
      </c>
      <c r="I18" s="165">
        <f t="shared" si="1"/>
        <v>15</v>
      </c>
      <c r="J18" s="48">
        <f t="shared" si="2"/>
        <v>9</v>
      </c>
      <c r="K18" s="165">
        <f t="shared" si="3"/>
        <v>85</v>
      </c>
      <c r="L18" s="48">
        <f t="shared" si="4"/>
        <v>51</v>
      </c>
      <c r="M18" s="165">
        <f t="shared" si="5"/>
        <v>11.666666666666668</v>
      </c>
      <c r="N18" s="48">
        <v>7</v>
      </c>
      <c r="O18" s="165">
        <f t="shared" si="6"/>
        <v>73.333333333333329</v>
      </c>
      <c r="P18" s="48">
        <f t="shared" si="6"/>
        <v>44</v>
      </c>
      <c r="Q18" s="48">
        <f t="shared" si="6"/>
        <v>-61.666666666666657</v>
      </c>
      <c r="R18" s="125" t="s">
        <v>620</v>
      </c>
      <c r="S18" s="128">
        <v>41908</v>
      </c>
      <c r="T18" s="7">
        <v>93264</v>
      </c>
      <c r="U18" s="72"/>
      <c r="V18" s="776">
        <f t="shared" si="7"/>
        <v>4663.2</v>
      </c>
      <c r="W18" s="776">
        <f t="shared" si="8"/>
        <v>88600.8</v>
      </c>
      <c r="X18" s="55">
        <f t="shared" si="9"/>
        <v>1554.3999999999999</v>
      </c>
      <c r="Y18" s="106">
        <f t="shared" si="10"/>
        <v>7771.9999999999991</v>
      </c>
      <c r="Z18" s="258">
        <f t="shared" si="11"/>
        <v>80828.800000000003</v>
      </c>
      <c r="AA18" s="57">
        <v>115.958</v>
      </c>
      <c r="AB18" s="57">
        <v>140.047</v>
      </c>
      <c r="AC18" s="57">
        <f t="shared" si="12"/>
        <v>0.82799345933865065</v>
      </c>
      <c r="AD18" s="55">
        <f t="shared" si="13"/>
        <v>1584.8784313725489</v>
      </c>
      <c r="AE18" s="55">
        <f t="shared" si="14"/>
        <v>1312.268975023371</v>
      </c>
      <c r="AF18" s="55"/>
      <c r="AG18" s="55"/>
      <c r="AH18" s="55"/>
      <c r="AI18" s="55"/>
      <c r="AJ18" s="55"/>
      <c r="AK18" s="55">
        <f t="shared" si="15"/>
        <v>1312.268975023371</v>
      </c>
      <c r="AL18" s="55">
        <v>1312.268975023371</v>
      </c>
      <c r="AM18" s="55">
        <v>1312.268975023371</v>
      </c>
      <c r="AN18" s="55">
        <v>1312.268975023371</v>
      </c>
      <c r="AO18" s="55">
        <v>1312.268975023371</v>
      </c>
      <c r="AP18" s="55">
        <v>1312.268975023371</v>
      </c>
      <c r="AQ18" s="55">
        <v>1312.268975023371</v>
      </c>
      <c r="AR18" s="55">
        <f t="shared" si="39"/>
        <v>9185.8828251635969</v>
      </c>
      <c r="AS18" s="72">
        <f>Z18-AR18</f>
        <v>71642.917174836402</v>
      </c>
      <c r="AT18" s="55"/>
      <c r="AU18" s="55"/>
      <c r="AV18" s="55">
        <f t="shared" si="41"/>
        <v>1312.268975023371</v>
      </c>
      <c r="AW18" s="55">
        <f t="shared" si="41"/>
        <v>1312.268975023371</v>
      </c>
      <c r="AX18" s="55">
        <f t="shared" si="41"/>
        <v>1312.268975023371</v>
      </c>
      <c r="AY18" s="55">
        <f t="shared" si="41"/>
        <v>1312.268975023371</v>
      </c>
      <c r="AZ18" s="55">
        <f t="shared" si="41"/>
        <v>1312.268975023371</v>
      </c>
      <c r="BA18" s="57">
        <v>118.901</v>
      </c>
      <c r="BB18" s="57">
        <v>140.047</v>
      </c>
      <c r="BC18" s="57">
        <f t="shared" si="42"/>
        <v>0.84900783308460726</v>
      </c>
      <c r="BD18" s="55">
        <f t="shared" si="43"/>
        <v>1554.4</v>
      </c>
      <c r="BE18" s="55">
        <f t="shared" si="44"/>
        <v>1319.6977757467137</v>
      </c>
      <c r="BF18" s="55">
        <f t="shared" si="16"/>
        <v>1319.6977757467137</v>
      </c>
      <c r="BG18" s="55">
        <f t="shared" si="16"/>
        <v>1319.6977757467137</v>
      </c>
      <c r="BH18" s="55">
        <f t="shared" si="16"/>
        <v>1319.6977757467137</v>
      </c>
      <c r="BI18" s="55">
        <f t="shared" si="16"/>
        <v>1319.6977757467137</v>
      </c>
      <c r="BJ18" s="55">
        <f t="shared" si="16"/>
        <v>1319.6977757467137</v>
      </c>
      <c r="BK18" s="55">
        <f t="shared" si="16"/>
        <v>1319.6977757467137</v>
      </c>
      <c r="BL18" s="55">
        <f t="shared" si="16"/>
        <v>1319.6977757467137</v>
      </c>
      <c r="BM18" s="55">
        <f t="shared" si="45"/>
        <v>15799.229305343852</v>
      </c>
      <c r="BN18" s="448">
        <f t="shared" si="46"/>
        <v>55843.687869492554</v>
      </c>
      <c r="BO18" s="511">
        <f t="shared" si="17"/>
        <v>1319.6977757467137</v>
      </c>
      <c r="BP18" s="511">
        <f t="shared" si="17"/>
        <v>1319.6977757467137</v>
      </c>
      <c r="BQ18" s="511">
        <f t="shared" si="17"/>
        <v>1319.6977757467137</v>
      </c>
      <c r="BR18" s="511">
        <f t="shared" si="17"/>
        <v>1319.6977757467137</v>
      </c>
      <c r="BS18" s="511">
        <f t="shared" si="17"/>
        <v>1319.6977757467137</v>
      </c>
      <c r="BT18" s="656">
        <v>118.901</v>
      </c>
      <c r="BU18" s="656">
        <v>140.047</v>
      </c>
      <c r="BV18" s="656">
        <f t="shared" si="18"/>
        <v>0.84900783308460726</v>
      </c>
      <c r="BW18" s="511">
        <f t="shared" si="47"/>
        <v>1.23425237603514E-3</v>
      </c>
      <c r="BX18" s="511">
        <f t="shared" si="19"/>
        <v>1.0478899352571222E-3</v>
      </c>
      <c r="BY18" s="511"/>
      <c r="BZ18" s="511"/>
      <c r="CA18" s="511"/>
      <c r="CB18" s="511"/>
      <c r="CC18" s="511"/>
      <c r="CD18" s="511"/>
      <c r="CE18" s="511"/>
      <c r="CF18" s="511">
        <f t="shared" si="20"/>
        <v>6598.4888787335685</v>
      </c>
      <c r="CG18" s="657">
        <f t="shared" si="21"/>
        <v>49245.198990758989</v>
      </c>
      <c r="CH18" s="58">
        <v>5</v>
      </c>
      <c r="CI18" s="127">
        <v>0.2</v>
      </c>
      <c r="CJ18" s="46">
        <v>43281</v>
      </c>
      <c r="CK18" s="125">
        <v>60</v>
      </c>
      <c r="CL18" s="145">
        <f t="shared" si="22"/>
        <v>1.6666666666666667</v>
      </c>
      <c r="CM18" s="165">
        <f t="shared" si="23"/>
        <v>75</v>
      </c>
      <c r="CN18" s="48">
        <f t="shared" si="24"/>
        <v>45</v>
      </c>
      <c r="CO18" s="165">
        <f t="shared" si="25"/>
        <v>25</v>
      </c>
      <c r="CP18" s="48">
        <f t="shared" si="26"/>
        <v>15</v>
      </c>
      <c r="CQ18" s="165">
        <f t="shared" si="27"/>
        <v>11.666666666666668</v>
      </c>
      <c r="CR18" s="48">
        <v>7</v>
      </c>
      <c r="CS18" s="165">
        <f t="shared" si="28"/>
        <v>13.333333333333332</v>
      </c>
      <c r="CT18" s="48">
        <f t="shared" si="28"/>
        <v>8</v>
      </c>
      <c r="CU18" s="462">
        <f t="shared" si="29"/>
        <v>43734</v>
      </c>
      <c r="CV18" s="125" t="s">
        <v>620</v>
      </c>
      <c r="CW18" s="128">
        <v>41908</v>
      </c>
      <c r="CX18" s="7">
        <v>93264</v>
      </c>
      <c r="CY18" s="657">
        <v>49245.198990758989</v>
      </c>
      <c r="CZ18" s="656">
        <v>126.408</v>
      </c>
      <c r="DA18" s="656">
        <v>140.047</v>
      </c>
      <c r="DB18" s="656">
        <f t="shared" si="50"/>
        <v>0.90261126621776977</v>
      </c>
      <c r="DC18" s="511">
        <f t="shared" si="30"/>
        <v>3283.0132660505992</v>
      </c>
      <c r="DD18" s="511">
        <f t="shared" si="31"/>
        <v>2963.2847610796671</v>
      </c>
      <c r="DE18" s="511">
        <v>1646.2693117109263</v>
      </c>
      <c r="DF18" s="511">
        <v>1646.2693117109263</v>
      </c>
      <c r="DG18" s="511">
        <v>1646.2693117109263</v>
      </c>
      <c r="DH18" s="511">
        <v>1646.2693117109263</v>
      </c>
      <c r="DI18" s="511">
        <v>1646.2693117109263</v>
      </c>
      <c r="DJ18" s="511">
        <v>1646.2693117109263</v>
      </c>
      <c r="DK18" s="511">
        <v>1646.2693117109263</v>
      </c>
      <c r="DL18" s="511">
        <f t="shared" si="32"/>
        <v>11523.885181976484</v>
      </c>
      <c r="DM18" s="657">
        <f t="shared" si="33"/>
        <v>37721.313808782506</v>
      </c>
      <c r="DN18" s="511">
        <v>1646.2693117109263</v>
      </c>
      <c r="DO18" s="511">
        <v>1646.2693117109263</v>
      </c>
      <c r="DP18" s="511">
        <v>1646.2693117109263</v>
      </c>
      <c r="DQ18" s="511">
        <v>1646.2693117109263</v>
      </c>
      <c r="DR18" s="511">
        <v>1646.2693117109263</v>
      </c>
      <c r="DS18" s="505">
        <f t="shared" si="34"/>
        <v>8231.346558554631</v>
      </c>
      <c r="DT18" s="679">
        <f t="shared" si="35"/>
        <v>29489.967250227877</v>
      </c>
      <c r="DU18" s="956">
        <v>132.28200000000001</v>
      </c>
      <c r="DV18" s="656">
        <v>140.047</v>
      </c>
      <c r="DW18" s="957">
        <f t="shared" si="48"/>
        <v>0.9445543281898221</v>
      </c>
      <c r="DX18" s="511">
        <f t="shared" si="36"/>
        <v>1965.9978166818585</v>
      </c>
      <c r="DY18" s="511">
        <f t="shared" si="49"/>
        <v>1856.9917469585898</v>
      </c>
      <c r="DZ18" s="511">
        <v>1856.9917469585898</v>
      </c>
      <c r="EA18" s="511">
        <v>1856.9917469585898</v>
      </c>
      <c r="EB18" s="511">
        <v>1856.9917469585898</v>
      </c>
      <c r="EC18" s="511">
        <v>1856.9917469585898</v>
      </c>
      <c r="ED18" s="511">
        <v>1856.9917469585898</v>
      </c>
      <c r="EE18" s="511">
        <v>1856.9917469585898</v>
      </c>
      <c r="EF18" s="511">
        <v>1856.9917469585898</v>
      </c>
      <c r="EG18" s="511">
        <v>1856.9917469585898</v>
      </c>
      <c r="EH18" s="511">
        <v>1856.9917469585898</v>
      </c>
      <c r="EI18" s="511">
        <v>1856.9917469585898</v>
      </c>
      <c r="EJ18" s="511">
        <v>1856.9917469585898</v>
      </c>
      <c r="EK18" s="511">
        <v>1856.9917469585898</v>
      </c>
      <c r="EL18" s="511">
        <v>1856.9917469585898</v>
      </c>
      <c r="EM18" s="511">
        <v>1856.9917469585898</v>
      </c>
      <c r="EN18" s="511">
        <v>1856.9917469585898</v>
      </c>
      <c r="EO18" s="511">
        <v>1634.09</v>
      </c>
      <c r="EP18" s="511">
        <v>0</v>
      </c>
      <c r="EQ18" s="511">
        <v>0</v>
      </c>
      <c r="ER18" s="511">
        <f t="shared" si="37"/>
        <v>29488.966204378838</v>
      </c>
      <c r="ES18" s="960">
        <f t="shared" si="38"/>
        <v>1.0010458490396559</v>
      </c>
    </row>
    <row r="19" spans="1:149" s="16" customFormat="1" x14ac:dyDescent="0.2">
      <c r="A19" s="119" t="s">
        <v>623</v>
      </c>
      <c r="B19" s="100" t="s">
        <v>624</v>
      </c>
      <c r="C19" s="45" t="s">
        <v>537</v>
      </c>
      <c r="D19" s="58">
        <v>5</v>
      </c>
      <c r="E19" s="127">
        <v>0.2</v>
      </c>
      <c r="F19" s="46">
        <v>42185</v>
      </c>
      <c r="G19" s="125">
        <v>60</v>
      </c>
      <c r="H19" s="145">
        <f t="shared" si="0"/>
        <v>1.6666666666666667</v>
      </c>
      <c r="I19" s="165">
        <f t="shared" si="1"/>
        <v>15</v>
      </c>
      <c r="J19" s="48">
        <f t="shared" si="2"/>
        <v>9</v>
      </c>
      <c r="K19" s="165">
        <f t="shared" si="3"/>
        <v>85</v>
      </c>
      <c r="L19" s="48">
        <f t="shared" si="4"/>
        <v>51</v>
      </c>
      <c r="M19" s="165">
        <f t="shared" si="5"/>
        <v>11.666666666666668</v>
      </c>
      <c r="N19" s="48">
        <v>7</v>
      </c>
      <c r="O19" s="165">
        <f t="shared" si="6"/>
        <v>73.333333333333329</v>
      </c>
      <c r="P19" s="48">
        <f t="shared" si="6"/>
        <v>44</v>
      </c>
      <c r="Q19" s="48">
        <f t="shared" si="6"/>
        <v>-61.666666666666657</v>
      </c>
      <c r="R19" s="125" t="s">
        <v>620</v>
      </c>
      <c r="S19" s="128">
        <v>41908</v>
      </c>
      <c r="T19" s="7">
        <v>13998.88</v>
      </c>
      <c r="U19" s="72"/>
      <c r="V19" s="776">
        <f t="shared" si="7"/>
        <v>699.94399999999996</v>
      </c>
      <c r="W19" s="776">
        <f t="shared" si="8"/>
        <v>13298.936</v>
      </c>
      <c r="X19" s="55">
        <f t="shared" si="9"/>
        <v>233.31466666666665</v>
      </c>
      <c r="Y19" s="106">
        <f t="shared" si="10"/>
        <v>1166.5733333333333</v>
      </c>
      <c r="Z19" s="258">
        <f t="shared" si="11"/>
        <v>12132.362666666666</v>
      </c>
      <c r="AA19" s="57">
        <v>115.958</v>
      </c>
      <c r="AB19" s="57">
        <v>140.047</v>
      </c>
      <c r="AC19" s="57">
        <f t="shared" si="12"/>
        <v>0.82799345933865065</v>
      </c>
      <c r="AD19" s="55">
        <f t="shared" si="13"/>
        <v>237.88946405228759</v>
      </c>
      <c r="AE19" s="55">
        <f t="shared" si="14"/>
        <v>196.97092028087118</v>
      </c>
      <c r="AF19" s="55"/>
      <c r="AG19" s="55"/>
      <c r="AH19" s="55"/>
      <c r="AI19" s="55"/>
      <c r="AJ19" s="55"/>
      <c r="AK19" s="55">
        <f t="shared" si="15"/>
        <v>196.97092028087118</v>
      </c>
      <c r="AL19" s="55">
        <v>196.97092028087118</v>
      </c>
      <c r="AM19" s="55">
        <v>196.97092028087118</v>
      </c>
      <c r="AN19" s="55">
        <v>196.97092028087118</v>
      </c>
      <c r="AO19" s="55">
        <v>196.97092028087118</v>
      </c>
      <c r="AP19" s="55">
        <v>196.97092028087118</v>
      </c>
      <c r="AQ19" s="55">
        <v>196.97092028087118</v>
      </c>
      <c r="AR19" s="55">
        <f t="shared" si="39"/>
        <v>1378.7964419660984</v>
      </c>
      <c r="AS19" s="72">
        <f t="shared" si="40"/>
        <v>10753.566224700568</v>
      </c>
      <c r="AT19" s="55"/>
      <c r="AU19" s="55"/>
      <c r="AV19" s="55">
        <f t="shared" si="41"/>
        <v>196.97092028087118</v>
      </c>
      <c r="AW19" s="55">
        <f t="shared" si="41"/>
        <v>196.97092028087118</v>
      </c>
      <c r="AX19" s="55">
        <f t="shared" si="41"/>
        <v>196.97092028087118</v>
      </c>
      <c r="AY19" s="55">
        <f t="shared" si="41"/>
        <v>196.97092028087118</v>
      </c>
      <c r="AZ19" s="55">
        <f t="shared" si="41"/>
        <v>196.97092028087118</v>
      </c>
      <c r="BA19" s="57">
        <v>118.901</v>
      </c>
      <c r="BB19" s="57">
        <v>140.047</v>
      </c>
      <c r="BC19" s="57">
        <f t="shared" si="42"/>
        <v>0.84900783308460726</v>
      </c>
      <c r="BD19" s="55">
        <f t="shared" si="43"/>
        <v>233.31466666666665</v>
      </c>
      <c r="BE19" s="55">
        <f t="shared" si="44"/>
        <v>198.0859795735241</v>
      </c>
      <c r="BF19" s="55">
        <f t="shared" si="16"/>
        <v>198.0859795735241</v>
      </c>
      <c r="BG19" s="55">
        <f t="shared" si="16"/>
        <v>198.0859795735241</v>
      </c>
      <c r="BH19" s="55">
        <f t="shared" si="16"/>
        <v>198.0859795735241</v>
      </c>
      <c r="BI19" s="55">
        <f t="shared" si="16"/>
        <v>198.0859795735241</v>
      </c>
      <c r="BJ19" s="55">
        <f t="shared" si="16"/>
        <v>198.0859795735241</v>
      </c>
      <c r="BK19" s="55">
        <f t="shared" si="16"/>
        <v>198.0859795735241</v>
      </c>
      <c r="BL19" s="55">
        <f t="shared" si="16"/>
        <v>198.0859795735241</v>
      </c>
      <c r="BM19" s="55">
        <f t="shared" si="45"/>
        <v>2371.4564584190248</v>
      </c>
      <c r="BN19" s="448">
        <f t="shared" si="46"/>
        <v>8382.1097662815428</v>
      </c>
      <c r="BO19" s="511">
        <f t="shared" si="17"/>
        <v>198.0859795735241</v>
      </c>
      <c r="BP19" s="511">
        <f t="shared" si="17"/>
        <v>198.0859795735241</v>
      </c>
      <c r="BQ19" s="511">
        <f t="shared" si="17"/>
        <v>198.0859795735241</v>
      </c>
      <c r="BR19" s="511">
        <f t="shared" si="17"/>
        <v>198.0859795735241</v>
      </c>
      <c r="BS19" s="511">
        <f t="shared" si="17"/>
        <v>198.0859795735241</v>
      </c>
      <c r="BT19" s="656">
        <v>118.901</v>
      </c>
      <c r="BU19" s="656">
        <v>140.047</v>
      </c>
      <c r="BV19" s="656">
        <f t="shared" si="18"/>
        <v>0.84900783308460726</v>
      </c>
      <c r="BW19" s="511">
        <f t="shared" si="47"/>
        <v>1.2342523760351404E-3</v>
      </c>
      <c r="BX19" s="511">
        <f t="shared" si="19"/>
        <v>1.0478899352571224E-3</v>
      </c>
      <c r="BY19" s="511"/>
      <c r="BZ19" s="511"/>
      <c r="CA19" s="511"/>
      <c r="CB19" s="511"/>
      <c r="CC19" s="511"/>
      <c r="CD19" s="511"/>
      <c r="CE19" s="511"/>
      <c r="CF19" s="511">
        <f t="shared" si="20"/>
        <v>990.42989786762053</v>
      </c>
      <c r="CG19" s="657">
        <f t="shared" si="21"/>
        <v>7391.6798684139221</v>
      </c>
      <c r="CH19" s="58">
        <v>5</v>
      </c>
      <c r="CI19" s="127">
        <v>0.2</v>
      </c>
      <c r="CJ19" s="46">
        <v>43281</v>
      </c>
      <c r="CK19" s="125">
        <v>60</v>
      </c>
      <c r="CL19" s="145">
        <f t="shared" si="22"/>
        <v>1.6666666666666667</v>
      </c>
      <c r="CM19" s="165">
        <f t="shared" si="23"/>
        <v>75</v>
      </c>
      <c r="CN19" s="48">
        <f t="shared" si="24"/>
        <v>45</v>
      </c>
      <c r="CO19" s="165">
        <f t="shared" si="25"/>
        <v>25</v>
      </c>
      <c r="CP19" s="48">
        <f t="shared" si="26"/>
        <v>15</v>
      </c>
      <c r="CQ19" s="165">
        <f t="shared" si="27"/>
        <v>11.666666666666668</v>
      </c>
      <c r="CR19" s="48">
        <v>7</v>
      </c>
      <c r="CS19" s="165">
        <f t="shared" si="28"/>
        <v>13.333333333333332</v>
      </c>
      <c r="CT19" s="48">
        <f t="shared" si="28"/>
        <v>8</v>
      </c>
      <c r="CU19" s="462">
        <f t="shared" si="29"/>
        <v>43734</v>
      </c>
      <c r="CV19" s="125" t="s">
        <v>620</v>
      </c>
      <c r="CW19" s="128">
        <v>41908</v>
      </c>
      <c r="CX19" s="7">
        <v>13998.88</v>
      </c>
      <c r="CY19" s="657">
        <v>7391.6798684139221</v>
      </c>
      <c r="CZ19" s="656">
        <v>126.408</v>
      </c>
      <c r="DA19" s="656">
        <v>140.047</v>
      </c>
      <c r="DB19" s="656">
        <f t="shared" si="50"/>
        <v>0.90261126621776977</v>
      </c>
      <c r="DC19" s="511">
        <f t="shared" si="30"/>
        <v>492.77865789426147</v>
      </c>
      <c r="DD19" s="511">
        <f t="shared" si="31"/>
        <v>444.78756836703252</v>
      </c>
      <c r="DE19" s="511">
        <v>247.10420464835141</v>
      </c>
      <c r="DF19" s="511">
        <v>247.10420464835141</v>
      </c>
      <c r="DG19" s="511">
        <v>247.10420464835141</v>
      </c>
      <c r="DH19" s="511">
        <v>247.10420464835141</v>
      </c>
      <c r="DI19" s="511">
        <v>247.10420464835141</v>
      </c>
      <c r="DJ19" s="511">
        <v>247.10420464835141</v>
      </c>
      <c r="DK19" s="511">
        <v>247.10420464835141</v>
      </c>
      <c r="DL19" s="511">
        <f t="shared" si="32"/>
        <v>1729.7294325384601</v>
      </c>
      <c r="DM19" s="657">
        <f t="shared" si="33"/>
        <v>5661.9504358754621</v>
      </c>
      <c r="DN19" s="511">
        <v>247.10420464835141</v>
      </c>
      <c r="DO19" s="511">
        <v>247.10420464835141</v>
      </c>
      <c r="DP19" s="511">
        <v>247.10420464835141</v>
      </c>
      <c r="DQ19" s="511">
        <v>247.10420464835141</v>
      </c>
      <c r="DR19" s="511">
        <v>247.10420464835141</v>
      </c>
      <c r="DS19" s="505">
        <f t="shared" si="34"/>
        <v>1235.5210232417571</v>
      </c>
      <c r="DT19" s="679">
        <f t="shared" si="35"/>
        <v>4426.4294126337045</v>
      </c>
      <c r="DU19" s="956">
        <v>132.28200000000001</v>
      </c>
      <c r="DV19" s="656">
        <v>140.047</v>
      </c>
      <c r="DW19" s="957">
        <f t="shared" si="48"/>
        <v>0.9445543281898221</v>
      </c>
      <c r="DX19" s="511">
        <f t="shared" si="36"/>
        <v>295.09529417558031</v>
      </c>
      <c r="DY19" s="511">
        <f t="shared" si="49"/>
        <v>278.73353734199316</v>
      </c>
      <c r="DZ19" s="511">
        <v>278.73353734199316</v>
      </c>
      <c r="EA19" s="511">
        <v>278.73353734199316</v>
      </c>
      <c r="EB19" s="511">
        <v>278.73353734199316</v>
      </c>
      <c r="EC19" s="511">
        <v>278.73353734199316</v>
      </c>
      <c r="ED19" s="511">
        <v>278.73353734199316</v>
      </c>
      <c r="EE19" s="511">
        <v>278.73353734199316</v>
      </c>
      <c r="EF19" s="511">
        <v>278.73353734199316</v>
      </c>
      <c r="EG19" s="511">
        <v>278.73353734199316</v>
      </c>
      <c r="EH19" s="511">
        <v>278.73353734199316</v>
      </c>
      <c r="EI19" s="511">
        <v>278.73353734199316</v>
      </c>
      <c r="EJ19" s="511">
        <v>278.73353734199316</v>
      </c>
      <c r="EK19" s="511">
        <v>278.73353734199316</v>
      </c>
      <c r="EL19" s="511">
        <v>278.73353734199316</v>
      </c>
      <c r="EM19" s="511">
        <v>278.73353734199316</v>
      </c>
      <c r="EN19" s="511">
        <v>278.73353734199316</v>
      </c>
      <c r="EO19" s="511">
        <v>244.43</v>
      </c>
      <c r="EP19" s="511">
        <v>0</v>
      </c>
      <c r="EQ19" s="511">
        <v>0</v>
      </c>
      <c r="ER19" s="511">
        <f t="shared" si="37"/>
        <v>4425.4330601298989</v>
      </c>
      <c r="ES19" s="960">
        <f t="shared" si="38"/>
        <v>0.99635250380561047</v>
      </c>
    </row>
    <row r="20" spans="1:149" s="16" customFormat="1" x14ac:dyDescent="0.2">
      <c r="A20" s="119" t="s">
        <v>625</v>
      </c>
      <c r="B20" s="100" t="s">
        <v>627</v>
      </c>
      <c r="C20" s="45" t="s">
        <v>537</v>
      </c>
      <c r="D20" s="58">
        <v>5</v>
      </c>
      <c r="E20" s="127">
        <v>0.2</v>
      </c>
      <c r="F20" s="46">
        <v>42185</v>
      </c>
      <c r="G20" s="125">
        <v>60</v>
      </c>
      <c r="H20" s="145">
        <f t="shared" si="0"/>
        <v>1.6666666666666667</v>
      </c>
      <c r="I20" s="165">
        <f t="shared" si="1"/>
        <v>15</v>
      </c>
      <c r="J20" s="48">
        <f t="shared" si="2"/>
        <v>9</v>
      </c>
      <c r="K20" s="165">
        <f t="shared" si="3"/>
        <v>85</v>
      </c>
      <c r="L20" s="48">
        <f t="shared" si="4"/>
        <v>51</v>
      </c>
      <c r="M20" s="165">
        <f t="shared" si="5"/>
        <v>11.666666666666668</v>
      </c>
      <c r="N20" s="48">
        <v>7</v>
      </c>
      <c r="O20" s="165">
        <f t="shared" si="6"/>
        <v>73.333333333333329</v>
      </c>
      <c r="P20" s="48">
        <f t="shared" si="6"/>
        <v>44</v>
      </c>
      <c r="Q20" s="48">
        <f t="shared" si="6"/>
        <v>-61.666666666666657</v>
      </c>
      <c r="R20" s="125" t="s">
        <v>620</v>
      </c>
      <c r="S20" s="128">
        <v>41908</v>
      </c>
      <c r="T20" s="7">
        <v>6936.8</v>
      </c>
      <c r="U20" s="72"/>
      <c r="V20" s="776">
        <f t="shared" si="7"/>
        <v>346.84000000000003</v>
      </c>
      <c r="W20" s="776">
        <f t="shared" si="8"/>
        <v>6589.96</v>
      </c>
      <c r="X20" s="55">
        <f t="shared" si="9"/>
        <v>115.61333333333334</v>
      </c>
      <c r="Y20" s="106">
        <f t="shared" si="10"/>
        <v>578.06666666666672</v>
      </c>
      <c r="Z20" s="258">
        <f t="shared" si="11"/>
        <v>6011.8933333333334</v>
      </c>
      <c r="AA20" s="57">
        <v>115.958</v>
      </c>
      <c r="AB20" s="57">
        <v>140.047</v>
      </c>
      <c r="AC20" s="57">
        <f t="shared" si="12"/>
        <v>0.82799345933865065</v>
      </c>
      <c r="AD20" s="55">
        <f t="shared" si="13"/>
        <v>117.8802614379085</v>
      </c>
      <c r="AE20" s="55">
        <f t="shared" si="14"/>
        <v>97.604085455718405</v>
      </c>
      <c r="AF20" s="55"/>
      <c r="AG20" s="55"/>
      <c r="AH20" s="55"/>
      <c r="AI20" s="55"/>
      <c r="AJ20" s="55"/>
      <c r="AK20" s="55">
        <f t="shared" si="15"/>
        <v>97.604085455718405</v>
      </c>
      <c r="AL20" s="55">
        <v>97.604085455718405</v>
      </c>
      <c r="AM20" s="55">
        <v>97.604085455718405</v>
      </c>
      <c r="AN20" s="55">
        <v>97.604085455718405</v>
      </c>
      <c r="AO20" s="55">
        <v>97.604085455718405</v>
      </c>
      <c r="AP20" s="55">
        <v>97.604085455718405</v>
      </c>
      <c r="AQ20" s="55">
        <v>97.604085455718405</v>
      </c>
      <c r="AR20" s="55">
        <f t="shared" si="39"/>
        <v>683.22859819002883</v>
      </c>
      <c r="AS20" s="72">
        <f t="shared" si="40"/>
        <v>5328.6647351433048</v>
      </c>
      <c r="AT20" s="55"/>
      <c r="AU20" s="55"/>
      <c r="AV20" s="55">
        <f t="shared" si="41"/>
        <v>97.604085455718405</v>
      </c>
      <c r="AW20" s="55">
        <f t="shared" si="41"/>
        <v>97.604085455718405</v>
      </c>
      <c r="AX20" s="55">
        <f t="shared" si="41"/>
        <v>97.604085455718405</v>
      </c>
      <c r="AY20" s="55">
        <f t="shared" si="41"/>
        <v>97.604085455718405</v>
      </c>
      <c r="AZ20" s="55">
        <f t="shared" si="41"/>
        <v>97.604085455718405</v>
      </c>
      <c r="BA20" s="57">
        <v>118.901</v>
      </c>
      <c r="BB20" s="57">
        <v>140.047</v>
      </c>
      <c r="BC20" s="57">
        <f t="shared" si="42"/>
        <v>0.84900783308460726</v>
      </c>
      <c r="BD20" s="55">
        <f t="shared" si="43"/>
        <v>115.61333333333333</v>
      </c>
      <c r="BE20" s="55">
        <f t="shared" si="44"/>
        <v>98.156625609021731</v>
      </c>
      <c r="BF20" s="55">
        <f t="shared" si="16"/>
        <v>98.156625609021731</v>
      </c>
      <c r="BG20" s="55">
        <f t="shared" si="16"/>
        <v>98.156625609021731</v>
      </c>
      <c r="BH20" s="55">
        <f t="shared" si="16"/>
        <v>98.156625609021731</v>
      </c>
      <c r="BI20" s="55">
        <f t="shared" si="16"/>
        <v>98.156625609021731</v>
      </c>
      <c r="BJ20" s="55">
        <f t="shared" si="16"/>
        <v>98.156625609021731</v>
      </c>
      <c r="BK20" s="55">
        <f t="shared" si="16"/>
        <v>98.156625609021731</v>
      </c>
      <c r="BL20" s="55">
        <f t="shared" si="16"/>
        <v>98.156625609021731</v>
      </c>
      <c r="BM20" s="55">
        <f t="shared" si="45"/>
        <v>1175.1168065417442</v>
      </c>
      <c r="BN20" s="448">
        <f t="shared" si="46"/>
        <v>4153.5479286015607</v>
      </c>
      <c r="BO20" s="511">
        <f t="shared" si="17"/>
        <v>98.156625609021731</v>
      </c>
      <c r="BP20" s="511">
        <f t="shared" si="17"/>
        <v>98.156625609021731</v>
      </c>
      <c r="BQ20" s="511">
        <f t="shared" si="17"/>
        <v>98.156625609021731</v>
      </c>
      <c r="BR20" s="511">
        <f t="shared" si="17"/>
        <v>98.156625609021731</v>
      </c>
      <c r="BS20" s="511">
        <f t="shared" si="17"/>
        <v>98.156625609021731</v>
      </c>
      <c r="BT20" s="656">
        <v>118.901</v>
      </c>
      <c r="BU20" s="656">
        <v>140.047</v>
      </c>
      <c r="BV20" s="656">
        <f t="shared" si="18"/>
        <v>0.84900783308460726</v>
      </c>
      <c r="BW20" s="511">
        <f t="shared" si="47"/>
        <v>1.2342523760351402E-3</v>
      </c>
      <c r="BX20" s="511">
        <f t="shared" si="19"/>
        <v>1.0478899352571222E-3</v>
      </c>
      <c r="BY20" s="511"/>
      <c r="BZ20" s="511"/>
      <c r="CA20" s="511"/>
      <c r="CB20" s="511"/>
      <c r="CC20" s="511"/>
      <c r="CD20" s="511"/>
      <c r="CE20" s="511"/>
      <c r="CF20" s="511">
        <f t="shared" si="20"/>
        <v>490.78312804510864</v>
      </c>
      <c r="CG20" s="657">
        <f t="shared" si="21"/>
        <v>3662.764800556452</v>
      </c>
      <c r="CH20" s="58">
        <v>5</v>
      </c>
      <c r="CI20" s="127">
        <v>0.2</v>
      </c>
      <c r="CJ20" s="46">
        <v>43281</v>
      </c>
      <c r="CK20" s="125">
        <v>60</v>
      </c>
      <c r="CL20" s="145">
        <f t="shared" si="22"/>
        <v>1.6666666666666667</v>
      </c>
      <c r="CM20" s="165">
        <f t="shared" si="23"/>
        <v>75</v>
      </c>
      <c r="CN20" s="48">
        <f t="shared" si="24"/>
        <v>45</v>
      </c>
      <c r="CO20" s="165">
        <f t="shared" si="25"/>
        <v>25</v>
      </c>
      <c r="CP20" s="48">
        <f t="shared" si="26"/>
        <v>15</v>
      </c>
      <c r="CQ20" s="165">
        <f t="shared" si="27"/>
        <v>11.666666666666668</v>
      </c>
      <c r="CR20" s="48">
        <v>7</v>
      </c>
      <c r="CS20" s="165">
        <f t="shared" si="28"/>
        <v>13.333333333333332</v>
      </c>
      <c r="CT20" s="48">
        <f t="shared" si="28"/>
        <v>8</v>
      </c>
      <c r="CU20" s="462">
        <f t="shared" si="29"/>
        <v>43734</v>
      </c>
      <c r="CV20" s="125" t="s">
        <v>620</v>
      </c>
      <c r="CW20" s="128">
        <v>41908</v>
      </c>
      <c r="CX20" s="7">
        <v>6936.8</v>
      </c>
      <c r="CY20" s="657">
        <v>3662.764800556452</v>
      </c>
      <c r="CZ20" s="656">
        <v>126.408</v>
      </c>
      <c r="DA20" s="656">
        <v>140.047</v>
      </c>
      <c r="DB20" s="656">
        <f t="shared" si="50"/>
        <v>0.90261126621776977</v>
      </c>
      <c r="DC20" s="511">
        <f t="shared" si="30"/>
        <v>244.1843200370968</v>
      </c>
      <c r="DD20" s="511">
        <f t="shared" si="31"/>
        <v>220.40351829920908</v>
      </c>
      <c r="DE20" s="511">
        <v>122.44639905511615</v>
      </c>
      <c r="DF20" s="511">
        <v>122.44639905511615</v>
      </c>
      <c r="DG20" s="511">
        <v>122.44639905511615</v>
      </c>
      <c r="DH20" s="511">
        <v>122.44639905511615</v>
      </c>
      <c r="DI20" s="511">
        <v>122.44639905511615</v>
      </c>
      <c r="DJ20" s="511">
        <v>122.44639905511615</v>
      </c>
      <c r="DK20" s="511">
        <v>122.44639905511615</v>
      </c>
      <c r="DL20" s="511">
        <f t="shared" si="32"/>
        <v>857.12479338581295</v>
      </c>
      <c r="DM20" s="657">
        <f t="shared" si="33"/>
        <v>2805.6400071706389</v>
      </c>
      <c r="DN20" s="511">
        <v>122.44639905511615</v>
      </c>
      <c r="DO20" s="511">
        <v>122.44639905511615</v>
      </c>
      <c r="DP20" s="511">
        <v>122.44639905511615</v>
      </c>
      <c r="DQ20" s="511">
        <v>122.44639905511615</v>
      </c>
      <c r="DR20" s="511">
        <v>122.44639905511615</v>
      </c>
      <c r="DS20" s="505">
        <f t="shared" si="34"/>
        <v>612.23199527558074</v>
      </c>
      <c r="DT20" s="679">
        <f t="shared" si="35"/>
        <v>2193.4080118950583</v>
      </c>
      <c r="DU20" s="956">
        <v>132.28200000000001</v>
      </c>
      <c r="DV20" s="656">
        <v>140.047</v>
      </c>
      <c r="DW20" s="957">
        <f t="shared" si="48"/>
        <v>0.9445543281898221</v>
      </c>
      <c r="DX20" s="511">
        <f t="shared" si="36"/>
        <v>146.22720079300387</v>
      </c>
      <c r="DY20" s="511">
        <f t="shared" si="49"/>
        <v>138.11953540811399</v>
      </c>
      <c r="DZ20" s="511">
        <v>138.11953540811399</v>
      </c>
      <c r="EA20" s="511">
        <v>138.11953540811399</v>
      </c>
      <c r="EB20" s="511">
        <v>138.11953540811399</v>
      </c>
      <c r="EC20" s="511">
        <v>138.11953540811399</v>
      </c>
      <c r="ED20" s="511">
        <v>138.11953540811399</v>
      </c>
      <c r="EE20" s="511">
        <v>138.11953540811399</v>
      </c>
      <c r="EF20" s="511">
        <v>138.11953540811399</v>
      </c>
      <c r="EG20" s="511">
        <v>138.11953540811399</v>
      </c>
      <c r="EH20" s="511">
        <v>138.11953540811399</v>
      </c>
      <c r="EI20" s="511">
        <v>138.11953540811399</v>
      </c>
      <c r="EJ20" s="511">
        <v>138.11953540811399</v>
      </c>
      <c r="EK20" s="511">
        <v>138.11953540811399</v>
      </c>
      <c r="EL20" s="511">
        <v>138.11953540811399</v>
      </c>
      <c r="EM20" s="511">
        <v>138.11953540811399</v>
      </c>
      <c r="EN20" s="511">
        <v>138.11953540811399</v>
      </c>
      <c r="EO20" s="511">
        <v>120.61</v>
      </c>
      <c r="EP20" s="511">
        <v>0</v>
      </c>
      <c r="EQ20" s="511">
        <v>0</v>
      </c>
      <c r="ER20" s="511">
        <f t="shared" si="37"/>
        <v>2192.4030311217098</v>
      </c>
      <c r="ES20" s="960">
        <f t="shared" si="38"/>
        <v>1.0049807733485068</v>
      </c>
    </row>
    <row r="21" spans="1:149" s="16" customFormat="1" x14ac:dyDescent="0.2">
      <c r="A21" s="119" t="s">
        <v>628</v>
      </c>
      <c r="B21" s="100" t="s">
        <v>629</v>
      </c>
      <c r="C21" s="45" t="s">
        <v>537</v>
      </c>
      <c r="D21" s="58">
        <v>5</v>
      </c>
      <c r="E21" s="127">
        <v>0.2</v>
      </c>
      <c r="F21" s="46">
        <v>42185</v>
      </c>
      <c r="G21" s="125">
        <v>60</v>
      </c>
      <c r="H21" s="145">
        <f t="shared" si="0"/>
        <v>1.6666666666666667</v>
      </c>
      <c r="I21" s="165">
        <f t="shared" si="1"/>
        <v>15</v>
      </c>
      <c r="J21" s="48">
        <f t="shared" si="2"/>
        <v>9</v>
      </c>
      <c r="K21" s="165">
        <f t="shared" si="3"/>
        <v>85</v>
      </c>
      <c r="L21" s="48">
        <f t="shared" si="4"/>
        <v>51</v>
      </c>
      <c r="M21" s="165">
        <f t="shared" si="5"/>
        <v>11.666666666666668</v>
      </c>
      <c r="N21" s="48">
        <v>7</v>
      </c>
      <c r="O21" s="165">
        <f t="shared" si="6"/>
        <v>73.333333333333329</v>
      </c>
      <c r="P21" s="48">
        <f t="shared" si="6"/>
        <v>44</v>
      </c>
      <c r="Q21" s="48">
        <f t="shared" si="6"/>
        <v>-61.666666666666657</v>
      </c>
      <c r="R21" s="125" t="s">
        <v>620</v>
      </c>
      <c r="S21" s="128">
        <v>41908</v>
      </c>
      <c r="T21" s="7">
        <v>19486.84</v>
      </c>
      <c r="U21" s="72"/>
      <c r="V21" s="776">
        <f t="shared" si="7"/>
        <v>974.3420000000001</v>
      </c>
      <c r="W21" s="776">
        <f t="shared" si="8"/>
        <v>18512.498</v>
      </c>
      <c r="X21" s="55">
        <f t="shared" si="9"/>
        <v>324.78066666666672</v>
      </c>
      <c r="Y21" s="106">
        <f t="shared" si="10"/>
        <v>1623.9033333333336</v>
      </c>
      <c r="Z21" s="258">
        <f t="shared" si="11"/>
        <v>16888.594666666664</v>
      </c>
      <c r="AA21" s="57">
        <v>115.958</v>
      </c>
      <c r="AB21" s="57">
        <v>140.047</v>
      </c>
      <c r="AC21" s="57">
        <f t="shared" si="12"/>
        <v>0.82799345933865065</v>
      </c>
      <c r="AD21" s="55">
        <f t="shared" si="13"/>
        <v>331.14891503267972</v>
      </c>
      <c r="AE21" s="55">
        <f t="shared" si="14"/>
        <v>274.18913571414936</v>
      </c>
      <c r="AF21" s="55"/>
      <c r="AG21" s="55"/>
      <c r="AH21" s="55"/>
      <c r="AI21" s="55"/>
      <c r="AJ21" s="55"/>
      <c r="AK21" s="55">
        <f t="shared" si="15"/>
        <v>274.18913571414936</v>
      </c>
      <c r="AL21" s="55">
        <v>274.18913571414936</v>
      </c>
      <c r="AM21" s="55">
        <v>274.18913571414936</v>
      </c>
      <c r="AN21" s="55">
        <v>274.18913571414936</v>
      </c>
      <c r="AO21" s="55">
        <v>274.18913571414936</v>
      </c>
      <c r="AP21" s="55">
        <v>274.18913571414936</v>
      </c>
      <c r="AQ21" s="55">
        <v>274.18913571414936</v>
      </c>
      <c r="AR21" s="55">
        <f t="shared" si="39"/>
        <v>1919.3239499990457</v>
      </c>
      <c r="AS21" s="72">
        <f t="shared" si="40"/>
        <v>14969.270716667619</v>
      </c>
      <c r="AT21" s="55"/>
      <c r="AU21" s="55"/>
      <c r="AV21" s="55">
        <f t="shared" si="41"/>
        <v>274.18913571414936</v>
      </c>
      <c r="AW21" s="55">
        <f t="shared" si="41"/>
        <v>274.18913571414936</v>
      </c>
      <c r="AX21" s="55">
        <f t="shared" si="41"/>
        <v>274.18913571414936</v>
      </c>
      <c r="AY21" s="55">
        <f t="shared" si="41"/>
        <v>274.18913571414936</v>
      </c>
      <c r="AZ21" s="55">
        <f t="shared" si="41"/>
        <v>274.18913571414936</v>
      </c>
      <c r="BA21" s="57">
        <v>118.901</v>
      </c>
      <c r="BB21" s="57">
        <v>140.047</v>
      </c>
      <c r="BC21" s="57">
        <f t="shared" si="42"/>
        <v>0.84900783308460726</v>
      </c>
      <c r="BD21" s="55">
        <f t="shared" si="43"/>
        <v>324.78066666666666</v>
      </c>
      <c r="BE21" s="55">
        <f t="shared" si="44"/>
        <v>275.74133003444081</v>
      </c>
      <c r="BF21" s="55">
        <f t="shared" si="16"/>
        <v>275.74133003444081</v>
      </c>
      <c r="BG21" s="55">
        <f t="shared" si="16"/>
        <v>275.74133003444081</v>
      </c>
      <c r="BH21" s="55">
        <f t="shared" si="16"/>
        <v>275.74133003444081</v>
      </c>
      <c r="BI21" s="55">
        <f t="shared" si="16"/>
        <v>275.74133003444081</v>
      </c>
      <c r="BJ21" s="55">
        <f t="shared" si="16"/>
        <v>275.74133003444081</v>
      </c>
      <c r="BK21" s="55">
        <f t="shared" si="16"/>
        <v>275.74133003444081</v>
      </c>
      <c r="BL21" s="55">
        <f t="shared" si="16"/>
        <v>275.74133003444081</v>
      </c>
      <c r="BM21" s="55">
        <f t="shared" si="45"/>
        <v>3301.134988811832</v>
      </c>
      <c r="BN21" s="448">
        <f t="shared" si="46"/>
        <v>11668.135727855788</v>
      </c>
      <c r="BO21" s="511">
        <f t="shared" si="17"/>
        <v>275.74133003444081</v>
      </c>
      <c r="BP21" s="511">
        <f t="shared" si="17"/>
        <v>275.74133003444081</v>
      </c>
      <c r="BQ21" s="511">
        <f t="shared" si="17"/>
        <v>275.74133003444081</v>
      </c>
      <c r="BR21" s="511">
        <f t="shared" si="17"/>
        <v>275.74133003444081</v>
      </c>
      <c r="BS21" s="511">
        <f t="shared" si="17"/>
        <v>275.74133003444081</v>
      </c>
      <c r="BT21" s="656">
        <v>118.901</v>
      </c>
      <c r="BU21" s="656">
        <v>140.047</v>
      </c>
      <c r="BV21" s="656">
        <f t="shared" si="18"/>
        <v>0.84900783308460726</v>
      </c>
      <c r="BW21" s="511">
        <f t="shared" si="47"/>
        <v>1.2342523760351402E-3</v>
      </c>
      <c r="BX21" s="511">
        <f t="shared" si="19"/>
        <v>1.0478899352571222E-3</v>
      </c>
      <c r="BY21" s="511"/>
      <c r="BZ21" s="511"/>
      <c r="CA21" s="511"/>
      <c r="CB21" s="511"/>
      <c r="CC21" s="511"/>
      <c r="CD21" s="511"/>
      <c r="CE21" s="511"/>
      <c r="CF21" s="511">
        <f t="shared" si="20"/>
        <v>1378.706650172204</v>
      </c>
      <c r="CG21" s="657">
        <f t="shared" si="21"/>
        <v>10289.429077683584</v>
      </c>
      <c r="CH21" s="58">
        <v>5</v>
      </c>
      <c r="CI21" s="127">
        <v>0.2</v>
      </c>
      <c r="CJ21" s="46">
        <v>43281</v>
      </c>
      <c r="CK21" s="125">
        <v>60</v>
      </c>
      <c r="CL21" s="145">
        <f t="shared" si="22"/>
        <v>1.6666666666666667</v>
      </c>
      <c r="CM21" s="165">
        <f t="shared" si="23"/>
        <v>75</v>
      </c>
      <c r="CN21" s="48">
        <f t="shared" si="24"/>
        <v>45</v>
      </c>
      <c r="CO21" s="165">
        <f t="shared" si="25"/>
        <v>25</v>
      </c>
      <c r="CP21" s="48">
        <f t="shared" si="26"/>
        <v>15</v>
      </c>
      <c r="CQ21" s="165">
        <f t="shared" si="27"/>
        <v>11.666666666666668</v>
      </c>
      <c r="CR21" s="48">
        <v>7</v>
      </c>
      <c r="CS21" s="165">
        <f t="shared" si="28"/>
        <v>13.333333333333332</v>
      </c>
      <c r="CT21" s="48">
        <f t="shared" si="28"/>
        <v>8</v>
      </c>
      <c r="CU21" s="462">
        <f t="shared" si="29"/>
        <v>43734</v>
      </c>
      <c r="CV21" s="125" t="s">
        <v>620</v>
      </c>
      <c r="CW21" s="128">
        <v>41908</v>
      </c>
      <c r="CX21" s="7">
        <v>19486.84</v>
      </c>
      <c r="CY21" s="657">
        <v>10289.429077683584</v>
      </c>
      <c r="CZ21" s="656">
        <v>126.408</v>
      </c>
      <c r="DA21" s="656">
        <v>140.047</v>
      </c>
      <c r="DB21" s="656">
        <f t="shared" si="50"/>
        <v>0.90261126621776977</v>
      </c>
      <c r="DC21" s="511">
        <f t="shared" si="30"/>
        <v>685.96193851223893</v>
      </c>
      <c r="DD21" s="511">
        <f t="shared" si="31"/>
        <v>619.15697389772788</v>
      </c>
      <c r="DE21" s="511">
        <v>343.97609660984881</v>
      </c>
      <c r="DF21" s="511">
        <v>343.97609660984881</v>
      </c>
      <c r="DG21" s="511">
        <v>343.97609660984881</v>
      </c>
      <c r="DH21" s="511">
        <v>343.97609660984881</v>
      </c>
      <c r="DI21" s="511">
        <v>343.97609660984881</v>
      </c>
      <c r="DJ21" s="511">
        <v>343.97609660984881</v>
      </c>
      <c r="DK21" s="511">
        <v>343.97609660984881</v>
      </c>
      <c r="DL21" s="511">
        <f t="shared" si="32"/>
        <v>2407.8326762689417</v>
      </c>
      <c r="DM21" s="657">
        <f t="shared" si="33"/>
        <v>7881.596401414643</v>
      </c>
      <c r="DN21" s="511">
        <v>343.97609660984881</v>
      </c>
      <c r="DO21" s="511">
        <v>343.97609660984881</v>
      </c>
      <c r="DP21" s="511">
        <v>343.97609660984881</v>
      </c>
      <c r="DQ21" s="511">
        <v>343.97609660984881</v>
      </c>
      <c r="DR21" s="511">
        <v>343.97609660984881</v>
      </c>
      <c r="DS21" s="505">
        <f t="shared" si="34"/>
        <v>1719.880483049244</v>
      </c>
      <c r="DT21" s="679">
        <f t="shared" si="35"/>
        <v>6161.7159183653985</v>
      </c>
      <c r="DU21" s="956">
        <v>132.28200000000001</v>
      </c>
      <c r="DV21" s="656">
        <v>140.047</v>
      </c>
      <c r="DW21" s="957">
        <f t="shared" si="48"/>
        <v>0.9445543281898221</v>
      </c>
      <c r="DX21" s="511">
        <f t="shared" si="36"/>
        <v>410.78106122435992</v>
      </c>
      <c r="DY21" s="511">
        <f t="shared" si="49"/>
        <v>388.00502931787747</v>
      </c>
      <c r="DZ21" s="511">
        <v>388.00502931787747</v>
      </c>
      <c r="EA21" s="511">
        <v>388.00502931787747</v>
      </c>
      <c r="EB21" s="511">
        <v>388.00502931787747</v>
      </c>
      <c r="EC21" s="511">
        <v>388.00502931787747</v>
      </c>
      <c r="ED21" s="511">
        <v>388.00502931787747</v>
      </c>
      <c r="EE21" s="511">
        <v>388.00502931787747</v>
      </c>
      <c r="EF21" s="511">
        <v>388.00502931787747</v>
      </c>
      <c r="EG21" s="511">
        <v>388.00502931787747</v>
      </c>
      <c r="EH21" s="511">
        <v>388.00502931787747</v>
      </c>
      <c r="EI21" s="511">
        <v>388.00502931787747</v>
      </c>
      <c r="EJ21" s="511">
        <v>388.00502931787747</v>
      </c>
      <c r="EK21" s="511">
        <v>388.00502931787747</v>
      </c>
      <c r="EL21" s="511">
        <v>388.00502931787747</v>
      </c>
      <c r="EM21" s="511">
        <v>388.00502931787747</v>
      </c>
      <c r="EN21" s="511">
        <v>388.00502931787747</v>
      </c>
      <c r="EO21" s="511">
        <v>340.64</v>
      </c>
      <c r="EP21" s="511">
        <v>0</v>
      </c>
      <c r="EQ21" s="511">
        <v>0</v>
      </c>
      <c r="ER21" s="511">
        <f t="shared" si="37"/>
        <v>6160.7154397681625</v>
      </c>
      <c r="ES21" s="960">
        <f t="shared" si="38"/>
        <v>1.0004785972359969</v>
      </c>
    </row>
    <row r="22" spans="1:149" s="16" customFormat="1" x14ac:dyDescent="0.2">
      <c r="A22" s="119" t="s">
        <v>630</v>
      </c>
      <c r="B22" s="100" t="s">
        <v>631</v>
      </c>
      <c r="C22" s="45" t="s">
        <v>537</v>
      </c>
      <c r="D22" s="58">
        <v>5</v>
      </c>
      <c r="E22" s="127">
        <v>0.2</v>
      </c>
      <c r="F22" s="46">
        <v>42185</v>
      </c>
      <c r="G22" s="125">
        <v>60</v>
      </c>
      <c r="H22" s="145">
        <f t="shared" si="0"/>
        <v>1.6666666666666667</v>
      </c>
      <c r="I22" s="165">
        <f t="shared" si="1"/>
        <v>15</v>
      </c>
      <c r="J22" s="48">
        <f t="shared" si="2"/>
        <v>9</v>
      </c>
      <c r="K22" s="165">
        <f t="shared" si="3"/>
        <v>85</v>
      </c>
      <c r="L22" s="48">
        <f t="shared" si="4"/>
        <v>51</v>
      </c>
      <c r="M22" s="165">
        <f t="shared" si="5"/>
        <v>11.666666666666668</v>
      </c>
      <c r="N22" s="48">
        <v>7</v>
      </c>
      <c r="O22" s="165">
        <f t="shared" si="6"/>
        <v>73.333333333333329</v>
      </c>
      <c r="P22" s="48">
        <f t="shared" si="6"/>
        <v>44</v>
      </c>
      <c r="Q22" s="48">
        <f t="shared" si="6"/>
        <v>-61.666666666666657</v>
      </c>
      <c r="R22" s="125" t="s">
        <v>620</v>
      </c>
      <c r="S22" s="128">
        <v>41908</v>
      </c>
      <c r="T22" s="7">
        <v>301600</v>
      </c>
      <c r="U22" s="72"/>
      <c r="V22" s="776">
        <f t="shared" si="7"/>
        <v>15080</v>
      </c>
      <c r="W22" s="776">
        <f t="shared" si="8"/>
        <v>286520</v>
      </c>
      <c r="X22" s="55">
        <f t="shared" si="9"/>
        <v>5026.666666666667</v>
      </c>
      <c r="Y22" s="106">
        <f t="shared" si="10"/>
        <v>25133.333333333336</v>
      </c>
      <c r="Z22" s="258">
        <f t="shared" si="11"/>
        <v>261386.66666666666</v>
      </c>
      <c r="AA22" s="57">
        <v>115.958</v>
      </c>
      <c r="AB22" s="57">
        <v>140.047</v>
      </c>
      <c r="AC22" s="57">
        <f t="shared" si="12"/>
        <v>0.82799345933865065</v>
      </c>
      <c r="AD22" s="55">
        <f t="shared" si="13"/>
        <v>5125.2287581699347</v>
      </c>
      <c r="AE22" s="55">
        <f t="shared" si="14"/>
        <v>4243.6558893790607</v>
      </c>
      <c r="AF22" s="55"/>
      <c r="AG22" s="55"/>
      <c r="AH22" s="55"/>
      <c r="AI22" s="55"/>
      <c r="AJ22" s="55"/>
      <c r="AK22" s="55">
        <f t="shared" si="15"/>
        <v>4243.6558893790607</v>
      </c>
      <c r="AL22" s="55">
        <v>4243.6558893790607</v>
      </c>
      <c r="AM22" s="55">
        <v>4243.6558893790607</v>
      </c>
      <c r="AN22" s="55">
        <v>4243.6558893790607</v>
      </c>
      <c r="AO22" s="55">
        <v>4243.6558893790607</v>
      </c>
      <c r="AP22" s="55">
        <v>4243.6558893790607</v>
      </c>
      <c r="AQ22" s="55">
        <v>4243.6558893790607</v>
      </c>
      <c r="AR22" s="55">
        <f t="shared" si="39"/>
        <v>29705.591225653425</v>
      </c>
      <c r="AS22" s="72">
        <f t="shared" si="40"/>
        <v>231681.07544101324</v>
      </c>
      <c r="AT22" s="55"/>
      <c r="AU22" s="55"/>
      <c r="AV22" s="55">
        <f t="shared" si="41"/>
        <v>4243.6558893790607</v>
      </c>
      <c r="AW22" s="55">
        <f t="shared" si="41"/>
        <v>4243.6558893790607</v>
      </c>
      <c r="AX22" s="55">
        <f t="shared" si="41"/>
        <v>4243.6558893790607</v>
      </c>
      <c r="AY22" s="55">
        <f t="shared" si="41"/>
        <v>4243.6558893790607</v>
      </c>
      <c r="AZ22" s="55">
        <f t="shared" si="41"/>
        <v>4243.6558893790607</v>
      </c>
      <c r="BA22" s="57">
        <v>118.901</v>
      </c>
      <c r="BB22" s="57">
        <v>140.047</v>
      </c>
      <c r="BC22" s="57">
        <f t="shared" si="42"/>
        <v>0.84900783308460726</v>
      </c>
      <c r="BD22" s="55">
        <f t="shared" si="43"/>
        <v>5026.666666666667</v>
      </c>
      <c r="BE22" s="55">
        <f t="shared" si="44"/>
        <v>4267.6793743052931</v>
      </c>
      <c r="BF22" s="55">
        <f t="shared" si="16"/>
        <v>4267.6793743052931</v>
      </c>
      <c r="BG22" s="55">
        <f t="shared" si="16"/>
        <v>4267.6793743052931</v>
      </c>
      <c r="BH22" s="55">
        <f t="shared" si="16"/>
        <v>4267.6793743052931</v>
      </c>
      <c r="BI22" s="55">
        <f t="shared" si="16"/>
        <v>4267.6793743052931</v>
      </c>
      <c r="BJ22" s="55">
        <f t="shared" si="16"/>
        <v>4267.6793743052931</v>
      </c>
      <c r="BK22" s="55">
        <f t="shared" si="16"/>
        <v>4267.6793743052931</v>
      </c>
      <c r="BL22" s="55">
        <f t="shared" si="16"/>
        <v>4267.6793743052931</v>
      </c>
      <c r="BM22" s="55">
        <f t="shared" si="45"/>
        <v>51092.035067032346</v>
      </c>
      <c r="BN22" s="448">
        <f t="shared" si="46"/>
        <v>180589.04037398088</v>
      </c>
      <c r="BO22" s="511">
        <f t="shared" si="17"/>
        <v>4267.6793743052931</v>
      </c>
      <c r="BP22" s="511">
        <f t="shared" si="17"/>
        <v>4267.6793743052931</v>
      </c>
      <c r="BQ22" s="511">
        <f t="shared" si="17"/>
        <v>4267.6793743052931</v>
      </c>
      <c r="BR22" s="511">
        <f t="shared" si="17"/>
        <v>4267.6793743052931</v>
      </c>
      <c r="BS22" s="511">
        <f t="shared" si="17"/>
        <v>4267.6793743052931</v>
      </c>
      <c r="BT22" s="656">
        <v>118.901</v>
      </c>
      <c r="BU22" s="656">
        <v>140.047</v>
      </c>
      <c r="BV22" s="656">
        <f t="shared" si="18"/>
        <v>0.84900783308460726</v>
      </c>
      <c r="BW22" s="511">
        <f t="shared" si="47"/>
        <v>1.2342523760351402E-3</v>
      </c>
      <c r="BX22" s="511">
        <f t="shared" si="19"/>
        <v>1.0478899352571222E-3</v>
      </c>
      <c r="BY22" s="511"/>
      <c r="BZ22" s="511"/>
      <c r="CA22" s="511"/>
      <c r="CB22" s="511"/>
      <c r="CC22" s="511"/>
      <c r="CD22" s="511"/>
      <c r="CE22" s="511"/>
      <c r="CF22" s="511">
        <f t="shared" si="20"/>
        <v>21338.396871526464</v>
      </c>
      <c r="CG22" s="657">
        <f t="shared" si="21"/>
        <v>159250.64350245442</v>
      </c>
      <c r="CH22" s="58">
        <v>5</v>
      </c>
      <c r="CI22" s="127">
        <v>0.2</v>
      </c>
      <c r="CJ22" s="46">
        <v>43281</v>
      </c>
      <c r="CK22" s="125">
        <v>60</v>
      </c>
      <c r="CL22" s="145">
        <f t="shared" si="22"/>
        <v>1.6666666666666667</v>
      </c>
      <c r="CM22" s="165">
        <f t="shared" si="23"/>
        <v>75</v>
      </c>
      <c r="CN22" s="48">
        <f t="shared" si="24"/>
        <v>45</v>
      </c>
      <c r="CO22" s="165">
        <f t="shared" si="25"/>
        <v>25</v>
      </c>
      <c r="CP22" s="48">
        <f t="shared" si="26"/>
        <v>15</v>
      </c>
      <c r="CQ22" s="165">
        <f t="shared" si="27"/>
        <v>11.666666666666668</v>
      </c>
      <c r="CR22" s="48">
        <v>7</v>
      </c>
      <c r="CS22" s="165">
        <f t="shared" si="28"/>
        <v>13.333333333333332</v>
      </c>
      <c r="CT22" s="48">
        <f t="shared" si="28"/>
        <v>8</v>
      </c>
      <c r="CU22" s="462">
        <f t="shared" si="29"/>
        <v>43734</v>
      </c>
      <c r="CV22" s="125" t="s">
        <v>620</v>
      </c>
      <c r="CW22" s="128">
        <v>41908</v>
      </c>
      <c r="CX22" s="7">
        <v>301600</v>
      </c>
      <c r="CY22" s="657">
        <v>159250.64350245442</v>
      </c>
      <c r="CZ22" s="656">
        <v>126.408</v>
      </c>
      <c r="DA22" s="656">
        <v>140.047</v>
      </c>
      <c r="DB22" s="656">
        <f t="shared" si="50"/>
        <v>0.90261126621776977</v>
      </c>
      <c r="DC22" s="511">
        <f t="shared" si="30"/>
        <v>10616.709566830295</v>
      </c>
      <c r="DD22" s="511">
        <f t="shared" si="31"/>
        <v>9582.7616651830031</v>
      </c>
      <c r="DE22" s="511">
        <v>5323.7564806572227</v>
      </c>
      <c r="DF22" s="511">
        <v>5323.7564806572227</v>
      </c>
      <c r="DG22" s="511">
        <v>5323.7564806572227</v>
      </c>
      <c r="DH22" s="511">
        <v>5323.7564806572227</v>
      </c>
      <c r="DI22" s="511">
        <v>5323.7564806572227</v>
      </c>
      <c r="DJ22" s="511">
        <v>5323.7564806572227</v>
      </c>
      <c r="DK22" s="511">
        <v>5323.7564806572227</v>
      </c>
      <c r="DL22" s="511">
        <f t="shared" si="32"/>
        <v>37266.295364600563</v>
      </c>
      <c r="DM22" s="657">
        <f t="shared" si="33"/>
        <v>121984.34813785386</v>
      </c>
      <c r="DN22" s="511">
        <v>5323.7564806572227</v>
      </c>
      <c r="DO22" s="511">
        <v>5323.7564806572227</v>
      </c>
      <c r="DP22" s="511">
        <v>5323.7564806572227</v>
      </c>
      <c r="DQ22" s="511">
        <v>5323.7564806572227</v>
      </c>
      <c r="DR22" s="511">
        <v>5323.7564806572227</v>
      </c>
      <c r="DS22" s="505">
        <f t="shared" si="34"/>
        <v>26618.782403286114</v>
      </c>
      <c r="DT22" s="679">
        <f t="shared" si="35"/>
        <v>95365.565734567746</v>
      </c>
      <c r="DU22" s="956">
        <v>132.28200000000001</v>
      </c>
      <c r="DV22" s="656">
        <v>140.047</v>
      </c>
      <c r="DW22" s="957">
        <f t="shared" si="48"/>
        <v>0.9445543281898221</v>
      </c>
      <c r="DX22" s="511">
        <f t="shared" si="36"/>
        <v>6357.704382304516</v>
      </c>
      <c r="DY22" s="511">
        <f t="shared" si="49"/>
        <v>6005.1971916571301</v>
      </c>
      <c r="DZ22" s="511">
        <v>6005.1971916571301</v>
      </c>
      <c r="EA22" s="511">
        <v>6005.1971916571301</v>
      </c>
      <c r="EB22" s="511">
        <v>6005.1971916571301</v>
      </c>
      <c r="EC22" s="511">
        <v>6005.1971916571301</v>
      </c>
      <c r="ED22" s="511">
        <v>6005.1971916571301</v>
      </c>
      <c r="EE22" s="511">
        <v>6005.1971916571301</v>
      </c>
      <c r="EF22" s="511">
        <v>6005.1971916571301</v>
      </c>
      <c r="EG22" s="511">
        <v>6005.1971916571301</v>
      </c>
      <c r="EH22" s="511">
        <v>6005.1971916571301</v>
      </c>
      <c r="EI22" s="511">
        <v>6005.1971916571301</v>
      </c>
      <c r="EJ22" s="511">
        <v>6005.1971916571301</v>
      </c>
      <c r="EK22" s="511">
        <v>6005.1971916571301</v>
      </c>
      <c r="EL22" s="511">
        <v>6005.1971916571301</v>
      </c>
      <c r="EM22" s="511">
        <v>6005.1971916571301</v>
      </c>
      <c r="EN22" s="511">
        <v>6005.1971916571301</v>
      </c>
      <c r="EO22" s="511">
        <v>5286.61</v>
      </c>
      <c r="EP22" s="511">
        <v>0</v>
      </c>
      <c r="EQ22" s="511">
        <v>0</v>
      </c>
      <c r="ER22" s="511">
        <f t="shared" si="37"/>
        <v>95364.567874856963</v>
      </c>
      <c r="ES22" s="960">
        <f t="shared" si="38"/>
        <v>0.99785971078381408</v>
      </c>
    </row>
    <row r="23" spans="1:149" s="16" customFormat="1" x14ac:dyDescent="0.2">
      <c r="A23" s="120" t="s">
        <v>632</v>
      </c>
      <c r="B23" s="120"/>
      <c r="C23" s="124"/>
      <c r="D23" s="111"/>
      <c r="E23" s="130"/>
      <c r="F23" s="119"/>
      <c r="G23" s="125"/>
      <c r="H23" s="145"/>
      <c r="I23" s="165"/>
      <c r="J23" s="48"/>
      <c r="K23" s="165"/>
      <c r="L23" s="48"/>
      <c r="M23" s="165"/>
      <c r="N23" s="48"/>
      <c r="O23" s="165"/>
      <c r="P23" s="48"/>
      <c r="Q23" s="48"/>
      <c r="R23" s="125"/>
      <c r="S23" s="119"/>
      <c r="T23" s="7"/>
      <c r="U23" s="72"/>
      <c r="V23" s="776"/>
      <c r="W23" s="776"/>
      <c r="X23" s="55"/>
      <c r="Y23" s="106"/>
      <c r="Z23" s="258"/>
      <c r="AA23" s="57"/>
      <c r="AB23" s="140"/>
      <c r="AC23" s="57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72"/>
      <c r="AT23" s="55"/>
      <c r="AU23" s="55"/>
      <c r="AV23" s="55">
        <f t="shared" si="41"/>
        <v>0</v>
      </c>
      <c r="AW23" s="55">
        <f t="shared" si="41"/>
        <v>0</v>
      </c>
      <c r="AX23" s="55">
        <f t="shared" si="41"/>
        <v>0</v>
      </c>
      <c r="AY23" s="55">
        <f t="shared" si="41"/>
        <v>0</v>
      </c>
      <c r="AZ23" s="55">
        <f t="shared" si="41"/>
        <v>0</v>
      </c>
      <c r="BA23" s="57"/>
      <c r="BB23" s="140"/>
      <c r="BC23" s="57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448"/>
      <c r="BO23" s="511"/>
      <c r="BP23" s="511"/>
      <c r="BQ23" s="511"/>
      <c r="BR23" s="511"/>
      <c r="BS23" s="511"/>
      <c r="BT23" s="656"/>
      <c r="BU23" s="658"/>
      <c r="BV23" s="656"/>
      <c r="BW23" s="511"/>
      <c r="BX23" s="511"/>
      <c r="BY23" s="511"/>
      <c r="BZ23" s="511"/>
      <c r="CA23" s="511"/>
      <c r="CB23" s="511"/>
      <c r="CC23" s="511"/>
      <c r="CD23" s="511"/>
      <c r="CE23" s="511"/>
      <c r="CF23" s="511"/>
      <c r="CG23" s="657"/>
      <c r="CH23" s="111"/>
      <c r="CI23" s="130"/>
      <c r="CJ23" s="119"/>
      <c r="CK23" s="125"/>
      <c r="CL23" s="145"/>
      <c r="CM23" s="165"/>
      <c r="CN23" s="48"/>
      <c r="CO23" s="165"/>
      <c r="CP23" s="48"/>
      <c r="CQ23" s="165"/>
      <c r="CR23" s="48"/>
      <c r="CS23" s="165"/>
      <c r="CT23" s="48"/>
      <c r="CU23" s="48"/>
      <c r="CV23" s="125"/>
      <c r="CW23" s="119"/>
      <c r="CX23" s="7"/>
      <c r="CY23" s="657"/>
      <c r="CZ23" s="656"/>
      <c r="DA23" s="768"/>
      <c r="DB23" s="656"/>
      <c r="DC23" s="511"/>
      <c r="DD23" s="511"/>
      <c r="DE23" s="511"/>
      <c r="DF23" s="511"/>
      <c r="DG23" s="511"/>
      <c r="DH23" s="511"/>
      <c r="DI23" s="511"/>
      <c r="DJ23" s="511"/>
      <c r="DK23" s="511"/>
      <c r="DL23" s="511"/>
      <c r="DM23" s="657"/>
      <c r="DN23" s="511"/>
      <c r="DO23" s="511"/>
      <c r="DP23" s="511"/>
      <c r="DQ23" s="511"/>
      <c r="DR23" s="511"/>
      <c r="DS23" s="505"/>
      <c r="DT23" s="681"/>
      <c r="DU23" s="656"/>
      <c r="DV23" s="768"/>
      <c r="DW23" s="768"/>
      <c r="DX23" s="511"/>
      <c r="DY23" s="511"/>
      <c r="DZ23" s="511"/>
      <c r="EA23" s="511"/>
      <c r="EB23" s="511"/>
      <c r="EC23" s="511"/>
      <c r="ED23" s="511"/>
      <c r="EE23" s="511"/>
      <c r="EF23" s="511"/>
      <c r="EG23" s="511"/>
      <c r="EH23" s="511"/>
      <c r="EI23" s="511"/>
      <c r="EJ23" s="511"/>
      <c r="EK23" s="511"/>
      <c r="EL23" s="511"/>
      <c r="EM23" s="511"/>
      <c r="EN23" s="511"/>
      <c r="EO23" s="511"/>
      <c r="EP23" s="511"/>
      <c r="EQ23" s="511"/>
      <c r="ER23" s="511">
        <f t="shared" si="37"/>
        <v>0</v>
      </c>
      <c r="ES23" s="1029"/>
    </row>
    <row r="24" spans="1:149" s="16" customFormat="1" x14ac:dyDescent="0.2">
      <c r="A24" s="120" t="s">
        <v>633</v>
      </c>
      <c r="B24" s="100"/>
      <c r="C24" s="45"/>
      <c r="D24" s="58"/>
      <c r="E24" s="127"/>
      <c r="F24" s="119"/>
      <c r="G24" s="252"/>
      <c r="H24" s="145"/>
      <c r="I24" s="165"/>
      <c r="J24" s="48"/>
      <c r="K24" s="165"/>
      <c r="L24" s="48"/>
      <c r="M24" s="165"/>
      <c r="N24" s="48"/>
      <c r="O24" s="165"/>
      <c r="P24" s="48"/>
      <c r="Q24" s="48"/>
      <c r="R24" s="125"/>
      <c r="S24" s="128"/>
      <c r="T24" s="7"/>
      <c r="U24" s="72"/>
      <c r="V24" s="776"/>
      <c r="W24" s="776"/>
      <c r="X24" s="55"/>
      <c r="Y24" s="106"/>
      <c r="Z24" s="258"/>
      <c r="AA24" s="57"/>
      <c r="AB24" s="84"/>
      <c r="AC24" s="57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72"/>
      <c r="AT24" s="55"/>
      <c r="AU24" s="55"/>
      <c r="AV24" s="55">
        <f t="shared" si="41"/>
        <v>0</v>
      </c>
      <c r="AW24" s="55">
        <f t="shared" si="41"/>
        <v>0</v>
      </c>
      <c r="AX24" s="55">
        <f t="shared" si="41"/>
        <v>0</v>
      </c>
      <c r="AY24" s="55">
        <f t="shared" si="41"/>
        <v>0</v>
      </c>
      <c r="AZ24" s="55">
        <f t="shared" si="41"/>
        <v>0</v>
      </c>
      <c r="BA24" s="57"/>
      <c r="BB24" s="84"/>
      <c r="BC24" s="57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448"/>
      <c r="BO24" s="511"/>
      <c r="BP24" s="511"/>
      <c r="BQ24" s="511"/>
      <c r="BR24" s="511"/>
      <c r="BS24" s="511"/>
      <c r="BT24" s="656"/>
      <c r="BU24" s="659"/>
      <c r="BV24" s="656"/>
      <c r="BW24" s="511"/>
      <c r="BX24" s="511"/>
      <c r="BY24" s="511"/>
      <c r="BZ24" s="511"/>
      <c r="CA24" s="511"/>
      <c r="CB24" s="511"/>
      <c r="CC24" s="511"/>
      <c r="CD24" s="511"/>
      <c r="CE24" s="511"/>
      <c r="CF24" s="511"/>
      <c r="CG24" s="657"/>
      <c r="CH24" s="58"/>
      <c r="CI24" s="127"/>
      <c r="CJ24" s="119"/>
      <c r="CK24" s="252"/>
      <c r="CL24" s="145"/>
      <c r="CM24" s="165"/>
      <c r="CN24" s="48"/>
      <c r="CO24" s="165"/>
      <c r="CP24" s="48"/>
      <c r="CQ24" s="165"/>
      <c r="CR24" s="48"/>
      <c r="CS24" s="165"/>
      <c r="CT24" s="48"/>
      <c r="CU24" s="48"/>
      <c r="CV24" s="125"/>
      <c r="CW24" s="128"/>
      <c r="CX24" s="7"/>
      <c r="CY24" s="657"/>
      <c r="CZ24" s="656"/>
      <c r="DA24" s="688"/>
      <c r="DB24" s="656"/>
      <c r="DC24" s="511"/>
      <c r="DD24" s="511"/>
      <c r="DE24" s="511"/>
      <c r="DF24" s="511"/>
      <c r="DG24" s="511"/>
      <c r="DH24" s="511"/>
      <c r="DI24" s="511"/>
      <c r="DJ24" s="511"/>
      <c r="DK24" s="511"/>
      <c r="DL24" s="511"/>
      <c r="DM24" s="657"/>
      <c r="DN24" s="511"/>
      <c r="DO24" s="511"/>
      <c r="DP24" s="511"/>
      <c r="DQ24" s="511"/>
      <c r="DR24" s="511"/>
      <c r="DS24" s="505">
        <f>SUM(DN24:DR24)</f>
        <v>0</v>
      </c>
      <c r="DT24" s="679"/>
      <c r="DU24" s="623"/>
      <c r="DV24" s="688"/>
      <c r="DW24" s="688"/>
      <c r="DX24" s="511"/>
      <c r="DY24" s="511"/>
      <c r="DZ24" s="511"/>
      <c r="EA24" s="511"/>
      <c r="EB24" s="511"/>
      <c r="EC24" s="511"/>
      <c r="ED24" s="511"/>
      <c r="EE24" s="511"/>
      <c r="EF24" s="511"/>
      <c r="EG24" s="511"/>
      <c r="EH24" s="511"/>
      <c r="EI24" s="511"/>
      <c r="EJ24" s="511"/>
      <c r="EK24" s="511"/>
      <c r="EL24" s="511"/>
      <c r="EM24" s="511"/>
      <c r="EN24" s="511"/>
      <c r="EO24" s="511"/>
      <c r="EP24" s="511"/>
      <c r="EQ24" s="511"/>
      <c r="ER24" s="511">
        <f t="shared" si="37"/>
        <v>0</v>
      </c>
      <c r="ES24" s="1029"/>
    </row>
    <row r="25" spans="1:149" s="16" customFormat="1" x14ac:dyDescent="0.2">
      <c r="A25" s="119" t="s">
        <v>633</v>
      </c>
      <c r="B25" s="100" t="s">
        <v>639</v>
      </c>
      <c r="C25" s="45" t="s">
        <v>319</v>
      </c>
      <c r="D25" s="58">
        <v>5</v>
      </c>
      <c r="E25" s="127">
        <v>0.2</v>
      </c>
      <c r="F25" s="46">
        <v>42185</v>
      </c>
      <c r="G25" s="125">
        <v>60</v>
      </c>
      <c r="H25" s="145">
        <f>100/G25</f>
        <v>1.6666666666666667</v>
      </c>
      <c r="I25" s="165">
        <f>H25*J25</f>
        <v>15</v>
      </c>
      <c r="J25" s="48">
        <f>(YEAR(F25)-YEAR(S25))*12+MONTH(F25)-MONTH(S25)</f>
        <v>9</v>
      </c>
      <c r="K25" s="165">
        <f>L25*H25</f>
        <v>85</v>
      </c>
      <c r="L25" s="48">
        <f>G25-J25</f>
        <v>51</v>
      </c>
      <c r="M25" s="165">
        <f>N25*H25</f>
        <v>11.666666666666668</v>
      </c>
      <c r="N25" s="48">
        <v>7</v>
      </c>
      <c r="O25" s="165">
        <f>K25-M25</f>
        <v>73.333333333333329</v>
      </c>
      <c r="P25" s="48">
        <f>L25-N25</f>
        <v>44</v>
      </c>
      <c r="Q25" s="48">
        <f>M25-O25</f>
        <v>-61.666666666666657</v>
      </c>
      <c r="R25" s="125" t="s">
        <v>620</v>
      </c>
      <c r="S25" s="128">
        <v>41908</v>
      </c>
      <c r="T25" s="7">
        <v>280000</v>
      </c>
      <c r="U25" s="72"/>
      <c r="V25" s="776">
        <f>SUM(T25*0.2/12*3)</f>
        <v>14000</v>
      </c>
      <c r="W25" s="776">
        <f>T25-V25</f>
        <v>266000</v>
      </c>
      <c r="X25" s="55">
        <f>V25/3</f>
        <v>4666.666666666667</v>
      </c>
      <c r="Y25" s="106">
        <f>X25*5</f>
        <v>23333.333333333336</v>
      </c>
      <c r="Z25" s="258">
        <f>W25-Y25</f>
        <v>242666.66666666666</v>
      </c>
      <c r="AA25" s="57">
        <v>115.958</v>
      </c>
      <c r="AB25" s="57">
        <v>140.047</v>
      </c>
      <c r="AC25" s="57">
        <f>AA25/AB25</f>
        <v>0.82799345933865065</v>
      </c>
      <c r="AD25" s="55">
        <f>Z25*M25/100/K25*100/7</f>
        <v>4758.169934640523</v>
      </c>
      <c r="AE25" s="55">
        <f>AD25*AC25</f>
        <v>3939.7335843041678</v>
      </c>
      <c r="AF25" s="55"/>
      <c r="AG25" s="55"/>
      <c r="AH25" s="55"/>
      <c r="AI25" s="55"/>
      <c r="AJ25" s="55"/>
      <c r="AK25" s="55">
        <f>AE25</f>
        <v>3939.7335843041678</v>
      </c>
      <c r="AL25" s="55">
        <v>3939.7335843041678</v>
      </c>
      <c r="AM25" s="55">
        <v>3939.7335843041678</v>
      </c>
      <c r="AN25" s="55">
        <v>3939.7335843041678</v>
      </c>
      <c r="AO25" s="55">
        <v>3939.7335843041678</v>
      </c>
      <c r="AP25" s="55">
        <v>3939.7335843041678</v>
      </c>
      <c r="AQ25" s="55">
        <v>3939.7335843041678</v>
      </c>
      <c r="AR25" s="55">
        <f>SUM(AF25:AQ25)</f>
        <v>27578.135090129177</v>
      </c>
      <c r="AS25" s="72">
        <f>Z25-AR25</f>
        <v>215088.53157653747</v>
      </c>
      <c r="AT25" s="55"/>
      <c r="AU25" s="55"/>
      <c r="AV25" s="55">
        <f t="shared" si="41"/>
        <v>3939.7335843041678</v>
      </c>
      <c r="AW25" s="55">
        <f t="shared" si="41"/>
        <v>3939.7335843041678</v>
      </c>
      <c r="AX25" s="55">
        <f t="shared" si="41"/>
        <v>3939.7335843041678</v>
      </c>
      <c r="AY25" s="55">
        <f t="shared" si="41"/>
        <v>3939.7335843041678</v>
      </c>
      <c r="AZ25" s="55">
        <f t="shared" si="41"/>
        <v>3939.7335843041678</v>
      </c>
      <c r="BA25" s="57">
        <v>118.901</v>
      </c>
      <c r="BB25" s="57">
        <v>140.047</v>
      </c>
      <c r="BC25" s="57">
        <f t="shared" si="42"/>
        <v>0.84900783308460726</v>
      </c>
      <c r="BD25" s="55">
        <f t="shared" si="43"/>
        <v>4666.666666666667</v>
      </c>
      <c r="BE25" s="55">
        <f t="shared" si="44"/>
        <v>3962.0365543948342</v>
      </c>
      <c r="BF25" s="55">
        <f t="shared" si="16"/>
        <v>3962.0365543948342</v>
      </c>
      <c r="BG25" s="55">
        <f t="shared" si="16"/>
        <v>3962.0365543948342</v>
      </c>
      <c r="BH25" s="55">
        <f t="shared" si="16"/>
        <v>3962.0365543948342</v>
      </c>
      <c r="BI25" s="55">
        <f t="shared" si="16"/>
        <v>3962.0365543948342</v>
      </c>
      <c r="BJ25" s="55">
        <f t="shared" si="16"/>
        <v>3962.0365543948342</v>
      </c>
      <c r="BK25" s="55">
        <f t="shared" si="16"/>
        <v>3962.0365543948342</v>
      </c>
      <c r="BL25" s="55">
        <f t="shared" si="16"/>
        <v>3962.0365543948342</v>
      </c>
      <c r="BM25" s="55">
        <f t="shared" si="45"/>
        <v>47432.923802284684</v>
      </c>
      <c r="BN25" s="448">
        <f t="shared" si="46"/>
        <v>167655.60777425277</v>
      </c>
      <c r="BO25" s="511">
        <f t="shared" si="17"/>
        <v>3962.0365543948342</v>
      </c>
      <c r="BP25" s="511">
        <f t="shared" si="17"/>
        <v>3962.0365543948342</v>
      </c>
      <c r="BQ25" s="511">
        <f t="shared" si="17"/>
        <v>3962.0365543948342</v>
      </c>
      <c r="BR25" s="511">
        <f t="shared" si="17"/>
        <v>3962.0365543948342</v>
      </c>
      <c r="BS25" s="511">
        <f t="shared" si="17"/>
        <v>3962.0365543948342</v>
      </c>
      <c r="BT25" s="656">
        <v>118.901</v>
      </c>
      <c r="BU25" s="656">
        <v>140.047</v>
      </c>
      <c r="BV25" s="656">
        <f>BT25/BU25</f>
        <v>0.84900783308460726</v>
      </c>
      <c r="BW25" s="511">
        <f>AM25/(W25*12)</f>
        <v>1.2342523760351402E-3</v>
      </c>
      <c r="BX25" s="511">
        <f>BW25*BV25</f>
        <v>1.0478899352571222E-3</v>
      </c>
      <c r="BY25" s="511"/>
      <c r="BZ25" s="511"/>
      <c r="CA25" s="511"/>
      <c r="CB25" s="511"/>
      <c r="CC25" s="511"/>
      <c r="CD25" s="511"/>
      <c r="CE25" s="511"/>
      <c r="CF25" s="511">
        <f>SUM((BO25:BS25),(BY25:CE25))</f>
        <v>19810.18277197417</v>
      </c>
      <c r="CG25" s="657">
        <f>BN25-CF25</f>
        <v>147845.42500227859</v>
      </c>
      <c r="CH25" s="58">
        <v>5</v>
      </c>
      <c r="CI25" s="127">
        <v>0.2</v>
      </c>
      <c r="CJ25" s="46">
        <v>43281</v>
      </c>
      <c r="CK25" s="125">
        <v>60</v>
      </c>
      <c r="CL25" s="145">
        <f>100/CK25</f>
        <v>1.6666666666666667</v>
      </c>
      <c r="CM25" s="165">
        <f>CL25*CN25</f>
        <v>75</v>
      </c>
      <c r="CN25" s="48">
        <f>(YEAR(CJ25)-YEAR(CW25))*12+MONTH(CJ25)-MONTH(CW25)</f>
        <v>45</v>
      </c>
      <c r="CO25" s="165">
        <f>CP25*CL25</f>
        <v>25</v>
      </c>
      <c r="CP25" s="48">
        <f>CK25-CN25</f>
        <v>15</v>
      </c>
      <c r="CQ25" s="165">
        <f>CR25*CL25</f>
        <v>11.666666666666668</v>
      </c>
      <c r="CR25" s="48">
        <v>7</v>
      </c>
      <c r="CS25" s="165">
        <f>CO25-CQ25</f>
        <v>13.333333333333332</v>
      </c>
      <c r="CT25" s="48">
        <f>CP25-CR25</f>
        <v>8</v>
      </c>
      <c r="CU25" s="462">
        <f>DATE(YEAR(CW25),MONTH(CW25)+CK25,DAY(CW25))</f>
        <v>43734</v>
      </c>
      <c r="CV25" s="125" t="s">
        <v>620</v>
      </c>
      <c r="CW25" s="128">
        <v>41908</v>
      </c>
      <c r="CX25" s="7">
        <v>280000</v>
      </c>
      <c r="CY25" s="657">
        <v>147845.42500227859</v>
      </c>
      <c r="CZ25" s="656">
        <v>126.408</v>
      </c>
      <c r="DA25" s="656">
        <v>140.047</v>
      </c>
      <c r="DB25" s="656">
        <f>CZ25/DA25</f>
        <v>0.90261126621776977</v>
      </c>
      <c r="DC25" s="511">
        <f>CY25/CP25</f>
        <v>9856.3616668185732</v>
      </c>
      <c r="DD25" s="511">
        <f>DC25*DB25</f>
        <v>8896.4630843874002</v>
      </c>
      <c r="DE25" s="511">
        <v>4942.4794913263331</v>
      </c>
      <c r="DF25" s="511">
        <v>4942.4794913263331</v>
      </c>
      <c r="DG25" s="511">
        <v>4942.4794913263331</v>
      </c>
      <c r="DH25" s="511">
        <v>4942.4794913263331</v>
      </c>
      <c r="DI25" s="511">
        <v>4942.4794913263331</v>
      </c>
      <c r="DJ25" s="511">
        <v>4942.4794913263331</v>
      </c>
      <c r="DK25" s="511">
        <v>4942.4794913263331</v>
      </c>
      <c r="DL25" s="511">
        <f>SUM(DE25:DK25)</f>
        <v>34597.356439284333</v>
      </c>
      <c r="DM25" s="657">
        <f>CY25-DL25</f>
        <v>113248.06856299425</v>
      </c>
      <c r="DN25" s="511">
        <v>4942.4794913263331</v>
      </c>
      <c r="DO25" s="511">
        <v>4942.4794913263331</v>
      </c>
      <c r="DP25" s="511">
        <v>4942.4794913263331</v>
      </c>
      <c r="DQ25" s="511">
        <v>4942.4794913263331</v>
      </c>
      <c r="DR25" s="511">
        <v>4942.4794913263331</v>
      </c>
      <c r="DS25" s="505">
        <f>SUM(DN25:DR25)</f>
        <v>24712.397456631665</v>
      </c>
      <c r="DT25" s="679">
        <f>DM25-DS25</f>
        <v>88535.671106362584</v>
      </c>
      <c r="DU25" s="956">
        <v>132.28200000000001</v>
      </c>
      <c r="DV25" s="656">
        <v>140.047</v>
      </c>
      <c r="DW25" s="957">
        <f t="shared" ref="DW25" si="51">DU25/DV25</f>
        <v>0.9445543281898221</v>
      </c>
      <c r="DX25" s="511">
        <f>DT25/CP25</f>
        <v>5902.3780737575053</v>
      </c>
      <c r="DY25" s="511">
        <f t="shared" ref="DY25" si="52">DX25*DW25</f>
        <v>5575.1167561803568</v>
      </c>
      <c r="DZ25" s="511">
        <v>5575.1167561803568</v>
      </c>
      <c r="EA25" s="511">
        <v>5575.1167561803568</v>
      </c>
      <c r="EB25" s="511">
        <v>5575.1167561803568</v>
      </c>
      <c r="EC25" s="511">
        <v>5575.1167561803568</v>
      </c>
      <c r="ED25" s="511">
        <v>5575.1167561803568</v>
      </c>
      <c r="EE25" s="511">
        <v>5575.1167561803568</v>
      </c>
      <c r="EF25" s="511">
        <v>5575.1167561803568</v>
      </c>
      <c r="EG25" s="511">
        <v>5575.1167561803568</v>
      </c>
      <c r="EH25" s="511">
        <v>5575.1167561803568</v>
      </c>
      <c r="EI25" s="511">
        <v>5575.1167561803568</v>
      </c>
      <c r="EJ25" s="511">
        <v>5575.1167561803568</v>
      </c>
      <c r="EK25" s="511">
        <v>5575.1167561803568</v>
      </c>
      <c r="EL25" s="511">
        <v>5575.1167561803568</v>
      </c>
      <c r="EM25" s="511">
        <v>5575.1167561803568</v>
      </c>
      <c r="EN25" s="511">
        <v>5575.1167561803568</v>
      </c>
      <c r="EO25" s="511">
        <v>4907.92</v>
      </c>
      <c r="EP25" s="511">
        <v>0</v>
      </c>
      <c r="EQ25" s="511">
        <v>0</v>
      </c>
      <c r="ER25" s="511">
        <f t="shared" si="37"/>
        <v>88534.671342705376</v>
      </c>
      <c r="ES25" s="960">
        <f>DT25-ER25</f>
        <v>0.99976365720795002</v>
      </c>
    </row>
    <row r="26" spans="1:149" s="16" customFormat="1" x14ac:dyDescent="0.2">
      <c r="A26" s="120" t="s">
        <v>126</v>
      </c>
      <c r="B26" s="120"/>
      <c r="C26" s="124"/>
      <c r="D26" s="111"/>
      <c r="E26" s="130"/>
      <c r="F26" s="46"/>
      <c r="G26" s="125"/>
      <c r="H26" s="145"/>
      <c r="I26" s="165"/>
      <c r="J26" s="48"/>
      <c r="K26" s="165"/>
      <c r="L26" s="48"/>
      <c r="M26" s="165"/>
      <c r="N26" s="48"/>
      <c r="O26" s="165"/>
      <c r="P26" s="48"/>
      <c r="Q26" s="48"/>
      <c r="R26" s="125"/>
      <c r="S26" s="119"/>
      <c r="T26" s="7"/>
      <c r="U26" s="72"/>
      <c r="V26" s="776"/>
      <c r="W26" s="776"/>
      <c r="X26" s="55"/>
      <c r="Y26" s="106"/>
      <c r="Z26" s="258"/>
      <c r="AA26" s="57"/>
      <c r="AB26" s="140"/>
      <c r="AC26" s="57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72"/>
      <c r="AT26" s="55"/>
      <c r="AU26" s="55"/>
      <c r="AV26" s="55">
        <f t="shared" si="41"/>
        <v>0</v>
      </c>
      <c r="AW26" s="55">
        <f t="shared" si="41"/>
        <v>0</v>
      </c>
      <c r="AX26" s="55">
        <f t="shared" si="41"/>
        <v>0</v>
      </c>
      <c r="AY26" s="55">
        <f t="shared" si="41"/>
        <v>0</v>
      </c>
      <c r="AZ26" s="55">
        <f t="shared" si="41"/>
        <v>0</v>
      </c>
      <c r="BA26" s="57"/>
      <c r="BB26" s="140"/>
      <c r="BC26" s="57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448"/>
      <c r="BO26" s="511"/>
      <c r="BP26" s="511"/>
      <c r="BQ26" s="511"/>
      <c r="BR26" s="511"/>
      <c r="BS26" s="511"/>
      <c r="BT26" s="656"/>
      <c r="BU26" s="658"/>
      <c r="BV26" s="656"/>
      <c r="BW26" s="511"/>
      <c r="BX26" s="511"/>
      <c r="BY26" s="511"/>
      <c r="BZ26" s="511"/>
      <c r="CA26" s="511"/>
      <c r="CB26" s="511"/>
      <c r="CC26" s="511"/>
      <c r="CD26" s="511"/>
      <c r="CE26" s="511"/>
      <c r="CF26" s="511"/>
      <c r="CG26" s="657"/>
      <c r="CH26" s="111"/>
      <c r="CI26" s="130"/>
      <c r="CJ26" s="46"/>
      <c r="CK26" s="125"/>
      <c r="CL26" s="145"/>
      <c r="CM26" s="165"/>
      <c r="CN26" s="48"/>
      <c r="CO26" s="165"/>
      <c r="CP26" s="48"/>
      <c r="CQ26" s="165"/>
      <c r="CR26" s="48"/>
      <c r="CS26" s="165"/>
      <c r="CT26" s="48"/>
      <c r="CU26" s="48"/>
      <c r="CV26" s="125"/>
      <c r="CW26" s="119"/>
      <c r="CX26" s="7"/>
      <c r="CY26" s="657"/>
      <c r="CZ26" s="656"/>
      <c r="DA26" s="768"/>
      <c r="DB26" s="656"/>
      <c r="DC26" s="511"/>
      <c r="DD26" s="511"/>
      <c r="DE26" s="511"/>
      <c r="DF26" s="511"/>
      <c r="DG26" s="511"/>
      <c r="DH26" s="511"/>
      <c r="DI26" s="511"/>
      <c r="DJ26" s="511"/>
      <c r="DK26" s="511"/>
      <c r="DL26" s="511"/>
      <c r="DM26" s="657"/>
      <c r="DN26" s="511"/>
      <c r="DO26" s="511"/>
      <c r="DP26" s="511"/>
      <c r="DQ26" s="511"/>
      <c r="DR26" s="511"/>
      <c r="DS26" s="505"/>
      <c r="DT26" s="681"/>
      <c r="DU26" s="511"/>
      <c r="DV26" s="768"/>
      <c r="DW26" s="768"/>
      <c r="DX26" s="511"/>
      <c r="DY26" s="511"/>
      <c r="DZ26" s="511"/>
      <c r="EA26" s="511"/>
      <c r="EB26" s="511"/>
      <c r="EC26" s="511"/>
      <c r="ED26" s="511"/>
      <c r="EE26" s="511"/>
      <c r="EF26" s="511"/>
      <c r="EG26" s="511"/>
      <c r="EH26" s="511"/>
      <c r="EI26" s="511"/>
      <c r="EJ26" s="511"/>
      <c r="EK26" s="511"/>
      <c r="EL26" s="511"/>
      <c r="EM26" s="511"/>
      <c r="EN26" s="511"/>
      <c r="EO26" s="511"/>
      <c r="EP26" s="511"/>
      <c r="EQ26" s="511"/>
      <c r="ER26" s="511">
        <f t="shared" si="37"/>
        <v>0</v>
      </c>
      <c r="ES26" s="1029"/>
    </row>
    <row r="27" spans="1:149" s="16" customFormat="1" x14ac:dyDescent="0.2">
      <c r="A27" s="120" t="s">
        <v>634</v>
      </c>
      <c r="B27" s="100"/>
      <c r="C27" s="45"/>
      <c r="D27" s="58"/>
      <c r="E27" s="127"/>
      <c r="F27" s="119"/>
      <c r="G27" s="125"/>
      <c r="H27" s="145"/>
      <c r="I27" s="165"/>
      <c r="J27" s="48"/>
      <c r="K27" s="165"/>
      <c r="L27" s="48"/>
      <c r="M27" s="165"/>
      <c r="N27" s="48"/>
      <c r="O27" s="165"/>
      <c r="P27" s="48"/>
      <c r="Q27" s="48"/>
      <c r="R27" s="125"/>
      <c r="S27" s="128"/>
      <c r="T27" s="7"/>
      <c r="U27" s="72"/>
      <c r="V27" s="776"/>
      <c r="W27" s="776"/>
      <c r="X27" s="55"/>
      <c r="Y27" s="106"/>
      <c r="Z27" s="258"/>
      <c r="AA27" s="57"/>
      <c r="AB27" s="84"/>
      <c r="AC27" s="57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72"/>
      <c r="AT27" s="55"/>
      <c r="AU27" s="55"/>
      <c r="AV27" s="55">
        <f t="shared" si="41"/>
        <v>0</v>
      </c>
      <c r="AW27" s="55">
        <f t="shared" si="41"/>
        <v>0</v>
      </c>
      <c r="AX27" s="55">
        <f t="shared" si="41"/>
        <v>0</v>
      </c>
      <c r="AY27" s="55">
        <f t="shared" si="41"/>
        <v>0</v>
      </c>
      <c r="AZ27" s="55">
        <f t="shared" si="41"/>
        <v>0</v>
      </c>
      <c r="BA27" s="57"/>
      <c r="BB27" s="84"/>
      <c r="BC27" s="57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448"/>
      <c r="BO27" s="511"/>
      <c r="BP27" s="511"/>
      <c r="BQ27" s="511"/>
      <c r="BR27" s="511"/>
      <c r="BS27" s="511"/>
      <c r="BT27" s="656"/>
      <c r="BU27" s="659"/>
      <c r="BV27" s="656"/>
      <c r="BW27" s="511"/>
      <c r="BX27" s="511"/>
      <c r="BY27" s="511"/>
      <c r="BZ27" s="511"/>
      <c r="CA27" s="511"/>
      <c r="CB27" s="511"/>
      <c r="CC27" s="511"/>
      <c r="CD27" s="511"/>
      <c r="CE27" s="511"/>
      <c r="CF27" s="511"/>
      <c r="CG27" s="657"/>
      <c r="CH27" s="58"/>
      <c r="CI27" s="127"/>
      <c r="CJ27" s="119"/>
      <c r="CK27" s="125"/>
      <c r="CL27" s="145"/>
      <c r="CM27" s="165"/>
      <c r="CN27" s="48"/>
      <c r="CO27" s="165"/>
      <c r="CP27" s="48"/>
      <c r="CQ27" s="165"/>
      <c r="CR27" s="48"/>
      <c r="CS27" s="165"/>
      <c r="CT27" s="48"/>
      <c r="CU27" s="48"/>
      <c r="CV27" s="125"/>
      <c r="CW27" s="128"/>
      <c r="CX27" s="7"/>
      <c r="CY27" s="657"/>
      <c r="CZ27" s="656"/>
      <c r="DA27" s="688"/>
      <c r="DB27" s="656"/>
      <c r="DC27" s="511"/>
      <c r="DD27" s="511"/>
      <c r="DE27" s="511"/>
      <c r="DF27" s="511"/>
      <c r="DG27" s="511"/>
      <c r="DH27" s="511"/>
      <c r="DI27" s="511"/>
      <c r="DJ27" s="511"/>
      <c r="DK27" s="511"/>
      <c r="DL27" s="511"/>
      <c r="DM27" s="657"/>
      <c r="DN27" s="511"/>
      <c r="DO27" s="511"/>
      <c r="DP27" s="511"/>
      <c r="DQ27" s="511"/>
      <c r="DR27" s="511"/>
      <c r="DS27" s="505">
        <f>SUM(DN27:DR27)</f>
        <v>0</v>
      </c>
      <c r="DT27" s="679"/>
      <c r="DU27" s="623"/>
      <c r="DV27" s="688"/>
      <c r="DW27" s="688"/>
      <c r="DX27" s="511"/>
      <c r="DY27" s="511"/>
      <c r="DZ27" s="511"/>
      <c r="EA27" s="511"/>
      <c r="EB27" s="511"/>
      <c r="EC27" s="511"/>
      <c r="ED27" s="511"/>
      <c r="EE27" s="511"/>
      <c r="EF27" s="511"/>
      <c r="EG27" s="511"/>
      <c r="EH27" s="511"/>
      <c r="EI27" s="511"/>
      <c r="EJ27" s="511"/>
      <c r="EK27" s="511"/>
      <c r="EL27" s="511"/>
      <c r="EM27" s="511"/>
      <c r="EN27" s="511"/>
      <c r="EO27" s="511"/>
      <c r="EP27" s="511"/>
      <c r="EQ27" s="511"/>
      <c r="ER27" s="511">
        <f t="shared" si="37"/>
        <v>0</v>
      </c>
      <c r="ES27" s="1029"/>
    </row>
    <row r="28" spans="1:149" s="16" customFormat="1" x14ac:dyDescent="0.2">
      <c r="A28" s="119" t="s">
        <v>635</v>
      </c>
      <c r="B28" s="100" t="s">
        <v>638</v>
      </c>
      <c r="C28" s="45" t="s">
        <v>355</v>
      </c>
      <c r="D28" s="58">
        <v>5</v>
      </c>
      <c r="E28" s="127">
        <v>0.2</v>
      </c>
      <c r="F28" s="46">
        <v>42185</v>
      </c>
      <c r="G28" s="125">
        <v>60</v>
      </c>
      <c r="H28" s="145">
        <f>100/G28</f>
        <v>1.6666666666666667</v>
      </c>
      <c r="I28" s="165">
        <f>H28*J28</f>
        <v>15</v>
      </c>
      <c r="J28" s="48">
        <f>(YEAR(F28)-YEAR(S28))*12+MONTH(F28)-MONTH(S28)</f>
        <v>9</v>
      </c>
      <c r="K28" s="165">
        <f>L28*H28</f>
        <v>85</v>
      </c>
      <c r="L28" s="48">
        <f>G28-J28</f>
        <v>51</v>
      </c>
      <c r="M28" s="165">
        <f>N28*H28</f>
        <v>11.666666666666668</v>
      </c>
      <c r="N28" s="48">
        <v>7</v>
      </c>
      <c r="O28" s="165">
        <f t="shared" ref="O28:Q29" si="53">K28-M28</f>
        <v>73.333333333333329</v>
      </c>
      <c r="P28" s="48">
        <f t="shared" si="53"/>
        <v>44</v>
      </c>
      <c r="Q28" s="48">
        <f t="shared" si="53"/>
        <v>-61.666666666666657</v>
      </c>
      <c r="R28" s="125" t="s">
        <v>620</v>
      </c>
      <c r="S28" s="128">
        <v>41908</v>
      </c>
      <c r="T28" s="7">
        <v>300000</v>
      </c>
      <c r="U28" s="72"/>
      <c r="V28" s="776">
        <f>SUM(T28*0.2/12*3)</f>
        <v>15000</v>
      </c>
      <c r="W28" s="776">
        <f>T28-V28</f>
        <v>285000</v>
      </c>
      <c r="X28" s="55">
        <f>V28/3</f>
        <v>5000</v>
      </c>
      <c r="Y28" s="106">
        <f>X28*5</f>
        <v>25000</v>
      </c>
      <c r="Z28" s="258">
        <f>W28-Y28</f>
        <v>260000</v>
      </c>
      <c r="AA28" s="57">
        <v>115.958</v>
      </c>
      <c r="AB28" s="57">
        <v>140.047</v>
      </c>
      <c r="AC28" s="57">
        <f>AA28/AB28</f>
        <v>0.82799345933865065</v>
      </c>
      <c r="AD28" s="55">
        <f>Z28*M28/100/K28*100/7</f>
        <v>5098.0392156862745</v>
      </c>
      <c r="AE28" s="55">
        <f>AD28*AC28</f>
        <v>4221.1431260401796</v>
      </c>
      <c r="AF28" s="55"/>
      <c r="AG28" s="55"/>
      <c r="AH28" s="55"/>
      <c r="AI28" s="55"/>
      <c r="AJ28" s="55"/>
      <c r="AK28" s="55">
        <f>AE28</f>
        <v>4221.1431260401796</v>
      </c>
      <c r="AL28" s="55">
        <v>4221.1431260401796</v>
      </c>
      <c r="AM28" s="55">
        <v>4221.1431260401796</v>
      </c>
      <c r="AN28" s="55">
        <v>4221.1431260401796</v>
      </c>
      <c r="AO28" s="55">
        <v>4221.1431260401796</v>
      </c>
      <c r="AP28" s="55">
        <v>4221.1431260401796</v>
      </c>
      <c r="AQ28" s="55">
        <v>4221.1431260401796</v>
      </c>
      <c r="AR28" s="55">
        <f>SUM(AF28:AQ28)</f>
        <v>29548.00188228126</v>
      </c>
      <c r="AS28" s="72">
        <f>Z28-AR28</f>
        <v>230451.99811771873</v>
      </c>
      <c r="AT28" s="55"/>
      <c r="AU28" s="55"/>
      <c r="AV28" s="55">
        <f t="shared" si="41"/>
        <v>4221.1431260401796</v>
      </c>
      <c r="AW28" s="55">
        <f t="shared" si="41"/>
        <v>4221.1431260401796</v>
      </c>
      <c r="AX28" s="55">
        <f t="shared" si="41"/>
        <v>4221.1431260401796</v>
      </c>
      <c r="AY28" s="55">
        <f t="shared" si="41"/>
        <v>4221.1431260401796</v>
      </c>
      <c r="AZ28" s="55">
        <f t="shared" si="41"/>
        <v>4221.1431260401796</v>
      </c>
      <c r="BA28" s="57">
        <v>118.901</v>
      </c>
      <c r="BB28" s="57">
        <v>140.047</v>
      </c>
      <c r="BC28" s="57">
        <f t="shared" si="42"/>
        <v>0.84900783308460726</v>
      </c>
      <c r="BD28" s="55">
        <f t="shared" si="43"/>
        <v>5000</v>
      </c>
      <c r="BE28" s="55">
        <f t="shared" si="44"/>
        <v>4245.0391654230361</v>
      </c>
      <c r="BF28" s="55">
        <f t="shared" si="16"/>
        <v>4245.0391654230361</v>
      </c>
      <c r="BG28" s="55">
        <f t="shared" si="16"/>
        <v>4245.0391654230361</v>
      </c>
      <c r="BH28" s="55">
        <f t="shared" si="16"/>
        <v>4245.0391654230361</v>
      </c>
      <c r="BI28" s="55">
        <f t="shared" si="16"/>
        <v>4245.0391654230361</v>
      </c>
      <c r="BJ28" s="55">
        <f t="shared" si="16"/>
        <v>4245.0391654230361</v>
      </c>
      <c r="BK28" s="55">
        <f t="shared" si="16"/>
        <v>4245.0391654230361</v>
      </c>
      <c r="BL28" s="55">
        <f t="shared" si="16"/>
        <v>4245.0391654230361</v>
      </c>
      <c r="BM28" s="55">
        <f t="shared" si="45"/>
        <v>50820.989788162144</v>
      </c>
      <c r="BN28" s="448">
        <f t="shared" si="46"/>
        <v>179631.00832955659</v>
      </c>
      <c r="BO28" s="511">
        <f t="shared" si="17"/>
        <v>4245.0391654230361</v>
      </c>
      <c r="BP28" s="511">
        <f t="shared" si="17"/>
        <v>4245.0391654230361</v>
      </c>
      <c r="BQ28" s="511">
        <f t="shared" si="17"/>
        <v>4245.0391654230361</v>
      </c>
      <c r="BR28" s="511">
        <f t="shared" si="17"/>
        <v>4245.0391654230361</v>
      </c>
      <c r="BS28" s="511">
        <f t="shared" si="17"/>
        <v>4245.0391654230361</v>
      </c>
      <c r="BT28" s="656">
        <v>118.901</v>
      </c>
      <c r="BU28" s="656">
        <v>140.047</v>
      </c>
      <c r="BV28" s="656">
        <f>BT28/BU28</f>
        <v>0.84900783308460726</v>
      </c>
      <c r="BW28" s="511">
        <f>AM28/(W28*12)</f>
        <v>1.2342523760351402E-3</v>
      </c>
      <c r="BX28" s="511">
        <f>BW28*BV28</f>
        <v>1.0478899352571222E-3</v>
      </c>
      <c r="BY28" s="511"/>
      <c r="BZ28" s="511"/>
      <c r="CA28" s="511"/>
      <c r="CB28" s="511"/>
      <c r="CC28" s="511"/>
      <c r="CD28" s="511"/>
      <c r="CE28" s="511"/>
      <c r="CF28" s="511">
        <f>SUM((BO28:BS28),(BY28:CE28))</f>
        <v>21225.195827115182</v>
      </c>
      <c r="CG28" s="657">
        <f>BN28-CF28</f>
        <v>158405.8125024414</v>
      </c>
      <c r="CH28" s="58">
        <v>5</v>
      </c>
      <c r="CI28" s="127">
        <v>0.2</v>
      </c>
      <c r="CJ28" s="46">
        <v>43281</v>
      </c>
      <c r="CK28" s="125">
        <v>60</v>
      </c>
      <c r="CL28" s="145">
        <f>100/CK28</f>
        <v>1.6666666666666667</v>
      </c>
      <c r="CM28" s="165">
        <f>CL28*CN28</f>
        <v>75</v>
      </c>
      <c r="CN28" s="48">
        <f>(YEAR(CJ28)-YEAR(CW28))*12+MONTH(CJ28)-MONTH(CW28)</f>
        <v>45</v>
      </c>
      <c r="CO28" s="165">
        <f>CP28*CL28</f>
        <v>25</v>
      </c>
      <c r="CP28" s="48">
        <f>CK28-CN28</f>
        <v>15</v>
      </c>
      <c r="CQ28" s="165">
        <f>CR28*CL28</f>
        <v>11.666666666666668</v>
      </c>
      <c r="CR28" s="48">
        <v>7</v>
      </c>
      <c r="CS28" s="165">
        <f>CO28-CQ28</f>
        <v>13.333333333333332</v>
      </c>
      <c r="CT28" s="48">
        <f>CP28-CR28</f>
        <v>8</v>
      </c>
      <c r="CU28" s="462">
        <f>DATE(YEAR(CW28),MONTH(CW28)+CK28,DAY(CW28))</f>
        <v>43734</v>
      </c>
      <c r="CV28" s="125" t="s">
        <v>620</v>
      </c>
      <c r="CW28" s="128">
        <v>41908</v>
      </c>
      <c r="CX28" s="7">
        <v>300000</v>
      </c>
      <c r="CY28" s="657">
        <v>158405.8125024414</v>
      </c>
      <c r="CZ28" s="656">
        <v>126.408</v>
      </c>
      <c r="DA28" s="656">
        <v>140.047</v>
      </c>
      <c r="DB28" s="656">
        <f>CZ28/DA28</f>
        <v>0.90261126621776977</v>
      </c>
      <c r="DC28" s="511">
        <f>CY28/CP28</f>
        <v>10560.38750016276</v>
      </c>
      <c r="DD28" s="511">
        <f>DC28*DB28</f>
        <v>9531.9247332722171</v>
      </c>
      <c r="DE28" s="511">
        <v>5295.5137407067878</v>
      </c>
      <c r="DF28" s="511">
        <v>5295.5137407067878</v>
      </c>
      <c r="DG28" s="511">
        <v>5295.5137407067878</v>
      </c>
      <c r="DH28" s="511">
        <v>5295.5137407067878</v>
      </c>
      <c r="DI28" s="511">
        <v>5295.5137407067878</v>
      </c>
      <c r="DJ28" s="511">
        <v>5295.5137407067878</v>
      </c>
      <c r="DK28" s="511">
        <v>5295.5137407067878</v>
      </c>
      <c r="DL28" s="511">
        <f>SUM(DE28:DK28)</f>
        <v>37068.596184947513</v>
      </c>
      <c r="DM28" s="657">
        <f>CY28-DL28</f>
        <v>121337.21631749389</v>
      </c>
      <c r="DN28" s="511">
        <v>5295.5137407067878</v>
      </c>
      <c r="DO28" s="511">
        <v>5295.5137407067878</v>
      </c>
      <c r="DP28" s="511">
        <v>5295.5137407067878</v>
      </c>
      <c r="DQ28" s="511">
        <v>5295.5137407067878</v>
      </c>
      <c r="DR28" s="511">
        <v>5295.5137407067878</v>
      </c>
      <c r="DS28" s="505">
        <f>SUM(DN28:DR28)</f>
        <v>26477.56870353394</v>
      </c>
      <c r="DT28" s="679">
        <f>DM28-DS28</f>
        <v>94859.647613959954</v>
      </c>
      <c r="DU28" s="956">
        <v>132.28200000000001</v>
      </c>
      <c r="DV28" s="656">
        <v>140.047</v>
      </c>
      <c r="DW28" s="957">
        <f t="shared" ref="DW28:DW29" si="54">DU28/DV28</f>
        <v>0.9445543281898221</v>
      </c>
      <c r="DX28" s="511">
        <f>DT28/CP28</f>
        <v>6323.9765075973301</v>
      </c>
      <c r="DY28" s="511">
        <f t="shared" ref="DY28:DY29" si="55">DX28*DW28</f>
        <v>5973.3393816218131</v>
      </c>
      <c r="DZ28" s="511">
        <v>5973.3393816218131</v>
      </c>
      <c r="EA28" s="511">
        <v>5973.3393816218131</v>
      </c>
      <c r="EB28" s="511">
        <v>5973.3393816218131</v>
      </c>
      <c r="EC28" s="511">
        <v>5973.3393816218131</v>
      </c>
      <c r="ED28" s="511">
        <v>5973.3393816218131</v>
      </c>
      <c r="EE28" s="511">
        <v>5973.3393816218131</v>
      </c>
      <c r="EF28" s="511">
        <v>5973.3393816218131</v>
      </c>
      <c r="EG28" s="511">
        <v>5973.3393816218131</v>
      </c>
      <c r="EH28" s="511">
        <v>5973.3393816218131</v>
      </c>
      <c r="EI28" s="511">
        <v>5973.3393816218131</v>
      </c>
      <c r="EJ28" s="511">
        <v>5973.3393816218131</v>
      </c>
      <c r="EK28" s="511">
        <v>5973.3393816218131</v>
      </c>
      <c r="EL28" s="511">
        <v>5973.3393816218131</v>
      </c>
      <c r="EM28" s="511">
        <v>5973.3393816218131</v>
      </c>
      <c r="EN28" s="511">
        <v>5973.3393816218131</v>
      </c>
      <c r="EO28" s="511">
        <v>5258.56</v>
      </c>
      <c r="EP28" s="511">
        <v>0</v>
      </c>
      <c r="EQ28" s="511">
        <v>0</v>
      </c>
      <c r="ER28" s="511">
        <f t="shared" si="37"/>
        <v>94858.650724327221</v>
      </c>
      <c r="ES28" s="960">
        <f>DT28-ER28</f>
        <v>0.99688963273365516</v>
      </c>
    </row>
    <row r="29" spans="1:149" s="16" customFormat="1" x14ac:dyDescent="0.2">
      <c r="A29" s="119" t="s">
        <v>636</v>
      </c>
      <c r="B29" s="100" t="s">
        <v>637</v>
      </c>
      <c r="C29" s="45" t="s">
        <v>355</v>
      </c>
      <c r="D29" s="58">
        <v>5</v>
      </c>
      <c r="E29" s="127">
        <v>0.2</v>
      </c>
      <c r="F29" s="46">
        <v>42185</v>
      </c>
      <c r="G29" s="125">
        <v>60</v>
      </c>
      <c r="H29" s="145">
        <f>100/G29</f>
        <v>1.6666666666666667</v>
      </c>
      <c r="I29" s="165">
        <f>H29*J29</f>
        <v>15</v>
      </c>
      <c r="J29" s="48">
        <f>(YEAR(F29)-YEAR(S29))*12+MONTH(F29)-MONTH(S29)</f>
        <v>9</v>
      </c>
      <c r="K29" s="165">
        <f>L29*H29</f>
        <v>85</v>
      </c>
      <c r="L29" s="48">
        <f>G29-J29</f>
        <v>51</v>
      </c>
      <c r="M29" s="165">
        <f>N29*H29</f>
        <v>11.666666666666668</v>
      </c>
      <c r="N29" s="48">
        <v>7</v>
      </c>
      <c r="O29" s="165">
        <f t="shared" si="53"/>
        <v>73.333333333333329</v>
      </c>
      <c r="P29" s="48">
        <f t="shared" si="53"/>
        <v>44</v>
      </c>
      <c r="Q29" s="48">
        <f t="shared" si="53"/>
        <v>-61.666666666666657</v>
      </c>
      <c r="R29" s="125" t="s">
        <v>620</v>
      </c>
      <c r="S29" s="128">
        <v>41908</v>
      </c>
      <c r="T29" s="7">
        <v>880000</v>
      </c>
      <c r="U29" s="72"/>
      <c r="V29" s="776">
        <f>SUM(T29*0.2/12*3)</f>
        <v>44000</v>
      </c>
      <c r="W29" s="776">
        <f>T29-V29</f>
        <v>836000</v>
      </c>
      <c r="X29" s="55">
        <f>V29/3</f>
        <v>14666.666666666666</v>
      </c>
      <c r="Y29" s="106">
        <f>X29*5</f>
        <v>73333.333333333328</v>
      </c>
      <c r="Z29" s="258">
        <f>W29-Y29</f>
        <v>762666.66666666663</v>
      </c>
      <c r="AA29" s="57">
        <v>115.958</v>
      </c>
      <c r="AB29" s="57">
        <v>140.047</v>
      </c>
      <c r="AC29" s="57">
        <f>AA29/AB29</f>
        <v>0.82799345933865065</v>
      </c>
      <c r="AD29" s="55">
        <f>Z29*M29/100/K29*100/7</f>
        <v>14954.248366013071</v>
      </c>
      <c r="AE29" s="55">
        <f>AD29*AC29</f>
        <v>12382.019836384527</v>
      </c>
      <c r="AF29" s="55"/>
      <c r="AG29" s="55"/>
      <c r="AH29" s="55"/>
      <c r="AI29" s="55"/>
      <c r="AJ29" s="55"/>
      <c r="AK29" s="55">
        <f>AE29</f>
        <v>12382.019836384527</v>
      </c>
      <c r="AL29" s="55">
        <v>12382.019836384527</v>
      </c>
      <c r="AM29" s="55">
        <v>12382.019836384527</v>
      </c>
      <c r="AN29" s="55">
        <v>12382.019836384527</v>
      </c>
      <c r="AO29" s="55">
        <v>12382.019836384527</v>
      </c>
      <c r="AP29" s="55">
        <v>12382.019836384527</v>
      </c>
      <c r="AQ29" s="55">
        <v>12382.019836384527</v>
      </c>
      <c r="AR29" s="55">
        <f>SUM(AF29:AQ29)</f>
        <v>86674.138854691686</v>
      </c>
      <c r="AS29" s="72">
        <f>Z29-AR29</f>
        <v>675992.52781197499</v>
      </c>
      <c r="AT29" s="55"/>
      <c r="AU29" s="55"/>
      <c r="AV29" s="55">
        <f t="shared" si="41"/>
        <v>12382.019836384527</v>
      </c>
      <c r="AW29" s="55">
        <f t="shared" si="41"/>
        <v>12382.019836384527</v>
      </c>
      <c r="AX29" s="55">
        <f t="shared" si="41"/>
        <v>12382.019836384527</v>
      </c>
      <c r="AY29" s="55">
        <f t="shared" si="41"/>
        <v>12382.019836384527</v>
      </c>
      <c r="AZ29" s="55">
        <f t="shared" si="41"/>
        <v>12382.019836384527</v>
      </c>
      <c r="BA29" s="57">
        <v>118.901</v>
      </c>
      <c r="BB29" s="57">
        <v>140.047</v>
      </c>
      <c r="BC29" s="57">
        <f t="shared" si="42"/>
        <v>0.84900783308460726</v>
      </c>
      <c r="BD29" s="55">
        <f t="shared" si="43"/>
        <v>14666.666666666666</v>
      </c>
      <c r="BE29" s="55">
        <f t="shared" si="44"/>
        <v>12452.114885240906</v>
      </c>
      <c r="BF29" s="55">
        <f t="shared" si="16"/>
        <v>12452.114885240906</v>
      </c>
      <c r="BG29" s="55">
        <f t="shared" si="16"/>
        <v>12452.114885240906</v>
      </c>
      <c r="BH29" s="55">
        <f t="shared" si="16"/>
        <v>12452.114885240906</v>
      </c>
      <c r="BI29" s="55">
        <f t="shared" si="16"/>
        <v>12452.114885240906</v>
      </c>
      <c r="BJ29" s="55">
        <f t="shared" si="16"/>
        <v>12452.114885240906</v>
      </c>
      <c r="BK29" s="55">
        <f t="shared" si="16"/>
        <v>12452.114885240906</v>
      </c>
      <c r="BL29" s="55">
        <f t="shared" si="16"/>
        <v>12452.114885240906</v>
      </c>
      <c r="BM29" s="55">
        <f t="shared" si="45"/>
        <v>149074.90337860899</v>
      </c>
      <c r="BN29" s="448">
        <f t="shared" si="46"/>
        <v>526917.624433366</v>
      </c>
      <c r="BO29" s="511">
        <f t="shared" si="17"/>
        <v>12452.114885240906</v>
      </c>
      <c r="BP29" s="511">
        <f t="shared" si="17"/>
        <v>12452.114885240906</v>
      </c>
      <c r="BQ29" s="511">
        <f t="shared" si="17"/>
        <v>12452.114885240906</v>
      </c>
      <c r="BR29" s="511">
        <f t="shared" si="17"/>
        <v>12452.114885240906</v>
      </c>
      <c r="BS29" s="511">
        <f t="shared" si="17"/>
        <v>12452.114885240906</v>
      </c>
      <c r="BT29" s="656">
        <v>118.901</v>
      </c>
      <c r="BU29" s="656">
        <v>140.047</v>
      </c>
      <c r="BV29" s="656">
        <f>BT29/BU29</f>
        <v>0.84900783308460726</v>
      </c>
      <c r="BW29" s="511">
        <f>AM29/(W29*12)</f>
        <v>1.2342523760351402E-3</v>
      </c>
      <c r="BX29" s="511">
        <f>BW29*BV29</f>
        <v>1.0478899352571222E-3</v>
      </c>
      <c r="BY29" s="511"/>
      <c r="BZ29" s="511"/>
      <c r="CA29" s="511"/>
      <c r="CB29" s="511"/>
      <c r="CC29" s="511"/>
      <c r="CD29" s="511"/>
      <c r="CE29" s="511"/>
      <c r="CF29" s="511">
        <f>SUM((BO29:BS29),(BY29:CE29))</f>
        <v>62260.574426204534</v>
      </c>
      <c r="CG29" s="657">
        <f>BN29-CF29</f>
        <v>464657.05000716145</v>
      </c>
      <c r="CH29" s="58">
        <v>5</v>
      </c>
      <c r="CI29" s="127">
        <v>0.2</v>
      </c>
      <c r="CJ29" s="46">
        <v>43281</v>
      </c>
      <c r="CK29" s="125">
        <v>60</v>
      </c>
      <c r="CL29" s="145">
        <f>100/CK29</f>
        <v>1.6666666666666667</v>
      </c>
      <c r="CM29" s="165">
        <f>CL29*CN29</f>
        <v>75</v>
      </c>
      <c r="CN29" s="48">
        <f>(YEAR(CJ29)-YEAR(CW29))*12+MONTH(CJ29)-MONTH(CW29)</f>
        <v>45</v>
      </c>
      <c r="CO29" s="165">
        <f>CP29*CL29</f>
        <v>25</v>
      </c>
      <c r="CP29" s="48">
        <f>CK29-CN29</f>
        <v>15</v>
      </c>
      <c r="CQ29" s="165">
        <f>CR29*CL29</f>
        <v>11.666666666666668</v>
      </c>
      <c r="CR29" s="48">
        <v>7</v>
      </c>
      <c r="CS29" s="165">
        <f>CO29-CQ29</f>
        <v>13.333333333333332</v>
      </c>
      <c r="CT29" s="48">
        <f>CP29-CR29</f>
        <v>8</v>
      </c>
      <c r="CU29" s="462">
        <f>DATE(YEAR(CW29),MONTH(CW29)+CK29,DAY(CW29))</f>
        <v>43734</v>
      </c>
      <c r="CV29" s="125" t="s">
        <v>620</v>
      </c>
      <c r="CW29" s="128">
        <v>41908</v>
      </c>
      <c r="CX29" s="7">
        <v>880000</v>
      </c>
      <c r="CY29" s="657">
        <v>464657.05000716145</v>
      </c>
      <c r="CZ29" s="656">
        <v>126.408</v>
      </c>
      <c r="DA29" s="656">
        <v>140.047</v>
      </c>
      <c r="DB29" s="656">
        <f>CZ29/DA29</f>
        <v>0.90261126621776977</v>
      </c>
      <c r="DC29" s="511">
        <f>CY29/CP29</f>
        <v>30977.136667144096</v>
      </c>
      <c r="DD29" s="511">
        <f>DC29*DB29</f>
        <v>27960.312550931838</v>
      </c>
      <c r="DE29" s="511">
        <v>15533.506972739908</v>
      </c>
      <c r="DF29" s="511">
        <v>15533.506972739908</v>
      </c>
      <c r="DG29" s="511">
        <v>15533.506972739908</v>
      </c>
      <c r="DH29" s="511">
        <v>15533.506972739908</v>
      </c>
      <c r="DI29" s="511">
        <v>15533.506972739908</v>
      </c>
      <c r="DJ29" s="511">
        <v>15533.506972739908</v>
      </c>
      <c r="DK29" s="511">
        <v>15533.506972739908</v>
      </c>
      <c r="DL29" s="511">
        <f>SUM(DE29:DK29)</f>
        <v>108734.54880917935</v>
      </c>
      <c r="DM29" s="657">
        <f>CY29-DL29</f>
        <v>355922.50119798211</v>
      </c>
      <c r="DN29" s="511">
        <v>15533.506972739908</v>
      </c>
      <c r="DO29" s="511">
        <v>15533.506972739908</v>
      </c>
      <c r="DP29" s="511">
        <v>15533.506972739908</v>
      </c>
      <c r="DQ29" s="511">
        <v>15533.506972739908</v>
      </c>
      <c r="DR29" s="511">
        <v>15533.506972739908</v>
      </c>
      <c r="DS29" s="505">
        <f>SUM(DN29:DR29)</f>
        <v>77667.534863699533</v>
      </c>
      <c r="DT29" s="679">
        <f>DM29-DS29</f>
        <v>278254.9663342826</v>
      </c>
      <c r="DU29" s="956">
        <v>132.28200000000001</v>
      </c>
      <c r="DV29" s="656">
        <v>140.047</v>
      </c>
      <c r="DW29" s="957">
        <f t="shared" si="54"/>
        <v>0.9445543281898221</v>
      </c>
      <c r="DX29" s="511">
        <f>DT29/CP29</f>
        <v>18550.331088952174</v>
      </c>
      <c r="DY29" s="511">
        <f t="shared" si="55"/>
        <v>17521.795519423991</v>
      </c>
      <c r="DZ29" s="511">
        <v>17521.795519423991</v>
      </c>
      <c r="EA29" s="511">
        <v>17521.795519423991</v>
      </c>
      <c r="EB29" s="511">
        <v>17521.795519423991</v>
      </c>
      <c r="EC29" s="511">
        <v>17521.795519423991</v>
      </c>
      <c r="ED29" s="511">
        <v>17521.795519423991</v>
      </c>
      <c r="EE29" s="511">
        <v>17521.795519423991</v>
      </c>
      <c r="EF29" s="511">
        <v>17521.795519423991</v>
      </c>
      <c r="EG29" s="511">
        <v>17521.795519423991</v>
      </c>
      <c r="EH29" s="511">
        <v>17521.795519423991</v>
      </c>
      <c r="EI29" s="511">
        <v>17521.795519423991</v>
      </c>
      <c r="EJ29" s="511">
        <v>17521.795519423991</v>
      </c>
      <c r="EK29" s="511">
        <v>17521.795519423991</v>
      </c>
      <c r="EL29" s="511">
        <v>17521.795519423991</v>
      </c>
      <c r="EM29" s="511">
        <v>17521.795519423991</v>
      </c>
      <c r="EN29" s="511">
        <v>17521.795519423991</v>
      </c>
      <c r="EO29" s="511">
        <v>15427.03</v>
      </c>
      <c r="EP29" s="511">
        <v>0</v>
      </c>
      <c r="EQ29" s="511">
        <v>0</v>
      </c>
      <c r="ER29" s="511">
        <f t="shared" si="37"/>
        <v>278253.96279135987</v>
      </c>
      <c r="ES29" s="960">
        <f>DT29-ER29</f>
        <v>1.0035429227282293</v>
      </c>
    </row>
    <row r="30" spans="1:149" ht="14.25" x14ac:dyDescent="0.2">
      <c r="R30" s="175"/>
      <c r="V30" s="268">
        <f>SUM(V15:V29)</f>
        <v>105390.50599999999</v>
      </c>
      <c r="W30" s="268">
        <f>SUM(W15:W29)</f>
        <v>2002419.6140000001</v>
      </c>
      <c r="X30" s="268">
        <f>SUM(X23:X29)</f>
        <v>24333.333333333336</v>
      </c>
      <c r="Y30" s="268"/>
      <c r="Z30" s="268">
        <f>SUM(Z15:Z29)</f>
        <v>1826768.7706666663</v>
      </c>
      <c r="AA30" s="16"/>
      <c r="AD30" s="195"/>
      <c r="AE30" s="195"/>
      <c r="AF30" s="195" t="e">
        <f>SUM(#REF!)</f>
        <v>#REF!</v>
      </c>
      <c r="AG30" s="195" t="e">
        <f>SUM(#REF!)</f>
        <v>#REF!</v>
      </c>
      <c r="AH30" s="195" t="e">
        <f>SUM(#REF!)</f>
        <v>#REF!</v>
      </c>
      <c r="AI30" s="195" t="e">
        <f>SUM(#REF!)</f>
        <v>#REF!</v>
      </c>
      <c r="AJ30" s="195" t="e">
        <f>SUM(#REF!)</f>
        <v>#REF!</v>
      </c>
      <c r="AK30" s="195">
        <f>SUM(AK15:AK29)</f>
        <v>29657.893996786421</v>
      </c>
      <c r="AL30" s="195"/>
      <c r="AM30" s="195"/>
      <c r="AN30" s="195"/>
      <c r="AO30" s="195"/>
      <c r="AP30" s="195">
        <f>SUM(AP15:AP29)</f>
        <v>29657.893996786421</v>
      </c>
      <c r="AQ30" s="195">
        <f>SUM(AQ15:AQ29)</f>
        <v>29657.893996786421</v>
      </c>
      <c r="AR30" s="195">
        <f>SUM(AR15:AR29)</f>
        <v>207605.25797750492</v>
      </c>
      <c r="AS30" s="195">
        <f>SUM(AS15:AS29)</f>
        <v>1619163.5126891616</v>
      </c>
      <c r="AV30" s="13">
        <f>SUM(AV14:AV29)</f>
        <v>29657.893996786421</v>
      </c>
      <c r="AW30" s="13">
        <f>SUM(AW14:AW29)</f>
        <v>29657.893996786421</v>
      </c>
      <c r="AX30" s="13">
        <f>SUM(AX14:AX29)</f>
        <v>29657.893996786421</v>
      </c>
      <c r="AY30" s="13">
        <f>SUM(AY15:AY29)</f>
        <v>29657.893996786421</v>
      </c>
      <c r="AZ30" s="13">
        <f>SUM(AZ15:AZ29)</f>
        <v>29657.893996786421</v>
      </c>
      <c r="BA30" s="16"/>
      <c r="BD30" s="195"/>
      <c r="BE30" s="195"/>
      <c r="BF30" s="13">
        <f t="shared" ref="BF30:BL30" si="56">SUM(BF14:BF29)</f>
        <v>29825.788375583434</v>
      </c>
      <c r="BG30" s="13">
        <f t="shared" si="56"/>
        <v>29825.788375583434</v>
      </c>
      <c r="BH30" s="13">
        <f t="shared" si="56"/>
        <v>29825.788375583434</v>
      </c>
      <c r="BI30" s="13">
        <f t="shared" si="56"/>
        <v>29825.788375583434</v>
      </c>
      <c r="BJ30" s="13">
        <f t="shared" si="56"/>
        <v>29825.788375583434</v>
      </c>
      <c r="BK30" s="13">
        <f t="shared" si="56"/>
        <v>29825.788375583434</v>
      </c>
      <c r="BL30" s="13">
        <f t="shared" si="56"/>
        <v>29825.788375583434</v>
      </c>
      <c r="BM30" s="459">
        <f>SUM(AV30:BL30)</f>
        <v>357069.98861301603</v>
      </c>
      <c r="BN30" s="460">
        <f>SUM(BN13:BN29)</f>
        <v>1262093.5240761456</v>
      </c>
      <c r="BO30" s="400">
        <f>SUM(BO14:BO29)</f>
        <v>29825.788375583434</v>
      </c>
      <c r="BP30" s="400">
        <f>SUM(BP14:BP29)</f>
        <v>29825.788375583434</v>
      </c>
      <c r="BQ30" s="400">
        <f>SUM(BQ14:BQ29)</f>
        <v>29825.788375583434</v>
      </c>
      <c r="BR30" s="400">
        <f>SUM(BR15:BR29)</f>
        <v>29825.788375583434</v>
      </c>
      <c r="BS30" s="400">
        <f>SUM(BS15:BS29)</f>
        <v>29825.788375583434</v>
      </c>
      <c r="BT30" s="35"/>
      <c r="BU30" s="85"/>
      <c r="BV30" s="12"/>
      <c r="BW30" s="400"/>
      <c r="BX30" s="400"/>
      <c r="BY30" s="400">
        <f t="shared" ref="BY30:CE30" si="57">SUM(BY14:BY29)</f>
        <v>0</v>
      </c>
      <c r="BZ30" s="400">
        <f t="shared" si="57"/>
        <v>0</v>
      </c>
      <c r="CA30" s="400">
        <f t="shared" si="57"/>
        <v>0</v>
      </c>
      <c r="CB30" s="400">
        <f t="shared" si="57"/>
        <v>0</v>
      </c>
      <c r="CC30" s="400">
        <f t="shared" si="57"/>
        <v>0</v>
      </c>
      <c r="CD30" s="400">
        <f t="shared" si="57"/>
        <v>0</v>
      </c>
      <c r="CE30" s="400">
        <f t="shared" si="57"/>
        <v>0</v>
      </c>
      <c r="CF30" s="660">
        <f>SUM(BO30:CE30)</f>
        <v>149128.94187791715</v>
      </c>
      <c r="CG30" s="657">
        <f>SUM(CG13:CG29)</f>
        <v>1112964.5821982282</v>
      </c>
      <c r="CV30" s="175"/>
      <c r="CY30" s="400">
        <f>SUM(CY15:CY29)</f>
        <v>1112964.5821982282</v>
      </c>
      <c r="CZ30" s="35"/>
      <c r="DA30" s="85"/>
      <c r="DB30" s="12"/>
      <c r="DC30" s="400"/>
      <c r="DD30" s="400">
        <f>SUM(DD15:DD29)</f>
        <v>66971.624719564934</v>
      </c>
      <c r="DE30" s="400">
        <f t="shared" ref="DE30:DL30" si="58">SUM(DE14:DE29)</f>
        <v>37206.458177536071</v>
      </c>
      <c r="DF30" s="400">
        <f>SUM(DF14:DF29)</f>
        <v>37206.458177536071</v>
      </c>
      <c r="DG30" s="400">
        <f t="shared" si="58"/>
        <v>37206.458177536071</v>
      </c>
      <c r="DH30" s="400">
        <f>SUM(DH13:DH29)</f>
        <v>37206.458177536071</v>
      </c>
      <c r="DI30" s="400">
        <f>SUM(DI13:DI29)</f>
        <v>37206.458177536071</v>
      </c>
      <c r="DJ30" s="603">
        <f t="shared" si="58"/>
        <v>37206.458177536071</v>
      </c>
      <c r="DK30" s="400">
        <f t="shared" si="58"/>
        <v>37206.458177536071</v>
      </c>
      <c r="DL30" s="400">
        <f t="shared" si="58"/>
        <v>260445.20724275248</v>
      </c>
      <c r="DM30" s="657">
        <f>SUM(DM14:DM29)</f>
        <v>852519.3749554758</v>
      </c>
      <c r="DN30" s="511">
        <f t="shared" ref="DN30:DS30" si="59">SUM(DN14:DN29)</f>
        <v>37206.458177536071</v>
      </c>
      <c r="DO30" s="511">
        <f t="shared" si="59"/>
        <v>37206.458177536071</v>
      </c>
      <c r="DP30" s="511">
        <f t="shared" si="59"/>
        <v>37206.458177536071</v>
      </c>
      <c r="DQ30" s="511">
        <f t="shared" si="59"/>
        <v>37206.458177536071</v>
      </c>
      <c r="DR30" s="511">
        <f t="shared" si="59"/>
        <v>37206.458177536071</v>
      </c>
      <c r="DS30" s="511">
        <f t="shared" si="59"/>
        <v>186032.29088768034</v>
      </c>
      <c r="DT30" s="511"/>
      <c r="DU30" s="956"/>
      <c r="DV30" s="656"/>
      <c r="DW30" s="957"/>
      <c r="DX30" s="511"/>
      <c r="DY30" s="511"/>
      <c r="DZ30" s="511"/>
      <c r="EA30" s="511"/>
      <c r="EB30" s="511"/>
      <c r="EC30" s="511"/>
      <c r="ED30" s="511"/>
      <c r="EE30" s="511"/>
      <c r="EF30" s="511"/>
      <c r="EG30" s="511"/>
      <c r="EH30" s="511"/>
      <c r="EI30" s="511"/>
      <c r="EJ30" s="511"/>
      <c r="EK30" s="511"/>
      <c r="EL30" s="511"/>
      <c r="EM30" s="511"/>
      <c r="EN30" s="511"/>
      <c r="EO30" s="511"/>
      <c r="EP30" s="511"/>
      <c r="EQ30" s="511"/>
      <c r="ER30" s="511">
        <f t="shared" si="37"/>
        <v>0</v>
      </c>
      <c r="ES30" s="960"/>
    </row>
    <row r="31" spans="1:149" s="104" customFormat="1" ht="14.25" x14ac:dyDescent="0.2">
      <c r="A31" s="110" t="s">
        <v>315</v>
      </c>
      <c r="B31" s="87"/>
      <c r="C31" s="87"/>
      <c r="D31" s="88"/>
      <c r="E31" s="88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9"/>
      <c r="S31" s="89"/>
      <c r="T31" s="90"/>
      <c r="U31" s="90"/>
      <c r="V31" s="90"/>
      <c r="W31" s="90"/>
      <c r="X31" s="90"/>
      <c r="Z31"/>
      <c r="AA31"/>
      <c r="AB31" s="77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 s="69"/>
      <c r="BA31"/>
      <c r="BB31" s="77"/>
      <c r="BC31"/>
      <c r="BD31"/>
      <c r="BE31"/>
      <c r="BN31" s="104">
        <f>BN30-BO30-BP30</f>
        <v>1202441.9473249787</v>
      </c>
      <c r="BT31"/>
      <c r="BU31" s="77"/>
      <c r="BV31"/>
      <c r="BW31"/>
      <c r="BX31"/>
      <c r="CH31" s="88"/>
      <c r="CI31" s="88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9"/>
      <c r="CW31" s="89"/>
      <c r="CX31" s="90"/>
      <c r="CY31" s="90"/>
      <c r="CZ31"/>
      <c r="DA31" s="77"/>
      <c r="DB31"/>
      <c r="DC31"/>
      <c r="DD31"/>
      <c r="DT31" s="104">
        <f>DM30-DS30</f>
        <v>666487.08406779543</v>
      </c>
      <c r="DZ31" s="104">
        <f t="shared" ref="DZ31:EE31" si="60">SUM(DZ14:DZ30)</f>
        <v>41968.883995923337</v>
      </c>
      <c r="EA31" s="104">
        <f t="shared" si="60"/>
        <v>41968.883995923337</v>
      </c>
      <c r="EB31" s="104">
        <f t="shared" si="60"/>
        <v>41968.883995923337</v>
      </c>
      <c r="EC31" s="104">
        <f t="shared" si="60"/>
        <v>41968.883995923337</v>
      </c>
      <c r="ED31" s="104">
        <f t="shared" si="60"/>
        <v>41968.883995923337</v>
      </c>
      <c r="EE31" s="104">
        <f t="shared" si="60"/>
        <v>41968.883995923337</v>
      </c>
      <c r="EF31" s="545">
        <f t="shared" ref="EF31:EQ31" si="61">SUM(EF14:EF30)</f>
        <v>41968.883995923337</v>
      </c>
      <c r="EG31" s="545">
        <f t="shared" si="61"/>
        <v>41968.883995923337</v>
      </c>
      <c r="EH31" s="545">
        <f t="shared" si="61"/>
        <v>41968.883995923337</v>
      </c>
      <c r="EI31" s="545">
        <f t="shared" si="61"/>
        <v>41968.883995923337</v>
      </c>
      <c r="EJ31" s="545">
        <f t="shared" si="61"/>
        <v>41968.883995923337</v>
      </c>
      <c r="EK31" s="545">
        <f t="shared" ref="EK31:EP31" si="62">SUM(EK14:EK30)</f>
        <v>41968.883995923337</v>
      </c>
      <c r="EL31" s="545">
        <f t="shared" si="62"/>
        <v>41968.883995923337</v>
      </c>
      <c r="EM31" s="545">
        <f t="shared" si="62"/>
        <v>41968.883995923337</v>
      </c>
      <c r="EN31" s="545">
        <f t="shared" si="62"/>
        <v>41968.883995923337</v>
      </c>
      <c r="EO31" s="545">
        <f t="shared" si="62"/>
        <v>36942.83</v>
      </c>
      <c r="EP31" s="545">
        <f t="shared" si="62"/>
        <v>0</v>
      </c>
      <c r="EQ31" s="545">
        <f t="shared" si="61"/>
        <v>0</v>
      </c>
      <c r="ER31" s="104">
        <f>SUM(ER13:ER30)</f>
        <v>666476.08993885014</v>
      </c>
      <c r="ES31" s="104">
        <f>SUM(ES15:ES30)</f>
        <v>10.994128945396369</v>
      </c>
    </row>
    <row r="32" spans="1:149" s="104" customFormat="1" x14ac:dyDescent="0.2">
      <c r="A32" s="238" t="s">
        <v>568</v>
      </c>
      <c r="B32" s="239"/>
      <c r="C32" s="239"/>
      <c r="D32" s="240"/>
      <c r="E32" s="240"/>
      <c r="F32"/>
      <c r="G32"/>
      <c r="H32"/>
      <c r="I32"/>
      <c r="J32"/>
      <c r="K32"/>
      <c r="L32"/>
      <c r="M32"/>
      <c r="N32"/>
      <c r="O32"/>
      <c r="P32"/>
      <c r="Q32"/>
      <c r="R32" s="19"/>
      <c r="S32" s="19"/>
      <c r="T32" s="12"/>
      <c r="U32" s="12"/>
      <c r="V32" s="12"/>
      <c r="W32" s="12"/>
      <c r="X32" s="12"/>
      <c r="Z32" s="255"/>
      <c r="AA32"/>
      <c r="AB32" s="85"/>
      <c r="AC32" s="85"/>
      <c r="AD32"/>
      <c r="AE32" s="12"/>
      <c r="AF32"/>
      <c r="AG32"/>
      <c r="AH32"/>
      <c r="AI32"/>
      <c r="AJ32"/>
      <c r="AK32"/>
      <c r="AL32"/>
      <c r="AM32"/>
      <c r="AN32"/>
      <c r="AO32"/>
      <c r="AP32"/>
      <c r="AQ32"/>
      <c r="AR32" s="386"/>
      <c r="AS32" s="69"/>
      <c r="BA32"/>
      <c r="BB32" s="85"/>
      <c r="BC32" s="85"/>
      <c r="BD32"/>
      <c r="BE32" s="12"/>
      <c r="BT32"/>
      <c r="BU32" s="85"/>
      <c r="BV32" s="85"/>
      <c r="BW32"/>
      <c r="BX32" s="12"/>
      <c r="CH32" s="240"/>
      <c r="CI32" s="240"/>
      <c r="CJ32"/>
      <c r="CK32"/>
      <c r="CL32"/>
      <c r="CM32"/>
      <c r="CN32"/>
      <c r="CO32"/>
      <c r="CP32"/>
      <c r="CQ32"/>
      <c r="CR32"/>
      <c r="CS32"/>
      <c r="CT32"/>
      <c r="CU32"/>
      <c r="CV32" s="19"/>
      <c r="CW32" s="19"/>
      <c r="CX32" s="12"/>
      <c r="CY32" s="12"/>
      <c r="CZ32"/>
      <c r="DA32" s="85"/>
      <c r="DB32" s="85"/>
      <c r="DC32"/>
      <c r="DD32" s="12"/>
      <c r="DM32" s="104">
        <f>CY30-DL30</f>
        <v>852519.3749554758</v>
      </c>
      <c r="ES32" s="104">
        <f>DT31-ER31</f>
        <v>10.994128945283592</v>
      </c>
    </row>
    <row r="33" spans="1:149" ht="30.75" hidden="1" customHeight="1" x14ac:dyDescent="0.2">
      <c r="A33" s="1271" t="s">
        <v>462</v>
      </c>
      <c r="B33" s="1271"/>
      <c r="C33" s="1271"/>
      <c r="D33" s="1271"/>
      <c r="E33" s="1271"/>
      <c r="F33" s="1271"/>
      <c r="G33" s="1271"/>
      <c r="H33" s="1271"/>
      <c r="I33" s="1271"/>
      <c r="J33" s="1271"/>
      <c r="K33" s="1271"/>
      <c r="L33" s="1271"/>
      <c r="M33" s="1271"/>
      <c r="N33" s="1271"/>
      <c r="O33" s="1271"/>
      <c r="P33" s="1271"/>
      <c r="Q33" s="1271"/>
      <c r="R33" s="1271"/>
      <c r="S33" s="1271"/>
      <c r="T33" s="1271"/>
      <c r="U33" s="1271"/>
      <c r="V33" s="1271"/>
      <c r="W33" s="1271"/>
      <c r="X33" s="1271"/>
      <c r="Y33" s="1271"/>
      <c r="Z33" s="1271"/>
      <c r="AA33" s="1271"/>
      <c r="AB33" s="171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BB33" s="171"/>
      <c r="BC33" s="170"/>
      <c r="BD33" s="170"/>
      <c r="BE33" s="170"/>
      <c r="BU33" s="171"/>
      <c r="BV33" s="170"/>
      <c r="BW33" s="170"/>
      <c r="BX33" s="170"/>
      <c r="CH33"/>
      <c r="CI33"/>
      <c r="CV33"/>
      <c r="CW33"/>
      <c r="CX33"/>
      <c r="CY33"/>
      <c r="DA33" s="171"/>
      <c r="DB33" s="170"/>
      <c r="DC33" s="170"/>
      <c r="DD33" s="170"/>
    </row>
    <row r="34" spans="1:149" hidden="1" x14ac:dyDescent="0.2">
      <c r="A34" s="1271"/>
      <c r="B34" s="1271"/>
      <c r="C34" s="1271"/>
      <c r="D34" s="1271"/>
      <c r="E34" s="1271"/>
      <c r="F34" s="1271"/>
      <c r="G34" s="1271"/>
      <c r="H34" s="1271"/>
      <c r="I34" s="1271"/>
      <c r="J34" s="1271"/>
      <c r="K34" s="1271"/>
      <c r="L34" s="1271"/>
      <c r="M34" s="1271"/>
      <c r="N34" s="1271"/>
      <c r="O34" s="1271"/>
      <c r="P34" s="1271"/>
      <c r="Q34" s="1271"/>
      <c r="R34" s="1271"/>
      <c r="S34" s="1271"/>
      <c r="T34" s="1271"/>
      <c r="U34" s="1271"/>
      <c r="V34" s="1271"/>
      <c r="W34" s="1271"/>
      <c r="X34" s="1271"/>
      <c r="Y34" s="1271"/>
      <c r="Z34" s="1271"/>
      <c r="AA34" s="1271"/>
      <c r="CH34"/>
      <c r="CI34"/>
      <c r="CV34"/>
      <c r="CW34"/>
      <c r="CX34"/>
      <c r="CY34"/>
    </row>
    <row r="35" spans="1:149" x14ac:dyDescent="0.2">
      <c r="ES35" t="s">
        <v>1100</v>
      </c>
    </row>
  </sheetData>
  <mergeCells count="56">
    <mergeCell ref="A33:AA34"/>
    <mergeCell ref="R11:R12"/>
    <mergeCell ref="S11:S12"/>
    <mergeCell ref="T11:T12"/>
    <mergeCell ref="V11:V12"/>
    <mergeCell ref="W11:W12"/>
    <mergeCell ref="Y11:Y12"/>
    <mergeCell ref="J11:J12"/>
    <mergeCell ref="K11:K12"/>
    <mergeCell ref="L11:L12"/>
    <mergeCell ref="M11:M12"/>
    <mergeCell ref="O11:O12"/>
    <mergeCell ref="W10:BC10"/>
    <mergeCell ref="AU11:AU12"/>
    <mergeCell ref="D10:P10"/>
    <mergeCell ref="R10:T10"/>
    <mergeCell ref="H11:H12"/>
    <mergeCell ref="I11:I12"/>
    <mergeCell ref="Z11:Z12"/>
    <mergeCell ref="AD11:AD12"/>
    <mergeCell ref="AE11:AE12"/>
    <mergeCell ref="F11:F12"/>
    <mergeCell ref="G11:G12"/>
    <mergeCell ref="AT11:AT12"/>
    <mergeCell ref="Q11:Q12"/>
    <mergeCell ref="CW11:CW12"/>
    <mergeCell ref="CX11:CX12"/>
    <mergeCell ref="A11:A12"/>
    <mergeCell ref="B11:B12"/>
    <mergeCell ref="E11:E12"/>
    <mergeCell ref="BW11:BW12"/>
    <mergeCell ref="BX11:BX12"/>
    <mergeCell ref="BD11:BD12"/>
    <mergeCell ref="BE11:BE12"/>
    <mergeCell ref="DC11:DC12"/>
    <mergeCell ref="DD11:DD12"/>
    <mergeCell ref="CH10:CT10"/>
    <mergeCell ref="CV10:CX10"/>
    <mergeCell ref="CI11:CI12"/>
    <mergeCell ref="CJ11:CJ12"/>
    <mergeCell ref="CK11:CK12"/>
    <mergeCell ref="CL11:CL12"/>
    <mergeCell ref="CM11:CM12"/>
    <mergeCell ref="CN11:CN12"/>
    <mergeCell ref="CO11:CO12"/>
    <mergeCell ref="CP11:CP12"/>
    <mergeCell ref="CQ11:CQ12"/>
    <mergeCell ref="CS11:CS12"/>
    <mergeCell ref="CU11:CU12"/>
    <mergeCell ref="CV11:CV12"/>
    <mergeCell ref="ES11:ES12"/>
    <mergeCell ref="DS11:DS12"/>
    <mergeCell ref="DT11:DT12"/>
    <mergeCell ref="DX11:DX12"/>
    <mergeCell ref="DY11:DY12"/>
    <mergeCell ref="ER11:ER12"/>
  </mergeCells>
  <printOptions horizontalCentered="1"/>
  <pageMargins left="0.19685039370078741" right="0.39370078740157483" top="0.39370078740157483" bottom="0.39370078740157483" header="0" footer="0"/>
  <pageSetup scale="60" orientation="landscape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DP30"/>
  <sheetViews>
    <sheetView topLeftCell="H7" workbookViewId="0">
      <selection activeCell="DN27" sqref="DN27"/>
    </sheetView>
  </sheetViews>
  <sheetFormatPr baseColWidth="10" defaultRowHeight="12.75" x14ac:dyDescent="0.2"/>
  <cols>
    <col min="1" max="1" width="18.7109375" customWidth="1"/>
    <col min="2" max="2" width="19.5703125" customWidth="1"/>
    <col min="3" max="3" width="19.42578125" customWidth="1"/>
    <col min="4" max="4" width="6.140625" style="18" customWidth="1"/>
    <col min="5" max="5" width="7.42578125" style="18" customWidth="1"/>
    <col min="6" max="6" width="9.7109375" customWidth="1"/>
    <col min="7" max="7" width="6.42578125" customWidth="1"/>
    <col min="8" max="9" width="8.5703125" customWidth="1"/>
    <col min="10" max="10" width="7.5703125" customWidth="1"/>
    <col min="11" max="11" width="8.5703125" customWidth="1"/>
    <col min="12" max="12" width="8" customWidth="1"/>
    <col min="13" max="13" width="7.7109375" customWidth="1"/>
    <col min="14" max="14" width="8.5703125" hidden="1" customWidth="1"/>
    <col min="15" max="15" width="7.42578125" hidden="1" customWidth="1"/>
    <col min="16" max="16" width="8.5703125" hidden="1" customWidth="1"/>
    <col min="17" max="17" width="11" customWidth="1"/>
    <col min="18" max="18" width="11.5703125" style="19" customWidth="1"/>
    <col min="19" max="19" width="9.5703125" style="19" customWidth="1"/>
    <col min="20" max="20" width="8.42578125" style="12" customWidth="1"/>
    <col min="21" max="24" width="8.42578125" style="12" hidden="1" customWidth="1"/>
    <col min="25" max="25" width="9.140625" style="104" hidden="1" customWidth="1"/>
    <col min="26" max="27" width="8.7109375" hidden="1" customWidth="1"/>
    <col min="28" max="28" width="8.7109375" style="77" hidden="1" customWidth="1"/>
    <col min="29" max="29" width="7.42578125" hidden="1" customWidth="1"/>
    <col min="30" max="30" width="9.28515625" hidden="1" customWidth="1"/>
    <col min="31" max="31" width="9.42578125" hidden="1" customWidth="1"/>
    <col min="32" max="36" width="7.7109375" hidden="1" customWidth="1"/>
    <col min="37" max="37" width="11.28515625" hidden="1" customWidth="1"/>
    <col min="38" max="43" width="7.7109375" hidden="1" customWidth="1"/>
    <col min="44" max="44" width="9.28515625" hidden="1" customWidth="1"/>
    <col min="45" max="45" width="9.140625" style="69" hidden="1" customWidth="1"/>
    <col min="46" max="46" width="7" hidden="1" customWidth="1"/>
    <col min="47" max="47" width="7.42578125" hidden="1" customWidth="1"/>
    <col min="48" max="49" width="9.5703125" hidden="1" customWidth="1"/>
    <col min="50" max="50" width="10.140625" hidden="1" customWidth="1"/>
    <col min="51" max="51" width="9.85546875" hidden="1" customWidth="1"/>
    <col min="52" max="52" width="10.140625" hidden="1" customWidth="1"/>
    <col min="53" max="53" width="8.7109375" hidden="1" customWidth="1"/>
    <col min="54" max="54" width="8.7109375" style="77" hidden="1" customWidth="1"/>
    <col min="55" max="55" width="7.42578125" hidden="1" customWidth="1"/>
    <col min="56" max="56" width="9.140625" hidden="1" customWidth="1"/>
    <col min="57" max="57" width="9.42578125" hidden="1" customWidth="1"/>
    <col min="58" max="63" width="9" hidden="1" customWidth="1"/>
    <col min="64" max="64" width="8.7109375" hidden="1" customWidth="1"/>
    <col min="65" max="65" width="8.5703125" hidden="1" customWidth="1"/>
    <col min="66" max="66" width="9.7109375" hidden="1" customWidth="1"/>
    <col min="67" max="68" width="9.5703125" hidden="1" customWidth="1"/>
    <col min="69" max="73" width="10.140625" hidden="1" customWidth="1"/>
    <col min="74" max="74" width="8.7109375" hidden="1" customWidth="1"/>
    <col min="75" max="75" width="8.7109375" style="77" hidden="1" customWidth="1"/>
    <col min="76" max="76" width="7.42578125" hidden="1" customWidth="1"/>
    <col min="77" max="77" width="9.140625" hidden="1" customWidth="1"/>
    <col min="78" max="78" width="9.42578125" hidden="1" customWidth="1"/>
    <col min="79" max="83" width="9" hidden="1" customWidth="1"/>
    <col min="84" max="85" width="10.140625" hidden="1" customWidth="1"/>
    <col min="86" max="86" width="8.5703125" hidden="1" customWidth="1"/>
    <col min="87" max="87" width="9.7109375" hidden="1" customWidth="1"/>
    <col min="88" max="88" width="0" hidden="1" customWidth="1"/>
    <col min="89" max="92" width="11.42578125" hidden="1" customWidth="1"/>
    <col min="93" max="94" width="0" hidden="1" customWidth="1"/>
    <col min="96" max="100" width="11.42578125" customWidth="1"/>
    <col min="101" max="117" width="11.42578125" hidden="1" customWidth="1"/>
    <col min="118" max="120" width="11.42578125" customWidth="1"/>
  </cols>
  <sheetData>
    <row r="1" spans="1:120" x14ac:dyDescent="0.2">
      <c r="A1" s="637"/>
      <c r="B1" s="638" t="s">
        <v>27</v>
      </c>
      <c r="C1" s="637"/>
      <c r="D1" s="639"/>
      <c r="E1" s="639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40"/>
      <c r="S1" s="640"/>
      <c r="T1" s="637"/>
      <c r="U1" s="637"/>
      <c r="V1" s="637"/>
      <c r="W1" s="637"/>
      <c r="X1" s="637"/>
      <c r="Y1" s="661"/>
      <c r="Z1" s="662"/>
      <c r="AA1" s="662"/>
      <c r="AB1" s="663"/>
      <c r="AC1" s="662"/>
      <c r="AD1" s="662"/>
      <c r="AE1" s="662"/>
      <c r="AF1" s="662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62"/>
      <c r="AR1" s="637"/>
      <c r="AS1" s="664"/>
      <c r="AT1" s="637"/>
      <c r="AU1" s="637"/>
      <c r="AV1" s="637"/>
      <c r="AW1" s="637"/>
      <c r="AX1" s="637"/>
      <c r="AY1" s="637"/>
      <c r="AZ1" s="637"/>
      <c r="BA1" s="662"/>
      <c r="BB1" s="663"/>
      <c r="BC1" s="662"/>
      <c r="BD1" s="662"/>
      <c r="BE1" s="662"/>
      <c r="BF1" s="637"/>
      <c r="BG1" s="637"/>
      <c r="BH1" s="637"/>
      <c r="BI1" s="637"/>
      <c r="BJ1" s="637"/>
      <c r="BK1" s="637"/>
      <c r="BL1" s="637"/>
      <c r="BM1" s="637"/>
      <c r="BN1" s="637"/>
      <c r="BO1" s="637"/>
      <c r="BP1" s="637"/>
      <c r="BQ1" s="637"/>
      <c r="BR1" s="637"/>
      <c r="BS1" s="637"/>
      <c r="BT1" s="637"/>
      <c r="BU1" s="637"/>
      <c r="BV1" s="662"/>
      <c r="BW1" s="663"/>
      <c r="BX1" s="662"/>
      <c r="BY1" s="662"/>
      <c r="BZ1" s="662"/>
      <c r="CA1" s="637"/>
      <c r="CB1" s="637"/>
      <c r="CC1" s="637"/>
      <c r="CD1" s="637"/>
      <c r="CE1" s="637"/>
      <c r="CF1" s="637"/>
      <c r="CG1" s="637"/>
      <c r="CH1" s="637"/>
      <c r="CI1" s="637"/>
    </row>
    <row r="2" spans="1:120" x14ac:dyDescent="0.2">
      <c r="A2" s="637"/>
      <c r="B2" s="638" t="s">
        <v>1273</v>
      </c>
      <c r="C2" s="637"/>
      <c r="D2" s="639"/>
      <c r="E2" s="639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40"/>
      <c r="S2" s="640"/>
      <c r="T2" s="637"/>
      <c r="U2" s="637"/>
      <c r="V2" s="637"/>
      <c r="W2" s="637"/>
      <c r="X2" s="637"/>
      <c r="Y2" s="661"/>
      <c r="Z2" s="662"/>
      <c r="AA2" s="662"/>
      <c r="AB2" s="663"/>
      <c r="AC2" s="662"/>
      <c r="AD2" s="662"/>
      <c r="AE2" s="662"/>
      <c r="AF2" s="662"/>
      <c r="AG2" s="637"/>
      <c r="AH2" s="637"/>
      <c r="AI2" s="637"/>
      <c r="AJ2" s="637"/>
      <c r="AK2" s="637"/>
      <c r="AL2" s="637"/>
      <c r="AM2" s="637"/>
      <c r="AN2" s="637"/>
      <c r="AO2" s="637"/>
      <c r="AP2" s="637"/>
      <c r="AQ2" s="637"/>
      <c r="AR2" s="637"/>
      <c r="AS2" s="664"/>
      <c r="AT2" s="637"/>
      <c r="AU2" s="637"/>
      <c r="AV2" s="637"/>
      <c r="AW2" s="637"/>
      <c r="AX2" s="637"/>
      <c r="AY2" s="637"/>
      <c r="AZ2" s="637"/>
      <c r="BA2" s="662"/>
      <c r="BB2" s="663"/>
      <c r="BC2" s="662"/>
      <c r="BD2" s="662"/>
      <c r="BE2" s="662"/>
      <c r="BF2" s="637"/>
      <c r="BG2" s="637"/>
      <c r="BH2" s="637"/>
      <c r="BI2" s="637"/>
      <c r="BJ2" s="637"/>
      <c r="BK2" s="637"/>
      <c r="BL2" s="637"/>
      <c r="BM2" s="637"/>
      <c r="BN2" s="637"/>
      <c r="BO2" s="637"/>
      <c r="BP2" s="637"/>
      <c r="BQ2" s="637"/>
      <c r="BR2" s="637"/>
      <c r="BS2" s="637"/>
      <c r="BT2" s="637"/>
      <c r="BU2" s="637"/>
      <c r="BV2" s="662"/>
      <c r="BW2" s="663"/>
      <c r="BX2" s="662"/>
      <c r="BY2" s="662"/>
      <c r="BZ2" s="662"/>
      <c r="CA2" s="637"/>
      <c r="CB2" s="637"/>
      <c r="CC2" s="637"/>
      <c r="CD2" s="637"/>
      <c r="CE2" s="637"/>
      <c r="CF2" s="637"/>
      <c r="CG2" s="637"/>
      <c r="CH2" s="637"/>
      <c r="CI2" s="637"/>
    </row>
    <row r="3" spans="1:120" x14ac:dyDescent="0.2">
      <c r="A3" s="637"/>
      <c r="B3" s="637"/>
      <c r="C3" s="638"/>
      <c r="D3" s="641"/>
      <c r="E3" s="639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38"/>
      <c r="S3" s="638"/>
      <c r="T3" s="642"/>
      <c r="U3" s="642"/>
      <c r="V3" s="642"/>
      <c r="W3" s="642"/>
      <c r="X3" s="642"/>
      <c r="Y3" s="665"/>
      <c r="Z3" s="662"/>
      <c r="AA3" s="662"/>
      <c r="AB3" s="663"/>
      <c r="AC3" s="662"/>
      <c r="AD3" s="662"/>
      <c r="AE3" s="662"/>
      <c r="AF3" s="662"/>
      <c r="AG3" s="637"/>
      <c r="AH3" s="637"/>
      <c r="AI3" s="637"/>
      <c r="AJ3" s="637"/>
      <c r="AK3" s="637"/>
      <c r="AL3" s="637"/>
      <c r="AM3" s="637"/>
      <c r="AN3" s="637"/>
      <c r="AO3" s="637"/>
      <c r="AP3" s="637"/>
      <c r="AQ3" s="637"/>
      <c r="AR3" s="637"/>
      <c r="AS3" s="664"/>
      <c r="AT3" s="637"/>
      <c r="AU3" s="637"/>
      <c r="AV3" s="637"/>
      <c r="AW3" s="637"/>
      <c r="AX3" s="637"/>
      <c r="AY3" s="637"/>
      <c r="AZ3" s="637"/>
      <c r="BA3" s="662"/>
      <c r="BB3" s="663"/>
      <c r="BC3" s="662"/>
      <c r="BD3" s="662"/>
      <c r="BE3" s="662"/>
      <c r="BF3" s="637"/>
      <c r="BG3" s="637"/>
      <c r="BH3" s="637"/>
      <c r="BI3" s="637"/>
      <c r="BJ3" s="637"/>
      <c r="BK3" s="637"/>
      <c r="BL3" s="637"/>
      <c r="BM3" s="637"/>
      <c r="BN3" s="637"/>
      <c r="BO3" s="637"/>
      <c r="BP3" s="637"/>
      <c r="BQ3" s="637"/>
      <c r="BR3" s="637"/>
      <c r="BS3" s="637"/>
      <c r="BT3" s="637"/>
      <c r="BU3" s="637"/>
      <c r="BV3" s="662"/>
      <c r="BW3" s="663"/>
      <c r="BX3" s="662"/>
      <c r="BY3" s="662"/>
      <c r="BZ3" s="662"/>
      <c r="CA3" s="637"/>
      <c r="CB3" s="637"/>
      <c r="CC3" s="637"/>
      <c r="CD3" s="637"/>
      <c r="CE3" s="637"/>
      <c r="CF3" s="637"/>
      <c r="CG3" s="637"/>
      <c r="CH3" s="637"/>
      <c r="CI3" s="637"/>
    </row>
    <row r="4" spans="1:120" x14ac:dyDescent="0.2">
      <c r="A4" s="637"/>
      <c r="B4" s="637" t="s">
        <v>309</v>
      </c>
      <c r="C4" s="638"/>
      <c r="D4" s="641"/>
      <c r="E4" s="639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38"/>
      <c r="S4" s="638"/>
      <c r="T4" s="642"/>
      <c r="U4" s="642"/>
      <c r="V4" s="642"/>
      <c r="W4" s="642"/>
      <c r="X4" s="642"/>
      <c r="Y4" s="665"/>
      <c r="Z4" s="662"/>
      <c r="AA4" s="662"/>
      <c r="AB4" s="663"/>
      <c r="AC4" s="662"/>
      <c r="AD4" s="662"/>
      <c r="AE4" s="662"/>
      <c r="AF4" s="662"/>
      <c r="AG4" s="637"/>
      <c r="AH4" s="637"/>
      <c r="AI4" s="637"/>
      <c r="AJ4" s="637"/>
      <c r="AK4" s="637"/>
      <c r="AL4" s="637"/>
      <c r="AM4" s="637"/>
      <c r="AN4" s="637"/>
      <c r="AO4" s="637"/>
      <c r="AP4" s="637"/>
      <c r="AQ4" s="637"/>
      <c r="AR4" s="637"/>
      <c r="AS4" s="664"/>
      <c r="AT4" s="637"/>
      <c r="AU4" s="637"/>
      <c r="AV4" s="637"/>
      <c r="AW4" s="637"/>
      <c r="AX4" s="637"/>
      <c r="AY4" s="637"/>
      <c r="AZ4" s="637"/>
      <c r="BA4" s="662"/>
      <c r="BB4" s="663"/>
      <c r="BC4" s="662"/>
      <c r="BD4" s="662"/>
      <c r="BE4" s="662"/>
      <c r="BF4" s="637"/>
      <c r="BG4" s="637"/>
      <c r="BH4" s="637"/>
      <c r="BI4" s="637"/>
      <c r="BJ4" s="637"/>
      <c r="BK4" s="637"/>
      <c r="BL4" s="637"/>
      <c r="BM4" s="637"/>
      <c r="BN4" s="637"/>
      <c r="BO4" s="637"/>
      <c r="BP4" s="637"/>
      <c r="BQ4" s="637"/>
      <c r="BR4" s="637"/>
      <c r="BS4" s="637"/>
      <c r="BT4" s="637"/>
      <c r="BU4" s="637"/>
      <c r="BV4" s="662"/>
      <c r="BW4" s="663"/>
      <c r="BX4" s="662"/>
      <c r="BY4" s="662"/>
      <c r="BZ4" s="662"/>
      <c r="CA4" s="637"/>
      <c r="CB4" s="637"/>
      <c r="CC4" s="637"/>
      <c r="CD4" s="637"/>
      <c r="CE4" s="637"/>
      <c r="CF4" s="637"/>
      <c r="CG4" s="637"/>
      <c r="CH4" s="637"/>
      <c r="CI4" s="637"/>
    </row>
    <row r="5" spans="1:120" x14ac:dyDescent="0.2">
      <c r="A5" s="637"/>
      <c r="B5" s="642" t="s">
        <v>640</v>
      </c>
      <c r="C5" s="637"/>
      <c r="D5" s="639"/>
      <c r="E5" s="639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40"/>
      <c r="S5" s="640"/>
      <c r="T5" s="637"/>
      <c r="U5" s="637"/>
      <c r="V5" s="637"/>
      <c r="W5" s="637"/>
      <c r="X5" s="637"/>
      <c r="Y5" s="661"/>
      <c r="Z5" s="662"/>
      <c r="AA5" s="662"/>
      <c r="AB5" s="663"/>
      <c r="AC5" s="662"/>
      <c r="AD5" s="662"/>
      <c r="AE5" s="662"/>
      <c r="AF5" s="662"/>
      <c r="AG5" s="637"/>
      <c r="AH5" s="637"/>
      <c r="AI5" s="637"/>
      <c r="AJ5" s="637"/>
      <c r="AK5" s="637"/>
      <c r="AL5" s="637"/>
      <c r="AM5" s="637"/>
      <c r="AN5" s="637"/>
      <c r="AO5" s="637"/>
      <c r="AP5" s="637"/>
      <c r="AQ5" s="637"/>
      <c r="AR5" s="637"/>
      <c r="AS5" s="664"/>
      <c r="AT5" s="637"/>
      <c r="AU5" s="637"/>
      <c r="AV5" s="637"/>
      <c r="AW5" s="637"/>
      <c r="AX5" s="637"/>
      <c r="AY5" s="637"/>
      <c r="AZ5" s="637"/>
      <c r="BA5" s="662"/>
      <c r="BB5" s="663"/>
      <c r="BC5" s="662"/>
      <c r="BD5" s="662"/>
      <c r="BE5" s="662"/>
      <c r="BF5" s="637"/>
      <c r="BG5" s="637"/>
      <c r="BH5" s="637"/>
      <c r="BI5" s="637"/>
      <c r="BJ5" s="637"/>
      <c r="BK5" s="637"/>
      <c r="BL5" s="637"/>
      <c r="BM5" s="637"/>
      <c r="BN5" s="637"/>
      <c r="BO5" s="637"/>
      <c r="BP5" s="637"/>
      <c r="BQ5" s="637"/>
      <c r="BR5" s="637"/>
      <c r="BS5" s="637"/>
      <c r="BT5" s="637"/>
      <c r="BU5" s="637"/>
      <c r="BV5" s="662"/>
      <c r="BW5" s="663"/>
      <c r="BX5" s="662"/>
      <c r="BY5" s="662"/>
      <c r="BZ5" s="662"/>
      <c r="CA5" s="637"/>
      <c r="CB5" s="637"/>
      <c r="CC5" s="637"/>
      <c r="CD5" s="637"/>
      <c r="CE5" s="637"/>
      <c r="CF5" s="637"/>
      <c r="CG5" s="637"/>
      <c r="CH5" s="637"/>
      <c r="CI5" s="637"/>
    </row>
    <row r="6" spans="1:120" x14ac:dyDescent="0.2">
      <c r="A6" s="637"/>
      <c r="B6" s="637" t="s">
        <v>1272</v>
      </c>
      <c r="C6" s="637"/>
      <c r="D6" s="639"/>
      <c r="E6" s="639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40"/>
      <c r="S6" s="640"/>
      <c r="T6" s="637"/>
      <c r="U6" s="637"/>
      <c r="V6" s="637"/>
      <c r="W6" s="637"/>
      <c r="X6" s="637"/>
      <c r="Y6" s="661"/>
      <c r="Z6" s="662"/>
      <c r="AA6" s="662"/>
      <c r="AB6" s="663"/>
      <c r="AC6" s="662"/>
      <c r="AD6" s="662"/>
      <c r="AE6" s="662"/>
      <c r="AF6" s="662"/>
      <c r="AG6" s="637"/>
      <c r="AH6" s="637"/>
      <c r="AI6" s="637"/>
      <c r="AJ6" s="637"/>
      <c r="AK6" s="637"/>
      <c r="AL6" s="637"/>
      <c r="AM6" s="637"/>
      <c r="AN6" s="637"/>
      <c r="AO6" s="637"/>
      <c r="AP6" s="637"/>
      <c r="AQ6" s="637"/>
      <c r="AR6" s="637"/>
      <c r="AS6" s="664"/>
      <c r="AT6" s="637"/>
      <c r="AU6" s="637"/>
      <c r="AV6" s="637"/>
      <c r="AW6" s="637"/>
      <c r="AX6" s="637"/>
      <c r="AY6" s="637"/>
      <c r="AZ6" s="637"/>
      <c r="BA6" s="662"/>
      <c r="BB6" s="663"/>
      <c r="BC6" s="662"/>
      <c r="BD6" s="662"/>
      <c r="BE6" s="662"/>
      <c r="BF6" s="637"/>
      <c r="BG6" s="637"/>
      <c r="BH6" s="637"/>
      <c r="BI6" s="637"/>
      <c r="BJ6" s="637"/>
      <c r="BK6" s="637"/>
      <c r="BL6" s="637"/>
      <c r="BM6" s="637"/>
      <c r="BN6" s="637"/>
      <c r="BO6" s="637"/>
      <c r="BP6" s="637"/>
      <c r="BQ6" s="637"/>
      <c r="BR6" s="637"/>
      <c r="BS6" s="637"/>
      <c r="BT6" s="637"/>
      <c r="BU6" s="637"/>
      <c r="BV6" s="662"/>
      <c r="BW6" s="663"/>
      <c r="BX6" s="662"/>
      <c r="BY6" s="662"/>
      <c r="BZ6" s="662"/>
      <c r="CA6" s="637"/>
      <c r="CB6" s="637"/>
      <c r="CC6" s="637"/>
      <c r="CD6" s="637"/>
      <c r="CE6" s="637"/>
      <c r="CF6" s="637"/>
      <c r="CG6" s="637"/>
      <c r="CH6" s="637"/>
      <c r="CI6" s="637"/>
    </row>
    <row r="7" spans="1:120" x14ac:dyDescent="0.2">
      <c r="A7" s="637"/>
      <c r="B7" s="637"/>
      <c r="C7" s="637"/>
      <c r="D7" s="639"/>
      <c r="E7" s="639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40"/>
      <c r="S7" s="640"/>
      <c r="T7" s="637"/>
      <c r="U7" s="637"/>
      <c r="V7" s="637"/>
      <c r="W7" s="637"/>
      <c r="X7" s="637"/>
      <c r="Y7" s="661"/>
      <c r="Z7" s="662"/>
      <c r="AA7" s="662"/>
      <c r="AB7" s="663"/>
      <c r="AC7" s="662"/>
      <c r="AD7" s="662"/>
      <c r="AE7" s="662"/>
      <c r="AF7" s="662"/>
      <c r="AG7" s="637"/>
      <c r="AH7" s="637"/>
      <c r="AI7" s="637"/>
      <c r="AJ7" s="637"/>
      <c r="AK7" s="637"/>
      <c r="AL7" s="637"/>
      <c r="AM7" s="637"/>
      <c r="AN7" s="637"/>
      <c r="AO7" s="637"/>
      <c r="AP7" s="637"/>
      <c r="AQ7" s="637"/>
      <c r="AR7" s="637"/>
      <c r="AS7" s="664"/>
      <c r="AT7" s="637"/>
      <c r="AU7" s="637"/>
      <c r="AV7" s="637"/>
      <c r="AW7" s="637"/>
      <c r="AX7" s="637"/>
      <c r="AY7" s="637"/>
      <c r="AZ7" s="637"/>
      <c r="BA7" s="662"/>
      <c r="BB7" s="663"/>
      <c r="BC7" s="662"/>
      <c r="BD7" s="662"/>
      <c r="BE7" s="662"/>
      <c r="BF7" s="637"/>
      <c r="BG7" s="637"/>
      <c r="BH7" s="637"/>
      <c r="BI7" s="637"/>
      <c r="BJ7" s="637"/>
      <c r="BK7" s="637"/>
      <c r="BL7" s="637"/>
      <c r="BM7" s="637"/>
      <c r="BN7" s="637"/>
      <c r="BO7" s="637"/>
      <c r="BP7" s="637"/>
      <c r="BQ7" s="637"/>
      <c r="BR7" s="637"/>
      <c r="BS7" s="637"/>
      <c r="BT7" s="637"/>
      <c r="BU7" s="637"/>
      <c r="BV7" s="662"/>
      <c r="BW7" s="663"/>
      <c r="BX7" s="662"/>
      <c r="BY7" s="662"/>
      <c r="BZ7" s="662"/>
      <c r="CA7" s="637"/>
      <c r="CB7" s="637"/>
      <c r="CC7" s="637"/>
      <c r="CD7" s="637"/>
      <c r="CE7" s="637"/>
      <c r="CF7" s="637"/>
      <c r="CG7" s="637"/>
      <c r="CH7" s="637"/>
      <c r="CI7" s="637"/>
    </row>
    <row r="8" spans="1:120" s="16" customFormat="1" x14ac:dyDescent="0.2">
      <c r="D8" s="38"/>
      <c r="E8" s="38"/>
      <c r="R8" s="37"/>
      <c r="S8" s="37"/>
      <c r="T8" s="35"/>
      <c r="U8" s="35"/>
      <c r="V8" s="35"/>
      <c r="W8" s="35"/>
      <c r="X8" s="35"/>
      <c r="Y8" s="103"/>
      <c r="Z8" s="39"/>
      <c r="AA8" s="39"/>
      <c r="AB8" s="76"/>
      <c r="AC8" s="39"/>
      <c r="AD8" s="39"/>
      <c r="AE8" s="39"/>
      <c r="AF8" s="39"/>
      <c r="AS8" s="68"/>
      <c r="BA8" s="39"/>
      <c r="BB8" s="76"/>
      <c r="BC8" s="39"/>
      <c r="BD8" s="39"/>
      <c r="BE8" s="39"/>
      <c r="BV8" s="39"/>
      <c r="BW8" s="76"/>
      <c r="BX8" s="39"/>
      <c r="BY8" s="39"/>
      <c r="BZ8" s="39"/>
    </row>
    <row r="9" spans="1:120" s="16" customFormat="1" ht="20.25" customHeight="1" x14ac:dyDescent="0.2">
      <c r="D9" s="38"/>
      <c r="E9" s="38"/>
      <c r="R9" s="37"/>
      <c r="S9" s="37"/>
      <c r="T9" s="35"/>
      <c r="U9" s="35"/>
      <c r="V9" s="35"/>
      <c r="W9" s="35"/>
      <c r="X9" s="35"/>
      <c r="Y9" s="103"/>
      <c r="Z9" s="39"/>
      <c r="AA9" s="39"/>
      <c r="AB9" s="76"/>
      <c r="AC9" s="39"/>
      <c r="AD9" s="39"/>
      <c r="AE9" s="39"/>
      <c r="AF9" s="39"/>
      <c r="AS9" s="68"/>
      <c r="BA9" s="39"/>
      <c r="BB9" s="76"/>
      <c r="BC9" s="39"/>
      <c r="BD9" s="39"/>
      <c r="BE9" s="39"/>
      <c r="BV9" s="39"/>
      <c r="BW9" s="76"/>
      <c r="BX9" s="39"/>
      <c r="BY9" s="39"/>
      <c r="BZ9" s="39"/>
    </row>
    <row r="10" spans="1:120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1045"/>
      <c r="V10" s="253"/>
      <c r="W10" s="1260" t="s">
        <v>450</v>
      </c>
      <c r="X10" s="1260"/>
      <c r="Y10" s="1260"/>
      <c r="Z10" s="1260"/>
      <c r="AA10" s="1260"/>
      <c r="AB10" s="1260"/>
      <c r="AC10" s="1260"/>
      <c r="AD10" s="1260"/>
      <c r="AE10" s="1260"/>
      <c r="AF10" s="1260"/>
      <c r="AG10" s="1260"/>
      <c r="AH10" s="1260"/>
      <c r="AI10" s="1260"/>
      <c r="AJ10" s="1260"/>
      <c r="AK10" s="1260"/>
      <c r="AL10" s="1260"/>
      <c r="AM10" s="1260"/>
      <c r="AN10" s="1260"/>
      <c r="AO10" s="1260"/>
      <c r="AP10" s="1260"/>
      <c r="AQ10" s="1260"/>
      <c r="AR10" s="1260"/>
      <c r="AS10" s="1260"/>
      <c r="BB10"/>
      <c r="BW10"/>
    </row>
    <row r="11" spans="1:120" ht="54" customHeight="1" x14ac:dyDescent="0.25">
      <c r="A11" s="1261" t="s">
        <v>57</v>
      </c>
      <c r="B11" s="1261" t="s">
        <v>0</v>
      </c>
      <c r="C11" s="1050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526</v>
      </c>
      <c r="J11" s="1254" t="s">
        <v>1127</v>
      </c>
      <c r="K11" s="1254" t="s">
        <v>534</v>
      </c>
      <c r="L11" s="1254" t="s">
        <v>493</v>
      </c>
      <c r="M11" s="1254" t="s">
        <v>535</v>
      </c>
      <c r="N11" s="1046" t="s">
        <v>529</v>
      </c>
      <c r="O11" s="1254" t="s">
        <v>492</v>
      </c>
      <c r="P11" s="1047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1048"/>
      <c r="V11" s="1245" t="s">
        <v>595</v>
      </c>
      <c r="W11" s="1245" t="s">
        <v>596</v>
      </c>
      <c r="X11" s="1043"/>
      <c r="Y11" s="1268" t="s">
        <v>569</v>
      </c>
      <c r="Z11" s="1245" t="s">
        <v>599</v>
      </c>
      <c r="AA11" s="158" t="s">
        <v>15</v>
      </c>
      <c r="AB11" s="159" t="s">
        <v>15</v>
      </c>
      <c r="AC11" s="158" t="s">
        <v>16</v>
      </c>
      <c r="AD11" s="1245" t="s">
        <v>527</v>
      </c>
      <c r="AE11" s="1245" t="s">
        <v>536</v>
      </c>
      <c r="AF11" s="158" t="s">
        <v>3</v>
      </c>
      <c r="AG11" s="158" t="s">
        <v>4</v>
      </c>
      <c r="AH11" s="158" t="s">
        <v>5</v>
      </c>
      <c r="AI11" s="158" t="s">
        <v>6</v>
      </c>
      <c r="AJ11" s="158" t="s">
        <v>7</v>
      </c>
      <c r="AK11" s="158" t="s">
        <v>8</v>
      </c>
      <c r="AL11" s="158" t="s">
        <v>9</v>
      </c>
      <c r="AM11" s="158" t="s">
        <v>10</v>
      </c>
      <c r="AN11" s="158" t="s">
        <v>11</v>
      </c>
      <c r="AO11" s="158" t="s">
        <v>12</v>
      </c>
      <c r="AP11" s="158" t="s">
        <v>13</v>
      </c>
      <c r="AQ11" s="158" t="s">
        <v>14</v>
      </c>
      <c r="AR11" s="1042" t="s">
        <v>1017</v>
      </c>
      <c r="AS11" s="486" t="s">
        <v>63</v>
      </c>
      <c r="AT11" s="1245" t="s">
        <v>976</v>
      </c>
      <c r="AU11" s="1245" t="s">
        <v>536</v>
      </c>
      <c r="AV11" s="158" t="s">
        <v>3</v>
      </c>
      <c r="AW11" s="158" t="s">
        <v>4</v>
      </c>
      <c r="AX11" s="158" t="s">
        <v>5</v>
      </c>
      <c r="AY11" s="158" t="s">
        <v>6</v>
      </c>
      <c r="AZ11" s="158" t="s">
        <v>7</v>
      </c>
      <c r="BA11" s="158" t="s">
        <v>15</v>
      </c>
      <c r="BB11" s="159" t="s">
        <v>15</v>
      </c>
      <c r="BC11" s="158" t="s">
        <v>16</v>
      </c>
      <c r="BD11" s="1245" t="s">
        <v>1059</v>
      </c>
      <c r="BE11" s="1245" t="s">
        <v>536</v>
      </c>
      <c r="BF11" s="158" t="s">
        <v>8</v>
      </c>
      <c r="BG11" s="158" t="s">
        <v>9</v>
      </c>
      <c r="BH11" s="158" t="s">
        <v>10</v>
      </c>
      <c r="BI11" s="158" t="s">
        <v>11</v>
      </c>
      <c r="BJ11" s="158" t="s">
        <v>12</v>
      </c>
      <c r="BK11" s="158" t="s">
        <v>13</v>
      </c>
      <c r="BL11" s="158" t="s">
        <v>14</v>
      </c>
      <c r="BM11" s="1042" t="s">
        <v>989</v>
      </c>
      <c r="BN11" s="1042" t="s">
        <v>63</v>
      </c>
      <c r="BO11" s="158" t="s">
        <v>3</v>
      </c>
      <c r="BP11" s="158" t="s">
        <v>4</v>
      </c>
      <c r="BQ11" s="158" t="s">
        <v>5</v>
      </c>
      <c r="BR11" s="158" t="s">
        <v>5</v>
      </c>
      <c r="BS11" s="158" t="s">
        <v>7</v>
      </c>
      <c r="BT11" s="1245" t="s">
        <v>1153</v>
      </c>
      <c r="BU11" s="1245" t="s">
        <v>1134</v>
      </c>
      <c r="BV11" s="158" t="s">
        <v>15</v>
      </c>
      <c r="BW11" s="159" t="s">
        <v>15</v>
      </c>
      <c r="BX11" s="158" t="s">
        <v>16</v>
      </c>
      <c r="BY11" s="1245" t="s">
        <v>1124</v>
      </c>
      <c r="BZ11" s="1245" t="s">
        <v>536</v>
      </c>
      <c r="CA11" s="158" t="s">
        <v>8</v>
      </c>
      <c r="CB11" s="158" t="s">
        <v>9</v>
      </c>
      <c r="CC11" s="158" t="s">
        <v>10</v>
      </c>
      <c r="CD11" s="158" t="s">
        <v>11</v>
      </c>
      <c r="CE11" s="158" t="s">
        <v>12</v>
      </c>
      <c r="CF11" s="158" t="s">
        <v>13</v>
      </c>
      <c r="CG11" s="158" t="s">
        <v>14</v>
      </c>
      <c r="CH11" s="1042" t="s">
        <v>1058</v>
      </c>
      <c r="CI11" s="1042" t="s">
        <v>63</v>
      </c>
      <c r="CJ11" s="158" t="s">
        <v>3</v>
      </c>
      <c r="CK11" s="158" t="s">
        <v>4</v>
      </c>
      <c r="CL11" s="158" t="s">
        <v>5</v>
      </c>
      <c r="CM11" s="158" t="s">
        <v>6</v>
      </c>
      <c r="CN11" s="158" t="s">
        <v>7</v>
      </c>
      <c r="CO11" s="1247" t="s">
        <v>1252</v>
      </c>
      <c r="CP11" s="1247" t="s">
        <v>1253</v>
      </c>
      <c r="CQ11" s="1247" t="s">
        <v>1253</v>
      </c>
      <c r="CR11" s="158" t="s">
        <v>15</v>
      </c>
      <c r="CS11" s="159" t="s">
        <v>15</v>
      </c>
      <c r="CT11" s="158" t="s">
        <v>16</v>
      </c>
      <c r="CU11" s="1245" t="s">
        <v>1254</v>
      </c>
      <c r="CV11" s="1245" t="s">
        <v>536</v>
      </c>
      <c r="CW11" s="158" t="s">
        <v>8</v>
      </c>
      <c r="CX11" s="158" t="s">
        <v>9</v>
      </c>
      <c r="CY11" s="158" t="s">
        <v>10</v>
      </c>
      <c r="CZ11" s="158" t="s">
        <v>11</v>
      </c>
      <c r="DA11" s="158" t="s">
        <v>12</v>
      </c>
      <c r="DB11" s="158" t="s">
        <v>13</v>
      </c>
      <c r="DC11" s="158" t="s">
        <v>14</v>
      </c>
      <c r="DD11" s="158" t="s">
        <v>3</v>
      </c>
      <c r="DE11" s="158" t="s">
        <v>4</v>
      </c>
      <c r="DF11" s="158" t="s">
        <v>5</v>
      </c>
      <c r="DG11" s="158" t="s">
        <v>6</v>
      </c>
      <c r="DH11" s="158" t="s">
        <v>7</v>
      </c>
      <c r="DI11" s="158" t="s">
        <v>8</v>
      </c>
      <c r="DJ11" s="158" t="s">
        <v>9</v>
      </c>
      <c r="DK11" s="158" t="s">
        <v>10</v>
      </c>
      <c r="DL11" s="158" t="s">
        <v>11</v>
      </c>
      <c r="DM11" s="158" t="s">
        <v>12</v>
      </c>
      <c r="DN11" s="158" t="s">
        <v>13</v>
      </c>
      <c r="DO11" s="1247" t="s">
        <v>1274</v>
      </c>
      <c r="DP11" s="1247" t="s">
        <v>1263</v>
      </c>
    </row>
    <row r="12" spans="1:120" ht="37.5" customHeight="1" x14ac:dyDescent="0.25">
      <c r="A12" s="1262"/>
      <c r="B12" s="1262"/>
      <c r="C12" s="161" t="s">
        <v>436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1049"/>
      <c r="V12" s="1267"/>
      <c r="W12" s="1267"/>
      <c r="X12" s="1052" t="s">
        <v>570</v>
      </c>
      <c r="Y12" s="1272"/>
      <c r="Z12" s="1246"/>
      <c r="AA12" s="162" t="s">
        <v>20</v>
      </c>
      <c r="AB12" s="163" t="s">
        <v>21</v>
      </c>
      <c r="AC12" s="162" t="s">
        <v>22</v>
      </c>
      <c r="AD12" s="1246"/>
      <c r="AE12" s="1246"/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>
        <v>2015</v>
      </c>
      <c r="AQ12" s="162">
        <v>2015</v>
      </c>
      <c r="AR12" s="162">
        <v>2015</v>
      </c>
      <c r="AS12" s="162" t="s">
        <v>64</v>
      </c>
      <c r="AT12" s="1246"/>
      <c r="AU12" s="1246"/>
      <c r="AV12" s="162">
        <v>2016</v>
      </c>
      <c r="AW12" s="162">
        <v>2016</v>
      </c>
      <c r="AX12" s="162">
        <v>2016</v>
      </c>
      <c r="AY12" s="162">
        <v>2016</v>
      </c>
      <c r="AZ12" s="162">
        <v>2016</v>
      </c>
      <c r="BA12" s="162" t="s">
        <v>20</v>
      </c>
      <c r="BB12" s="163" t="s">
        <v>21</v>
      </c>
      <c r="BC12" s="162" t="s">
        <v>22</v>
      </c>
      <c r="BD12" s="1246"/>
      <c r="BE12" s="1246"/>
      <c r="BF12" s="162">
        <v>2016</v>
      </c>
      <c r="BG12" s="162">
        <v>2016</v>
      </c>
      <c r="BH12" s="162">
        <v>2016</v>
      </c>
      <c r="BI12" s="162">
        <v>2016</v>
      </c>
      <c r="BJ12" s="162">
        <v>2016</v>
      </c>
      <c r="BK12" s="162">
        <v>2016</v>
      </c>
      <c r="BL12" s="162">
        <v>2016</v>
      </c>
      <c r="BM12" s="162">
        <v>2016</v>
      </c>
      <c r="BN12" s="162" t="s">
        <v>64</v>
      </c>
      <c r="BO12" s="162">
        <v>2017</v>
      </c>
      <c r="BP12" s="162">
        <v>2017</v>
      </c>
      <c r="BQ12" s="162">
        <v>2017</v>
      </c>
      <c r="BR12" s="162">
        <v>2017</v>
      </c>
      <c r="BS12" s="162">
        <v>2017</v>
      </c>
      <c r="BT12" s="1246"/>
      <c r="BU12" s="1246"/>
      <c r="BV12" s="162" t="s">
        <v>20</v>
      </c>
      <c r="BW12" s="163" t="s">
        <v>21</v>
      </c>
      <c r="BX12" s="162" t="s">
        <v>22</v>
      </c>
      <c r="BY12" s="1246"/>
      <c r="BZ12" s="1246"/>
      <c r="CA12" s="162">
        <v>2017</v>
      </c>
      <c r="CB12" s="162">
        <v>2017</v>
      </c>
      <c r="CC12" s="162">
        <v>2017</v>
      </c>
      <c r="CD12" s="162">
        <v>2017</v>
      </c>
      <c r="CE12" s="162">
        <v>2017</v>
      </c>
      <c r="CF12" s="162">
        <v>2017</v>
      </c>
      <c r="CG12" s="162">
        <v>2017</v>
      </c>
      <c r="CH12" s="162">
        <v>2017</v>
      </c>
      <c r="CI12" s="162" t="s">
        <v>64</v>
      </c>
      <c r="CJ12" s="162">
        <v>2018</v>
      </c>
      <c r="CK12" s="162">
        <v>2018</v>
      </c>
      <c r="CL12" s="162">
        <v>2018</v>
      </c>
      <c r="CM12" s="162">
        <v>2018</v>
      </c>
      <c r="CN12" s="162">
        <v>2018</v>
      </c>
      <c r="CO12" s="1248"/>
      <c r="CP12" s="1248"/>
      <c r="CQ12" s="1248"/>
      <c r="CR12" s="162" t="s">
        <v>20</v>
      </c>
      <c r="CS12" s="163" t="s">
        <v>21</v>
      </c>
      <c r="CT12" s="162" t="s">
        <v>22</v>
      </c>
      <c r="CU12" s="1246"/>
      <c r="CV12" s="1246"/>
      <c r="CW12" s="162">
        <v>2018</v>
      </c>
      <c r="CX12" s="162">
        <v>2018</v>
      </c>
      <c r="CY12" s="162">
        <v>2018</v>
      </c>
      <c r="CZ12" s="162">
        <v>2018</v>
      </c>
      <c r="DA12" s="162">
        <v>2018</v>
      </c>
      <c r="DB12" s="162">
        <v>2018</v>
      </c>
      <c r="DC12" s="162">
        <v>2018</v>
      </c>
      <c r="DD12" s="162">
        <v>2019</v>
      </c>
      <c r="DE12" s="162">
        <v>2019</v>
      </c>
      <c r="DF12" s="162">
        <v>2019</v>
      </c>
      <c r="DG12" s="162">
        <v>2019</v>
      </c>
      <c r="DH12" s="162">
        <v>2019</v>
      </c>
      <c r="DI12" s="162">
        <v>2019</v>
      </c>
      <c r="DJ12" s="162">
        <v>2019</v>
      </c>
      <c r="DK12" s="162">
        <v>2019</v>
      </c>
      <c r="DL12" s="162">
        <v>2019</v>
      </c>
      <c r="DM12" s="162">
        <v>2019</v>
      </c>
      <c r="DN12" s="162">
        <v>2019</v>
      </c>
      <c r="DO12" s="1248"/>
      <c r="DP12" s="1248"/>
    </row>
    <row r="13" spans="1:120" s="16" customFormat="1" x14ac:dyDescent="0.2">
      <c r="A13" s="120" t="s">
        <v>641</v>
      </c>
      <c r="B13" s="120"/>
      <c r="C13" s="124"/>
      <c r="D13" s="111"/>
      <c r="E13" s="130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19"/>
      <c r="S13" s="119"/>
      <c r="T13" s="134"/>
      <c r="U13" s="134"/>
      <c r="V13" s="134"/>
      <c r="W13" s="134"/>
      <c r="X13" s="134"/>
      <c r="Y13" s="108"/>
      <c r="Z13" s="66"/>
      <c r="AA13" s="66"/>
      <c r="AB13" s="81"/>
      <c r="AC13" s="66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73"/>
      <c r="AT13" s="55"/>
      <c r="AU13" s="55"/>
      <c r="AV13" s="55"/>
      <c r="AW13" s="55"/>
      <c r="AX13" s="55"/>
      <c r="AY13" s="55"/>
      <c r="AZ13" s="55"/>
      <c r="BA13" s="66"/>
      <c r="BB13" s="81"/>
      <c r="BC13" s="66"/>
      <c r="BD13" s="65"/>
      <c r="BE13" s="6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66"/>
      <c r="BW13" s="81"/>
      <c r="BX13" s="66"/>
      <c r="BY13" s="65"/>
      <c r="BZ13" s="6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05"/>
      <c r="CL13" s="505"/>
      <c r="CM13" s="505"/>
      <c r="CN13" s="505"/>
      <c r="CO13" s="505"/>
      <c r="CP13" s="505"/>
      <c r="CQ13" s="50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</row>
    <row r="14" spans="1:120" s="16" customFormat="1" x14ac:dyDescent="0.2">
      <c r="A14" s="120" t="s">
        <v>383</v>
      </c>
      <c r="B14" s="100"/>
      <c r="C14" s="45"/>
      <c r="D14" s="150"/>
      <c r="E14" s="130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19"/>
      <c r="S14" s="119"/>
      <c r="T14" s="134"/>
      <c r="U14" s="134"/>
      <c r="V14" s="134"/>
      <c r="W14" s="134"/>
      <c r="X14" s="134"/>
      <c r="Y14" s="108"/>
      <c r="Z14" s="66"/>
      <c r="AA14" s="66"/>
      <c r="AB14" s="112"/>
      <c r="AC14" s="66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73"/>
      <c r="AT14" s="55"/>
      <c r="AU14" s="55"/>
      <c r="AV14" s="55"/>
      <c r="AW14" s="55"/>
      <c r="AX14" s="55"/>
      <c r="AY14" s="55"/>
      <c r="AZ14" s="55"/>
      <c r="BA14" s="66"/>
      <c r="BB14" s="112"/>
      <c r="BC14" s="66"/>
      <c r="BD14" s="65"/>
      <c r="BE14" s="6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66"/>
      <c r="BW14" s="112"/>
      <c r="BX14" s="66"/>
      <c r="BY14" s="65"/>
      <c r="BZ14" s="6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05"/>
      <c r="CP14" s="505"/>
      <c r="CQ14" s="50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</row>
    <row r="15" spans="1:120" s="16" customFormat="1" x14ac:dyDescent="0.2">
      <c r="A15" s="119" t="s">
        <v>642</v>
      </c>
      <c r="B15" s="100" t="s">
        <v>1268</v>
      </c>
      <c r="C15" s="45" t="s">
        <v>436</v>
      </c>
      <c r="D15" s="58">
        <v>10</v>
      </c>
      <c r="E15" s="127">
        <v>0.1</v>
      </c>
      <c r="F15" s="46">
        <v>43281</v>
      </c>
      <c r="G15" s="125">
        <v>120</v>
      </c>
      <c r="H15" s="145">
        <f>100/G15</f>
        <v>0.83333333333333337</v>
      </c>
      <c r="I15" s="165">
        <f>H15*J15</f>
        <v>94.166666666666671</v>
      </c>
      <c r="J15" s="48">
        <f>(YEAR(F15)-YEAR(S15))*12+MONTH(F15)-MONTH(S15)</f>
        <v>113</v>
      </c>
      <c r="K15" s="165">
        <f>L15*H15</f>
        <v>5.8333333333333339</v>
      </c>
      <c r="L15" s="48">
        <f>G15-J15</f>
        <v>7</v>
      </c>
      <c r="M15" s="165">
        <f>N15*H15</f>
        <v>5.8333333333333339</v>
      </c>
      <c r="N15" s="48">
        <v>7</v>
      </c>
      <c r="O15" s="165">
        <f>K15-M15</f>
        <v>0</v>
      </c>
      <c r="P15" s="48">
        <f>L15-N15</f>
        <v>0</v>
      </c>
      <c r="Q15" s="462">
        <f>DATE(YEAR(S15),MONTH(S15)+G15,DAY(S15))</f>
        <v>43466</v>
      </c>
      <c r="R15" s="125" t="s">
        <v>445</v>
      </c>
      <c r="S15" s="128">
        <v>39814</v>
      </c>
      <c r="T15" s="7">
        <v>1100</v>
      </c>
      <c r="U15" s="72"/>
      <c r="V15" s="776">
        <f>T15*I15%</f>
        <v>1035.8333333333335</v>
      </c>
      <c r="W15" s="776">
        <f>T15-V15</f>
        <v>64.166666666666515</v>
      </c>
      <c r="X15" s="55">
        <f>T15*H15%</f>
        <v>9.1666666666666661</v>
      </c>
      <c r="Y15" s="106">
        <f>X15*5</f>
        <v>45.833333333333329</v>
      </c>
      <c r="Z15" s="258">
        <f>W15-Y15</f>
        <v>18.333333333333186</v>
      </c>
      <c r="AA15" s="57">
        <v>115.958</v>
      </c>
      <c r="AB15" s="57">
        <v>134.071</v>
      </c>
      <c r="AC15" s="57">
        <f>AA15/AB15</f>
        <v>0.8648999410759971</v>
      </c>
      <c r="AD15" s="55">
        <f>Z15*M15/100/K15*100/7</f>
        <v>2.6190476190475982</v>
      </c>
      <c r="AE15" s="55">
        <f>AD15*AC15</f>
        <v>2.2652141313894982</v>
      </c>
      <c r="AF15" s="55"/>
      <c r="AG15" s="55"/>
      <c r="AH15" s="55"/>
      <c r="AI15" s="55"/>
      <c r="AJ15" s="55"/>
      <c r="AK15" s="55">
        <f>AE15</f>
        <v>2.2652141313894982</v>
      </c>
      <c r="AL15" s="55">
        <v>7.006359987786178</v>
      </c>
      <c r="AM15" s="55">
        <v>7.006359987786178</v>
      </c>
      <c r="AN15" s="55">
        <v>7.006359987786178</v>
      </c>
      <c r="AO15" s="55">
        <v>7.006359987786178</v>
      </c>
      <c r="AP15" s="55">
        <v>7.006359987786178</v>
      </c>
      <c r="AQ15" s="55">
        <v>7.006359987786178</v>
      </c>
      <c r="AR15" s="55">
        <f>SUM(AF15:AQ15)</f>
        <v>44.303374058106563</v>
      </c>
      <c r="AS15" s="72">
        <f>Z15-AR15</f>
        <v>-25.970040724773376</v>
      </c>
      <c r="AT15" s="55"/>
      <c r="AU15" s="55"/>
      <c r="AV15" s="55">
        <f>$AQ15</f>
        <v>7.006359987786178</v>
      </c>
      <c r="AW15" s="55">
        <f>$AQ15</f>
        <v>7.006359987786178</v>
      </c>
      <c r="AX15" s="55">
        <f>$AQ15</f>
        <v>7.006359987786178</v>
      </c>
      <c r="AY15" s="55">
        <f>$AQ15</f>
        <v>7.006359987786178</v>
      </c>
      <c r="AZ15" s="55">
        <f>$AQ15</f>
        <v>7.006359987786178</v>
      </c>
      <c r="BA15" s="57">
        <v>118.901</v>
      </c>
      <c r="BB15" s="57">
        <v>134.071</v>
      </c>
      <c r="BC15" s="57">
        <f>BA15/BB15</f>
        <v>0.88685099685987279</v>
      </c>
      <c r="BD15" s="55">
        <f>T15/(D15*12)</f>
        <v>9.1666666666666661</v>
      </c>
      <c r="BE15" s="55">
        <f>BD15*BC15</f>
        <v>8.1294674712155004</v>
      </c>
      <c r="BF15" s="55">
        <f t="shared" ref="BF15:BL15" si="0">$BE15</f>
        <v>8.1294674712155004</v>
      </c>
      <c r="BG15" s="55">
        <f t="shared" si="0"/>
        <v>8.1294674712155004</v>
      </c>
      <c r="BH15" s="55">
        <f t="shared" si="0"/>
        <v>8.1294674712155004</v>
      </c>
      <c r="BI15" s="55">
        <f t="shared" si="0"/>
        <v>8.1294674712155004</v>
      </c>
      <c r="BJ15" s="55">
        <f t="shared" si="0"/>
        <v>8.1294674712155004</v>
      </c>
      <c r="BK15" s="55">
        <f t="shared" si="0"/>
        <v>8.1294674712155004</v>
      </c>
      <c r="BL15" s="55">
        <f t="shared" si="0"/>
        <v>8.1294674712155004</v>
      </c>
      <c r="BM15" s="55">
        <f>SUM((AV15:AZ15),(BF15:BL15))</f>
        <v>91.9380722374394</v>
      </c>
      <c r="BN15" s="448">
        <f>(AS15-BM15)</f>
        <v>-117.90811296221278</v>
      </c>
      <c r="BO15" s="55">
        <f>$BE15</f>
        <v>8.1294674712155004</v>
      </c>
      <c r="BP15" s="55">
        <f>$BE15</f>
        <v>8.1294674712155004</v>
      </c>
      <c r="BQ15" s="55">
        <f>$BE15</f>
        <v>8.1294674712155004</v>
      </c>
      <c r="BR15" s="55">
        <f>$BE15</f>
        <v>8.1294674712155004</v>
      </c>
      <c r="BS15" s="55">
        <f>$BE15</f>
        <v>8.1294674712155004</v>
      </c>
      <c r="BT15" s="55">
        <f>SUM(BO15:BS15)</f>
        <v>40.6473373560775</v>
      </c>
      <c r="BU15" s="55">
        <v>1</v>
      </c>
      <c r="BV15" s="57">
        <v>126.408</v>
      </c>
      <c r="BW15" s="57">
        <v>134.071</v>
      </c>
      <c r="BX15" s="57">
        <f>BV15/BW15</f>
        <v>0.94284371713495085</v>
      </c>
      <c r="BY15" s="55">
        <v>0</v>
      </c>
      <c r="BZ15" s="55">
        <f t="shared" ref="BZ15:CG15" si="1">BY15*BX15</f>
        <v>0</v>
      </c>
      <c r="CA15" s="55">
        <f t="shared" si="1"/>
        <v>0</v>
      </c>
      <c r="CB15" s="55">
        <f t="shared" si="1"/>
        <v>0</v>
      </c>
      <c r="CC15" s="55">
        <f t="shared" si="1"/>
        <v>0</v>
      </c>
      <c r="CD15" s="55">
        <f t="shared" si="1"/>
        <v>0</v>
      </c>
      <c r="CE15" s="55">
        <f t="shared" si="1"/>
        <v>0</v>
      </c>
      <c r="CF15" s="55">
        <f t="shared" si="1"/>
        <v>0</v>
      </c>
      <c r="CG15" s="55">
        <f t="shared" si="1"/>
        <v>0</v>
      </c>
      <c r="CH15" s="55">
        <f>SUM(CA15:CG15)</f>
        <v>0</v>
      </c>
      <c r="CI15" s="448">
        <f>BU15-CH15</f>
        <v>1</v>
      </c>
      <c r="CJ15" s="55">
        <f t="shared" ref="CJ15:CN17" si="2">CI15*CH15</f>
        <v>0</v>
      </c>
      <c r="CK15" s="55">
        <f t="shared" si="2"/>
        <v>0</v>
      </c>
      <c r="CL15" s="55">
        <f t="shared" si="2"/>
        <v>0</v>
      </c>
      <c r="CM15" s="55">
        <f t="shared" si="2"/>
        <v>0</v>
      </c>
      <c r="CN15" s="55">
        <f t="shared" si="2"/>
        <v>0</v>
      </c>
      <c r="CO15" s="505">
        <f>SUM(CJ15:CN15)</f>
        <v>0</v>
      </c>
      <c r="CP15" s="679">
        <f>CI15-CO15</f>
        <v>1</v>
      </c>
      <c r="CQ15" s="679">
        <v>1</v>
      </c>
      <c r="CR15" s="956">
        <v>132.28200000000001</v>
      </c>
      <c r="CS15" s="57">
        <v>134.071</v>
      </c>
      <c r="CT15" s="957">
        <f>CS15/CR15</f>
        <v>1.0135241378267639</v>
      </c>
      <c r="CU15" s="511"/>
      <c r="CV15" s="511">
        <f>CU15*CT15</f>
        <v>0</v>
      </c>
      <c r="CW15" s="511"/>
      <c r="CX15" s="511"/>
      <c r="CY15" s="511"/>
      <c r="CZ15" s="511"/>
      <c r="DA15" s="511"/>
      <c r="DB15" s="511"/>
      <c r="DC15" s="511"/>
      <c r="DD15" s="511"/>
      <c r="DE15" s="511"/>
      <c r="DF15" s="511"/>
      <c r="DG15" s="511"/>
      <c r="DH15" s="511"/>
      <c r="DI15" s="511"/>
      <c r="DJ15" s="511"/>
      <c r="DK15" s="511"/>
      <c r="DL15" s="511"/>
      <c r="DM15" s="511"/>
      <c r="DN15" s="511"/>
      <c r="DO15" s="511">
        <f>SUM(CW15:DC15)</f>
        <v>0</v>
      </c>
      <c r="DP15" s="756">
        <f>SUM(CQ15-DO15)</f>
        <v>1</v>
      </c>
    </row>
    <row r="16" spans="1:120" s="16" customFormat="1" x14ac:dyDescent="0.2">
      <c r="A16" s="120" t="s">
        <v>65</v>
      </c>
      <c r="B16" s="120"/>
      <c r="C16" s="124"/>
      <c r="D16" s="111"/>
      <c r="E16" s="130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19"/>
      <c r="S16" s="119"/>
      <c r="T16" s="134"/>
      <c r="U16" s="134"/>
      <c r="V16" s="134"/>
      <c r="W16" s="134"/>
      <c r="X16" s="134"/>
      <c r="Y16" s="108"/>
      <c r="Z16" s="66"/>
      <c r="AA16" s="66"/>
      <c r="AB16" s="81"/>
      <c r="AC16" s="66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73"/>
      <c r="AT16" s="55"/>
      <c r="AU16" s="55"/>
      <c r="AV16" s="55">
        <f t="shared" ref="AV16:AZ24" si="3">$AQ16</f>
        <v>0</v>
      </c>
      <c r="AW16" s="55">
        <f t="shared" si="3"/>
        <v>0</v>
      </c>
      <c r="AX16" s="55">
        <f t="shared" si="3"/>
        <v>0</v>
      </c>
      <c r="AY16" s="55">
        <f t="shared" si="3"/>
        <v>0</v>
      </c>
      <c r="AZ16" s="55">
        <f t="shared" si="3"/>
        <v>0</v>
      </c>
      <c r="BA16" s="66"/>
      <c r="BB16" s="81"/>
      <c r="BC16" s="57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448"/>
      <c r="BO16" s="55"/>
      <c r="BP16" s="55"/>
      <c r="BQ16" s="55"/>
      <c r="BR16" s="55"/>
      <c r="BS16" s="55"/>
      <c r="BT16" s="55"/>
      <c r="BU16" s="55"/>
      <c r="BV16" s="66"/>
      <c r="BW16" s="81"/>
      <c r="BX16" s="57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448"/>
      <c r="CJ16" s="55">
        <f t="shared" si="2"/>
        <v>0</v>
      </c>
      <c r="CK16" s="55">
        <f t="shared" si="2"/>
        <v>0</v>
      </c>
      <c r="CL16" s="55">
        <f t="shared" si="2"/>
        <v>0</v>
      </c>
      <c r="CM16" s="55">
        <f t="shared" si="2"/>
        <v>0</v>
      </c>
      <c r="CN16" s="55">
        <f t="shared" si="2"/>
        <v>0</v>
      </c>
      <c r="CO16" s="505">
        <f t="shared" ref="CO16:CO24" si="4">SUM(CJ16:CN16)</f>
        <v>0</v>
      </c>
      <c r="CP16" s="679">
        <f t="shared" ref="CP16:CP24" si="5">CI16-CO16</f>
        <v>0</v>
      </c>
      <c r="CQ16" s="679"/>
      <c r="CR16" s="956"/>
      <c r="CS16" s="81"/>
      <c r="CT16" s="957"/>
      <c r="CU16" s="511"/>
      <c r="CV16" s="511"/>
      <c r="CW16" s="511"/>
      <c r="CX16" s="511"/>
      <c r="CY16" s="511"/>
      <c r="CZ16" s="511"/>
      <c r="DA16" s="511"/>
      <c r="DB16" s="511"/>
      <c r="DC16" s="511"/>
      <c r="DD16" s="511"/>
      <c r="DE16" s="511"/>
      <c r="DF16" s="511"/>
      <c r="DG16" s="511"/>
      <c r="DH16" s="511"/>
      <c r="DI16" s="511"/>
      <c r="DJ16" s="511"/>
      <c r="DK16" s="511"/>
      <c r="DL16" s="511"/>
      <c r="DM16" s="511"/>
      <c r="DN16" s="511"/>
      <c r="DO16" s="511"/>
      <c r="DP16" s="756"/>
    </row>
    <row r="17" spans="1:120" s="16" customFormat="1" x14ac:dyDescent="0.2">
      <c r="A17" s="120" t="s">
        <v>643</v>
      </c>
      <c r="B17" s="100"/>
      <c r="C17" s="45"/>
      <c r="D17" s="150"/>
      <c r="E17" s="130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19"/>
      <c r="S17" s="119"/>
      <c r="T17" s="134"/>
      <c r="U17" s="134"/>
      <c r="V17" s="134"/>
      <c r="W17" s="134"/>
      <c r="X17" s="134"/>
      <c r="Y17" s="108"/>
      <c r="Z17" s="66"/>
      <c r="AA17" s="66"/>
      <c r="AB17" s="112"/>
      <c r="AC17" s="66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73"/>
      <c r="AT17" s="55"/>
      <c r="AU17" s="55"/>
      <c r="AV17" s="55">
        <f t="shared" si="3"/>
        <v>0</v>
      </c>
      <c r="AW17" s="55">
        <f t="shared" si="3"/>
        <v>0</v>
      </c>
      <c r="AX17" s="55">
        <f t="shared" si="3"/>
        <v>0</v>
      </c>
      <c r="AY17" s="55">
        <f t="shared" si="3"/>
        <v>0</v>
      </c>
      <c r="AZ17" s="55">
        <f t="shared" si="3"/>
        <v>0</v>
      </c>
      <c r="BA17" s="66"/>
      <c r="BB17" s="112"/>
      <c r="BC17" s="57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448"/>
      <c r="BO17" s="55"/>
      <c r="BP17" s="55"/>
      <c r="BQ17" s="55"/>
      <c r="BR17" s="55"/>
      <c r="BS17" s="55"/>
      <c r="BT17" s="55"/>
      <c r="BU17" s="55"/>
      <c r="BV17" s="66"/>
      <c r="BW17" s="112"/>
      <c r="BX17" s="57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448"/>
      <c r="CJ17" s="55">
        <f t="shared" si="2"/>
        <v>0</v>
      </c>
      <c r="CK17" s="55">
        <f t="shared" si="2"/>
        <v>0</v>
      </c>
      <c r="CL17" s="55">
        <f t="shared" si="2"/>
        <v>0</v>
      </c>
      <c r="CM17" s="55">
        <f t="shared" si="2"/>
        <v>0</v>
      </c>
      <c r="CN17" s="55">
        <f t="shared" si="2"/>
        <v>0</v>
      </c>
      <c r="CO17" s="505">
        <f t="shared" si="4"/>
        <v>0</v>
      </c>
      <c r="CP17" s="679">
        <f t="shared" si="5"/>
        <v>0</v>
      </c>
      <c r="CQ17" s="679"/>
      <c r="CR17" s="956"/>
      <c r="CS17" s="112"/>
      <c r="CT17" s="957"/>
      <c r="CU17" s="511"/>
      <c r="CV17" s="511"/>
      <c r="CW17" s="511"/>
      <c r="CX17" s="511"/>
      <c r="CY17" s="511"/>
      <c r="CZ17" s="511"/>
      <c r="DA17" s="511"/>
      <c r="DB17" s="511"/>
      <c r="DC17" s="511"/>
      <c r="DD17" s="511"/>
      <c r="DE17" s="511"/>
      <c r="DF17" s="511"/>
      <c r="DG17" s="511"/>
      <c r="DH17" s="511"/>
      <c r="DI17" s="511"/>
      <c r="DJ17" s="511"/>
      <c r="DK17" s="511"/>
      <c r="DL17" s="511"/>
      <c r="DM17" s="511"/>
      <c r="DN17" s="511"/>
      <c r="DO17" s="511"/>
      <c r="DP17" s="756"/>
    </row>
    <row r="18" spans="1:120" s="16" customFormat="1" x14ac:dyDescent="0.2">
      <c r="A18" s="119" t="s">
        <v>644</v>
      </c>
      <c r="B18" s="100" t="s">
        <v>645</v>
      </c>
      <c r="C18" s="45" t="s">
        <v>436</v>
      </c>
      <c r="D18" s="58">
        <v>10</v>
      </c>
      <c r="E18" s="127">
        <v>0.1</v>
      </c>
      <c r="F18" s="46">
        <v>43281</v>
      </c>
      <c r="G18" s="125">
        <v>120</v>
      </c>
      <c r="H18" s="145">
        <f>100/G18</f>
        <v>0.83333333333333337</v>
      </c>
      <c r="I18" s="165">
        <f>H18*J18</f>
        <v>34.166666666666671</v>
      </c>
      <c r="J18" s="48">
        <f>(YEAR(F18)-YEAR(S18))*12+MONTH(F18)-MONTH(S18)</f>
        <v>41</v>
      </c>
      <c r="K18" s="165">
        <f>L18*H18</f>
        <v>65.833333333333343</v>
      </c>
      <c r="L18" s="48">
        <f>G18-J18</f>
        <v>79</v>
      </c>
      <c r="M18" s="165">
        <f>N18*H18</f>
        <v>5.8333333333333339</v>
      </c>
      <c r="N18" s="48">
        <v>7</v>
      </c>
      <c r="O18" s="165">
        <f>K18-M18</f>
        <v>60.000000000000007</v>
      </c>
      <c r="P18" s="48">
        <f>L18-N18</f>
        <v>72</v>
      </c>
      <c r="Q18" s="462">
        <f>DATE(YEAR(S18),MONTH(S18)+G18,DAY(S18))</f>
        <v>45658</v>
      </c>
      <c r="R18" s="125" t="s">
        <v>445</v>
      </c>
      <c r="S18" s="128">
        <v>42005</v>
      </c>
      <c r="T18" s="7">
        <v>1000</v>
      </c>
      <c r="U18" s="72"/>
      <c r="V18" s="776">
        <v>0</v>
      </c>
      <c r="W18" s="776">
        <f>T18-V18</f>
        <v>1000</v>
      </c>
      <c r="X18" s="55">
        <f>W18*E18/12*5</f>
        <v>41.666666666666671</v>
      </c>
      <c r="Y18" s="106">
        <f>X18*5</f>
        <v>208.33333333333337</v>
      </c>
      <c r="Z18" s="258">
        <f>W18-Y18</f>
        <v>791.66666666666663</v>
      </c>
      <c r="AA18" s="57">
        <v>115.958</v>
      </c>
      <c r="AB18" s="57">
        <v>115.95399999999999</v>
      </c>
      <c r="AC18" s="57">
        <f>AA18/AB18</f>
        <v>1.0000344964382428</v>
      </c>
      <c r="AD18" s="55">
        <f>Z18*M18/100/K18*100/7</f>
        <v>10.021097046413502</v>
      </c>
      <c r="AE18" s="55">
        <f>AD18*AC18</f>
        <v>10.021442738568888</v>
      </c>
      <c r="AF18" s="55"/>
      <c r="AG18" s="55"/>
      <c r="AH18" s="55"/>
      <c r="AI18" s="55"/>
      <c r="AJ18" s="55"/>
      <c r="AK18" s="55">
        <f>AE18</f>
        <v>10.021442738568888</v>
      </c>
      <c r="AL18" s="55">
        <v>6.8842954464951491</v>
      </c>
      <c r="AM18" s="55">
        <v>6.8842954464951491</v>
      </c>
      <c r="AN18" s="55">
        <v>6.8842954464951491</v>
      </c>
      <c r="AO18" s="55">
        <v>6.8842954464951491</v>
      </c>
      <c r="AP18" s="55">
        <v>6.8842954464951491</v>
      </c>
      <c r="AQ18" s="55">
        <v>6.8842954464951491</v>
      </c>
      <c r="AR18" s="55">
        <f>SUM(AF18:AQ18)</f>
        <v>51.32721541753979</v>
      </c>
      <c r="AS18" s="72">
        <f>Z18-AR18</f>
        <v>740.3394512491268</v>
      </c>
      <c r="AT18" s="55"/>
      <c r="AU18" s="55"/>
      <c r="AV18" s="55">
        <f t="shared" si="3"/>
        <v>6.8842954464951491</v>
      </c>
      <c r="AW18" s="55">
        <f t="shared" si="3"/>
        <v>6.8842954464951491</v>
      </c>
      <c r="AX18" s="55">
        <f t="shared" si="3"/>
        <v>6.8842954464951491</v>
      </c>
      <c r="AY18" s="55">
        <f t="shared" si="3"/>
        <v>6.8842954464951491</v>
      </c>
      <c r="AZ18" s="55">
        <f t="shared" si="3"/>
        <v>6.8842954464951491</v>
      </c>
      <c r="BA18" s="57">
        <v>118.901</v>
      </c>
      <c r="BB18" s="57">
        <v>115.95399999999999</v>
      </c>
      <c r="BC18" s="57">
        <f>BA18/BB18</f>
        <v>1.0254152508753471</v>
      </c>
      <c r="BD18" s="55">
        <f>T18/(D18*12)</f>
        <v>8.3333333333333339</v>
      </c>
      <c r="BE18" s="55">
        <f>BD18*BC18</f>
        <v>8.5451270906278936</v>
      </c>
      <c r="BF18" s="55">
        <f t="shared" ref="BF18:BL21" si="6">$BE18</f>
        <v>8.5451270906278936</v>
      </c>
      <c r="BG18" s="55">
        <f t="shared" si="6"/>
        <v>8.5451270906278936</v>
      </c>
      <c r="BH18" s="55">
        <f t="shared" si="6"/>
        <v>8.5451270906278936</v>
      </c>
      <c r="BI18" s="55">
        <f t="shared" si="6"/>
        <v>8.5451270906278936</v>
      </c>
      <c r="BJ18" s="55">
        <f t="shared" si="6"/>
        <v>8.5451270906278936</v>
      </c>
      <c r="BK18" s="55">
        <f t="shared" si="6"/>
        <v>8.5451270906278936</v>
      </c>
      <c r="BL18" s="55">
        <f t="shared" si="6"/>
        <v>8.5451270906278936</v>
      </c>
      <c r="BM18" s="55">
        <f t="shared" ref="BM18:BM24" si="7">SUM((AV18:AZ18),(BF18:BL18))</f>
        <v>94.237366866870985</v>
      </c>
      <c r="BN18" s="448">
        <f t="shared" ref="BN18:BN25" si="8">(AS18-BM18)</f>
        <v>646.10208438225584</v>
      </c>
      <c r="BO18" s="55">
        <f t="shared" ref="BO18:BS21" si="9">$BE18</f>
        <v>8.5451270906278936</v>
      </c>
      <c r="BP18" s="55">
        <f t="shared" si="9"/>
        <v>8.5451270906278936</v>
      </c>
      <c r="BQ18" s="55">
        <f t="shared" si="9"/>
        <v>8.5451270906278936</v>
      </c>
      <c r="BR18" s="55">
        <f t="shared" si="9"/>
        <v>8.5451270906278936</v>
      </c>
      <c r="BS18" s="55">
        <f t="shared" si="9"/>
        <v>8.5451270906278936</v>
      </c>
      <c r="BT18" s="55">
        <f>SUM(BO18:BS18)</f>
        <v>42.725635453139468</v>
      </c>
      <c r="BU18" s="55">
        <f>BN18-BT18</f>
        <v>603.37644892911635</v>
      </c>
      <c r="BV18" s="57">
        <v>126.408</v>
      </c>
      <c r="BW18" s="57">
        <v>115.95399999999999</v>
      </c>
      <c r="BX18" s="57">
        <f>BV18/BW18</f>
        <v>1.0901564413474309</v>
      </c>
      <c r="BY18" s="55">
        <f>BU18/L18</f>
        <v>7.6376765687229922</v>
      </c>
      <c r="BZ18" s="55">
        <f>BY18*BX18</f>
        <v>8.3262623083217147</v>
      </c>
      <c r="CA18" s="55">
        <f>BZ18*BY18</f>
        <v>63.593298537310176</v>
      </c>
      <c r="CB18" s="55">
        <v>48.14</v>
      </c>
      <c r="CC18" s="55">
        <v>48.14</v>
      </c>
      <c r="CD18" s="55">
        <v>48.14</v>
      </c>
      <c r="CE18" s="55">
        <v>48.14</v>
      </c>
      <c r="CF18" s="55">
        <v>48.14</v>
      </c>
      <c r="CG18" s="55">
        <v>48.14</v>
      </c>
      <c r="CH18" s="55">
        <f>SUM(CA18:CG18)</f>
        <v>352.43329853731012</v>
      </c>
      <c r="CI18" s="448">
        <f>BU18-CH18</f>
        <v>250.94315039180623</v>
      </c>
      <c r="CJ18" s="55">
        <v>48.14</v>
      </c>
      <c r="CK18" s="55">
        <v>48.14</v>
      </c>
      <c r="CL18" s="55">
        <v>48.14</v>
      </c>
      <c r="CM18" s="55">
        <v>48.14</v>
      </c>
      <c r="CN18" s="55">
        <v>48.14</v>
      </c>
      <c r="CO18" s="505">
        <f t="shared" si="4"/>
        <v>240.7</v>
      </c>
      <c r="CP18" s="679">
        <f>CI18-CO18</f>
        <v>10.243150391806239</v>
      </c>
      <c r="CQ18" s="679">
        <v>27.020511859071576</v>
      </c>
      <c r="CR18" s="956">
        <v>132.28200000000001</v>
      </c>
      <c r="CS18" s="57">
        <v>115.95399999999999</v>
      </c>
      <c r="CT18" s="957">
        <f>CS18/CR18</f>
        <v>0.87656672865544805</v>
      </c>
      <c r="CU18" s="511">
        <f>CQ18/L18</f>
        <v>0.3420317956844503</v>
      </c>
      <c r="CV18" s="511">
        <f>CU18*CT18</f>
        <v>0.29981369223926718</v>
      </c>
      <c r="CW18" s="511">
        <v>0.3</v>
      </c>
      <c r="CX18" s="511">
        <v>0.3</v>
      </c>
      <c r="CY18" s="511">
        <v>0.3</v>
      </c>
      <c r="CZ18" s="511">
        <v>0.3</v>
      </c>
      <c r="DA18" s="511">
        <v>0.3</v>
      </c>
      <c r="DB18" s="511">
        <v>0.3</v>
      </c>
      <c r="DC18" s="511">
        <v>0.3</v>
      </c>
      <c r="DD18" s="511">
        <v>0.3</v>
      </c>
      <c r="DE18" s="511">
        <v>0.3</v>
      </c>
      <c r="DF18" s="511">
        <v>0.3</v>
      </c>
      <c r="DG18" s="511">
        <v>0.3</v>
      </c>
      <c r="DH18" s="511">
        <v>0.3</v>
      </c>
      <c r="DI18" s="511">
        <v>0.3</v>
      </c>
      <c r="DJ18" s="511">
        <v>0.3</v>
      </c>
      <c r="DK18" s="511">
        <v>0.3</v>
      </c>
      <c r="DL18" s="511">
        <v>0.3</v>
      </c>
      <c r="DM18" s="511">
        <v>0.3</v>
      </c>
      <c r="DN18" s="511">
        <v>0.3</v>
      </c>
      <c r="DO18" s="511">
        <f>SUM(CW18:DN18)</f>
        <v>5.3999999999999986</v>
      </c>
      <c r="DP18" s="756">
        <f>SUM(CQ18-DO18)</f>
        <v>21.620511859071577</v>
      </c>
    </row>
    <row r="19" spans="1:120" s="16" customFormat="1" x14ac:dyDescent="0.2">
      <c r="A19" s="120" t="s">
        <v>65</v>
      </c>
      <c r="B19" s="120"/>
      <c r="C19" s="124"/>
      <c r="D19" s="111"/>
      <c r="E19" s="111"/>
      <c r="F19" s="119"/>
      <c r="G19" s="125"/>
      <c r="H19" s="145"/>
      <c r="I19" s="165"/>
      <c r="J19" s="48"/>
      <c r="K19" s="165"/>
      <c r="L19" s="48"/>
      <c r="M19" s="165"/>
      <c r="N19" s="48"/>
      <c r="O19" s="165"/>
      <c r="P19" s="48"/>
      <c r="Q19" s="48"/>
      <c r="R19" s="125"/>
      <c r="S19" s="119"/>
      <c r="T19" s="7"/>
      <c r="U19" s="72"/>
      <c r="V19" s="776"/>
      <c r="W19" s="776"/>
      <c r="X19" s="55"/>
      <c r="Y19" s="106"/>
      <c r="Z19" s="258"/>
      <c r="AA19" s="57"/>
      <c r="AB19" s="82"/>
      <c r="AC19" s="57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72"/>
      <c r="AT19" s="55"/>
      <c r="AU19" s="55"/>
      <c r="AV19" s="55">
        <f t="shared" si="3"/>
        <v>0</v>
      </c>
      <c r="AW19" s="55">
        <f t="shared" si="3"/>
        <v>0</v>
      </c>
      <c r="AX19" s="55">
        <f t="shared" si="3"/>
        <v>0</v>
      </c>
      <c r="AY19" s="55">
        <f t="shared" si="3"/>
        <v>0</v>
      </c>
      <c r="AZ19" s="55">
        <f t="shared" si="3"/>
        <v>0</v>
      </c>
      <c r="BA19" s="57"/>
      <c r="BB19" s="82"/>
      <c r="BC19" s="57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448"/>
      <c r="BO19" s="55"/>
      <c r="BP19" s="55"/>
      <c r="BQ19" s="55"/>
      <c r="BR19" s="55"/>
      <c r="BS19" s="55"/>
      <c r="BT19" s="55"/>
      <c r="BU19" s="55"/>
      <c r="BV19" s="57"/>
      <c r="BW19" s="82"/>
      <c r="BX19" s="57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448"/>
      <c r="CJ19" s="55"/>
      <c r="CK19" s="55"/>
      <c r="CL19" s="55"/>
      <c r="CM19" s="55"/>
      <c r="CN19" s="55"/>
      <c r="CO19" s="505">
        <f t="shared" si="4"/>
        <v>0</v>
      </c>
      <c r="CP19" s="679">
        <f t="shared" si="5"/>
        <v>0</v>
      </c>
      <c r="CQ19" s="679"/>
      <c r="CR19" s="623"/>
      <c r="CS19" s="82"/>
      <c r="CT19" s="957"/>
      <c r="CU19" s="511"/>
      <c r="CV19" s="511"/>
      <c r="CW19" s="511"/>
      <c r="CX19" s="511"/>
      <c r="CY19" s="511"/>
      <c r="CZ19" s="511"/>
      <c r="DA19" s="511"/>
      <c r="DB19" s="511"/>
      <c r="DC19" s="511"/>
      <c r="DD19" s="511"/>
      <c r="DE19" s="511"/>
      <c r="DF19" s="511"/>
      <c r="DG19" s="511"/>
      <c r="DH19" s="511"/>
      <c r="DI19" s="511"/>
      <c r="DJ19" s="511"/>
      <c r="DK19" s="511"/>
      <c r="DL19" s="511"/>
      <c r="DM19" s="511"/>
      <c r="DN19" s="511"/>
      <c r="DO19" s="511">
        <f t="shared" ref="DO19:DO23" si="10">SUM(CW19:DN19)</f>
        <v>0</v>
      </c>
      <c r="DP19" s="511"/>
    </row>
    <row r="20" spans="1:120" s="16" customFormat="1" x14ac:dyDescent="0.2">
      <c r="A20" s="120" t="s">
        <v>97</v>
      </c>
      <c r="B20" s="100"/>
      <c r="C20" s="45"/>
      <c r="D20" s="58"/>
      <c r="E20" s="130"/>
      <c r="F20" s="119"/>
      <c r="G20" s="252"/>
      <c r="H20" s="145"/>
      <c r="I20" s="165"/>
      <c r="J20" s="48"/>
      <c r="K20" s="165"/>
      <c r="L20" s="48"/>
      <c r="M20" s="165"/>
      <c r="N20" s="48"/>
      <c r="O20" s="165"/>
      <c r="P20" s="48"/>
      <c r="Q20" s="48"/>
      <c r="R20" s="125"/>
      <c r="S20" s="128"/>
      <c r="T20" s="129"/>
      <c r="U20" s="72"/>
      <c r="V20" s="776"/>
      <c r="W20" s="776"/>
      <c r="X20" s="55"/>
      <c r="Y20" s="106"/>
      <c r="Z20" s="258"/>
      <c r="AA20" s="57"/>
      <c r="AB20" s="80"/>
      <c r="AC20" s="57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72"/>
      <c r="AT20" s="55"/>
      <c r="AU20" s="55"/>
      <c r="AV20" s="55">
        <f t="shared" si="3"/>
        <v>0</v>
      </c>
      <c r="AW20" s="55">
        <f t="shared" si="3"/>
        <v>0</v>
      </c>
      <c r="AX20" s="55">
        <f t="shared" si="3"/>
        <v>0</v>
      </c>
      <c r="AY20" s="55">
        <f t="shared" si="3"/>
        <v>0</v>
      </c>
      <c r="AZ20" s="55">
        <f t="shared" si="3"/>
        <v>0</v>
      </c>
      <c r="BA20" s="57"/>
      <c r="BB20" s="80"/>
      <c r="BC20" s="57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448"/>
      <c r="BO20" s="55"/>
      <c r="BP20" s="55"/>
      <c r="BQ20" s="55"/>
      <c r="BR20" s="55"/>
      <c r="BS20" s="55"/>
      <c r="BT20" s="55"/>
      <c r="BU20" s="55"/>
      <c r="BV20" s="57"/>
      <c r="BW20" s="80"/>
      <c r="BX20" s="57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448"/>
      <c r="CJ20" s="55"/>
      <c r="CK20" s="55"/>
      <c r="CL20" s="55"/>
      <c r="CM20" s="55"/>
      <c r="CN20" s="55"/>
      <c r="CO20" s="505">
        <f t="shared" si="4"/>
        <v>0</v>
      </c>
      <c r="CP20" s="679">
        <f t="shared" si="5"/>
        <v>0</v>
      </c>
      <c r="CQ20" s="679"/>
      <c r="CR20" s="956"/>
      <c r="CS20" s="80"/>
      <c r="CT20" s="957"/>
      <c r="CU20" s="511"/>
      <c r="CV20" s="511"/>
      <c r="CW20" s="511"/>
      <c r="CX20" s="511"/>
      <c r="CY20" s="511"/>
      <c r="CZ20" s="511"/>
      <c r="DA20" s="511"/>
      <c r="DB20" s="511"/>
      <c r="DC20" s="511"/>
      <c r="DD20" s="511"/>
      <c r="DE20" s="511"/>
      <c r="DF20" s="511"/>
      <c r="DG20" s="511"/>
      <c r="DH20" s="511"/>
      <c r="DI20" s="511"/>
      <c r="DJ20" s="511"/>
      <c r="DK20" s="511"/>
      <c r="DL20" s="511"/>
      <c r="DM20" s="511"/>
      <c r="DN20" s="511"/>
      <c r="DO20" s="511">
        <f t="shared" si="10"/>
        <v>0</v>
      </c>
      <c r="DP20" s="756"/>
    </row>
    <row r="21" spans="1:120" s="16" customFormat="1" x14ac:dyDescent="0.2">
      <c r="A21" s="119" t="s">
        <v>371</v>
      </c>
      <c r="B21" s="100" t="s">
        <v>646</v>
      </c>
      <c r="C21" s="45" t="s">
        <v>436</v>
      </c>
      <c r="D21" s="58">
        <v>10</v>
      </c>
      <c r="E21" s="127">
        <v>0.1</v>
      </c>
      <c r="F21" s="46">
        <v>43281</v>
      </c>
      <c r="G21" s="125">
        <v>120</v>
      </c>
      <c r="H21" s="145">
        <f>100/G21</f>
        <v>0.83333333333333337</v>
      </c>
      <c r="I21" s="165">
        <f>H21*J21</f>
        <v>31.666666666666668</v>
      </c>
      <c r="J21" s="48">
        <f>(YEAR(F21)-YEAR(S21))*12+MONTH(F21)-MONTH(S21)</f>
        <v>38</v>
      </c>
      <c r="K21" s="165">
        <f>L21*H21</f>
        <v>68.333333333333343</v>
      </c>
      <c r="L21" s="48">
        <f>G21-J21</f>
        <v>82</v>
      </c>
      <c r="M21" s="165">
        <f>N21*H21</f>
        <v>5.8333333333333339</v>
      </c>
      <c r="N21" s="48">
        <v>7</v>
      </c>
      <c r="O21" s="165">
        <f>K21-M21</f>
        <v>62.500000000000007</v>
      </c>
      <c r="P21" s="48">
        <f>L21-N21</f>
        <v>75</v>
      </c>
      <c r="Q21" s="462">
        <f>DATE(YEAR(S21),MONTH(S21)+G21,DAY(S21))</f>
        <v>45767</v>
      </c>
      <c r="R21" s="125" t="s">
        <v>438</v>
      </c>
      <c r="S21" s="128">
        <v>42114</v>
      </c>
      <c r="T21" s="7">
        <v>1088.99</v>
      </c>
      <c r="U21" s="72"/>
      <c r="V21" s="776">
        <v>0</v>
      </c>
      <c r="W21" s="776">
        <f>T21-V21</f>
        <v>1088.99</v>
      </c>
      <c r="X21" s="55">
        <f>W21*E21/12*5</f>
        <v>45.374583333333334</v>
      </c>
      <c r="Y21" s="106">
        <f>X21*5</f>
        <v>226.87291666666667</v>
      </c>
      <c r="Z21" s="258">
        <f>W21-Y21</f>
        <v>862.11708333333331</v>
      </c>
      <c r="AA21" s="57">
        <v>115.958</v>
      </c>
      <c r="AB21" s="57">
        <v>116.345</v>
      </c>
      <c r="AC21" s="57">
        <f>AA21/AB21</f>
        <v>0.99667368602002659</v>
      </c>
      <c r="AD21" s="55">
        <f>Z21*M21/100/K21*100/7</f>
        <v>10.513622967479675</v>
      </c>
      <c r="AE21" s="55">
        <f>AD21*AC21</f>
        <v>10.478651356422779</v>
      </c>
      <c r="AF21" s="55"/>
      <c r="AG21" s="55"/>
      <c r="AH21" s="55"/>
      <c r="AI21" s="55"/>
      <c r="AJ21" s="55"/>
      <c r="AK21" s="55">
        <f>AE21</f>
        <v>10.478651356422779</v>
      </c>
      <c r="AL21" s="55">
        <v>7.2817746714124381</v>
      </c>
      <c r="AM21" s="55">
        <v>7.2817746714124381</v>
      </c>
      <c r="AN21" s="55">
        <v>7.2817746714124381</v>
      </c>
      <c r="AO21" s="55">
        <v>7.2817746714124381</v>
      </c>
      <c r="AP21" s="55">
        <v>7.2817746714124381</v>
      </c>
      <c r="AQ21" s="55">
        <v>7.2817746714124381</v>
      </c>
      <c r="AR21" s="55">
        <f>SUM(AF21:AQ21)</f>
        <v>54.1692993848974</v>
      </c>
      <c r="AS21" s="72">
        <f>Z21-AR21</f>
        <v>807.94778394843593</v>
      </c>
      <c r="AT21" s="55"/>
      <c r="AU21" s="55"/>
      <c r="AV21" s="55">
        <f t="shared" si="3"/>
        <v>7.2817746714124381</v>
      </c>
      <c r="AW21" s="55">
        <f t="shared" si="3"/>
        <v>7.2817746714124381</v>
      </c>
      <c r="AX21" s="55">
        <f t="shared" si="3"/>
        <v>7.2817746714124381</v>
      </c>
      <c r="AY21" s="55">
        <f t="shared" si="3"/>
        <v>7.2817746714124381</v>
      </c>
      <c r="AZ21" s="55">
        <f t="shared" si="3"/>
        <v>7.2817746714124381</v>
      </c>
      <c r="BA21" s="57">
        <v>118.901</v>
      </c>
      <c r="BB21" s="57">
        <v>116.345</v>
      </c>
      <c r="BC21" s="57">
        <f>BA21/BB21</f>
        <v>1.0219691434956379</v>
      </c>
      <c r="BD21" s="55">
        <f>T21/(D21*12)</f>
        <v>9.0749166666666667</v>
      </c>
      <c r="BE21" s="55">
        <f>BD21*BC21</f>
        <v>9.2742848131276237</v>
      </c>
      <c r="BF21" s="55">
        <f t="shared" si="6"/>
        <v>9.2742848131276237</v>
      </c>
      <c r="BG21" s="55">
        <f t="shared" si="6"/>
        <v>9.2742848131276237</v>
      </c>
      <c r="BH21" s="55">
        <f t="shared" si="6"/>
        <v>9.2742848131276237</v>
      </c>
      <c r="BI21" s="55">
        <f t="shared" si="6"/>
        <v>9.2742848131276237</v>
      </c>
      <c r="BJ21" s="55">
        <f t="shared" si="6"/>
        <v>9.2742848131276237</v>
      </c>
      <c r="BK21" s="55">
        <f t="shared" si="6"/>
        <v>9.2742848131276237</v>
      </c>
      <c r="BL21" s="55">
        <f t="shared" si="6"/>
        <v>9.2742848131276237</v>
      </c>
      <c r="BM21" s="55">
        <f t="shared" si="7"/>
        <v>101.32886704895554</v>
      </c>
      <c r="BN21" s="448">
        <f t="shared" si="8"/>
        <v>706.61891689948038</v>
      </c>
      <c r="BO21" s="55">
        <f t="shared" si="9"/>
        <v>9.2742848131276237</v>
      </c>
      <c r="BP21" s="55">
        <f t="shared" si="9"/>
        <v>9.2742848131276237</v>
      </c>
      <c r="BQ21" s="55">
        <f t="shared" si="9"/>
        <v>9.2742848131276237</v>
      </c>
      <c r="BR21" s="55">
        <f t="shared" si="9"/>
        <v>9.2742848131276237</v>
      </c>
      <c r="BS21" s="55">
        <f t="shared" si="9"/>
        <v>9.2742848131276237</v>
      </c>
      <c r="BT21" s="55">
        <f>SUM(BO21:BS21)</f>
        <v>46.371424065638116</v>
      </c>
      <c r="BU21" s="55">
        <f>BN21-BT21</f>
        <v>660.24749283384222</v>
      </c>
      <c r="BV21" s="57">
        <v>126.408</v>
      </c>
      <c r="BW21" s="57">
        <v>116.345</v>
      </c>
      <c r="BX21" s="57">
        <f>BV21/BW21</f>
        <v>1.0864927586058706</v>
      </c>
      <c r="BY21" s="55">
        <f>BU21/L21</f>
        <v>8.0517986930956376</v>
      </c>
      <c r="BZ21" s="55">
        <f>BY21*BX21</f>
        <v>8.7482209738006222</v>
      </c>
      <c r="CA21" s="55">
        <f>BZ21*BY21</f>
        <v>70.438914203759694</v>
      </c>
      <c r="CB21" s="55">
        <v>53.82</v>
      </c>
      <c r="CC21" s="55">
        <v>53.82</v>
      </c>
      <c r="CD21" s="55">
        <v>53.82</v>
      </c>
      <c r="CE21" s="55">
        <v>53.82</v>
      </c>
      <c r="CF21" s="55">
        <v>53.82</v>
      </c>
      <c r="CG21" s="55">
        <v>53.82</v>
      </c>
      <c r="CH21" s="55">
        <f>SUM(CA21:CG21)</f>
        <v>393.3589142037597</v>
      </c>
      <c r="CI21" s="448">
        <f>BU21-CH21</f>
        <v>266.88857863008252</v>
      </c>
      <c r="CJ21" s="55">
        <v>53.82</v>
      </c>
      <c r="CK21" s="55">
        <v>53.82</v>
      </c>
      <c r="CL21" s="55">
        <v>53.82</v>
      </c>
      <c r="CM21" s="55">
        <v>53.82</v>
      </c>
      <c r="CN21" s="55">
        <v>53.82</v>
      </c>
      <c r="CO21" s="505">
        <f t="shared" si="4"/>
        <v>269.10000000000002</v>
      </c>
      <c r="CP21" s="679">
        <f t="shared" si="5"/>
        <v>-2.2114213699175025</v>
      </c>
      <c r="CQ21" s="679">
        <v>15.745318314576934</v>
      </c>
      <c r="CR21" s="956">
        <v>132.28200000000001</v>
      </c>
      <c r="CS21" s="57">
        <v>116.345</v>
      </c>
      <c r="CT21" s="957">
        <f>CS21/CR21</f>
        <v>0.87952253518997281</v>
      </c>
      <c r="CU21" s="511">
        <f>CQ21/L21</f>
        <v>0.1920160770070358</v>
      </c>
      <c r="CV21" s="511">
        <f>CU21*CT21</f>
        <v>0.16888246684646116</v>
      </c>
      <c r="CW21" s="511">
        <v>0.17</v>
      </c>
      <c r="CX21" s="511">
        <v>0.17</v>
      </c>
      <c r="CY21" s="511">
        <v>0.17</v>
      </c>
      <c r="CZ21" s="511">
        <v>0.17</v>
      </c>
      <c r="DA21" s="511">
        <v>0.17</v>
      </c>
      <c r="DB21" s="511">
        <v>0.17</v>
      </c>
      <c r="DC21" s="511">
        <v>0.17</v>
      </c>
      <c r="DD21" s="511">
        <v>0.17</v>
      </c>
      <c r="DE21" s="511">
        <v>0.17</v>
      </c>
      <c r="DF21" s="511">
        <v>0.17</v>
      </c>
      <c r="DG21" s="511">
        <v>0.17</v>
      </c>
      <c r="DH21" s="511">
        <v>0.17</v>
      </c>
      <c r="DI21" s="511">
        <v>0.17</v>
      </c>
      <c r="DJ21" s="511">
        <v>0.17</v>
      </c>
      <c r="DK21" s="511">
        <v>0.17</v>
      </c>
      <c r="DL21" s="511">
        <v>0.17</v>
      </c>
      <c r="DM21" s="511">
        <v>0.17</v>
      </c>
      <c r="DN21" s="511">
        <v>0.17</v>
      </c>
      <c r="DO21" s="511">
        <f t="shared" si="10"/>
        <v>3.0599999999999992</v>
      </c>
      <c r="DP21" s="756">
        <f>SUM(CQ21-DO21)</f>
        <v>12.685318314576936</v>
      </c>
    </row>
    <row r="22" spans="1:120" s="16" customFormat="1" x14ac:dyDescent="0.2">
      <c r="A22" s="120" t="s">
        <v>65</v>
      </c>
      <c r="B22" s="120"/>
      <c r="C22" s="124"/>
      <c r="D22" s="111"/>
      <c r="E22" s="111"/>
      <c r="F22" s="46"/>
      <c r="G22" s="125"/>
      <c r="H22" s="145"/>
      <c r="I22" s="165"/>
      <c r="J22" s="48"/>
      <c r="K22" s="165"/>
      <c r="L22" s="48"/>
      <c r="M22" s="165"/>
      <c r="N22" s="48"/>
      <c r="O22" s="165"/>
      <c r="P22" s="48"/>
      <c r="Q22" s="48"/>
      <c r="R22" s="125"/>
      <c r="S22" s="119"/>
      <c r="T22" s="7"/>
      <c r="U22" s="72"/>
      <c r="V22" s="776"/>
      <c r="W22" s="776"/>
      <c r="X22" s="55"/>
      <c r="Y22" s="106"/>
      <c r="Z22" s="258"/>
      <c r="AA22" s="57"/>
      <c r="AB22" s="82"/>
      <c r="AC22" s="57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72"/>
      <c r="AT22" s="55"/>
      <c r="AU22" s="55"/>
      <c r="AV22" s="55">
        <f t="shared" si="3"/>
        <v>0</v>
      </c>
      <c r="AW22" s="55">
        <f t="shared" si="3"/>
        <v>0</v>
      </c>
      <c r="AX22" s="55">
        <f t="shared" si="3"/>
        <v>0</v>
      </c>
      <c r="AY22" s="55">
        <f t="shared" si="3"/>
        <v>0</v>
      </c>
      <c r="AZ22" s="55">
        <f t="shared" si="3"/>
        <v>0</v>
      </c>
      <c r="BA22" s="57"/>
      <c r="BB22" s="82"/>
      <c r="BC22" s="57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448"/>
      <c r="BO22" s="55"/>
      <c r="BP22" s="55"/>
      <c r="BQ22" s="55"/>
      <c r="BR22" s="55"/>
      <c r="BS22" s="55"/>
      <c r="BT22" s="55"/>
      <c r="BU22" s="55"/>
      <c r="BV22" s="57"/>
      <c r="BW22" s="82"/>
      <c r="BX22" s="57"/>
      <c r="BY22" s="55"/>
      <c r="BZ22" s="55" t="s">
        <v>1269</v>
      </c>
      <c r="CA22" s="55"/>
      <c r="CB22" s="55"/>
      <c r="CC22" s="55"/>
      <c r="CD22" s="55"/>
      <c r="CE22" s="55"/>
      <c r="CF22" s="55"/>
      <c r="CG22" s="55"/>
      <c r="CH22" s="55"/>
      <c r="CI22" s="448"/>
      <c r="CJ22" s="55"/>
      <c r="CK22" s="55"/>
      <c r="CL22" s="55"/>
      <c r="CM22" s="55"/>
      <c r="CN22" s="55"/>
      <c r="CO22" s="505">
        <f t="shared" si="4"/>
        <v>0</v>
      </c>
      <c r="CP22" s="679">
        <f t="shared" si="5"/>
        <v>0</v>
      </c>
      <c r="CQ22" s="679"/>
      <c r="CR22" s="956"/>
      <c r="CS22" s="82"/>
      <c r="CT22" s="957"/>
      <c r="CU22" s="511"/>
      <c r="CV22" s="511"/>
      <c r="CW22" s="511"/>
      <c r="CX22" s="511"/>
      <c r="CY22" s="511"/>
      <c r="CZ22" s="511"/>
      <c r="DA22" s="511"/>
      <c r="DB22" s="511"/>
      <c r="DC22" s="511"/>
      <c r="DD22" s="511"/>
      <c r="DE22" s="511"/>
      <c r="DF22" s="511"/>
      <c r="DG22" s="511"/>
      <c r="DH22" s="511"/>
      <c r="DI22" s="511"/>
      <c r="DJ22" s="511"/>
      <c r="DK22" s="511"/>
      <c r="DL22" s="511"/>
      <c r="DM22" s="511"/>
      <c r="DN22" s="511"/>
      <c r="DO22" s="511">
        <f t="shared" si="10"/>
        <v>0</v>
      </c>
      <c r="DP22" s="756"/>
    </row>
    <row r="23" spans="1:120" s="16" customFormat="1" x14ac:dyDescent="0.2">
      <c r="A23" s="120" t="s">
        <v>647</v>
      </c>
      <c r="B23" s="100"/>
      <c r="C23" s="45"/>
      <c r="D23" s="58"/>
      <c r="E23" s="130"/>
      <c r="F23" s="119"/>
      <c r="G23" s="125"/>
      <c r="H23" s="145"/>
      <c r="I23" s="165"/>
      <c r="J23" s="48"/>
      <c r="K23" s="165"/>
      <c r="L23" s="48"/>
      <c r="M23" s="165"/>
      <c r="N23" s="48"/>
      <c r="O23" s="165"/>
      <c r="P23" s="48"/>
      <c r="Q23" s="48"/>
      <c r="R23" s="125"/>
      <c r="S23" s="128"/>
      <c r="T23" s="129"/>
      <c r="U23" s="72"/>
      <c r="V23" s="776"/>
      <c r="W23" s="776"/>
      <c r="X23" s="55"/>
      <c r="Y23" s="106"/>
      <c r="Z23" s="258"/>
      <c r="AA23" s="57"/>
      <c r="AB23" s="80"/>
      <c r="AC23" s="57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72"/>
      <c r="AT23" s="55"/>
      <c r="AU23" s="55"/>
      <c r="AV23" s="55">
        <f t="shared" si="3"/>
        <v>0</v>
      </c>
      <c r="AW23" s="55">
        <f t="shared" si="3"/>
        <v>0</v>
      </c>
      <c r="AX23" s="55">
        <f t="shared" si="3"/>
        <v>0</v>
      </c>
      <c r="AY23" s="55">
        <f t="shared" si="3"/>
        <v>0</v>
      </c>
      <c r="AZ23" s="55">
        <f t="shared" si="3"/>
        <v>0</v>
      </c>
      <c r="BA23" s="57"/>
      <c r="BB23" s="80"/>
      <c r="BC23" s="57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448"/>
      <c r="BO23" s="55"/>
      <c r="BP23" s="55"/>
      <c r="BQ23" s="55"/>
      <c r="BR23" s="55"/>
      <c r="BS23" s="55"/>
      <c r="BT23" s="55"/>
      <c r="BU23" s="55"/>
      <c r="BV23" s="57"/>
      <c r="BW23" s="80"/>
      <c r="BX23" s="57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448"/>
      <c r="CJ23" s="55"/>
      <c r="CK23" s="55"/>
      <c r="CL23" s="55"/>
      <c r="CM23" s="55"/>
      <c r="CN23" s="55"/>
      <c r="CO23" s="505">
        <f t="shared" si="4"/>
        <v>0</v>
      </c>
      <c r="CP23" s="679">
        <f t="shared" si="5"/>
        <v>0</v>
      </c>
      <c r="CQ23" s="679"/>
      <c r="CR23" s="956"/>
      <c r="CS23" s="80"/>
      <c r="CT23" s="957"/>
      <c r="CU23" s="511"/>
      <c r="CV23" s="511"/>
      <c r="CW23" s="511"/>
      <c r="CX23" s="511"/>
      <c r="CY23" s="511"/>
      <c r="CZ23" s="511"/>
      <c r="DA23" s="511"/>
      <c r="DB23" s="511"/>
      <c r="DC23" s="511"/>
      <c r="DD23" s="511"/>
      <c r="DE23" s="511"/>
      <c r="DF23" s="511"/>
      <c r="DG23" s="511"/>
      <c r="DH23" s="511"/>
      <c r="DI23" s="511"/>
      <c r="DJ23" s="511"/>
      <c r="DK23" s="511"/>
      <c r="DL23" s="511"/>
      <c r="DM23" s="511"/>
      <c r="DN23" s="511"/>
      <c r="DO23" s="511">
        <f t="shared" si="10"/>
        <v>0</v>
      </c>
      <c r="DP23" s="756"/>
    </row>
    <row r="24" spans="1:120" s="16" customFormat="1" x14ac:dyDescent="0.2">
      <c r="A24" s="119" t="s">
        <v>648</v>
      </c>
      <c r="B24" s="100" t="s">
        <v>649</v>
      </c>
      <c r="C24" s="45" t="s">
        <v>436</v>
      </c>
      <c r="D24" s="58">
        <v>3</v>
      </c>
      <c r="E24" s="127">
        <v>0.33329999999999999</v>
      </c>
      <c r="F24" s="46">
        <v>43281</v>
      </c>
      <c r="G24" s="125">
        <v>36</v>
      </c>
      <c r="H24" s="145">
        <f>100/G24</f>
        <v>2.7777777777777777</v>
      </c>
      <c r="I24" s="165">
        <f>H24*J24</f>
        <v>180.55555555555554</v>
      </c>
      <c r="J24" s="48">
        <f>(YEAR(F24)-YEAR(S24))*12+MONTH(F24)-MONTH(S24)</f>
        <v>65</v>
      </c>
      <c r="K24" s="165">
        <f>L24*H24</f>
        <v>-80.555555555555557</v>
      </c>
      <c r="L24" s="48">
        <f>G24-J24</f>
        <v>-29</v>
      </c>
      <c r="M24" s="165">
        <f>N24*H24</f>
        <v>19.444444444444443</v>
      </c>
      <c r="N24" s="48">
        <v>7</v>
      </c>
      <c r="O24" s="165">
        <f>K24-M24</f>
        <v>-100</v>
      </c>
      <c r="P24" s="48">
        <f>L24-N24</f>
        <v>-36</v>
      </c>
      <c r="Q24" s="462">
        <f>DATE(YEAR(S24),MONTH(S24)+G24,DAY(S24))</f>
        <v>42372</v>
      </c>
      <c r="R24" s="125" t="s">
        <v>650</v>
      </c>
      <c r="S24" s="128">
        <v>41277</v>
      </c>
      <c r="T24" s="7">
        <v>110</v>
      </c>
      <c r="U24" s="72"/>
      <c r="V24" s="776">
        <f>T24*I24%</f>
        <v>198.61111111111109</v>
      </c>
      <c r="W24" s="776">
        <f>T24-V24</f>
        <v>-88.611111111111086</v>
      </c>
      <c r="X24" s="55">
        <f>T24*H24%</f>
        <v>3.0555555555555554</v>
      </c>
      <c r="Y24" s="106">
        <f>X24*5</f>
        <v>15.277777777777777</v>
      </c>
      <c r="Z24" s="258">
        <f>W24-Y24</f>
        <v>-103.88888888888886</v>
      </c>
      <c r="AA24" s="57">
        <v>115.958</v>
      </c>
      <c r="AB24" s="57">
        <v>107.678</v>
      </c>
      <c r="AC24" s="57">
        <f>AA24/AB24</f>
        <v>1.0768959304593324</v>
      </c>
      <c r="AD24" s="55">
        <f>Z24*M24/100/K24*100/7</f>
        <v>3.5823754789272013</v>
      </c>
      <c r="AE24" s="55">
        <f>AD24*AC24</f>
        <v>3.857845574634005</v>
      </c>
      <c r="AF24" s="55"/>
      <c r="AG24" s="55"/>
      <c r="AH24" s="55"/>
      <c r="AI24" s="55"/>
      <c r="AJ24" s="55"/>
      <c r="AK24" s="55">
        <f>AE24</f>
        <v>3.857845574634005</v>
      </c>
      <c r="AL24" s="55">
        <v>0.94014724087719459</v>
      </c>
      <c r="AM24" s="55">
        <v>0.94014724087719459</v>
      </c>
      <c r="AN24" s="55">
        <v>0.94014724087719459</v>
      </c>
      <c r="AO24" s="55">
        <v>0.94014724087719459</v>
      </c>
      <c r="AP24" s="55">
        <v>0.41</v>
      </c>
      <c r="AQ24" s="55">
        <v>0</v>
      </c>
      <c r="AR24" s="55">
        <f>SUM(AF24:AQ24)</f>
        <v>8.0284345381427826</v>
      </c>
      <c r="AS24" s="72">
        <f>Z24-AR24</f>
        <v>-111.91732342703165</v>
      </c>
      <c r="AT24" s="55"/>
      <c r="AU24" s="55"/>
      <c r="AV24" s="55">
        <f t="shared" si="3"/>
        <v>0</v>
      </c>
      <c r="AW24" s="55">
        <f t="shared" si="3"/>
        <v>0</v>
      </c>
      <c r="AX24" s="55">
        <f t="shared" si="3"/>
        <v>0</v>
      </c>
      <c r="AY24" s="55">
        <f t="shared" si="3"/>
        <v>0</v>
      </c>
      <c r="AZ24" s="55">
        <f t="shared" si="3"/>
        <v>0</v>
      </c>
      <c r="BA24" s="57">
        <v>118.901</v>
      </c>
      <c r="BB24" s="57">
        <v>107.678</v>
      </c>
      <c r="BC24" s="57">
        <f>BA24/BB24</f>
        <v>1.1042274187856387</v>
      </c>
      <c r="BD24" s="55">
        <f>AZ24*AM24/100/AK24*100/7</f>
        <v>0</v>
      </c>
      <c r="BE24" s="55">
        <f>BD24*BC24</f>
        <v>0</v>
      </c>
      <c r="BF24" s="55"/>
      <c r="BG24" s="55"/>
      <c r="BH24" s="55"/>
      <c r="BI24" s="55"/>
      <c r="BJ24" s="55"/>
      <c r="BK24" s="55"/>
      <c r="BL24" s="55"/>
      <c r="BM24" s="55">
        <f t="shared" si="7"/>
        <v>0</v>
      </c>
      <c r="BN24" s="448">
        <f t="shared" si="8"/>
        <v>-111.91732342703165</v>
      </c>
      <c r="BO24" s="55"/>
      <c r="BP24" s="55"/>
      <c r="BQ24" s="55"/>
      <c r="BR24" s="55"/>
      <c r="BS24" s="55"/>
      <c r="BT24" s="55">
        <f>SUM(BO24:BS24)</f>
        <v>0</v>
      </c>
      <c r="BU24" s="55">
        <v>1</v>
      </c>
      <c r="BV24" s="57">
        <v>126.408</v>
      </c>
      <c r="BW24" s="57">
        <v>107.678</v>
      </c>
      <c r="BX24" s="57">
        <f>BV24/BW24</f>
        <v>1.1739445383458089</v>
      </c>
      <c r="BY24" s="55">
        <v>0</v>
      </c>
      <c r="BZ24" s="55">
        <v>0</v>
      </c>
      <c r="CA24" s="55">
        <v>0</v>
      </c>
      <c r="CB24" s="55">
        <v>0</v>
      </c>
      <c r="CC24" s="55">
        <v>0</v>
      </c>
      <c r="CD24" s="55">
        <v>0</v>
      </c>
      <c r="CE24" s="55">
        <v>0</v>
      </c>
      <c r="CF24" s="55">
        <v>0</v>
      </c>
      <c r="CG24" s="55">
        <v>0</v>
      </c>
      <c r="CH24" s="55">
        <f>SUM(CA24:CG24)</f>
        <v>0</v>
      </c>
      <c r="CI24" s="448">
        <f>BU24-CH24</f>
        <v>1</v>
      </c>
      <c r="CJ24" s="55">
        <v>0</v>
      </c>
      <c r="CK24" s="55">
        <v>0</v>
      </c>
      <c r="CL24" s="55">
        <v>0</v>
      </c>
      <c r="CM24" s="55">
        <v>0</v>
      </c>
      <c r="CN24" s="55">
        <v>0</v>
      </c>
      <c r="CO24" s="505">
        <f t="shared" si="4"/>
        <v>0</v>
      </c>
      <c r="CP24" s="679">
        <f t="shared" si="5"/>
        <v>1</v>
      </c>
      <c r="CQ24" s="679">
        <v>1</v>
      </c>
      <c r="CR24" s="956">
        <v>132.28200000000001</v>
      </c>
      <c r="CS24" s="57">
        <v>107.678</v>
      </c>
      <c r="CT24" s="957">
        <f>CS24/CR24</f>
        <v>0.81400341694259226</v>
      </c>
      <c r="CU24" s="511">
        <v>0</v>
      </c>
      <c r="CV24" s="511">
        <f>CU24*CT24</f>
        <v>0</v>
      </c>
      <c r="CW24" s="511"/>
      <c r="CX24" s="511"/>
      <c r="CY24" s="511"/>
      <c r="CZ24" s="511"/>
      <c r="DA24" s="511"/>
      <c r="DB24" s="511"/>
      <c r="DC24" s="511"/>
      <c r="DD24" s="511"/>
      <c r="DE24" s="511"/>
      <c r="DF24" s="511"/>
      <c r="DG24" s="511"/>
      <c r="DH24" s="511"/>
      <c r="DI24" s="511"/>
      <c r="DJ24" s="511"/>
      <c r="DK24" s="511"/>
      <c r="DL24" s="511"/>
      <c r="DM24" s="511"/>
      <c r="DN24" s="511"/>
      <c r="DO24" s="511">
        <f>SUM(CW24:DC24)</f>
        <v>0</v>
      </c>
      <c r="DP24" s="756">
        <f>SUM(CQ24-DO24)</f>
        <v>1</v>
      </c>
    </row>
    <row r="25" spans="1:120" ht="15" x14ac:dyDescent="0.2">
      <c r="R25" s="175"/>
      <c r="V25" s="254">
        <f>SUM(V15:V24)</f>
        <v>1234.4444444444446</v>
      </c>
      <c r="W25" s="254">
        <f>SUM(W15:W24)</f>
        <v>2064.5455555555554</v>
      </c>
      <c r="Y25" s="103"/>
      <c r="Z25" s="268">
        <f>SUM(Z15:Z24)</f>
        <v>1568.2281944444442</v>
      </c>
      <c r="AA25" s="16"/>
      <c r="AB25" s="388"/>
      <c r="AC25" s="16"/>
      <c r="AD25" s="385"/>
      <c r="AE25" s="385"/>
      <c r="AF25" s="385" t="e">
        <f>SUM(#REF!)</f>
        <v>#REF!</v>
      </c>
      <c r="AG25" s="385" t="e">
        <f>SUM(#REF!)</f>
        <v>#REF!</v>
      </c>
      <c r="AH25" s="385" t="e">
        <f>SUM(#REF!)</f>
        <v>#REF!</v>
      </c>
      <c r="AI25" s="385" t="e">
        <f>SUM(#REF!)</f>
        <v>#REF!</v>
      </c>
      <c r="AJ25" s="385" t="e">
        <f>SUM(#REF!)</f>
        <v>#REF!</v>
      </c>
      <c r="AK25" s="385">
        <f t="shared" ref="AK25:AR25" si="11">SUM(AK15:AK24)</f>
        <v>26.623153801015171</v>
      </c>
      <c r="AL25" s="385"/>
      <c r="AM25" s="385"/>
      <c r="AN25" s="385"/>
      <c r="AO25" s="385"/>
      <c r="AP25" s="385">
        <f t="shared" si="11"/>
        <v>21.582430105693767</v>
      </c>
      <c r="AQ25" s="396">
        <f t="shared" si="11"/>
        <v>21.172430105693767</v>
      </c>
      <c r="AR25" s="385">
        <f t="shared" si="11"/>
        <v>157.82832339868656</v>
      </c>
      <c r="AS25" s="195">
        <f>SUM(AS15:AS24)</f>
        <v>1410.3998710457577</v>
      </c>
      <c r="AV25" s="13">
        <f>SUM(AV14:AV24)</f>
        <v>21.172430105693767</v>
      </c>
      <c r="AW25" s="13">
        <f>SUM(AW14:AW24)</f>
        <v>21.172430105693767</v>
      </c>
      <c r="AX25" s="13">
        <f>SUM(AX14:AX24)</f>
        <v>21.172430105693767</v>
      </c>
      <c r="AY25" s="13">
        <f>SUM(AY15:AY24)</f>
        <v>21.172430105693767</v>
      </c>
      <c r="AZ25" s="13">
        <f>SUM(AZ15:AZ24)</f>
        <v>21.172430105693767</v>
      </c>
      <c r="BA25" s="16"/>
      <c r="BB25" s="388"/>
      <c r="BC25" s="16"/>
      <c r="BD25" s="385"/>
      <c r="BE25" s="385"/>
      <c r="BF25" s="13">
        <f t="shared" ref="BF25:BL25" si="12">SUM(BF14:BF24)</f>
        <v>25.948879374971014</v>
      </c>
      <c r="BG25" s="13">
        <f t="shared" si="12"/>
        <v>25.948879374971014</v>
      </c>
      <c r="BH25" s="13">
        <f t="shared" si="12"/>
        <v>25.948879374971014</v>
      </c>
      <c r="BI25" s="13">
        <f t="shared" si="12"/>
        <v>25.948879374971014</v>
      </c>
      <c r="BJ25" s="13">
        <f t="shared" si="12"/>
        <v>25.948879374971014</v>
      </c>
      <c r="BK25" s="13">
        <f t="shared" si="12"/>
        <v>25.948879374971014</v>
      </c>
      <c r="BL25" s="13">
        <f t="shared" si="12"/>
        <v>25.948879374971014</v>
      </c>
      <c r="BM25" s="459">
        <f>SUM(AV25:BL25)</f>
        <v>287.50430615326587</v>
      </c>
      <c r="BN25" s="460">
        <f t="shared" si="8"/>
        <v>1122.8955648924918</v>
      </c>
      <c r="BO25" s="13">
        <f>SUM(BO14:BO24)</f>
        <v>25.948879374971014</v>
      </c>
      <c r="BP25" s="13">
        <f>SUM(BP14:BP24)</f>
        <v>25.948879374971014</v>
      </c>
      <c r="BQ25" s="13">
        <f>SUM(BQ14:BQ24)</f>
        <v>25.948879374971014</v>
      </c>
      <c r="BR25" s="13">
        <f>SUM(BR14:BR24)</f>
        <v>25.948879374971014</v>
      </c>
      <c r="BS25" s="13">
        <f>SUM(BS15:BS24)</f>
        <v>25.948879374971014</v>
      </c>
      <c r="BT25" s="13">
        <f>SUM(BT15:BT24)</f>
        <v>129.74439687485508</v>
      </c>
      <c r="BU25" s="13">
        <f>SUM(BU15:BU24)</f>
        <v>1265.6239417629586</v>
      </c>
      <c r="BV25" s="16"/>
      <c r="BW25" s="388"/>
      <c r="BX25" s="16"/>
      <c r="BY25" s="385"/>
      <c r="BZ25" s="385"/>
      <c r="CA25" s="13">
        <f t="shared" ref="CA25:CH25" si="13">SUM(CA14:CA24)</f>
        <v>134.03221274106988</v>
      </c>
      <c r="CB25" s="13">
        <f>SUM(CB14:CB24)</f>
        <v>101.96000000000001</v>
      </c>
      <c r="CC25" s="13">
        <f t="shared" si="13"/>
        <v>101.96000000000001</v>
      </c>
      <c r="CD25" s="13">
        <f>SUM(CD13:CD24)</f>
        <v>101.96000000000001</v>
      </c>
      <c r="CE25" s="13">
        <f>SUM(CE13:CE24)</f>
        <v>101.96000000000001</v>
      </c>
      <c r="CF25" s="524">
        <f t="shared" si="13"/>
        <v>101.96000000000001</v>
      </c>
      <c r="CG25" s="524">
        <f t="shared" si="13"/>
        <v>101.96000000000001</v>
      </c>
      <c r="CH25" s="13">
        <f t="shared" si="13"/>
        <v>745.79221274106976</v>
      </c>
      <c r="CI25" s="13">
        <f>SUM(CI14:CI24)</f>
        <v>519.8317290218888</v>
      </c>
      <c r="CJ25" s="524">
        <f>SUM(CJ13:CJ24)</f>
        <v>101.96000000000001</v>
      </c>
      <c r="CK25" s="524">
        <f t="shared" ref="CK25:DO25" si="14">SUM(CK13:CK24)</f>
        <v>101.96000000000001</v>
      </c>
      <c r="CL25" s="524">
        <f t="shared" si="14"/>
        <v>101.96000000000001</v>
      </c>
      <c r="CM25" s="524">
        <f t="shared" si="14"/>
        <v>101.96000000000001</v>
      </c>
      <c r="CN25" s="524">
        <f t="shared" si="14"/>
        <v>101.96000000000001</v>
      </c>
      <c r="CO25" s="524">
        <f t="shared" si="14"/>
        <v>509.8</v>
      </c>
      <c r="CP25" s="524">
        <f t="shared" si="14"/>
        <v>10.031729021888736</v>
      </c>
      <c r="CQ25" s="524">
        <f t="shared" si="14"/>
        <v>44.76583017364851</v>
      </c>
      <c r="CR25" s="524">
        <f t="shared" si="14"/>
        <v>529.12800000000004</v>
      </c>
      <c r="CS25" s="524">
        <f t="shared" si="14"/>
        <v>474.048</v>
      </c>
      <c r="CT25" s="524">
        <f t="shared" si="14"/>
        <v>3.583616818614777</v>
      </c>
      <c r="CU25" s="524">
        <f t="shared" si="14"/>
        <v>0.53404787269148613</v>
      </c>
      <c r="CV25" s="524">
        <f t="shared" si="14"/>
        <v>0.46869615908572837</v>
      </c>
      <c r="CW25" s="524">
        <f t="shared" si="14"/>
        <v>0.47</v>
      </c>
      <c r="CX25" s="524">
        <f t="shared" si="14"/>
        <v>0.47</v>
      </c>
      <c r="CY25" s="524">
        <f t="shared" si="14"/>
        <v>0.47</v>
      </c>
      <c r="CZ25" s="524">
        <f t="shared" si="14"/>
        <v>0.47</v>
      </c>
      <c r="DA25" s="524">
        <f t="shared" si="14"/>
        <v>0.47</v>
      </c>
      <c r="DB25" s="524">
        <f t="shared" si="14"/>
        <v>0.47</v>
      </c>
      <c r="DC25" s="524">
        <f t="shared" si="14"/>
        <v>0.47</v>
      </c>
      <c r="DD25" s="524">
        <f t="shared" ref="DD25:DE25" si="15">SUM(DD13:DD24)</f>
        <v>0.47</v>
      </c>
      <c r="DE25" s="524">
        <f t="shared" si="15"/>
        <v>0.47</v>
      </c>
      <c r="DF25" s="524">
        <f t="shared" ref="DF25:DG25" si="16">SUM(DF13:DF24)</f>
        <v>0.47</v>
      </c>
      <c r="DG25" s="524">
        <f t="shared" si="16"/>
        <v>0.47</v>
      </c>
      <c r="DH25" s="524">
        <f t="shared" ref="DH25:DN25" si="17">SUM(DH13:DH24)</f>
        <v>0.47</v>
      </c>
      <c r="DI25" s="524">
        <f t="shared" ref="DI25:DM25" si="18">SUM(DI13:DI24)</f>
        <v>0.47</v>
      </c>
      <c r="DJ25" s="524">
        <f t="shared" si="18"/>
        <v>0.47</v>
      </c>
      <c r="DK25" s="524">
        <f t="shared" si="18"/>
        <v>0.47</v>
      </c>
      <c r="DL25" s="524">
        <f t="shared" si="18"/>
        <v>0.47</v>
      </c>
      <c r="DM25" s="524">
        <f t="shared" si="18"/>
        <v>0.47</v>
      </c>
      <c r="DN25" s="524">
        <f t="shared" si="17"/>
        <v>0.47</v>
      </c>
      <c r="DO25" s="524">
        <f t="shared" si="14"/>
        <v>8.4599999999999973</v>
      </c>
      <c r="DP25" s="524">
        <f>SUM(DP13:DP24)</f>
        <v>36.305830173648516</v>
      </c>
    </row>
    <row r="26" spans="1:120" s="104" customFormat="1" x14ac:dyDescent="0.2">
      <c r="A26" s="110" t="s">
        <v>315</v>
      </c>
      <c r="B26" s="87"/>
      <c r="C26" s="87"/>
      <c r="D26" s="88"/>
      <c r="E26" s="88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9"/>
      <c r="S26" s="89"/>
      <c r="T26" s="90"/>
      <c r="U26" s="90"/>
      <c r="V26" s="90"/>
      <c r="W26" s="90"/>
      <c r="X26" s="90"/>
      <c r="Y26" s="103"/>
      <c r="Z26" s="16"/>
      <c r="AA26" s="16"/>
      <c r="AB26" s="388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69"/>
      <c r="BA26" s="16"/>
      <c r="BB26" s="388"/>
      <c r="BC26" s="16"/>
      <c r="BD26" s="16"/>
      <c r="BE26" s="16"/>
      <c r="BN26" s="104">
        <f>BN25-BO25-BP25</f>
        <v>1070.9978061425497</v>
      </c>
      <c r="BV26" s="16"/>
      <c r="BW26" s="388"/>
      <c r="BX26" s="16"/>
      <c r="BY26" s="16"/>
      <c r="BZ26" s="16"/>
      <c r="CP26" s="104">
        <f>CI25-CO25</f>
        <v>10.031729021888793</v>
      </c>
      <c r="CQ26" s="104">
        <f>CJ25-CP25</f>
        <v>91.928270978111271</v>
      </c>
      <c r="DP26" s="104">
        <f>CQ25-DO25</f>
        <v>36.305830173648516</v>
      </c>
    </row>
    <row r="27" spans="1:120" s="104" customFormat="1" x14ac:dyDescent="0.2">
      <c r="A27" s="238" t="s">
        <v>568</v>
      </c>
      <c r="B27" s="239"/>
      <c r="C27" s="239"/>
      <c r="D27" s="240"/>
      <c r="E27" s="240"/>
      <c r="F27"/>
      <c r="G27"/>
      <c r="H27"/>
      <c r="I27"/>
      <c r="J27"/>
      <c r="K27"/>
      <c r="L27"/>
      <c r="M27"/>
      <c r="N27"/>
      <c r="O27"/>
      <c r="P27"/>
      <c r="Q27"/>
      <c r="R27" s="19"/>
      <c r="S27" s="19"/>
      <c r="T27" s="12"/>
      <c r="U27" s="12"/>
      <c r="V27" s="12"/>
      <c r="W27" s="12"/>
      <c r="X27" s="12"/>
      <c r="Y27" s="103"/>
      <c r="Z27" s="16"/>
      <c r="AA27" s="16"/>
      <c r="AB27" s="103"/>
      <c r="AC27" s="397"/>
      <c r="AD27" s="16"/>
      <c r="AE27" s="35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386"/>
      <c r="AS27" s="69"/>
      <c r="BA27" s="16"/>
      <c r="BB27" s="103"/>
      <c r="BC27" s="397"/>
      <c r="BD27" s="16"/>
      <c r="BE27" s="35"/>
      <c r="BV27" s="16"/>
      <c r="BW27" s="103"/>
      <c r="BX27" s="397"/>
      <c r="BY27" s="16"/>
      <c r="BZ27" s="35"/>
    </row>
    <row r="28" spans="1:120" ht="30.75" hidden="1" customHeight="1" x14ac:dyDescent="0.2">
      <c r="A28" s="1271" t="s">
        <v>462</v>
      </c>
      <c r="B28" s="1271"/>
      <c r="C28" s="1271"/>
      <c r="D28" s="1271"/>
      <c r="E28" s="1271"/>
      <c r="F28" s="1271"/>
      <c r="G28" s="1271"/>
      <c r="H28" s="1271"/>
      <c r="I28" s="1271"/>
      <c r="J28" s="1271"/>
      <c r="K28" s="1271"/>
      <c r="L28" s="1271"/>
      <c r="M28" s="1271"/>
      <c r="N28" s="1271"/>
      <c r="O28" s="1271"/>
      <c r="P28" s="1271"/>
      <c r="Q28" s="1271"/>
      <c r="R28" s="1271"/>
      <c r="S28" s="1271"/>
      <c r="T28" s="1271"/>
      <c r="U28" s="1271"/>
      <c r="V28" s="1271"/>
      <c r="W28" s="1271"/>
      <c r="X28" s="1271"/>
      <c r="Y28" s="1271"/>
      <c r="Z28" s="1271"/>
      <c r="AA28" s="1271"/>
      <c r="AB28" s="171"/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BB28" s="171"/>
      <c r="BC28" s="170"/>
      <c r="BD28" s="170"/>
      <c r="BE28" s="170"/>
      <c r="BW28" s="171"/>
      <c r="BX28" s="170"/>
      <c r="BY28" s="170"/>
      <c r="BZ28" s="170"/>
    </row>
    <row r="29" spans="1:120" hidden="1" x14ac:dyDescent="0.2">
      <c r="A29" s="1271"/>
      <c r="B29" s="1271"/>
      <c r="C29" s="1271"/>
      <c r="D29" s="1271"/>
      <c r="E29" s="1271"/>
      <c r="F29" s="1271"/>
      <c r="G29" s="1271"/>
      <c r="H29" s="1271"/>
      <c r="I29" s="1271"/>
      <c r="J29" s="1271"/>
      <c r="K29" s="1271"/>
      <c r="L29" s="1271"/>
      <c r="M29" s="1271"/>
      <c r="N29" s="1271"/>
      <c r="O29" s="1271"/>
      <c r="P29" s="1271"/>
      <c r="Q29" s="1271"/>
      <c r="R29" s="1271"/>
      <c r="S29" s="1271"/>
      <c r="T29" s="1271"/>
      <c r="U29" s="1271"/>
      <c r="V29" s="1271"/>
      <c r="W29" s="1271"/>
      <c r="X29" s="1271"/>
      <c r="Y29" s="1271"/>
      <c r="Z29" s="1271"/>
      <c r="AA29" s="1271"/>
    </row>
    <row r="30" spans="1:120" x14ac:dyDescent="0.2">
      <c r="CI30" s="289">
        <f>BU25-CH25</f>
        <v>519.8317290218888</v>
      </c>
    </row>
  </sheetData>
  <mergeCells count="41">
    <mergeCell ref="DP11:DP12"/>
    <mergeCell ref="A28:AA29"/>
    <mergeCell ref="R11:R12"/>
    <mergeCell ref="S11:S12"/>
    <mergeCell ref="T11:T12"/>
    <mergeCell ref="V11:V12"/>
    <mergeCell ref="W11:W12"/>
    <mergeCell ref="Y11:Y12"/>
    <mergeCell ref="J11:J12"/>
    <mergeCell ref="K11:K12"/>
    <mergeCell ref="L11:L12"/>
    <mergeCell ref="M11:M12"/>
    <mergeCell ref="O11:O12"/>
    <mergeCell ref="Q11:Q12"/>
    <mergeCell ref="A11:A12"/>
    <mergeCell ref="B11:B12"/>
    <mergeCell ref="AT11:AT12"/>
    <mergeCell ref="BY11:BY12"/>
    <mergeCell ref="BZ11:BZ12"/>
    <mergeCell ref="AU11:AU12"/>
    <mergeCell ref="BD11:BD12"/>
    <mergeCell ref="BE11:BE12"/>
    <mergeCell ref="BT11:BT12"/>
    <mergeCell ref="BU11:BU12"/>
    <mergeCell ref="D10:P10"/>
    <mergeCell ref="R10:T10"/>
    <mergeCell ref="W10:AS10"/>
    <mergeCell ref="H11:H12"/>
    <mergeCell ref="I11:I12"/>
    <mergeCell ref="Z11:Z12"/>
    <mergeCell ref="AD11:AD12"/>
    <mergeCell ref="AE11:AE12"/>
    <mergeCell ref="F11:F12"/>
    <mergeCell ref="G11:G12"/>
    <mergeCell ref="E11:E12"/>
    <mergeCell ref="DO11:DO12"/>
    <mergeCell ref="CO11:CO12"/>
    <mergeCell ref="CP11:CP12"/>
    <mergeCell ref="CU11:CU12"/>
    <mergeCell ref="CQ11:CQ12"/>
    <mergeCell ref="CV11:CV12"/>
  </mergeCells>
  <printOptions horizontalCentered="1"/>
  <pageMargins left="0.19685039370078741" right="0.19685039370078741" top="0.39370078740157483" bottom="0.39370078740157483" header="0" footer="0"/>
  <pageSetup scale="45" orientation="landscape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DO23"/>
  <sheetViews>
    <sheetView topLeftCell="C4" workbookViewId="0">
      <selection activeCell="DM21" sqref="DM21"/>
    </sheetView>
  </sheetViews>
  <sheetFormatPr baseColWidth="10" defaultRowHeight="12.75" x14ac:dyDescent="0.2"/>
  <cols>
    <col min="1" max="1" width="19.85546875" customWidth="1"/>
    <col min="2" max="2" width="21.140625" customWidth="1"/>
    <col min="3" max="3" width="18.140625" customWidth="1"/>
    <col min="4" max="4" width="5.140625" style="18" customWidth="1"/>
    <col min="5" max="5" width="7.42578125" style="18" customWidth="1"/>
    <col min="6" max="6" width="9.7109375" customWidth="1"/>
    <col min="7" max="7" width="6.28515625" customWidth="1"/>
    <col min="8" max="9" width="8.5703125" hidden="1" customWidth="1"/>
    <col min="10" max="10" width="6.85546875" hidden="1" customWidth="1"/>
    <col min="11" max="11" width="8.5703125" hidden="1" customWidth="1"/>
    <col min="12" max="12" width="7.42578125" customWidth="1"/>
    <col min="13" max="13" width="7.85546875" hidden="1" customWidth="1"/>
    <col min="14" max="14" width="8.5703125" hidden="1" customWidth="1"/>
    <col min="15" max="15" width="7.7109375" hidden="1" customWidth="1"/>
    <col min="16" max="16" width="8.5703125" hidden="1" customWidth="1"/>
    <col min="17" max="17" width="11" customWidth="1"/>
    <col min="18" max="18" width="11.5703125" style="19" customWidth="1"/>
    <col min="19" max="19" width="9.5703125" style="19" customWidth="1"/>
    <col min="20" max="20" width="8.42578125" style="12" customWidth="1"/>
    <col min="21" max="24" width="8.42578125" style="12" hidden="1" customWidth="1"/>
    <col min="25" max="25" width="9.140625" style="104" hidden="1" customWidth="1"/>
    <col min="26" max="27" width="8.7109375" hidden="1" customWidth="1"/>
    <col min="28" max="28" width="8.7109375" style="77" hidden="1" customWidth="1"/>
    <col min="29" max="29" width="7.42578125" hidden="1" customWidth="1"/>
    <col min="30" max="30" width="9.42578125" hidden="1" customWidth="1"/>
    <col min="31" max="31" width="9.28515625" hidden="1" customWidth="1"/>
    <col min="32" max="36" width="7.7109375" hidden="1" customWidth="1"/>
    <col min="37" max="37" width="11.28515625" hidden="1" customWidth="1"/>
    <col min="38" max="39" width="7.7109375" hidden="1" customWidth="1"/>
    <col min="40" max="40" width="8.28515625" hidden="1" customWidth="1"/>
    <col min="41" max="43" width="7.7109375" hidden="1" customWidth="1"/>
    <col min="44" max="44" width="9.28515625" hidden="1" customWidth="1"/>
    <col min="45" max="45" width="10" style="69" hidden="1" customWidth="1"/>
    <col min="46" max="46" width="7.28515625" hidden="1" customWidth="1"/>
    <col min="47" max="47" width="6.7109375" hidden="1" customWidth="1"/>
    <col min="48" max="48" width="8.42578125" hidden="1" customWidth="1"/>
    <col min="49" max="49" width="10" hidden="1" customWidth="1"/>
    <col min="50" max="50" width="9.85546875" hidden="1" customWidth="1"/>
    <col min="51" max="51" width="9.7109375" hidden="1" customWidth="1"/>
    <col min="52" max="52" width="10.28515625" hidden="1" customWidth="1"/>
    <col min="53" max="53" width="8.7109375" hidden="1" customWidth="1"/>
    <col min="54" max="54" width="8.7109375" style="77" hidden="1" customWidth="1"/>
    <col min="55" max="55" width="7.42578125" hidden="1" customWidth="1"/>
    <col min="56" max="56" width="9" hidden="1" customWidth="1"/>
    <col min="57" max="57" width="8.7109375" hidden="1" customWidth="1"/>
    <col min="58" max="63" width="9" hidden="1" customWidth="1"/>
    <col min="64" max="64" width="11.42578125" hidden="1" customWidth="1"/>
    <col min="65" max="65" width="8.7109375" hidden="1" customWidth="1"/>
    <col min="66" max="66" width="10.28515625" hidden="1" customWidth="1"/>
    <col min="67" max="67" width="8.42578125" hidden="1" customWidth="1"/>
    <col min="68" max="68" width="10" hidden="1" customWidth="1"/>
    <col min="69" max="70" width="11" hidden="1" customWidth="1"/>
    <col min="71" max="73" width="10.28515625" hidden="1" customWidth="1"/>
    <col min="74" max="74" width="8.7109375" hidden="1" customWidth="1"/>
    <col min="75" max="75" width="8.7109375" style="77" hidden="1" customWidth="1"/>
    <col min="76" max="76" width="7.42578125" hidden="1" customWidth="1"/>
    <col min="77" max="77" width="9" hidden="1" customWidth="1"/>
    <col min="78" max="78" width="8.7109375" hidden="1" customWidth="1"/>
    <col min="79" max="84" width="9" hidden="1" customWidth="1"/>
    <col min="85" max="85" width="11.42578125" hidden="1" customWidth="1"/>
    <col min="86" max="86" width="8.5703125" hidden="1" customWidth="1"/>
    <col min="87" max="87" width="10.28515625" hidden="1" customWidth="1"/>
    <col min="88" max="89" width="11.42578125" hidden="1" customWidth="1"/>
    <col min="90" max="90" width="10.7109375" hidden="1" customWidth="1"/>
    <col min="91" max="92" width="11.42578125" hidden="1" customWidth="1"/>
    <col min="93" max="93" width="0" hidden="1" customWidth="1"/>
    <col min="95" max="99" width="11.42578125" customWidth="1"/>
    <col min="100" max="116" width="11.42578125" hidden="1" customWidth="1"/>
    <col min="117" max="119" width="11.42578125" customWidth="1"/>
  </cols>
  <sheetData>
    <row r="1" spans="1:119" x14ac:dyDescent="0.2">
      <c r="A1" s="637"/>
      <c r="B1" s="638" t="s">
        <v>27</v>
      </c>
      <c r="C1" s="637"/>
      <c r="D1" s="639"/>
      <c r="E1" s="639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40"/>
      <c r="S1" s="640"/>
      <c r="T1" s="637"/>
      <c r="U1" s="637"/>
      <c r="V1" s="637"/>
      <c r="W1" s="637"/>
      <c r="X1" s="637"/>
      <c r="Y1" s="661"/>
      <c r="Z1" s="662"/>
      <c r="AA1" s="662"/>
      <c r="AB1" s="663"/>
      <c r="AC1" s="662"/>
      <c r="AD1" s="662"/>
      <c r="AE1" s="662"/>
      <c r="AF1" s="662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62" t="s">
        <v>1072</v>
      </c>
      <c r="AR1" s="637"/>
      <c r="AS1" s="664"/>
      <c r="AT1" s="637"/>
      <c r="AU1" s="637"/>
      <c r="AV1" s="637"/>
      <c r="AW1" s="637"/>
      <c r="AX1" s="637"/>
      <c r="AY1" s="637"/>
      <c r="AZ1" s="637"/>
      <c r="BA1" s="662"/>
      <c r="BB1" s="663"/>
      <c r="BC1" s="662"/>
      <c r="BD1" s="662"/>
      <c r="BE1" s="662"/>
      <c r="BF1" s="637"/>
      <c r="BG1" s="637"/>
      <c r="BH1" s="637"/>
      <c r="BI1" s="637"/>
      <c r="BJ1" s="637"/>
      <c r="BK1" s="637"/>
      <c r="BL1" s="637"/>
      <c r="BM1" s="637"/>
      <c r="BN1" s="637"/>
      <c r="BO1" s="637"/>
      <c r="BP1" s="637"/>
      <c r="BQ1" s="637"/>
      <c r="BR1" s="637"/>
      <c r="BS1" s="637"/>
      <c r="BT1" s="637"/>
      <c r="BU1" s="637"/>
      <c r="BV1" s="662"/>
      <c r="BW1" s="663"/>
      <c r="BX1" s="662"/>
      <c r="BY1" s="662"/>
      <c r="BZ1" s="662"/>
      <c r="CA1" s="637"/>
      <c r="CB1" s="637"/>
      <c r="CC1" s="637"/>
      <c r="CD1" s="637"/>
      <c r="CE1" s="637"/>
      <c r="CF1" s="637"/>
      <c r="CG1" s="637"/>
      <c r="CH1" s="637"/>
      <c r="CI1" s="637"/>
    </row>
    <row r="2" spans="1:119" x14ac:dyDescent="0.2">
      <c r="A2" s="637"/>
      <c r="B2" s="638" t="s">
        <v>1273</v>
      </c>
      <c r="C2" s="637"/>
      <c r="D2" s="639"/>
      <c r="E2" s="639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40"/>
      <c r="S2" s="640"/>
      <c r="T2" s="637"/>
      <c r="U2" s="637"/>
      <c r="V2" s="637"/>
      <c r="W2" s="637"/>
      <c r="X2" s="637"/>
      <c r="Y2" s="661"/>
      <c r="Z2" s="662"/>
      <c r="AA2" s="662"/>
      <c r="AB2" s="663"/>
      <c r="AC2" s="662"/>
      <c r="AD2" s="662"/>
      <c r="AE2" s="662"/>
      <c r="AF2" s="662"/>
      <c r="AG2" s="637"/>
      <c r="AH2" s="637"/>
      <c r="AI2" s="637"/>
      <c r="AJ2" s="637"/>
      <c r="AK2" s="637"/>
      <c r="AL2" s="637"/>
      <c r="AM2" s="637"/>
      <c r="AN2" s="637"/>
      <c r="AO2" s="637"/>
      <c r="AP2" s="637"/>
      <c r="AQ2" s="637"/>
      <c r="AR2" s="637"/>
      <c r="AS2" s="664"/>
      <c r="AT2" s="637"/>
      <c r="AU2" s="637"/>
      <c r="AV2" s="637"/>
      <c r="AW2" s="637"/>
      <c r="AX2" s="637"/>
      <c r="AY2" s="637"/>
      <c r="AZ2" s="637"/>
      <c r="BA2" s="662"/>
      <c r="BB2" s="663"/>
      <c r="BC2" s="662"/>
      <c r="BD2" s="662"/>
      <c r="BE2" s="662"/>
      <c r="BF2" s="637"/>
      <c r="BG2" s="637"/>
      <c r="BH2" s="637"/>
      <c r="BI2" s="637"/>
      <c r="BJ2" s="637"/>
      <c r="BK2" s="637"/>
      <c r="BL2" s="637"/>
      <c r="BM2" s="637"/>
      <c r="BN2" s="637"/>
      <c r="BO2" s="637"/>
      <c r="BP2" s="637"/>
      <c r="BQ2" s="637"/>
      <c r="BR2" s="637"/>
      <c r="BS2" s="637"/>
      <c r="BT2" s="637"/>
      <c r="BU2" s="637"/>
      <c r="BV2" s="662"/>
      <c r="BW2" s="663"/>
      <c r="BX2" s="662"/>
      <c r="BY2" s="662"/>
      <c r="BZ2" s="662"/>
      <c r="CA2" s="637"/>
      <c r="CB2" s="637"/>
      <c r="CC2" s="637"/>
      <c r="CD2" s="637"/>
      <c r="CE2" s="637"/>
      <c r="CF2" s="637"/>
      <c r="CG2" s="637"/>
      <c r="CH2" s="637"/>
      <c r="CI2" s="637"/>
    </row>
    <row r="3" spans="1:119" x14ac:dyDescent="0.2">
      <c r="A3" s="637"/>
      <c r="B3" s="637"/>
      <c r="C3" s="638"/>
      <c r="D3" s="641"/>
      <c r="E3" s="639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38"/>
      <c r="S3" s="638"/>
      <c r="T3" s="642"/>
      <c r="U3" s="642"/>
      <c r="V3" s="642"/>
      <c r="W3" s="642"/>
      <c r="X3" s="642"/>
      <c r="Y3" s="665"/>
      <c r="Z3" s="662"/>
      <c r="AA3" s="662"/>
      <c r="AB3" s="663"/>
      <c r="AC3" s="662"/>
      <c r="AD3" s="662"/>
      <c r="AE3" s="662"/>
      <c r="AF3" s="662"/>
      <c r="AG3" s="637"/>
      <c r="AH3" s="637"/>
      <c r="AI3" s="637"/>
      <c r="AJ3" s="637"/>
      <c r="AK3" s="637"/>
      <c r="AL3" s="637"/>
      <c r="AM3" s="637"/>
      <c r="AN3" s="637"/>
      <c r="AO3" s="637"/>
      <c r="AP3" s="637"/>
      <c r="AQ3" s="637"/>
      <c r="AR3" s="637"/>
      <c r="AS3" s="664"/>
      <c r="AT3" s="637"/>
      <c r="AU3" s="637"/>
      <c r="AV3" s="637"/>
      <c r="AW3" s="637"/>
      <c r="AX3" s="637"/>
      <c r="AY3" s="637"/>
      <c r="AZ3" s="637"/>
      <c r="BA3" s="662"/>
      <c r="BB3" s="663"/>
      <c r="BC3" s="662"/>
      <c r="BD3" s="662"/>
      <c r="BE3" s="662"/>
      <c r="BF3" s="637"/>
      <c r="BG3" s="637"/>
      <c r="BH3" s="637"/>
      <c r="BI3" s="637"/>
      <c r="BJ3" s="637"/>
      <c r="BK3" s="637"/>
      <c r="BL3" s="637"/>
      <c r="BM3" s="637"/>
      <c r="BN3" s="637"/>
      <c r="BO3" s="637"/>
      <c r="BP3" s="637"/>
      <c r="BQ3" s="637"/>
      <c r="BR3" s="637"/>
      <c r="BS3" s="637"/>
      <c r="BT3" s="637"/>
      <c r="BU3" s="637"/>
      <c r="BV3" s="662"/>
      <c r="BW3" s="663"/>
      <c r="BX3" s="662"/>
      <c r="BY3" s="662"/>
      <c r="BZ3" s="662"/>
      <c r="CA3" s="637"/>
      <c r="CB3" s="637"/>
      <c r="CC3" s="637"/>
      <c r="CD3" s="637"/>
      <c r="CE3" s="637"/>
      <c r="CF3" s="637"/>
      <c r="CG3" s="637"/>
      <c r="CH3" s="637"/>
      <c r="CI3" s="637"/>
    </row>
    <row r="4" spans="1:119" x14ac:dyDescent="0.2">
      <c r="A4" s="637"/>
      <c r="B4" s="637" t="s">
        <v>309</v>
      </c>
      <c r="C4" s="638"/>
      <c r="D4" s="641"/>
      <c r="E4" s="639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38"/>
      <c r="S4" s="638"/>
      <c r="T4" s="642"/>
      <c r="U4" s="642"/>
      <c r="V4" s="642"/>
      <c r="W4" s="642"/>
      <c r="X4" s="642"/>
      <c r="Y4" s="665"/>
      <c r="Z4" s="662"/>
      <c r="AA4" s="662"/>
      <c r="AB4" s="663"/>
      <c r="AC4" s="662"/>
      <c r="AD4" s="662"/>
      <c r="AE4" s="662"/>
      <c r="AF4" s="662"/>
      <c r="AG4" s="637"/>
      <c r="AH4" s="637"/>
      <c r="AI4" s="637"/>
      <c r="AJ4" s="637"/>
      <c r="AK4" s="637"/>
      <c r="AL4" s="637"/>
      <c r="AM4" s="637"/>
      <c r="AN4" s="637"/>
      <c r="AO4" s="637"/>
      <c r="AP4" s="637"/>
      <c r="AQ4" s="637"/>
      <c r="AR4" s="637"/>
      <c r="AS4" s="664"/>
      <c r="AT4" s="637"/>
      <c r="AU4" s="637"/>
      <c r="AV4" s="637"/>
      <c r="AW4" s="637"/>
      <c r="AX4" s="637"/>
      <c r="AY4" s="637"/>
      <c r="AZ4" s="637"/>
      <c r="BA4" s="662"/>
      <c r="BB4" s="663"/>
      <c r="BC4" s="662"/>
      <c r="BD4" s="662"/>
      <c r="BE4" s="662"/>
      <c r="BF4" s="637"/>
      <c r="BG4" s="637"/>
      <c r="BH4" s="637"/>
      <c r="BI4" s="637"/>
      <c r="BJ4" s="637"/>
      <c r="BK4" s="637"/>
      <c r="BL4" s="637"/>
      <c r="BM4" s="637"/>
      <c r="BN4" s="637"/>
      <c r="BO4" s="637"/>
      <c r="BP4" s="637"/>
      <c r="BQ4" s="637"/>
      <c r="BR4" s="637"/>
      <c r="BS4" s="637"/>
      <c r="BT4" s="637"/>
      <c r="BU4" s="637"/>
      <c r="BV4" s="662"/>
      <c r="BW4" s="663"/>
      <c r="BX4" s="662"/>
      <c r="BY4" s="662"/>
      <c r="BZ4" s="662"/>
      <c r="CA4" s="637"/>
      <c r="CB4" s="637"/>
      <c r="CC4" s="637"/>
      <c r="CD4" s="637"/>
      <c r="CE4" s="637"/>
      <c r="CF4" s="637"/>
      <c r="CG4" s="637"/>
      <c r="CH4" s="637"/>
      <c r="CI4" s="637"/>
    </row>
    <row r="5" spans="1:119" x14ac:dyDescent="0.2">
      <c r="A5" s="637"/>
      <c r="B5" s="642" t="s">
        <v>657</v>
      </c>
      <c r="C5" s="637"/>
      <c r="D5" s="639"/>
      <c r="E5" s="639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40"/>
      <c r="S5" s="640"/>
      <c r="T5" s="637"/>
      <c r="U5" s="637"/>
      <c r="V5" s="637"/>
      <c r="W5" s="637"/>
      <c r="X5" s="637"/>
      <c r="Y5" s="661"/>
      <c r="Z5" s="662"/>
      <c r="AA5" s="662"/>
      <c r="AB5" s="663"/>
      <c r="AC5" s="662"/>
      <c r="AD5" s="662"/>
      <c r="AE5" s="662"/>
      <c r="AF5" s="662"/>
      <c r="AG5" s="637"/>
      <c r="AH5" s="637"/>
      <c r="AI5" s="637"/>
      <c r="AJ5" s="637"/>
      <c r="AK5" s="637"/>
      <c r="AL5" s="637"/>
      <c r="AM5" s="637"/>
      <c r="AN5" s="637"/>
      <c r="AO5" s="637"/>
      <c r="AP5" s="637"/>
      <c r="AQ5" s="637"/>
      <c r="AR5" s="637"/>
      <c r="AS5" s="664"/>
      <c r="AT5" s="637"/>
      <c r="AU5" s="637"/>
      <c r="AV5" s="637"/>
      <c r="AW5" s="637"/>
      <c r="AX5" s="637"/>
      <c r="AY5" s="637"/>
      <c r="AZ5" s="637"/>
      <c r="BA5" s="662"/>
      <c r="BB5" s="663"/>
      <c r="BC5" s="662"/>
      <c r="BD5" s="662"/>
      <c r="BE5" s="662"/>
      <c r="BF5" s="637"/>
      <c r="BG5" s="637"/>
      <c r="BH5" s="637"/>
      <c r="BI5" s="637"/>
      <c r="BJ5" s="637"/>
      <c r="BK5" s="637"/>
      <c r="BL5" s="637"/>
      <c r="BM5" s="637"/>
      <c r="BN5" s="637"/>
      <c r="BO5" s="637"/>
      <c r="BP5" s="637"/>
      <c r="BQ5" s="637"/>
      <c r="BR5" s="637"/>
      <c r="BS5" s="637"/>
      <c r="BT5" s="637"/>
      <c r="BU5" s="637"/>
      <c r="BV5" s="662"/>
      <c r="BW5" s="663"/>
      <c r="BX5" s="662"/>
      <c r="BY5" s="662"/>
      <c r="BZ5" s="662"/>
      <c r="CA5" s="637"/>
      <c r="CB5" s="637"/>
      <c r="CC5" s="637"/>
      <c r="CD5" s="637"/>
      <c r="CE5" s="637"/>
      <c r="CF5" s="637"/>
      <c r="CG5" s="637"/>
      <c r="CH5" s="637"/>
      <c r="CI5" s="637"/>
    </row>
    <row r="6" spans="1:119" x14ac:dyDescent="0.2">
      <c r="A6" s="637"/>
      <c r="B6" s="637" t="s">
        <v>1272</v>
      </c>
      <c r="C6" s="637"/>
      <c r="D6" s="639"/>
      <c r="E6" s="639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40"/>
      <c r="S6" s="640"/>
      <c r="T6" s="637"/>
      <c r="U6" s="637"/>
      <c r="V6" s="637"/>
      <c r="W6" s="637"/>
      <c r="X6" s="637"/>
      <c r="Y6" s="661"/>
      <c r="Z6" s="662"/>
      <c r="AA6" s="662"/>
      <c r="AB6" s="663"/>
      <c r="AC6" s="662"/>
      <c r="AD6" s="662"/>
      <c r="AE6" s="662"/>
      <c r="AF6" s="662"/>
      <c r="AG6" s="637"/>
      <c r="AH6" s="637"/>
      <c r="AI6" s="637"/>
      <c r="AJ6" s="637"/>
      <c r="AK6" s="637"/>
      <c r="AL6" s="637"/>
      <c r="AM6" s="637"/>
      <c r="AN6" s="637"/>
      <c r="AO6" s="637"/>
      <c r="AP6" s="637"/>
      <c r="AQ6" s="637"/>
      <c r="AR6" s="637"/>
      <c r="AS6" s="664"/>
      <c r="AT6" s="637"/>
      <c r="AU6" s="637"/>
      <c r="AV6" s="637"/>
      <c r="AW6" s="637"/>
      <c r="AX6" s="637"/>
      <c r="AY6" s="637"/>
      <c r="AZ6" s="637"/>
      <c r="BA6" s="662"/>
      <c r="BB6" s="663"/>
      <c r="BC6" s="662"/>
      <c r="BD6" s="662"/>
      <c r="BE6" s="662"/>
      <c r="BF6" s="637"/>
      <c r="BG6" s="637"/>
      <c r="BH6" s="637"/>
      <c r="BI6" s="637"/>
      <c r="BJ6" s="637"/>
      <c r="BK6" s="637"/>
      <c r="BL6" s="637"/>
      <c r="BM6" s="637"/>
      <c r="BN6" s="637"/>
      <c r="BO6" s="637"/>
      <c r="BP6" s="637"/>
      <c r="BQ6" s="637"/>
      <c r="BR6" s="637"/>
      <c r="BS6" s="637"/>
      <c r="BT6" s="637"/>
      <c r="BU6" s="637"/>
      <c r="BV6" s="662"/>
      <c r="BW6" s="663"/>
      <c r="BX6" s="662"/>
      <c r="BY6" s="662"/>
      <c r="BZ6" s="662"/>
      <c r="CA6" s="637"/>
      <c r="CB6" s="637"/>
      <c r="CC6" s="637"/>
      <c r="CD6" s="637"/>
      <c r="CE6" s="637"/>
      <c r="CF6" s="637"/>
      <c r="CG6" s="637"/>
      <c r="CH6" s="637"/>
      <c r="CI6" s="637"/>
    </row>
    <row r="7" spans="1:119" x14ac:dyDescent="0.2">
      <c r="A7" s="637"/>
      <c r="B7" s="637"/>
      <c r="C7" s="637"/>
      <c r="D7" s="639"/>
      <c r="E7" s="639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40"/>
      <c r="S7" s="640"/>
      <c r="T7" s="637"/>
      <c r="U7" s="637"/>
      <c r="V7" s="637"/>
      <c r="W7" s="637"/>
      <c r="X7" s="637"/>
      <c r="Y7" s="661"/>
      <c r="Z7" s="662"/>
      <c r="AA7" s="662"/>
      <c r="AB7" s="663"/>
      <c r="AC7" s="662"/>
      <c r="AD7" s="662"/>
      <c r="AE7" s="662"/>
      <c r="AF7" s="662"/>
      <c r="AG7" s="637"/>
      <c r="AH7" s="637"/>
      <c r="AI7" s="637"/>
      <c r="AJ7" s="637"/>
      <c r="AK7" s="637"/>
      <c r="AL7" s="637"/>
      <c r="AM7" s="637"/>
      <c r="AN7" s="637"/>
      <c r="AO7" s="637"/>
      <c r="AP7" s="637"/>
      <c r="AQ7" s="637"/>
      <c r="AR7" s="637"/>
      <c r="AS7" s="664"/>
      <c r="AT7" s="637"/>
      <c r="AU7" s="637"/>
      <c r="AV7" s="637"/>
      <c r="AW7" s="637"/>
      <c r="AX7" s="637"/>
      <c r="AY7" s="637"/>
      <c r="AZ7" s="637"/>
      <c r="BA7" s="662"/>
      <c r="BB7" s="663"/>
      <c r="BC7" s="662"/>
      <c r="BD7" s="662"/>
      <c r="BE7" s="662"/>
      <c r="BF7" s="637"/>
      <c r="BG7" s="637"/>
      <c r="BH7" s="637"/>
      <c r="BI7" s="637"/>
      <c r="BJ7" s="637"/>
      <c r="BK7" s="637"/>
      <c r="BL7" s="637"/>
      <c r="BM7" s="637"/>
      <c r="BN7" s="637"/>
      <c r="BO7" s="637"/>
      <c r="BP7" s="637"/>
      <c r="BQ7" s="637"/>
      <c r="BR7" s="637"/>
      <c r="BS7" s="637"/>
      <c r="BT7" s="637"/>
      <c r="BU7" s="637"/>
      <c r="BV7" s="662"/>
      <c r="BW7" s="663"/>
      <c r="BX7" s="662"/>
      <c r="BY7" s="662"/>
      <c r="BZ7" s="662"/>
      <c r="CA7" s="637"/>
      <c r="CB7" s="637"/>
      <c r="CC7" s="637"/>
      <c r="CD7" s="637"/>
      <c r="CE7" s="637"/>
      <c r="CF7" s="637"/>
      <c r="CG7" s="637"/>
      <c r="CH7" s="637"/>
      <c r="CI7" s="637"/>
    </row>
    <row r="8" spans="1:119" s="16" customFormat="1" x14ac:dyDescent="0.2">
      <c r="D8" s="38"/>
      <c r="E8" s="38"/>
      <c r="R8" s="37"/>
      <c r="S8" s="37"/>
      <c r="T8" s="35"/>
      <c r="U8" s="35"/>
      <c r="V8" s="35"/>
      <c r="W8" s="35"/>
      <c r="X8" s="35"/>
      <c r="Y8" s="103"/>
      <c r="Z8" s="39"/>
      <c r="AA8" s="39"/>
      <c r="AB8" s="76"/>
      <c r="AC8" s="39"/>
      <c r="AD8" s="39"/>
      <c r="AE8" s="39"/>
      <c r="AF8" s="39"/>
      <c r="AS8" s="68"/>
      <c r="BA8" s="39"/>
      <c r="BB8" s="76"/>
      <c r="BC8" s="39"/>
      <c r="BD8" s="39"/>
      <c r="BE8" s="39"/>
      <c r="BV8" s="39"/>
      <c r="BW8" s="76"/>
      <c r="BX8" s="39"/>
      <c r="BY8" s="39"/>
      <c r="BZ8" s="39"/>
    </row>
    <row r="9" spans="1:119" s="16" customFormat="1" ht="20.25" customHeight="1" x14ac:dyDescent="0.2">
      <c r="D9" s="38"/>
      <c r="E9" s="38"/>
      <c r="R9" s="37"/>
      <c r="S9" s="37"/>
      <c r="T9" s="35"/>
      <c r="U9" s="35"/>
      <c r="V9" s="35"/>
      <c r="W9" s="35"/>
      <c r="X9" s="35"/>
      <c r="Y9" s="103"/>
      <c r="Z9" s="39"/>
      <c r="AA9" s="39"/>
      <c r="AB9" s="76"/>
      <c r="AC9" s="39"/>
      <c r="AD9" s="39"/>
      <c r="AE9" s="39"/>
      <c r="AF9" s="39"/>
      <c r="AS9" s="68"/>
      <c r="BA9" s="39"/>
      <c r="BB9" s="76"/>
      <c r="BC9" s="39"/>
      <c r="BD9" s="39"/>
      <c r="BE9" s="39"/>
      <c r="BV9" s="39"/>
      <c r="BW9" s="76"/>
      <c r="BX9" s="39"/>
      <c r="BY9" s="39"/>
      <c r="BZ9" s="39"/>
    </row>
    <row r="10" spans="1:119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269"/>
      <c r="V10" s="253"/>
      <c r="W10" s="1260" t="s">
        <v>450</v>
      </c>
      <c r="X10" s="1260"/>
      <c r="Y10" s="1260"/>
      <c r="Z10" s="1260"/>
      <c r="AA10" s="1260"/>
      <c r="AB10" s="1260"/>
      <c r="AC10" s="1260"/>
      <c r="AD10" s="1260"/>
      <c r="AE10" s="1260"/>
      <c r="AF10" s="1260"/>
      <c r="AG10" s="1260"/>
      <c r="AH10" s="1260"/>
      <c r="AI10" s="1260"/>
      <c r="AJ10" s="1260"/>
      <c r="AK10" s="1260"/>
      <c r="AL10" s="1260"/>
      <c r="AM10" s="1260"/>
      <c r="AN10" s="1260"/>
      <c r="AO10" s="1260"/>
      <c r="AP10" s="1260"/>
      <c r="AQ10" s="1260"/>
      <c r="AR10" s="1260"/>
      <c r="AS10" s="1260"/>
      <c r="AT10" s="1260"/>
      <c r="AU10" s="1260"/>
      <c r="AV10" s="1260"/>
      <c r="AW10" s="1260"/>
      <c r="AX10" s="1260"/>
      <c r="AY10" s="1260"/>
      <c r="AZ10" s="1260"/>
      <c r="BA10" s="1260"/>
      <c r="BB10" s="1260"/>
      <c r="BC10" s="1260"/>
      <c r="BD10" s="1260"/>
      <c r="BW10"/>
    </row>
    <row r="11" spans="1:119" ht="54" customHeight="1" x14ac:dyDescent="0.25">
      <c r="A11" s="1261" t="s">
        <v>57</v>
      </c>
      <c r="B11" s="1261" t="s">
        <v>0</v>
      </c>
      <c r="C11" s="270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526</v>
      </c>
      <c r="J11" s="1254" t="s">
        <v>525</v>
      </c>
      <c r="K11" s="1254" t="s">
        <v>534</v>
      </c>
      <c r="L11" s="1254" t="s">
        <v>493</v>
      </c>
      <c r="M11" s="1254" t="s">
        <v>535</v>
      </c>
      <c r="N11" s="271" t="s">
        <v>529</v>
      </c>
      <c r="O11" s="1254" t="s">
        <v>492</v>
      </c>
      <c r="P11" s="276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273"/>
      <c r="V11" s="1245" t="s">
        <v>595</v>
      </c>
      <c r="W11" s="1245" t="s">
        <v>596</v>
      </c>
      <c r="X11" s="272"/>
      <c r="Y11" s="1268" t="s">
        <v>569</v>
      </c>
      <c r="Z11" s="1245" t="s">
        <v>599</v>
      </c>
      <c r="AA11" s="158" t="s">
        <v>15</v>
      </c>
      <c r="AB11" s="159" t="s">
        <v>15</v>
      </c>
      <c r="AC11" s="158" t="s">
        <v>16</v>
      </c>
      <c r="AD11" s="1245" t="s">
        <v>527</v>
      </c>
      <c r="AE11" s="1245" t="s">
        <v>536</v>
      </c>
      <c r="AF11" s="158" t="s">
        <v>3</v>
      </c>
      <c r="AG11" s="158" t="s">
        <v>4</v>
      </c>
      <c r="AH11" s="158" t="s">
        <v>5</v>
      </c>
      <c r="AI11" s="158" t="s">
        <v>6</v>
      </c>
      <c r="AJ11" s="158" t="s">
        <v>7</v>
      </c>
      <c r="AK11" s="158" t="s">
        <v>8</v>
      </c>
      <c r="AL11" s="158" t="s">
        <v>9</v>
      </c>
      <c r="AM11" s="158" t="s">
        <v>10</v>
      </c>
      <c r="AN11" s="158" t="s">
        <v>11</v>
      </c>
      <c r="AO11" s="158" t="s">
        <v>12</v>
      </c>
      <c r="AP11" s="158" t="s">
        <v>13</v>
      </c>
      <c r="AQ11" s="158" t="s">
        <v>14</v>
      </c>
      <c r="AR11" s="196" t="s">
        <v>531</v>
      </c>
      <c r="AS11" s="486" t="s">
        <v>63</v>
      </c>
      <c r="AT11" s="1245" t="s">
        <v>976</v>
      </c>
      <c r="AU11" s="1245" t="s">
        <v>536</v>
      </c>
      <c r="AV11" s="158" t="s">
        <v>3</v>
      </c>
      <c r="AW11" s="158" t="s">
        <v>4</v>
      </c>
      <c r="AX11" s="158" t="s">
        <v>5</v>
      </c>
      <c r="AY11" s="158" t="s">
        <v>6</v>
      </c>
      <c r="AZ11" s="158" t="s">
        <v>7</v>
      </c>
      <c r="BA11" s="158" t="s">
        <v>15</v>
      </c>
      <c r="BB11" s="159" t="s">
        <v>15</v>
      </c>
      <c r="BC11" s="158" t="s">
        <v>16</v>
      </c>
      <c r="BD11" s="1245" t="s">
        <v>1059</v>
      </c>
      <c r="BE11" s="1245" t="s">
        <v>536</v>
      </c>
      <c r="BF11" s="158" t="s">
        <v>8</v>
      </c>
      <c r="BG11" s="158" t="s">
        <v>9</v>
      </c>
      <c r="BH11" s="158" t="s">
        <v>10</v>
      </c>
      <c r="BI11" s="158" t="s">
        <v>11</v>
      </c>
      <c r="BJ11" s="158" t="s">
        <v>12</v>
      </c>
      <c r="BK11" s="158" t="s">
        <v>13</v>
      </c>
      <c r="BL11" s="158" t="s">
        <v>14</v>
      </c>
      <c r="BM11" s="196" t="s">
        <v>989</v>
      </c>
      <c r="BN11" s="196" t="s">
        <v>63</v>
      </c>
      <c r="BO11" s="158" t="s">
        <v>3</v>
      </c>
      <c r="BP11" s="158" t="s">
        <v>4</v>
      </c>
      <c r="BQ11" s="158" t="s">
        <v>5</v>
      </c>
      <c r="BR11" s="158" t="s">
        <v>6</v>
      </c>
      <c r="BS11" s="158" t="s">
        <v>7</v>
      </c>
      <c r="BT11" s="1247" t="s">
        <v>1150</v>
      </c>
      <c r="BU11" s="1247" t="s">
        <v>1134</v>
      </c>
      <c r="BV11" s="158" t="s">
        <v>15</v>
      </c>
      <c r="BW11" s="159" t="s">
        <v>15</v>
      </c>
      <c r="BX11" s="158" t="s">
        <v>16</v>
      </c>
      <c r="BY11" s="1245" t="s">
        <v>1124</v>
      </c>
      <c r="BZ11" s="1245" t="s">
        <v>536</v>
      </c>
      <c r="CA11" s="158" t="s">
        <v>8</v>
      </c>
      <c r="CB11" s="158" t="s">
        <v>9</v>
      </c>
      <c r="CC11" s="158" t="s">
        <v>10</v>
      </c>
      <c r="CD11" s="158" t="s">
        <v>11</v>
      </c>
      <c r="CE11" s="158" t="s">
        <v>12</v>
      </c>
      <c r="CF11" s="158" t="s">
        <v>13</v>
      </c>
      <c r="CG11" s="158" t="s">
        <v>14</v>
      </c>
      <c r="CH11" s="196" t="s">
        <v>1257</v>
      </c>
      <c r="CI11" s="196" t="s">
        <v>63</v>
      </c>
      <c r="CJ11" s="158" t="s">
        <v>3</v>
      </c>
      <c r="CK11" s="158" t="s">
        <v>4</v>
      </c>
      <c r="CL11" s="158" t="s">
        <v>5</v>
      </c>
      <c r="CM11" s="158" t="s">
        <v>6</v>
      </c>
      <c r="CN11" s="158" t="s">
        <v>7</v>
      </c>
      <c r="CO11" s="1247" t="s">
        <v>1252</v>
      </c>
      <c r="CP11" s="1247" t="s">
        <v>1253</v>
      </c>
      <c r="CQ11" s="158" t="s">
        <v>15</v>
      </c>
      <c r="CR11" s="159" t="s">
        <v>15</v>
      </c>
      <c r="CS11" s="158" t="s">
        <v>16</v>
      </c>
      <c r="CT11" s="1245" t="s">
        <v>1254</v>
      </c>
      <c r="CU11" s="1245" t="s">
        <v>536</v>
      </c>
      <c r="CV11" s="158" t="s">
        <v>8</v>
      </c>
      <c r="CW11" s="158" t="s">
        <v>9</v>
      </c>
      <c r="CX11" s="158" t="s">
        <v>10</v>
      </c>
      <c r="CY11" s="158" t="s">
        <v>11</v>
      </c>
      <c r="CZ11" s="158" t="s">
        <v>12</v>
      </c>
      <c r="DA11" s="158" t="s">
        <v>13</v>
      </c>
      <c r="DB11" s="158" t="s">
        <v>14</v>
      </c>
      <c r="DC11" s="158" t="s">
        <v>3</v>
      </c>
      <c r="DD11" s="158" t="s">
        <v>4</v>
      </c>
      <c r="DE11" s="158" t="s">
        <v>5</v>
      </c>
      <c r="DF11" s="158" t="s">
        <v>6</v>
      </c>
      <c r="DG11" s="158" t="s">
        <v>7</v>
      </c>
      <c r="DH11" s="158" t="s">
        <v>8</v>
      </c>
      <c r="DI11" s="158" t="s">
        <v>9</v>
      </c>
      <c r="DJ11" s="158" t="s">
        <v>10</v>
      </c>
      <c r="DK11" s="158" t="s">
        <v>11</v>
      </c>
      <c r="DL11" s="158" t="s">
        <v>12</v>
      </c>
      <c r="DM11" s="158" t="s">
        <v>13</v>
      </c>
      <c r="DN11" s="1247" t="s">
        <v>1274</v>
      </c>
      <c r="DO11" s="1247" t="s">
        <v>1263</v>
      </c>
    </row>
    <row r="12" spans="1:119" ht="32.25" customHeight="1" x14ac:dyDescent="0.25">
      <c r="A12" s="1262"/>
      <c r="B12" s="1262"/>
      <c r="C12" s="161" t="s">
        <v>658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274"/>
      <c r="V12" s="1267"/>
      <c r="W12" s="1267"/>
      <c r="X12" s="275" t="s">
        <v>570</v>
      </c>
      <c r="Y12" s="1272"/>
      <c r="Z12" s="1246"/>
      <c r="AA12" s="162" t="s">
        <v>20</v>
      </c>
      <c r="AB12" s="163" t="s">
        <v>21</v>
      </c>
      <c r="AC12" s="162" t="s">
        <v>22</v>
      </c>
      <c r="AD12" s="1246"/>
      <c r="AE12" s="1246"/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>
        <v>2015</v>
      </c>
      <c r="AQ12" s="162">
        <v>2015</v>
      </c>
      <c r="AR12" s="162">
        <v>2015</v>
      </c>
      <c r="AS12" s="162" t="s">
        <v>64</v>
      </c>
      <c r="AT12" s="1246"/>
      <c r="AU12" s="1246"/>
      <c r="AV12" s="162">
        <v>2016</v>
      </c>
      <c r="AW12" s="162">
        <v>2016</v>
      </c>
      <c r="AX12" s="162">
        <v>2016</v>
      </c>
      <c r="AY12" s="162">
        <v>2016</v>
      </c>
      <c r="AZ12" s="162">
        <v>2016</v>
      </c>
      <c r="BA12" s="162" t="s">
        <v>20</v>
      </c>
      <c r="BB12" s="163" t="s">
        <v>21</v>
      </c>
      <c r="BC12" s="162" t="s">
        <v>22</v>
      </c>
      <c r="BD12" s="1246"/>
      <c r="BE12" s="1246"/>
      <c r="BF12" s="162">
        <v>2016</v>
      </c>
      <c r="BG12" s="162">
        <v>2016</v>
      </c>
      <c r="BH12" s="162">
        <v>2016</v>
      </c>
      <c r="BI12" s="162">
        <v>2016</v>
      </c>
      <c r="BJ12" s="162">
        <v>2016</v>
      </c>
      <c r="BK12" s="162">
        <v>2016</v>
      </c>
      <c r="BL12" s="162">
        <v>2016</v>
      </c>
      <c r="BM12" s="162">
        <v>2016</v>
      </c>
      <c r="BN12" s="162" t="s">
        <v>64</v>
      </c>
      <c r="BO12" s="162">
        <v>2017</v>
      </c>
      <c r="BP12" s="162">
        <v>2017</v>
      </c>
      <c r="BQ12" s="162">
        <v>2017</v>
      </c>
      <c r="BR12" s="162">
        <v>2017</v>
      </c>
      <c r="BS12" s="162">
        <v>2017</v>
      </c>
      <c r="BT12" s="1248"/>
      <c r="BU12" s="1248"/>
      <c r="BV12" s="162" t="s">
        <v>20</v>
      </c>
      <c r="BW12" s="163" t="s">
        <v>21</v>
      </c>
      <c r="BX12" s="162" t="s">
        <v>22</v>
      </c>
      <c r="BY12" s="1246"/>
      <c r="BZ12" s="1246"/>
      <c r="CA12" s="162">
        <v>2017</v>
      </c>
      <c r="CB12" s="162">
        <v>2017</v>
      </c>
      <c r="CC12" s="162">
        <v>2017</v>
      </c>
      <c r="CD12" s="162">
        <v>2017</v>
      </c>
      <c r="CE12" s="162">
        <v>2017</v>
      </c>
      <c r="CF12" s="162">
        <v>2017</v>
      </c>
      <c r="CG12" s="162">
        <v>2017</v>
      </c>
      <c r="CH12" s="162"/>
      <c r="CI12" s="162" t="s">
        <v>64</v>
      </c>
      <c r="CJ12" s="162">
        <v>2018</v>
      </c>
      <c r="CK12" s="162">
        <v>2018</v>
      </c>
      <c r="CL12" s="162">
        <v>2018</v>
      </c>
      <c r="CM12" s="162">
        <v>2018</v>
      </c>
      <c r="CN12" s="162">
        <v>2018</v>
      </c>
      <c r="CO12" s="1248"/>
      <c r="CP12" s="1248"/>
      <c r="CQ12" s="162" t="s">
        <v>20</v>
      </c>
      <c r="CR12" s="163" t="s">
        <v>21</v>
      </c>
      <c r="CS12" s="162" t="s">
        <v>22</v>
      </c>
      <c r="CT12" s="1246"/>
      <c r="CU12" s="1246"/>
      <c r="CV12" s="162">
        <v>2018</v>
      </c>
      <c r="CW12" s="162">
        <v>2018</v>
      </c>
      <c r="CX12" s="162">
        <v>2018</v>
      </c>
      <c r="CY12" s="162">
        <v>2018</v>
      </c>
      <c r="CZ12" s="162">
        <v>2018</v>
      </c>
      <c r="DA12" s="162">
        <v>2018</v>
      </c>
      <c r="DB12" s="162">
        <v>2018</v>
      </c>
      <c r="DC12" s="162">
        <v>2019</v>
      </c>
      <c r="DD12" s="162">
        <v>2019</v>
      </c>
      <c r="DE12" s="162">
        <v>2019</v>
      </c>
      <c r="DF12" s="162">
        <v>2019</v>
      </c>
      <c r="DG12" s="162">
        <v>2019</v>
      </c>
      <c r="DH12" s="162">
        <v>2019</v>
      </c>
      <c r="DI12" s="162">
        <v>2019</v>
      </c>
      <c r="DJ12" s="162">
        <v>2019</v>
      </c>
      <c r="DK12" s="162">
        <v>2019</v>
      </c>
      <c r="DL12" s="162">
        <v>2019</v>
      </c>
      <c r="DM12" s="162">
        <v>2019</v>
      </c>
      <c r="DN12" s="1248"/>
      <c r="DO12" s="1248"/>
    </row>
    <row r="13" spans="1:119" s="16" customFormat="1" x14ac:dyDescent="0.2">
      <c r="A13" s="120" t="s">
        <v>653</v>
      </c>
      <c r="B13" s="120"/>
      <c r="C13" s="124"/>
      <c r="D13" s="27"/>
      <c r="E13" s="25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20"/>
      <c r="S13" s="20"/>
      <c r="T13" s="14"/>
      <c r="U13" s="14"/>
      <c r="V13" s="14"/>
      <c r="W13" s="14"/>
      <c r="X13" s="14"/>
      <c r="Y13" s="108"/>
      <c r="Z13" s="66"/>
      <c r="AA13" s="66"/>
      <c r="AB13" s="81"/>
      <c r="AC13" s="66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73"/>
      <c r="AT13" s="55"/>
      <c r="AU13" s="55"/>
      <c r="AV13" s="55"/>
      <c r="AW13" s="55"/>
      <c r="AX13" s="55"/>
      <c r="AY13" s="55"/>
      <c r="AZ13" s="55"/>
      <c r="BA13" s="66"/>
      <c r="BB13" s="81"/>
      <c r="BC13" s="66"/>
      <c r="BD13" s="65"/>
      <c r="BE13" s="6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66"/>
      <c r="BW13" s="81"/>
      <c r="BX13" s="66"/>
      <c r="BY13" s="65"/>
      <c r="BZ13" s="65"/>
      <c r="CA13" s="55"/>
      <c r="CB13" s="55"/>
      <c r="CC13" s="55"/>
      <c r="CD13" s="55"/>
      <c r="CE13" s="55"/>
      <c r="CF13" s="55"/>
      <c r="CG13" s="55"/>
      <c r="CH13" s="55"/>
      <c r="CI13" s="55"/>
      <c r="CJ13" s="968"/>
      <c r="CK13" s="968"/>
      <c r="CL13" s="968"/>
      <c r="CM13" s="968"/>
      <c r="CN13" s="505"/>
      <c r="CO13" s="505"/>
      <c r="CP13" s="50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</row>
    <row r="14" spans="1:119" s="16" customFormat="1" ht="14.25" x14ac:dyDescent="0.2">
      <c r="A14" s="120" t="s">
        <v>652</v>
      </c>
      <c r="B14" s="9"/>
      <c r="C14" s="45"/>
      <c r="D14" s="150"/>
      <c r="E14" s="25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20"/>
      <c r="S14" s="20"/>
      <c r="T14" s="14"/>
      <c r="U14" s="14"/>
      <c r="V14" s="14"/>
      <c r="W14" s="14"/>
      <c r="X14" s="14"/>
      <c r="Y14" s="108"/>
      <c r="Z14" s="66"/>
      <c r="AA14" s="66"/>
      <c r="AB14" s="112"/>
      <c r="AC14" s="66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73"/>
      <c r="AT14" s="55"/>
      <c r="AU14" s="55"/>
      <c r="AV14" s="55"/>
      <c r="AW14" s="55"/>
      <c r="AX14" s="55"/>
      <c r="AY14" s="55"/>
      <c r="AZ14" s="55"/>
      <c r="BA14" s="66"/>
      <c r="BB14" s="112"/>
      <c r="BC14" s="66"/>
      <c r="BD14" s="65"/>
      <c r="BE14" s="6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66"/>
      <c r="BW14" s="112"/>
      <c r="BX14" s="66"/>
      <c r="BY14" s="65"/>
      <c r="BZ14" s="6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968"/>
      <c r="CL14" s="968"/>
      <c r="CM14" s="968"/>
      <c r="CN14" s="968"/>
      <c r="CO14" s="505"/>
      <c r="CP14" s="505"/>
      <c r="CQ14" s="55"/>
      <c r="CR14" s="55"/>
      <c r="CS14" s="55"/>
      <c r="CT14" s="55"/>
      <c r="CU14" s="55"/>
      <c r="CV14" s="598"/>
      <c r="CW14" s="598"/>
      <c r="CX14" s="598"/>
      <c r="CY14" s="598"/>
      <c r="CZ14" s="598"/>
      <c r="DA14" s="598"/>
      <c r="DB14" s="598"/>
      <c r="DC14" s="598"/>
      <c r="DD14" s="598"/>
      <c r="DE14" s="598"/>
      <c r="DF14" s="598"/>
      <c r="DG14" s="598"/>
      <c r="DH14" s="598"/>
      <c r="DI14" s="598"/>
      <c r="DJ14" s="598"/>
      <c r="DK14" s="598"/>
      <c r="DL14" s="598"/>
      <c r="DM14" s="598"/>
      <c r="DN14" s="598"/>
      <c r="DO14" s="598"/>
    </row>
    <row r="15" spans="1:119" s="16" customFormat="1" ht="14.25" x14ac:dyDescent="0.2">
      <c r="A15" s="119" t="s">
        <v>654</v>
      </c>
      <c r="B15" s="100" t="s">
        <v>651</v>
      </c>
      <c r="C15" s="45" t="s">
        <v>658</v>
      </c>
      <c r="D15" s="58">
        <v>10</v>
      </c>
      <c r="E15" s="30">
        <v>0.1</v>
      </c>
      <c r="F15" s="46">
        <v>43281</v>
      </c>
      <c r="G15" s="125">
        <v>120</v>
      </c>
      <c r="H15" s="145">
        <f>100/G15</f>
        <v>0.83333333333333337</v>
      </c>
      <c r="I15" s="165">
        <f>H15*J15</f>
        <v>44.166666666666671</v>
      </c>
      <c r="J15" s="48">
        <f>(YEAR(F15)-YEAR(S15))*12+MONTH(F15)-MONTH(S15)</f>
        <v>53</v>
      </c>
      <c r="K15" s="165">
        <f>L15*H15</f>
        <v>55.833333333333336</v>
      </c>
      <c r="L15" s="48">
        <f>G15-J15</f>
        <v>67</v>
      </c>
      <c r="M15" s="165">
        <f>N15*H15</f>
        <v>5.8333333333333339</v>
      </c>
      <c r="N15" s="48">
        <v>7</v>
      </c>
      <c r="O15" s="165">
        <f>K15-M15</f>
        <v>50</v>
      </c>
      <c r="P15" s="48">
        <f>L15-N15</f>
        <v>60</v>
      </c>
      <c r="Q15" s="462">
        <f>DATE(YEAR(S15),MONTH(S15)+G15,DAY(S15))</f>
        <v>45292</v>
      </c>
      <c r="R15" s="125" t="s">
        <v>445</v>
      </c>
      <c r="S15" s="33">
        <v>41640</v>
      </c>
      <c r="T15" s="5">
        <v>599</v>
      </c>
      <c r="U15" s="72"/>
      <c r="V15" s="154">
        <f>T15*I15%</f>
        <v>264.55833333333334</v>
      </c>
      <c r="W15" s="154">
        <f>T15-V15</f>
        <v>334.44166666666666</v>
      </c>
      <c r="X15" s="55">
        <f>T15*H15%</f>
        <v>4.9916666666666663</v>
      </c>
      <c r="Y15" s="106">
        <f>X15*5</f>
        <v>24.958333333333332</v>
      </c>
      <c r="Z15" s="258">
        <f>W15-Y15</f>
        <v>309.48333333333335</v>
      </c>
      <c r="AA15" s="57">
        <v>115.958</v>
      </c>
      <c r="AB15" s="57">
        <v>112.505</v>
      </c>
      <c r="AC15" s="57">
        <f>AA15/AB15</f>
        <v>1.0306919692458114</v>
      </c>
      <c r="AD15" s="55">
        <f>Z15*M15/100/K15*100/7</f>
        <v>4.619154228855721</v>
      </c>
      <c r="AE15" s="55">
        <f>AD15*AC15</f>
        <v>4.7609251683894209</v>
      </c>
      <c r="AF15" s="55"/>
      <c r="AG15" s="55"/>
      <c r="AH15" s="55"/>
      <c r="AI15" s="55"/>
      <c r="AJ15" s="55"/>
      <c r="AK15" s="55">
        <f>AE15</f>
        <v>4.7609251683894209</v>
      </c>
      <c r="AL15" s="55">
        <v>4.8951197393744028</v>
      </c>
      <c r="AM15" s="55">
        <v>4.8951197393744028</v>
      </c>
      <c r="AN15" s="55">
        <v>4.8951197393744028</v>
      </c>
      <c r="AO15" s="55">
        <v>4.8951197393744028</v>
      </c>
      <c r="AP15" s="55">
        <v>4.8951197393744028</v>
      </c>
      <c r="AQ15" s="55">
        <v>4.8951197393744028</v>
      </c>
      <c r="AR15" s="55">
        <f>SUM(AF15:AQ15)</f>
        <v>34.131643604635833</v>
      </c>
      <c r="AS15" s="72">
        <f>Z15-AR15</f>
        <v>275.35168972869752</v>
      </c>
      <c r="AT15" s="55"/>
      <c r="AU15" s="55"/>
      <c r="AV15" s="55">
        <f>$AQ15</f>
        <v>4.8951197393744028</v>
      </c>
      <c r="AW15" s="55">
        <f>$AQ15</f>
        <v>4.8951197393744028</v>
      </c>
      <c r="AX15" s="55">
        <f>$AQ15</f>
        <v>4.8951197393744028</v>
      </c>
      <c r="AY15" s="55">
        <f>$AQ15</f>
        <v>4.8951197393744028</v>
      </c>
      <c r="AZ15" s="55">
        <f>$AQ15</f>
        <v>4.8951197393744028</v>
      </c>
      <c r="BA15" s="57">
        <v>118.901</v>
      </c>
      <c r="BB15" s="57">
        <v>112.505</v>
      </c>
      <c r="BC15" s="57">
        <f>BA15/BB15</f>
        <v>1.0568508066308164</v>
      </c>
      <c r="BD15" s="55">
        <f>T15/(D15*12)</f>
        <v>4.9916666666666663</v>
      </c>
      <c r="BE15" s="55">
        <f>BD15*BC15</f>
        <v>5.2754469430988253</v>
      </c>
      <c r="BF15" s="55">
        <f t="shared" ref="BF15:BL15" si="0">$BE15</f>
        <v>5.2754469430988253</v>
      </c>
      <c r="BG15" s="55">
        <f t="shared" si="0"/>
        <v>5.2754469430988253</v>
      </c>
      <c r="BH15" s="55">
        <f t="shared" si="0"/>
        <v>5.2754469430988253</v>
      </c>
      <c r="BI15" s="55">
        <f t="shared" si="0"/>
        <v>5.2754469430988253</v>
      </c>
      <c r="BJ15" s="55">
        <f t="shared" si="0"/>
        <v>5.2754469430988253</v>
      </c>
      <c r="BK15" s="55">
        <f t="shared" si="0"/>
        <v>5.2754469430988253</v>
      </c>
      <c r="BL15" s="55">
        <f t="shared" si="0"/>
        <v>5.2754469430988253</v>
      </c>
      <c r="BM15" s="55">
        <f>SUM((AV15:AZ15),(BF15:BL15))</f>
        <v>61.403727298563801</v>
      </c>
      <c r="BN15" s="448">
        <f>(AS15-BM15)</f>
        <v>213.94796243013371</v>
      </c>
      <c r="BO15" s="55">
        <f>$BE15</f>
        <v>5.2754469430988253</v>
      </c>
      <c r="BP15" s="55">
        <f>$BE15</f>
        <v>5.2754469430988253</v>
      </c>
      <c r="BQ15" s="55">
        <f>$BE15</f>
        <v>5.2754469430988253</v>
      </c>
      <c r="BR15" s="55">
        <f>$BE15</f>
        <v>5.2754469430988253</v>
      </c>
      <c r="BS15" s="55">
        <f>$BE15</f>
        <v>5.2754469430988253</v>
      </c>
      <c r="BT15" s="55">
        <f>SUM(BO15:BS15)</f>
        <v>26.377234715494126</v>
      </c>
      <c r="BU15" s="55">
        <f>BN15-BT15</f>
        <v>187.57072771463959</v>
      </c>
      <c r="BV15" s="57">
        <v>126.408</v>
      </c>
      <c r="BW15" s="57">
        <v>112.505</v>
      </c>
      <c r="BX15" s="57">
        <f>BV15/BW15</f>
        <v>1.1235767299231145</v>
      </c>
      <c r="BY15" s="55">
        <f>BU15/L15</f>
        <v>2.7995631002185015</v>
      </c>
      <c r="BZ15" s="55">
        <f>BY15*BX15</f>
        <v>3.1455239533569204</v>
      </c>
      <c r="CA15" s="55">
        <v>4.0049132557753069</v>
      </c>
      <c r="CB15" s="55">
        <v>4.0049132557753069</v>
      </c>
      <c r="CC15" s="55">
        <v>4.0049132557753069</v>
      </c>
      <c r="CD15" s="55">
        <v>4.0049132557753069</v>
      </c>
      <c r="CE15" s="55">
        <v>4.0049132557753069</v>
      </c>
      <c r="CF15" s="55">
        <v>4.0049132557753069</v>
      </c>
      <c r="CG15" s="55">
        <v>4.0049132557753069</v>
      </c>
      <c r="CH15" s="55">
        <f>SUM(CA15:CG15)</f>
        <v>28.034392790427148</v>
      </c>
      <c r="CI15" s="448">
        <f>BU15-CH15</f>
        <v>159.53633492421244</v>
      </c>
      <c r="CJ15" s="55">
        <v>4</v>
      </c>
      <c r="CK15" s="55">
        <v>4</v>
      </c>
      <c r="CL15" s="55">
        <v>4</v>
      </c>
      <c r="CM15" s="55">
        <v>4</v>
      </c>
      <c r="CN15" s="55">
        <v>4</v>
      </c>
      <c r="CO15" s="505">
        <f>SUM(CJ15:CN15)</f>
        <v>20</v>
      </c>
      <c r="CP15" s="679">
        <f>CI15-CO15</f>
        <v>139.53633492421244</v>
      </c>
      <c r="CQ15" s="956">
        <v>132.28200000000001</v>
      </c>
      <c r="CR15" s="957">
        <v>118.051</v>
      </c>
      <c r="CS15" s="957">
        <f>CQ15/CR15</f>
        <v>1.1205495929725289</v>
      </c>
      <c r="CT15" s="511">
        <f>CP15/L15</f>
        <v>2.0826318645404842</v>
      </c>
      <c r="CU15" s="511">
        <f>CT15*CS15</f>
        <v>2.3336922881224584</v>
      </c>
      <c r="CV15" s="598">
        <v>2.3336922881224584</v>
      </c>
      <c r="CW15" s="598">
        <v>2.33</v>
      </c>
      <c r="CX15" s="598">
        <v>2.33</v>
      </c>
      <c r="CY15" s="598">
        <v>2.33</v>
      </c>
      <c r="CZ15" s="598">
        <v>2.33</v>
      </c>
      <c r="DA15" s="598">
        <v>2.33</v>
      </c>
      <c r="DB15" s="598">
        <v>2.33</v>
      </c>
      <c r="DC15" s="598">
        <v>2.33</v>
      </c>
      <c r="DD15" s="598">
        <v>2.33</v>
      </c>
      <c r="DE15" s="598">
        <v>2.33</v>
      </c>
      <c r="DF15" s="598">
        <v>2.33</v>
      </c>
      <c r="DG15" s="598">
        <v>2.33</v>
      </c>
      <c r="DH15" s="598">
        <v>2.33</v>
      </c>
      <c r="DI15" s="598">
        <v>2.33</v>
      </c>
      <c r="DJ15" s="598">
        <v>2.33</v>
      </c>
      <c r="DK15" s="598">
        <v>2.33</v>
      </c>
      <c r="DL15" s="598">
        <v>2.33</v>
      </c>
      <c r="DM15" s="598">
        <v>2.33</v>
      </c>
      <c r="DN15" s="598">
        <f>SUM(CV15:DM15)</f>
        <v>41.943692288122442</v>
      </c>
      <c r="DO15" s="1134">
        <f>CP15-DN15</f>
        <v>97.592642636090005</v>
      </c>
    </row>
    <row r="16" spans="1:119" s="16" customFormat="1" ht="14.25" x14ac:dyDescent="0.2">
      <c r="A16" s="120" t="s">
        <v>65</v>
      </c>
      <c r="B16" s="120"/>
      <c r="C16" s="124"/>
      <c r="D16" s="111"/>
      <c r="E16" s="111"/>
      <c r="F16" s="20"/>
      <c r="G16" s="125"/>
      <c r="H16" s="145"/>
      <c r="I16" s="165"/>
      <c r="J16" s="48"/>
      <c r="K16" s="165"/>
      <c r="L16" s="48"/>
      <c r="M16" s="165"/>
      <c r="N16" s="48"/>
      <c r="O16" s="165"/>
      <c r="P16" s="48"/>
      <c r="Q16" s="48"/>
      <c r="R16" s="125"/>
      <c r="S16" s="119"/>
      <c r="T16" s="7"/>
      <c r="U16" s="72"/>
      <c r="V16" s="154"/>
      <c r="W16" s="154"/>
      <c r="X16" s="55"/>
      <c r="Y16" s="106"/>
      <c r="Z16" s="258"/>
      <c r="AA16" s="57"/>
      <c r="AB16" s="82"/>
      <c r="AC16" s="57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72"/>
      <c r="AT16" s="55"/>
      <c r="AU16" s="55"/>
      <c r="AV16" s="55">
        <f t="shared" ref="AV16:AZ18" si="1">$AQ16</f>
        <v>0</v>
      </c>
      <c r="AW16" s="55">
        <f t="shared" si="1"/>
        <v>0</v>
      </c>
      <c r="AX16" s="55">
        <f t="shared" si="1"/>
        <v>0</v>
      </c>
      <c r="AY16" s="55">
        <f t="shared" si="1"/>
        <v>0</v>
      </c>
      <c r="AZ16" s="55">
        <f t="shared" si="1"/>
        <v>0</v>
      </c>
      <c r="BA16" s="57"/>
      <c r="BB16" s="82"/>
      <c r="BC16" s="57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448"/>
      <c r="BO16" s="55"/>
      <c r="BP16" s="55"/>
      <c r="BQ16" s="55"/>
      <c r="BR16" s="55"/>
      <c r="BS16" s="55"/>
      <c r="BT16" s="55"/>
      <c r="BU16" s="55"/>
      <c r="BV16" s="57"/>
      <c r="BW16" s="82"/>
      <c r="BX16" s="57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448"/>
      <c r="CJ16" s="55"/>
      <c r="CK16" s="55"/>
      <c r="CL16" s="55"/>
      <c r="CM16" s="55"/>
      <c r="CN16" s="55"/>
      <c r="CO16" s="505"/>
      <c r="CP16" s="681"/>
      <c r="CQ16" s="511"/>
      <c r="CR16" s="957"/>
      <c r="CS16" s="957"/>
      <c r="CT16" s="511"/>
      <c r="CU16" s="511"/>
      <c r="CV16" s="598"/>
      <c r="CW16" s="598"/>
      <c r="CX16" s="598"/>
      <c r="CY16" s="598"/>
      <c r="CZ16" s="598"/>
      <c r="DA16" s="598"/>
      <c r="DB16" s="598"/>
      <c r="DC16" s="598"/>
      <c r="DD16" s="598"/>
      <c r="DE16" s="598"/>
      <c r="DF16" s="598"/>
      <c r="DG16" s="598"/>
      <c r="DH16" s="598"/>
      <c r="DI16" s="598"/>
      <c r="DJ16" s="598"/>
      <c r="DK16" s="598"/>
      <c r="DL16" s="598"/>
      <c r="DM16" s="598"/>
      <c r="DN16" s="598">
        <f t="shared" ref="DN16:DN18" si="2">SUM(CV16:DM16)</f>
        <v>0</v>
      </c>
      <c r="DO16" s="598"/>
    </row>
    <row r="17" spans="1:119" s="16" customFormat="1" ht="14.25" x14ac:dyDescent="0.2">
      <c r="A17" s="120" t="s">
        <v>97</v>
      </c>
      <c r="B17" s="9"/>
      <c r="C17" s="45"/>
      <c r="D17" s="58"/>
      <c r="E17" s="130"/>
      <c r="F17" s="20"/>
      <c r="G17" s="252"/>
      <c r="H17" s="145"/>
      <c r="I17" s="165"/>
      <c r="J17" s="48"/>
      <c r="K17" s="165"/>
      <c r="L17" s="48"/>
      <c r="M17" s="165"/>
      <c r="N17" s="48"/>
      <c r="O17" s="165"/>
      <c r="P17" s="48"/>
      <c r="Q17" s="48"/>
      <c r="R17" s="125"/>
      <c r="S17" s="128"/>
      <c r="T17" s="129"/>
      <c r="U17" s="72"/>
      <c r="V17" s="154"/>
      <c r="W17" s="154"/>
      <c r="X17" s="55"/>
      <c r="Y17" s="106"/>
      <c r="Z17" s="258"/>
      <c r="AA17" s="57"/>
      <c r="AB17" s="80"/>
      <c r="AC17" s="57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72"/>
      <c r="AT17" s="55"/>
      <c r="AU17" s="55"/>
      <c r="AV17" s="55">
        <f t="shared" si="1"/>
        <v>0</v>
      </c>
      <c r="AW17" s="55">
        <f t="shared" si="1"/>
        <v>0</v>
      </c>
      <c r="AX17" s="55">
        <f t="shared" si="1"/>
        <v>0</v>
      </c>
      <c r="AY17" s="55">
        <f t="shared" si="1"/>
        <v>0</v>
      </c>
      <c r="AZ17" s="55">
        <f t="shared" si="1"/>
        <v>0</v>
      </c>
      <c r="BA17" s="57"/>
      <c r="BB17" s="80"/>
      <c r="BC17" s="57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448"/>
      <c r="BO17" s="55"/>
      <c r="BP17" s="55"/>
      <c r="BQ17" s="55"/>
      <c r="BR17" s="55"/>
      <c r="BS17" s="55"/>
      <c r="BT17" s="55"/>
      <c r="BU17" s="55"/>
      <c r="BV17" s="57"/>
      <c r="BW17" s="80"/>
      <c r="BX17" s="57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448"/>
      <c r="CJ17" s="55"/>
      <c r="CK17" s="55"/>
      <c r="CL17" s="55"/>
      <c r="CM17" s="55"/>
      <c r="CN17" s="55"/>
      <c r="CO17" s="505"/>
      <c r="CP17" s="679"/>
      <c r="CQ17" s="623"/>
      <c r="CR17" s="957"/>
      <c r="CS17" s="957"/>
      <c r="CT17" s="511"/>
      <c r="CU17" s="511"/>
      <c r="CV17" s="598"/>
      <c r="CW17" s="598"/>
      <c r="CX17" s="598"/>
      <c r="CY17" s="598"/>
      <c r="CZ17" s="598"/>
      <c r="DA17" s="598"/>
      <c r="DB17" s="598"/>
      <c r="DC17" s="598"/>
      <c r="DD17" s="598"/>
      <c r="DE17" s="598"/>
      <c r="DF17" s="598"/>
      <c r="DG17" s="598"/>
      <c r="DH17" s="598"/>
      <c r="DI17" s="598"/>
      <c r="DJ17" s="598"/>
      <c r="DK17" s="598"/>
      <c r="DL17" s="598"/>
      <c r="DM17" s="598"/>
      <c r="DN17" s="598">
        <f t="shared" si="2"/>
        <v>0</v>
      </c>
      <c r="DO17" s="598"/>
    </row>
    <row r="18" spans="1:119" s="35" customFormat="1" ht="14.25" x14ac:dyDescent="0.2">
      <c r="A18" s="119" t="s">
        <v>655</v>
      </c>
      <c r="B18" s="100" t="s">
        <v>656</v>
      </c>
      <c r="C18" s="100" t="s">
        <v>658</v>
      </c>
      <c r="D18" s="8">
        <v>10</v>
      </c>
      <c r="E18" s="127">
        <v>0.1</v>
      </c>
      <c r="F18" s="119">
        <v>43281</v>
      </c>
      <c r="G18" s="125">
        <v>120</v>
      </c>
      <c r="H18" s="146">
        <f>100/G18</f>
        <v>0.83333333333333337</v>
      </c>
      <c r="I18" s="1167">
        <f>H18*J18</f>
        <v>54.166666666666671</v>
      </c>
      <c r="J18" s="125">
        <f>(YEAR(F18)-YEAR(S18))*12+MONTH(F18)-MONTH(S18)</f>
        <v>65</v>
      </c>
      <c r="K18" s="1167">
        <f>L18*H18</f>
        <v>45.833333333333336</v>
      </c>
      <c r="L18" s="125">
        <f>G18-J18</f>
        <v>55</v>
      </c>
      <c r="M18" s="1167">
        <f>N18*H18</f>
        <v>5.8333333333333339</v>
      </c>
      <c r="N18" s="125">
        <v>7</v>
      </c>
      <c r="O18" s="1167">
        <f>K18-M18</f>
        <v>40</v>
      </c>
      <c r="P18" s="125">
        <f>L18-N18</f>
        <v>48</v>
      </c>
      <c r="Q18" s="367">
        <f>DATE(YEAR(S18),MONTH(S18)+G18,DAY(S18))</f>
        <v>44927</v>
      </c>
      <c r="R18" s="125" t="s">
        <v>445</v>
      </c>
      <c r="S18" s="128">
        <v>41275</v>
      </c>
      <c r="T18" s="7">
        <v>1088.99</v>
      </c>
      <c r="U18" s="1169"/>
      <c r="V18" s="776">
        <f>T18*I18%</f>
        <v>589.86958333333337</v>
      </c>
      <c r="W18" s="776">
        <f>T18-V18</f>
        <v>499.12041666666664</v>
      </c>
      <c r="X18" s="62">
        <f>T18*H18%</f>
        <v>9.0749166666666667</v>
      </c>
      <c r="Y18" s="7">
        <f>X18*5</f>
        <v>45.374583333333334</v>
      </c>
      <c r="Z18" s="129">
        <f>W18-Y18</f>
        <v>453.74583333333328</v>
      </c>
      <c r="AA18" s="64">
        <v>115.958</v>
      </c>
      <c r="AB18" s="64">
        <v>107.678</v>
      </c>
      <c r="AC18" s="64">
        <f>AA18/AB18</f>
        <v>1.0768959304593324</v>
      </c>
      <c r="AD18" s="62">
        <f>Z18*M18/100/K18*100/7</f>
        <v>8.2499242424242407</v>
      </c>
      <c r="AE18" s="62">
        <f>AD18*AC18</f>
        <v>8.8843098432644556</v>
      </c>
      <c r="AF18" s="62"/>
      <c r="AG18" s="62"/>
      <c r="AH18" s="62"/>
      <c r="AI18" s="62"/>
      <c r="AJ18" s="62"/>
      <c r="AK18" s="62">
        <f>AE18</f>
        <v>8.8843098432644556</v>
      </c>
      <c r="AL18" s="62">
        <v>9.2357770458551371</v>
      </c>
      <c r="AM18" s="62">
        <v>9.2357770458551371</v>
      </c>
      <c r="AN18" s="62">
        <v>9.2357770458551371</v>
      </c>
      <c r="AO18" s="62">
        <v>9.2357770458551371</v>
      </c>
      <c r="AP18" s="62">
        <v>9.2357770458551371</v>
      </c>
      <c r="AQ18" s="62">
        <v>9.2357770458551371</v>
      </c>
      <c r="AR18" s="62">
        <f>SUM(AF18:AQ18)</f>
        <v>64.298972118395284</v>
      </c>
      <c r="AS18" s="1169">
        <f>Z18-AR18</f>
        <v>389.446861214938</v>
      </c>
      <c r="AT18" s="62"/>
      <c r="AU18" s="62"/>
      <c r="AV18" s="62">
        <f t="shared" si="1"/>
        <v>9.2357770458551371</v>
      </c>
      <c r="AW18" s="62">
        <f t="shared" si="1"/>
        <v>9.2357770458551371</v>
      </c>
      <c r="AX18" s="62">
        <f t="shared" si="1"/>
        <v>9.2357770458551371</v>
      </c>
      <c r="AY18" s="62">
        <f t="shared" si="1"/>
        <v>9.2357770458551371</v>
      </c>
      <c r="AZ18" s="62">
        <f t="shared" si="1"/>
        <v>9.2357770458551371</v>
      </c>
      <c r="BA18" s="64">
        <v>118.901</v>
      </c>
      <c r="BB18" s="64">
        <v>107.678</v>
      </c>
      <c r="BC18" s="64">
        <f>BA18/BB18</f>
        <v>1.1042274187856387</v>
      </c>
      <c r="BD18" s="62">
        <f>T18/(D18*12)</f>
        <v>9.0749166666666667</v>
      </c>
      <c r="BE18" s="62">
        <f>BD18*BC18</f>
        <v>10.020771806528106</v>
      </c>
      <c r="BF18" s="62">
        <f t="shared" ref="BF18:BL18" si="3">$BE18</f>
        <v>10.020771806528106</v>
      </c>
      <c r="BG18" s="62">
        <f t="shared" si="3"/>
        <v>10.020771806528106</v>
      </c>
      <c r="BH18" s="62">
        <f t="shared" si="3"/>
        <v>10.020771806528106</v>
      </c>
      <c r="BI18" s="62">
        <f t="shared" si="3"/>
        <v>10.020771806528106</v>
      </c>
      <c r="BJ18" s="62">
        <f t="shared" si="3"/>
        <v>10.020771806528106</v>
      </c>
      <c r="BK18" s="62">
        <f t="shared" si="3"/>
        <v>10.020771806528106</v>
      </c>
      <c r="BL18" s="62">
        <f t="shared" si="3"/>
        <v>10.020771806528106</v>
      </c>
      <c r="BM18" s="62">
        <f>SUM((AV18:AZ18),(BF18:BL18))</f>
        <v>116.32428787497241</v>
      </c>
      <c r="BN18" s="927">
        <f>(AS18-BM18)</f>
        <v>273.12257333996558</v>
      </c>
      <c r="BO18" s="62">
        <f>$BE18</f>
        <v>10.020771806528106</v>
      </c>
      <c r="BP18" s="62">
        <f>$BE18</f>
        <v>10.020771806528106</v>
      </c>
      <c r="BQ18" s="62">
        <f>$BE18</f>
        <v>10.020771806528106</v>
      </c>
      <c r="BR18" s="62">
        <f>$BE18</f>
        <v>10.020771806528106</v>
      </c>
      <c r="BS18" s="62">
        <f>$BE18</f>
        <v>10.020771806528106</v>
      </c>
      <c r="BT18" s="62">
        <f>SUM(BO18:BS18)</f>
        <v>50.103859032640528</v>
      </c>
      <c r="BU18" s="62">
        <f>BN18-BT18</f>
        <v>223.01871430732507</v>
      </c>
      <c r="BV18" s="64">
        <v>126.408</v>
      </c>
      <c r="BW18" s="64">
        <v>107.678</v>
      </c>
      <c r="BX18" s="64">
        <f>BV18/BW18</f>
        <v>1.1739445383458089</v>
      </c>
      <c r="BY18" s="62">
        <f>BU18/L18</f>
        <v>4.0548857146786377</v>
      </c>
      <c r="BZ18" s="62">
        <f>BY18*BX18</f>
        <v>4.7602109383634286</v>
      </c>
      <c r="CA18" s="62">
        <v>7.0870676642973658</v>
      </c>
      <c r="CB18" s="62">
        <v>7.0870676642973658</v>
      </c>
      <c r="CC18" s="62">
        <v>7.0870676642973658</v>
      </c>
      <c r="CD18" s="62">
        <v>7.0870676642973658</v>
      </c>
      <c r="CE18" s="62">
        <v>7.0870676642973658</v>
      </c>
      <c r="CF18" s="62">
        <v>7.0870676642973658</v>
      </c>
      <c r="CG18" s="62">
        <v>7.0870676642973658</v>
      </c>
      <c r="CH18" s="62">
        <f>SUM(CA18:CG18)</f>
        <v>49.609473650081561</v>
      </c>
      <c r="CI18" s="927">
        <f>BU18-CH18</f>
        <v>173.40924065724352</v>
      </c>
      <c r="CJ18" s="62">
        <v>7.09</v>
      </c>
      <c r="CK18" s="62">
        <v>7.09</v>
      </c>
      <c r="CL18" s="62">
        <v>7.09</v>
      </c>
      <c r="CM18" s="62">
        <v>7.09</v>
      </c>
      <c r="CN18" s="62">
        <v>7.09</v>
      </c>
      <c r="CO18" s="1170">
        <f>SUM(CJ18:CN18)</f>
        <v>35.450000000000003</v>
      </c>
      <c r="CP18" s="679">
        <f>CI18-CO18</f>
        <v>137.95924065724353</v>
      </c>
      <c r="CQ18" s="1171">
        <v>132.28200000000001</v>
      </c>
      <c r="CR18" s="1200">
        <v>118.051</v>
      </c>
      <c r="CS18" s="1200">
        <f>CQ18/CR18</f>
        <v>1.1205495929725289</v>
      </c>
      <c r="CT18" s="510">
        <f>CP18/L18</f>
        <v>2.5083498301317007</v>
      </c>
      <c r="CU18" s="510">
        <f>CT18*CS18</f>
        <v>2.8107303811867892</v>
      </c>
      <c r="CV18" s="1193">
        <v>2.8107303811867892</v>
      </c>
      <c r="CW18" s="1193">
        <v>2.81</v>
      </c>
      <c r="CX18" s="1193">
        <v>2.81</v>
      </c>
      <c r="CY18" s="1193">
        <v>2.81</v>
      </c>
      <c r="CZ18" s="1193">
        <v>2.81</v>
      </c>
      <c r="DA18" s="1193">
        <v>2.81</v>
      </c>
      <c r="DB18" s="1193">
        <v>2.81</v>
      </c>
      <c r="DC18" s="1193">
        <v>2.81</v>
      </c>
      <c r="DD18" s="1193">
        <v>2.81</v>
      </c>
      <c r="DE18" s="1193">
        <v>2.81</v>
      </c>
      <c r="DF18" s="1193">
        <v>2.81</v>
      </c>
      <c r="DG18" s="1193">
        <v>2.81</v>
      </c>
      <c r="DH18" s="1193">
        <v>2.81</v>
      </c>
      <c r="DI18" s="1193">
        <v>2.81</v>
      </c>
      <c r="DJ18" s="1193">
        <v>2.81</v>
      </c>
      <c r="DK18" s="1193">
        <v>2.81</v>
      </c>
      <c r="DL18" s="1193">
        <v>2.81</v>
      </c>
      <c r="DM18" s="1193">
        <v>2.81</v>
      </c>
      <c r="DN18" s="1193">
        <f t="shared" si="2"/>
        <v>50.580730381186797</v>
      </c>
      <c r="DO18" s="1134">
        <f>CP18-DN18</f>
        <v>87.37851027605673</v>
      </c>
    </row>
    <row r="19" spans="1:119" ht="15.75" x14ac:dyDescent="0.25">
      <c r="R19" s="175"/>
      <c r="V19" s="254">
        <f>SUM(V15:V18)</f>
        <v>854.42791666666676</v>
      </c>
      <c r="W19" s="254">
        <f>SUM(W15:W18)</f>
        <v>833.56208333333325</v>
      </c>
      <c r="Y19" s="237"/>
      <c r="Z19" s="268">
        <f>SUM(Z15:Z18)</f>
        <v>763.22916666666663</v>
      </c>
      <c r="AD19" s="195"/>
      <c r="AE19" s="195"/>
      <c r="AF19" s="195" t="e">
        <f>SUM(#REF!)</f>
        <v>#REF!</v>
      </c>
      <c r="AG19" s="195" t="e">
        <f>SUM(#REF!)</f>
        <v>#REF!</v>
      </c>
      <c r="AH19" s="195" t="e">
        <f>SUM(#REF!)</f>
        <v>#REF!</v>
      </c>
      <c r="AI19" s="195" t="e">
        <f>SUM(#REF!)</f>
        <v>#REF!</v>
      </c>
      <c r="AJ19" s="195" t="e">
        <f>SUM(#REF!)</f>
        <v>#REF!</v>
      </c>
      <c r="AK19" s="195">
        <f t="shared" ref="AK19:AR19" si="4">SUM(AK15:AK18)</f>
        <v>13.645235011653877</v>
      </c>
      <c r="AL19" s="195"/>
      <c r="AM19" s="195"/>
      <c r="AN19" s="195"/>
      <c r="AO19" s="195"/>
      <c r="AP19" s="195">
        <f t="shared" si="4"/>
        <v>14.13089678522954</v>
      </c>
      <c r="AQ19" s="290">
        <f t="shared" si="4"/>
        <v>14.13089678522954</v>
      </c>
      <c r="AR19" s="278">
        <f t="shared" si="4"/>
        <v>98.43061572303111</v>
      </c>
      <c r="AS19" s="195">
        <f>SUM(AS15:AS18)</f>
        <v>664.79855094363552</v>
      </c>
      <c r="AV19" s="13">
        <f>SUM(AV14:AV18)</f>
        <v>14.13089678522954</v>
      </c>
      <c r="AW19" s="13">
        <f>SUM(AW14:AW18)</f>
        <v>14.13089678522954</v>
      </c>
      <c r="AX19" s="13">
        <f>SUM(AX14:AX18)</f>
        <v>14.13089678522954</v>
      </c>
      <c r="AY19" s="13">
        <f>SUM(AY15:AY18)</f>
        <v>14.13089678522954</v>
      </c>
      <c r="AZ19" s="13">
        <f>SUM(AZ15:AZ18)</f>
        <v>14.13089678522954</v>
      </c>
      <c r="BD19" s="195"/>
      <c r="BE19" s="195"/>
      <c r="BF19" s="13">
        <f>SUM(BF15:BF18)</f>
        <v>15.296218749626931</v>
      </c>
      <c r="BG19" s="13">
        <f t="shared" ref="BG19:BL19" si="5">SUM(BG14:BG18)</f>
        <v>15.296218749626931</v>
      </c>
      <c r="BH19" s="13">
        <f t="shared" si="5"/>
        <v>15.296218749626931</v>
      </c>
      <c r="BI19" s="13">
        <f t="shared" si="5"/>
        <v>15.296218749626931</v>
      </c>
      <c r="BJ19" s="13">
        <f t="shared" si="5"/>
        <v>15.296218749626931</v>
      </c>
      <c r="BK19" s="13">
        <f t="shared" si="5"/>
        <v>15.296218749626931</v>
      </c>
      <c r="BL19" s="13">
        <f t="shared" si="5"/>
        <v>15.296218749626931</v>
      </c>
      <c r="BM19" s="459">
        <f>SUM(AV19:BL19)</f>
        <v>177.72801517353616</v>
      </c>
      <c r="BN19" s="460">
        <f>(AS19-BM19)</f>
        <v>487.07053577009935</v>
      </c>
      <c r="BO19" s="13">
        <f>SUM(BO14:BO18)</f>
        <v>15.296218749626931</v>
      </c>
      <c r="BP19" s="13">
        <f>SUM(BP14:BP18)</f>
        <v>15.296218749626931</v>
      </c>
      <c r="BQ19" s="13">
        <f>SUM(BQ14:BQ18)</f>
        <v>15.296218749626931</v>
      </c>
      <c r="BR19" s="13">
        <f>SUM(BR14:BR18)</f>
        <v>15.296218749626931</v>
      </c>
      <c r="BS19" s="13">
        <f>SUM(BS15:BS18)</f>
        <v>15.296218749626931</v>
      </c>
      <c r="BT19" s="13">
        <f t="shared" ref="BT19:CA19" si="6">SUM(BT15:BT18)</f>
        <v>76.481093748134654</v>
      </c>
      <c r="BU19" s="13">
        <f t="shared" si="6"/>
        <v>410.58944202196466</v>
      </c>
      <c r="BV19" s="13"/>
      <c r="BW19" s="13"/>
      <c r="BX19" s="13"/>
      <c r="BY19" s="13">
        <f t="shared" si="6"/>
        <v>6.8544488148971396</v>
      </c>
      <c r="BZ19" s="13">
        <f t="shared" si="6"/>
        <v>7.9057348917203489</v>
      </c>
      <c r="CA19" s="13">
        <f t="shared" si="6"/>
        <v>11.091980920072672</v>
      </c>
      <c r="CB19" s="13">
        <f t="shared" ref="CB19:CG19" si="7">SUM(CB14:CB18)</f>
        <v>11.091980920072672</v>
      </c>
      <c r="CC19" s="13">
        <f t="shared" si="7"/>
        <v>11.091980920072672</v>
      </c>
      <c r="CD19" s="13">
        <f t="shared" si="7"/>
        <v>11.091980920072672</v>
      </c>
      <c r="CE19" s="13">
        <f>SUM(CE14:CE18)</f>
        <v>11.091980920072672</v>
      </c>
      <c r="CF19" s="524">
        <f t="shared" si="7"/>
        <v>11.091980920072672</v>
      </c>
      <c r="CG19" s="524">
        <f t="shared" si="7"/>
        <v>11.091980920072672</v>
      </c>
      <c r="CH19" s="459">
        <f>SUM(CH13:CH18)</f>
        <v>77.643866440508702</v>
      </c>
      <c r="CI19" s="460">
        <f>SUM(CI15:CI18)</f>
        <v>332.94557558145596</v>
      </c>
      <c r="CJ19" s="460">
        <f t="shared" ref="CJ19:DN19" si="8">SUM(CJ15:CJ18)</f>
        <v>11.09</v>
      </c>
      <c r="CK19" s="460">
        <f t="shared" si="8"/>
        <v>11.09</v>
      </c>
      <c r="CL19" s="1027">
        <f>SUM(CL15:CL18)</f>
        <v>11.09</v>
      </c>
      <c r="CM19" s="996">
        <f>SUM(CM15:CM18)</f>
        <v>11.09</v>
      </c>
      <c r="CN19" s="996">
        <f>SUM(CN15:CN18)</f>
        <v>11.09</v>
      </c>
      <c r="CO19" s="460">
        <f t="shared" si="8"/>
        <v>55.45</v>
      </c>
      <c r="CP19" s="460">
        <f t="shared" si="8"/>
        <v>277.49557558145597</v>
      </c>
      <c r="CQ19" s="460">
        <f t="shared" si="8"/>
        <v>264.56400000000002</v>
      </c>
      <c r="CR19" s="460">
        <f t="shared" si="8"/>
        <v>236.102</v>
      </c>
      <c r="CS19" s="460">
        <f t="shared" si="8"/>
        <v>2.2410991859450577</v>
      </c>
      <c r="CT19" s="460">
        <f t="shared" si="8"/>
        <v>4.5909816946721849</v>
      </c>
      <c r="CU19" s="460">
        <f t="shared" si="8"/>
        <v>5.1444226693092476</v>
      </c>
      <c r="CV19" s="1135">
        <f t="shared" si="8"/>
        <v>5.1444226693092476</v>
      </c>
      <c r="CW19" s="1135">
        <f t="shared" si="8"/>
        <v>5.1400000000000006</v>
      </c>
      <c r="CX19" s="1135">
        <f t="shared" si="8"/>
        <v>5.1400000000000006</v>
      </c>
      <c r="CY19" s="1135">
        <f t="shared" si="8"/>
        <v>5.1400000000000006</v>
      </c>
      <c r="CZ19" s="1135">
        <f t="shared" si="8"/>
        <v>5.1400000000000006</v>
      </c>
      <c r="DA19" s="1135">
        <f t="shared" si="8"/>
        <v>5.1400000000000006</v>
      </c>
      <c r="DB19" s="1135">
        <f t="shared" si="8"/>
        <v>5.1400000000000006</v>
      </c>
      <c r="DC19" s="1135">
        <f t="shared" ref="DC19:DD19" si="9">SUM(DC15:DC18)</f>
        <v>5.1400000000000006</v>
      </c>
      <c r="DD19" s="1135">
        <f t="shared" si="9"/>
        <v>5.1400000000000006</v>
      </c>
      <c r="DE19" s="1135">
        <f t="shared" ref="DE19:DF19" si="10">SUM(DE15:DE18)</f>
        <v>5.1400000000000006</v>
      </c>
      <c r="DF19" s="1135">
        <f t="shared" si="10"/>
        <v>5.1400000000000006</v>
      </c>
      <c r="DG19" s="1135">
        <f t="shared" ref="DG19:DM19" si="11">SUM(DG15:DG18)</f>
        <v>5.1400000000000006</v>
      </c>
      <c r="DH19" s="1135">
        <f t="shared" ref="DH19:DL19" si="12">SUM(DH15:DH18)</f>
        <v>5.1400000000000006</v>
      </c>
      <c r="DI19" s="1135">
        <f t="shared" si="12"/>
        <v>5.1400000000000006</v>
      </c>
      <c r="DJ19" s="1135">
        <f t="shared" si="12"/>
        <v>5.1400000000000006</v>
      </c>
      <c r="DK19" s="1135">
        <f t="shared" si="12"/>
        <v>5.1400000000000006</v>
      </c>
      <c r="DL19" s="1135">
        <f t="shared" si="12"/>
        <v>5.1400000000000006</v>
      </c>
      <c r="DM19" s="1135">
        <f t="shared" si="11"/>
        <v>5.1400000000000006</v>
      </c>
      <c r="DN19" s="1135">
        <f t="shared" si="8"/>
        <v>92.524422669309246</v>
      </c>
      <c r="DO19" s="1135">
        <f>SUM(DO13:DO18)</f>
        <v>184.97115291214675</v>
      </c>
    </row>
    <row r="20" spans="1:119" s="104" customFormat="1" ht="14.25" x14ac:dyDescent="0.2">
      <c r="A20" s="110" t="s">
        <v>315</v>
      </c>
      <c r="B20" s="87"/>
      <c r="C20" s="87"/>
      <c r="D20" s="88"/>
      <c r="E20" s="88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9"/>
      <c r="S20" s="89"/>
      <c r="T20" s="90"/>
      <c r="U20" s="90"/>
      <c r="V20" s="90"/>
      <c r="W20" s="90"/>
      <c r="X20" s="90"/>
      <c r="Z20"/>
      <c r="AA20"/>
      <c r="AB20" s="77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 s="69"/>
      <c r="BA20"/>
      <c r="BB20" s="77"/>
      <c r="BC20"/>
      <c r="BD20"/>
      <c r="BE20"/>
      <c r="BN20" s="104">
        <f>BN19-BO19-BP19</f>
        <v>456.47809827084552</v>
      </c>
      <c r="BO20" s="104">
        <f>BO19-BP19-BQ19</f>
        <v>-15.296218749626931</v>
      </c>
      <c r="BP20" s="104">
        <f>BP19-BQ19-BR19</f>
        <v>-15.296218749626931</v>
      </c>
      <c r="BV20"/>
      <c r="BW20" s="77"/>
      <c r="BX20"/>
      <c r="BY20"/>
      <c r="BZ20"/>
      <c r="CJ20" s="290"/>
      <c r="CK20" s="290"/>
      <c r="CL20" s="971"/>
      <c r="CM20" s="971"/>
      <c r="CN20" s="971"/>
      <c r="CO20" s="971"/>
      <c r="CP20" s="971"/>
      <c r="CQ20" s="958"/>
      <c r="CR20" s="958"/>
      <c r="CS20" s="958"/>
      <c r="CT20" s="958"/>
      <c r="CU20" s="958"/>
      <c r="CV20" s="607"/>
      <c r="CW20" s="607"/>
      <c r="CX20" s="607"/>
      <c r="CY20" s="607"/>
      <c r="CZ20" s="607"/>
      <c r="DA20" s="607"/>
      <c r="DB20" s="607"/>
      <c r="DC20" s="607"/>
      <c r="DD20" s="607"/>
      <c r="DE20" s="607"/>
      <c r="DF20" s="607"/>
      <c r="DG20" s="607"/>
      <c r="DH20" s="607"/>
      <c r="DI20" s="607"/>
      <c r="DJ20" s="607"/>
      <c r="DK20" s="607"/>
      <c r="DL20" s="607"/>
      <c r="DM20" s="607"/>
      <c r="DN20" s="607"/>
      <c r="DO20" s="607">
        <f>CP19-DN19</f>
        <v>184.97115291214672</v>
      </c>
    </row>
    <row r="21" spans="1:119" s="104" customFormat="1" x14ac:dyDescent="0.2">
      <c r="A21" s="238" t="s">
        <v>568</v>
      </c>
      <c r="B21" s="239"/>
      <c r="C21" s="239"/>
      <c r="D21" s="240"/>
      <c r="E21" s="240"/>
      <c r="F21"/>
      <c r="G21"/>
      <c r="H21"/>
      <c r="I21"/>
      <c r="J21"/>
      <c r="K21"/>
      <c r="L21"/>
      <c r="M21"/>
      <c r="N21"/>
      <c r="O21"/>
      <c r="P21"/>
      <c r="Q21"/>
      <c r="R21" s="19"/>
      <c r="S21" s="19"/>
      <c r="T21" s="12"/>
      <c r="U21" s="12"/>
      <c r="V21" s="12"/>
      <c r="W21" s="12"/>
      <c r="X21" s="12"/>
      <c r="Z21"/>
      <c r="AA21"/>
      <c r="AB21" s="85"/>
      <c r="AC21"/>
      <c r="AD21"/>
      <c r="AE21" s="12"/>
      <c r="AF21"/>
      <c r="AG21"/>
      <c r="AH21"/>
      <c r="AI21"/>
      <c r="AJ21"/>
      <c r="AK21"/>
      <c r="AL21"/>
      <c r="AM21"/>
      <c r="AN21"/>
      <c r="AO21"/>
      <c r="AP21"/>
      <c r="AQ21"/>
      <c r="AR21" s="277"/>
      <c r="AS21" s="69"/>
      <c r="BA21"/>
      <c r="BB21" s="85"/>
      <c r="BC21"/>
      <c r="BD21"/>
      <c r="BE21" s="12"/>
      <c r="BV21"/>
      <c r="BW21" s="85"/>
      <c r="BX21"/>
      <c r="BY21"/>
      <c r="BZ21" s="12"/>
      <c r="CI21" s="104">
        <f>BU19-CH19</f>
        <v>332.94557558145596</v>
      </c>
    </row>
    <row r="22" spans="1:119" ht="30.75" hidden="1" customHeight="1" x14ac:dyDescent="0.2">
      <c r="A22" s="1271" t="s">
        <v>462</v>
      </c>
      <c r="B22" s="1271"/>
      <c r="C22" s="1271"/>
      <c r="D22" s="1271"/>
      <c r="E22" s="1271"/>
      <c r="F22" s="1271"/>
      <c r="G22" s="1271"/>
      <c r="H22" s="1271"/>
      <c r="I22" s="1271"/>
      <c r="J22" s="1271"/>
      <c r="K22" s="1271"/>
      <c r="L22" s="1271"/>
      <c r="M22" s="1271"/>
      <c r="N22" s="1271"/>
      <c r="O22" s="1271"/>
      <c r="P22" s="1271"/>
      <c r="Q22" s="1271"/>
      <c r="R22" s="1271"/>
      <c r="S22" s="1271"/>
      <c r="T22" s="1271"/>
      <c r="U22" s="1271"/>
      <c r="V22" s="1271"/>
      <c r="W22" s="1271"/>
      <c r="X22" s="1271"/>
      <c r="Y22" s="1271"/>
      <c r="Z22" s="1271"/>
      <c r="AA22" s="1271"/>
      <c r="AB22" s="171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BB22" s="171"/>
      <c r="BC22" s="170"/>
      <c r="BD22" s="170"/>
      <c r="BE22" s="170"/>
      <c r="BW22" s="171"/>
      <c r="BX22" s="170"/>
      <c r="BY22" s="170"/>
      <c r="BZ22" s="170"/>
    </row>
    <row r="23" spans="1:119" hidden="1" x14ac:dyDescent="0.2">
      <c r="A23" s="1271"/>
      <c r="B23" s="1271"/>
      <c r="C23" s="1271"/>
      <c r="D23" s="1271"/>
      <c r="E23" s="1271"/>
      <c r="F23" s="1271"/>
      <c r="G23" s="1271"/>
      <c r="H23" s="1271"/>
      <c r="I23" s="1271"/>
      <c r="J23" s="1271"/>
      <c r="K23" s="1271"/>
      <c r="L23" s="1271"/>
      <c r="M23" s="1271"/>
      <c r="N23" s="1271"/>
      <c r="O23" s="1271"/>
      <c r="P23" s="1271"/>
      <c r="Q23" s="1271"/>
      <c r="R23" s="1271"/>
      <c r="S23" s="1271"/>
      <c r="T23" s="1271"/>
      <c r="U23" s="1271"/>
      <c r="V23" s="1271"/>
      <c r="W23" s="1271"/>
      <c r="X23" s="1271"/>
      <c r="Y23" s="1271"/>
      <c r="Z23" s="1271"/>
      <c r="AA23" s="1271"/>
    </row>
  </sheetData>
  <mergeCells count="40">
    <mergeCell ref="A22:AA23"/>
    <mergeCell ref="R11:R12"/>
    <mergeCell ref="S11:S12"/>
    <mergeCell ref="T11:T12"/>
    <mergeCell ref="V11:V12"/>
    <mergeCell ref="W11:W12"/>
    <mergeCell ref="Y11:Y12"/>
    <mergeCell ref="J11:J12"/>
    <mergeCell ref="K11:K12"/>
    <mergeCell ref="L11:L12"/>
    <mergeCell ref="M11:M12"/>
    <mergeCell ref="O11:O12"/>
    <mergeCell ref="Q11:Q12"/>
    <mergeCell ref="D10:P10"/>
    <mergeCell ref="R10:T10"/>
    <mergeCell ref="H11:H12"/>
    <mergeCell ref="I11:I12"/>
    <mergeCell ref="Z11:Z12"/>
    <mergeCell ref="W10:BD10"/>
    <mergeCell ref="BD11:BD12"/>
    <mergeCell ref="E11:E12"/>
    <mergeCell ref="F11:F12"/>
    <mergeCell ref="G11:G12"/>
    <mergeCell ref="AT11:AT12"/>
    <mergeCell ref="AU11:AU12"/>
    <mergeCell ref="AD11:AD12"/>
    <mergeCell ref="AE11:AE12"/>
    <mergeCell ref="BU11:BU12"/>
    <mergeCell ref="BY11:BY12"/>
    <mergeCell ref="A11:A12"/>
    <mergeCell ref="B11:B12"/>
    <mergeCell ref="BZ11:BZ12"/>
    <mergeCell ref="BT11:BT12"/>
    <mergeCell ref="BE11:BE12"/>
    <mergeCell ref="DO11:DO12"/>
    <mergeCell ref="CO11:CO12"/>
    <mergeCell ref="CP11:CP12"/>
    <mergeCell ref="CT11:CT12"/>
    <mergeCell ref="CU11:CU12"/>
    <mergeCell ref="DN11:DN12"/>
  </mergeCells>
  <printOptions horizontalCentered="1"/>
  <pageMargins left="0.19685039370078741" right="0.19685039370078741" top="0.39370078740157483" bottom="0.39370078740157483" header="0" footer="0"/>
  <pageSetup scale="45" orientation="landscape" r:id="rId1"/>
  <headerFooter alignWithMargins="0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DL31"/>
  <sheetViews>
    <sheetView topLeftCell="B10" zoomScaleNormal="100" workbookViewId="0">
      <selection activeCell="DJ31" sqref="DJ31"/>
    </sheetView>
  </sheetViews>
  <sheetFormatPr baseColWidth="10" defaultRowHeight="12.75" x14ac:dyDescent="0.2"/>
  <cols>
    <col min="1" max="1" width="19.140625" customWidth="1"/>
    <col min="2" max="2" width="19.85546875" customWidth="1"/>
    <col min="3" max="3" width="16" customWidth="1"/>
    <col min="4" max="4" width="4.85546875" style="18" customWidth="1"/>
    <col min="5" max="5" width="7.42578125" style="18" customWidth="1"/>
    <col min="6" max="6" width="9.7109375" customWidth="1"/>
    <col min="7" max="7" width="3.5703125" customWidth="1"/>
    <col min="8" max="8" width="6.85546875" hidden="1" customWidth="1"/>
    <col min="9" max="9" width="4.28515625" hidden="1" customWidth="1"/>
    <col min="10" max="10" width="9.42578125" hidden="1" customWidth="1"/>
    <col min="11" max="11" width="8.28515625" hidden="1" customWidth="1"/>
    <col min="12" max="12" width="6.5703125" customWidth="1"/>
    <col min="13" max="13" width="8.5703125" hidden="1" customWidth="1"/>
    <col min="14" max="14" width="6" hidden="1" customWidth="1"/>
    <col min="15" max="15" width="8.42578125" hidden="1" customWidth="1"/>
    <col min="16" max="16" width="8.5703125" hidden="1" customWidth="1"/>
    <col min="17" max="17" width="11" customWidth="1"/>
    <col min="18" max="18" width="8.5703125" style="19" customWidth="1"/>
    <col min="19" max="19" width="9.5703125" style="19" customWidth="1"/>
    <col min="20" max="20" width="9.140625" style="12" customWidth="1"/>
    <col min="21" max="21" width="8.42578125" style="12" hidden="1" customWidth="1"/>
    <col min="22" max="22" width="10.140625" style="104" hidden="1" customWidth="1"/>
    <col min="23" max="24" width="8.7109375" hidden="1" customWidth="1"/>
    <col min="25" max="25" width="8.7109375" style="77" hidden="1" customWidth="1"/>
    <col min="26" max="26" width="7.42578125" hidden="1" customWidth="1"/>
    <col min="27" max="28" width="10.42578125" hidden="1" customWidth="1"/>
    <col min="29" max="33" width="7.7109375" hidden="1" customWidth="1"/>
    <col min="34" max="34" width="11.28515625" hidden="1" customWidth="1"/>
    <col min="35" max="36" width="7.7109375" hidden="1" customWidth="1"/>
    <col min="37" max="37" width="9.140625" hidden="1" customWidth="1"/>
    <col min="38" max="39" width="7.7109375" hidden="1" customWidth="1"/>
    <col min="40" max="40" width="10" hidden="1" customWidth="1"/>
    <col min="41" max="41" width="9.28515625" hidden="1" customWidth="1"/>
    <col min="42" max="42" width="10" style="69" hidden="1" customWidth="1"/>
    <col min="43" max="43" width="7.85546875" hidden="1" customWidth="1"/>
    <col min="44" max="44" width="8.28515625" hidden="1" customWidth="1"/>
    <col min="45" max="45" width="9.5703125" hidden="1" customWidth="1"/>
    <col min="46" max="46" width="9.85546875" hidden="1" customWidth="1"/>
    <col min="47" max="47" width="10.140625" hidden="1" customWidth="1"/>
    <col min="48" max="48" width="11.42578125" hidden="1" customWidth="1"/>
    <col min="49" max="49" width="10.140625" hidden="1" customWidth="1"/>
    <col min="50" max="50" width="10" hidden="1" customWidth="1"/>
    <col min="51" max="51" width="8.85546875" style="77" hidden="1" customWidth="1"/>
    <col min="52" max="52" width="8.28515625" hidden="1" customWidth="1"/>
    <col min="53" max="53" width="8" hidden="1" customWidth="1"/>
    <col min="54" max="54" width="7.7109375" hidden="1" customWidth="1"/>
    <col min="55" max="61" width="9" hidden="1" customWidth="1"/>
    <col min="62" max="63" width="10.28515625" hidden="1" customWidth="1"/>
    <col min="64" max="64" width="9.5703125" hidden="1" customWidth="1"/>
    <col min="65" max="66" width="9.7109375" hidden="1" customWidth="1"/>
    <col min="67" max="67" width="10.28515625" hidden="1" customWidth="1"/>
    <col min="68" max="69" width="11" hidden="1" customWidth="1"/>
    <col min="70" max="70" width="9.7109375" hidden="1" customWidth="1"/>
    <col min="71" max="71" width="10.85546875" hidden="1" customWidth="1"/>
    <col min="72" max="72" width="9.7109375" style="77" hidden="1" customWidth="1"/>
    <col min="73" max="73" width="8.28515625" hidden="1" customWidth="1"/>
    <col min="74" max="74" width="8.42578125" hidden="1" customWidth="1"/>
    <col min="75" max="75" width="10.140625" hidden="1" customWidth="1"/>
    <col min="76" max="76" width="9.7109375" hidden="1" customWidth="1"/>
    <col min="77" max="77" width="11.85546875" hidden="1" customWidth="1"/>
    <col min="78" max="78" width="10" hidden="1" customWidth="1"/>
    <col min="79" max="79" width="9.5703125" hidden="1" customWidth="1"/>
    <col min="80" max="80" width="12.140625" hidden="1" customWidth="1"/>
    <col min="81" max="81" width="10.85546875" hidden="1" customWidth="1"/>
    <col min="82" max="82" width="10.140625" hidden="1" customWidth="1"/>
    <col min="83" max="83" width="11.28515625" hidden="1" customWidth="1"/>
    <col min="84" max="84" width="12.85546875" hidden="1" customWidth="1"/>
    <col min="85" max="89" width="11.42578125" hidden="1" customWidth="1"/>
    <col min="90" max="90" width="0" hidden="1" customWidth="1"/>
    <col min="92" max="96" width="11.42578125" customWidth="1"/>
    <col min="97" max="113" width="11.42578125" hidden="1" customWidth="1"/>
    <col min="114" max="116" width="11.42578125" customWidth="1"/>
  </cols>
  <sheetData>
    <row r="1" spans="1:116" x14ac:dyDescent="0.2">
      <c r="A1" s="637"/>
      <c r="B1" s="638" t="s">
        <v>27</v>
      </c>
      <c r="C1" s="637"/>
      <c r="D1" s="639"/>
      <c r="E1" s="639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40"/>
      <c r="S1" s="640"/>
      <c r="T1" s="637"/>
      <c r="U1" s="637"/>
      <c r="V1" s="661"/>
      <c r="W1" s="662"/>
      <c r="X1" s="662"/>
      <c r="Y1" s="663"/>
      <c r="Z1" s="662"/>
      <c r="AA1" s="662"/>
      <c r="AB1" s="662"/>
      <c r="AC1" s="662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62" t="s">
        <v>1072</v>
      </c>
      <c r="AO1" s="637"/>
      <c r="AP1" s="664"/>
      <c r="AQ1" s="637"/>
      <c r="AR1" s="637"/>
      <c r="AS1" s="637"/>
      <c r="AT1" s="637"/>
      <c r="AU1" s="637"/>
      <c r="AV1" s="637"/>
      <c r="AW1" s="637"/>
      <c r="AX1" s="662"/>
      <c r="AY1" s="663"/>
      <c r="AZ1" s="662"/>
      <c r="BA1" s="662"/>
      <c r="BB1" s="662"/>
      <c r="BC1" s="637"/>
      <c r="BD1" s="637"/>
      <c r="BE1" s="637"/>
      <c r="BF1" s="637"/>
      <c r="BG1" s="637"/>
      <c r="BH1" s="637"/>
      <c r="BI1" s="637"/>
      <c r="BJ1" s="637"/>
      <c r="BK1" s="637"/>
      <c r="BL1" s="637"/>
      <c r="BM1" s="637"/>
      <c r="BN1" s="637"/>
      <c r="BO1" s="637"/>
      <c r="BP1" s="637"/>
      <c r="BQ1" s="637"/>
      <c r="BR1" s="637"/>
      <c r="BS1" s="662"/>
      <c r="BT1" s="663"/>
      <c r="BU1" s="662"/>
      <c r="BV1" s="662"/>
      <c r="BW1" s="662"/>
      <c r="BX1" s="637"/>
      <c r="BY1" s="637"/>
      <c r="BZ1" s="637"/>
      <c r="CA1" s="637"/>
      <c r="CB1" s="637"/>
      <c r="CC1" s="637"/>
      <c r="CD1" s="637"/>
      <c r="CE1" s="637"/>
      <c r="CF1" s="637"/>
    </row>
    <row r="2" spans="1:116" x14ac:dyDescent="0.2">
      <c r="A2" s="637"/>
      <c r="B2" s="638" t="s">
        <v>1273</v>
      </c>
      <c r="C2" s="637"/>
      <c r="D2" s="639"/>
      <c r="E2" s="639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40"/>
      <c r="S2" s="640"/>
      <c r="T2" s="637"/>
      <c r="U2" s="637"/>
      <c r="V2" s="661"/>
      <c r="W2" s="662"/>
      <c r="X2" s="662"/>
      <c r="Y2" s="663"/>
      <c r="Z2" s="662"/>
      <c r="AA2" s="662"/>
      <c r="AB2" s="662"/>
      <c r="AC2" s="662"/>
      <c r="AD2" s="637"/>
      <c r="AE2" s="637"/>
      <c r="AF2" s="637"/>
      <c r="AG2" s="637"/>
      <c r="AH2" s="637"/>
      <c r="AI2" s="637"/>
      <c r="AJ2" s="637"/>
      <c r="AK2" s="637"/>
      <c r="AL2" s="637"/>
      <c r="AM2" s="637"/>
      <c r="AN2" s="637"/>
      <c r="AO2" s="637"/>
      <c r="AP2" s="664"/>
      <c r="AQ2" s="637"/>
      <c r="AR2" s="637"/>
      <c r="AS2" s="637"/>
      <c r="AT2" s="637"/>
      <c r="AU2" s="637"/>
      <c r="AV2" s="637"/>
      <c r="AW2" s="637"/>
      <c r="AX2" s="662"/>
      <c r="AY2" s="663"/>
      <c r="AZ2" s="662"/>
      <c r="BA2" s="662"/>
      <c r="BB2" s="662"/>
      <c r="BC2" s="637"/>
      <c r="BD2" s="637"/>
      <c r="BE2" s="637"/>
      <c r="BF2" s="637"/>
      <c r="BG2" s="637"/>
      <c r="BH2" s="637"/>
      <c r="BI2" s="637"/>
      <c r="BJ2" s="637"/>
      <c r="BK2" s="637"/>
      <c r="BL2" s="637"/>
      <c r="BM2" s="637"/>
      <c r="BN2" s="637"/>
      <c r="BO2" s="637"/>
      <c r="BP2" s="637"/>
      <c r="BQ2" s="637"/>
      <c r="BR2" s="637"/>
      <c r="BS2" s="662"/>
      <c r="BT2" s="663"/>
      <c r="BU2" s="662"/>
      <c r="BV2" s="662"/>
      <c r="BW2" s="662"/>
      <c r="BX2" s="637"/>
      <c r="BY2" s="637"/>
      <c r="BZ2" s="637"/>
      <c r="CA2" s="637"/>
      <c r="CB2" s="637"/>
      <c r="CC2" s="637"/>
      <c r="CD2" s="637"/>
      <c r="CE2" s="637"/>
      <c r="CF2" s="637"/>
    </row>
    <row r="3" spans="1:116" x14ac:dyDescent="0.2">
      <c r="A3" s="637"/>
      <c r="B3" s="637"/>
      <c r="C3" s="638"/>
      <c r="D3" s="641"/>
      <c r="E3" s="639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38"/>
      <c r="S3" s="638"/>
      <c r="T3" s="642"/>
      <c r="U3" s="642"/>
      <c r="V3" s="665"/>
      <c r="W3" s="662"/>
      <c r="X3" s="662"/>
      <c r="Y3" s="663"/>
      <c r="Z3" s="662"/>
      <c r="AA3" s="662"/>
      <c r="AB3" s="662"/>
      <c r="AC3" s="662"/>
      <c r="AD3" s="637"/>
      <c r="AE3" s="637"/>
      <c r="AF3" s="637"/>
      <c r="AG3" s="637"/>
      <c r="AH3" s="637"/>
      <c r="AI3" s="637"/>
      <c r="AJ3" s="637"/>
      <c r="AK3" s="637"/>
      <c r="AL3" s="637"/>
      <c r="AM3" s="637"/>
      <c r="AN3" s="637"/>
      <c r="AO3" s="637"/>
      <c r="AP3" s="664"/>
      <c r="AQ3" s="637"/>
      <c r="AR3" s="637"/>
      <c r="AS3" s="637"/>
      <c r="AT3" s="637"/>
      <c r="AU3" s="637"/>
      <c r="AV3" s="637"/>
      <c r="AW3" s="637"/>
      <c r="AX3" s="662"/>
      <c r="AY3" s="663"/>
      <c r="AZ3" s="662"/>
      <c r="BA3" s="662"/>
      <c r="BB3" s="662"/>
      <c r="BC3" s="637"/>
      <c r="BD3" s="637"/>
      <c r="BE3" s="637"/>
      <c r="BF3" s="637"/>
      <c r="BG3" s="637"/>
      <c r="BH3" s="637"/>
      <c r="BI3" s="637"/>
      <c r="BJ3" s="637"/>
      <c r="BK3" s="637"/>
      <c r="BL3" s="637"/>
      <c r="BM3" s="637"/>
      <c r="BN3" s="637"/>
      <c r="BO3" s="637"/>
      <c r="BP3" s="637"/>
      <c r="BQ3" s="637"/>
      <c r="BR3" s="637"/>
      <c r="BS3" s="662"/>
      <c r="BT3" s="663"/>
      <c r="BU3" s="662"/>
      <c r="BV3" s="662"/>
      <c r="BW3" s="662"/>
      <c r="BX3" s="637"/>
      <c r="BY3" s="637"/>
      <c r="BZ3" s="637"/>
      <c r="CA3" s="637"/>
      <c r="CB3" s="637"/>
      <c r="CC3" s="637"/>
      <c r="CD3" s="637"/>
      <c r="CE3" s="637"/>
      <c r="CF3" s="637"/>
    </row>
    <row r="4" spans="1:116" x14ac:dyDescent="0.2">
      <c r="A4" s="637"/>
      <c r="B4" s="637" t="s">
        <v>309</v>
      </c>
      <c r="C4" s="638"/>
      <c r="D4" s="641"/>
      <c r="E4" s="639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38"/>
      <c r="S4" s="638"/>
      <c r="T4" s="642"/>
      <c r="U4" s="642"/>
      <c r="V4" s="665"/>
      <c r="W4" s="662"/>
      <c r="X4" s="662"/>
      <c r="Y4" s="663"/>
      <c r="Z4" s="662"/>
      <c r="AA4" s="662"/>
      <c r="AB4" s="662"/>
      <c r="AC4" s="662"/>
      <c r="AD4" s="637"/>
      <c r="AE4" s="637"/>
      <c r="AF4" s="637"/>
      <c r="AG4" s="637"/>
      <c r="AH4" s="637"/>
      <c r="AI4" s="637"/>
      <c r="AJ4" s="637"/>
      <c r="AK4" s="637"/>
      <c r="AL4" s="637"/>
      <c r="AM4" s="637"/>
      <c r="AN4" s="637"/>
      <c r="AO4" s="637"/>
      <c r="AP4" s="664"/>
      <c r="AQ4" s="637"/>
      <c r="AR4" s="637"/>
      <c r="AS4" s="637"/>
      <c r="AT4" s="637"/>
      <c r="AU4" s="637"/>
      <c r="AV4" s="637"/>
      <c r="AW4" s="637"/>
      <c r="AX4" s="662"/>
      <c r="AY4" s="663"/>
      <c r="AZ4" s="662"/>
      <c r="BA4" s="662"/>
      <c r="BB4" s="662"/>
      <c r="BC4" s="637"/>
      <c r="BD4" s="637"/>
      <c r="BE4" s="637"/>
      <c r="BF4" s="637"/>
      <c r="BG4" s="637"/>
      <c r="BH4" s="637"/>
      <c r="BI4" s="637"/>
      <c r="BJ4" s="637"/>
      <c r="BK4" s="637"/>
      <c r="BL4" s="637"/>
      <c r="BM4" s="637"/>
      <c r="BN4" s="637"/>
      <c r="BO4" s="637"/>
      <c r="BP4" s="637"/>
      <c r="BQ4" s="637"/>
      <c r="BR4" s="637"/>
      <c r="BS4" s="662"/>
      <c r="BT4" s="663"/>
      <c r="BU4" s="662"/>
      <c r="BV4" s="662"/>
      <c r="BW4" s="662"/>
      <c r="BX4" s="637"/>
      <c r="BY4" s="637"/>
      <c r="BZ4" s="637"/>
      <c r="CA4" s="637"/>
      <c r="CB4" s="637"/>
      <c r="CC4" s="637"/>
      <c r="CD4" s="637"/>
      <c r="CE4" s="637"/>
      <c r="CF4" s="637"/>
    </row>
    <row r="5" spans="1:116" x14ac:dyDescent="0.2">
      <c r="A5" s="637"/>
      <c r="B5" s="642" t="s">
        <v>659</v>
      </c>
      <c r="C5" s="637"/>
      <c r="D5" s="639"/>
      <c r="E5" s="639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40"/>
      <c r="S5" s="640"/>
      <c r="T5" s="637"/>
      <c r="U5" s="637"/>
      <c r="V5" s="661"/>
      <c r="W5" s="662"/>
      <c r="X5" s="662"/>
      <c r="Y5" s="663"/>
      <c r="Z5" s="662"/>
      <c r="AA5" s="662"/>
      <c r="AB5" s="662"/>
      <c r="AC5" s="662"/>
      <c r="AD5" s="637"/>
      <c r="AE5" s="637"/>
      <c r="AF5" s="637"/>
      <c r="AG5" s="637"/>
      <c r="AH5" s="637"/>
      <c r="AI5" s="637"/>
      <c r="AJ5" s="637"/>
      <c r="AK5" s="637"/>
      <c r="AL5" s="637"/>
      <c r="AM5" s="637"/>
      <c r="AN5" s="637"/>
      <c r="AO5" s="637"/>
      <c r="AP5" s="664"/>
      <c r="AQ5" s="637"/>
      <c r="AR5" s="637"/>
      <c r="AS5" s="637"/>
      <c r="AT5" s="637"/>
      <c r="AU5" s="637"/>
      <c r="AV5" s="637"/>
      <c r="AW5" s="637"/>
      <c r="AX5" s="662"/>
      <c r="AY5" s="663"/>
      <c r="AZ5" s="662"/>
      <c r="BA5" s="662"/>
      <c r="BB5" s="662"/>
      <c r="BC5" s="637"/>
      <c r="BD5" s="637"/>
      <c r="BE5" s="637"/>
      <c r="BF5" s="637"/>
      <c r="BG5" s="637"/>
      <c r="BH5" s="637"/>
      <c r="BI5" s="637"/>
      <c r="BJ5" s="637"/>
      <c r="BK5" s="637"/>
      <c r="BL5" s="637"/>
      <c r="BM5" s="637"/>
      <c r="BN5" s="637"/>
      <c r="BO5" s="637"/>
      <c r="BP5" s="637"/>
      <c r="BQ5" s="637"/>
      <c r="BR5" s="637"/>
      <c r="BS5" s="662"/>
      <c r="BT5" s="663"/>
      <c r="BU5" s="662"/>
      <c r="BV5" s="662"/>
      <c r="BW5" s="662"/>
      <c r="BX5" s="637"/>
      <c r="BY5" s="637"/>
      <c r="BZ5" s="637"/>
      <c r="CA5" s="637"/>
      <c r="CB5" s="637"/>
      <c r="CC5" s="637"/>
      <c r="CD5" s="637"/>
      <c r="CE5" s="637"/>
      <c r="CF5" s="637"/>
    </row>
    <row r="6" spans="1:116" x14ac:dyDescent="0.2">
      <c r="A6" s="637"/>
      <c r="B6" s="637" t="s">
        <v>1272</v>
      </c>
      <c r="C6" s="637"/>
      <c r="D6" s="639"/>
      <c r="E6" s="639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40"/>
      <c r="S6" s="640"/>
      <c r="T6" s="637"/>
      <c r="U6" s="637"/>
      <c r="V6" s="661"/>
      <c r="W6" s="662"/>
      <c r="X6" s="662"/>
      <c r="Y6" s="663"/>
      <c r="Z6" s="662"/>
      <c r="AA6" s="662"/>
      <c r="AB6" s="662"/>
      <c r="AC6" s="662"/>
      <c r="AD6" s="637"/>
      <c r="AE6" s="637"/>
      <c r="AF6" s="637"/>
      <c r="AG6" s="637"/>
      <c r="AH6" s="637"/>
      <c r="AI6" s="637"/>
      <c r="AJ6" s="637"/>
      <c r="AK6" s="637"/>
      <c r="AL6" s="637"/>
      <c r="AM6" s="637"/>
      <c r="AN6" s="637"/>
      <c r="AO6" s="637"/>
      <c r="AP6" s="664"/>
      <c r="AQ6" s="637"/>
      <c r="AR6" s="637"/>
      <c r="AS6" s="637"/>
      <c r="AT6" s="637"/>
      <c r="AU6" s="637"/>
      <c r="AV6" s="637"/>
      <c r="AW6" s="637"/>
      <c r="AX6" s="662"/>
      <c r="AY6" s="663"/>
      <c r="AZ6" s="662"/>
      <c r="BA6" s="662"/>
      <c r="BB6" s="662"/>
      <c r="BC6" s="637"/>
      <c r="BD6" s="637"/>
      <c r="BE6" s="637"/>
      <c r="BF6" s="637"/>
      <c r="BG6" s="637"/>
      <c r="BH6" s="637"/>
      <c r="BI6" s="637"/>
      <c r="BJ6" s="637"/>
      <c r="BK6" s="637"/>
      <c r="BL6" s="637"/>
      <c r="BM6" s="637"/>
      <c r="BN6" s="637"/>
      <c r="BO6" s="637"/>
      <c r="BP6" s="637"/>
      <c r="BQ6" s="637"/>
      <c r="BR6" s="637"/>
      <c r="BS6" s="662"/>
      <c r="BT6" s="663"/>
      <c r="BU6" s="662"/>
      <c r="BV6" s="662"/>
      <c r="BW6" s="662"/>
      <c r="BX6" s="637"/>
      <c r="BY6" s="637"/>
      <c r="BZ6" s="637"/>
      <c r="CA6" s="637"/>
      <c r="CB6" s="637"/>
      <c r="CC6" s="637"/>
      <c r="CD6" s="637"/>
      <c r="CE6" s="637"/>
      <c r="CF6" s="637"/>
    </row>
    <row r="7" spans="1:116" x14ac:dyDescent="0.2">
      <c r="A7" s="637"/>
      <c r="B7" s="637"/>
      <c r="C7" s="637"/>
      <c r="D7" s="639"/>
      <c r="E7" s="639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40"/>
      <c r="S7" s="640"/>
      <c r="T7" s="637"/>
      <c r="U7" s="637"/>
      <c r="V7" s="661"/>
      <c r="W7" s="662"/>
      <c r="X7" s="662"/>
      <c r="Y7" s="663"/>
      <c r="Z7" s="662"/>
      <c r="AA7" s="662"/>
      <c r="AB7" s="662"/>
      <c r="AC7" s="662"/>
      <c r="AD7" s="637"/>
      <c r="AE7" s="637"/>
      <c r="AF7" s="637"/>
      <c r="AG7" s="637"/>
      <c r="AH7" s="637"/>
      <c r="AI7" s="637"/>
      <c r="AJ7" s="637"/>
      <c r="AK7" s="637"/>
      <c r="AL7" s="637"/>
      <c r="AM7" s="637"/>
      <c r="AN7" s="637"/>
      <c r="AO7" s="637"/>
      <c r="AP7" s="664"/>
      <c r="AQ7" s="637"/>
      <c r="AR7" s="637"/>
      <c r="AS7" s="637"/>
      <c r="AT7" s="637"/>
      <c r="AU7" s="637"/>
      <c r="AV7" s="637"/>
      <c r="AW7" s="637"/>
      <c r="AX7" s="662"/>
      <c r="AY7" s="663"/>
      <c r="AZ7" s="662"/>
      <c r="BA7" s="662"/>
      <c r="BB7" s="662"/>
      <c r="BC7" s="637"/>
      <c r="BD7" s="637"/>
      <c r="BE7" s="637"/>
      <c r="BF7" s="637"/>
      <c r="BG7" s="637"/>
      <c r="BH7" s="637"/>
      <c r="BI7" s="637"/>
      <c r="BJ7" s="637"/>
      <c r="BK7" s="637"/>
      <c r="BL7" s="637"/>
      <c r="BM7" s="637"/>
      <c r="BN7" s="637"/>
      <c r="BO7" s="637"/>
      <c r="BP7" s="637"/>
      <c r="BQ7" s="637"/>
      <c r="BR7" s="637"/>
      <c r="BS7" s="662"/>
      <c r="BT7" s="663"/>
      <c r="BU7" s="662"/>
      <c r="BV7" s="662"/>
      <c r="BW7" s="662"/>
      <c r="BX7" s="637"/>
      <c r="BY7" s="637"/>
      <c r="BZ7" s="637"/>
      <c r="CA7" s="637"/>
      <c r="CB7" s="637"/>
      <c r="CC7" s="637"/>
      <c r="CD7" s="637"/>
      <c r="CE7" s="637"/>
      <c r="CF7" s="637"/>
    </row>
    <row r="8" spans="1:116" s="16" customFormat="1" x14ac:dyDescent="0.2">
      <c r="D8" s="38"/>
      <c r="E8" s="38"/>
      <c r="R8" s="37"/>
      <c r="S8" s="37"/>
      <c r="T8" s="35"/>
      <c r="U8" s="35"/>
      <c r="V8" s="103"/>
      <c r="W8" s="39"/>
      <c r="X8" s="39"/>
      <c r="Y8" s="76"/>
      <c r="Z8" s="39"/>
      <c r="AA8" s="39"/>
      <c r="AB8" s="39"/>
      <c r="AC8" s="39"/>
      <c r="AP8" s="68"/>
      <c r="AX8" s="39"/>
      <c r="AY8" s="76"/>
      <c r="AZ8" s="39"/>
      <c r="BA8" s="39"/>
      <c r="BB8" s="39"/>
      <c r="BS8" s="39"/>
      <c r="BT8" s="76"/>
      <c r="BU8" s="39"/>
      <c r="BV8" s="39"/>
      <c r="BW8" s="39"/>
    </row>
    <row r="9" spans="1:116" s="16" customFormat="1" ht="20.25" customHeight="1" x14ac:dyDescent="0.2">
      <c r="D9" s="38"/>
      <c r="E9" s="38"/>
      <c r="R9" s="37"/>
      <c r="S9" s="37"/>
      <c r="T9" s="35"/>
      <c r="U9" s="35"/>
      <c r="V9" s="103"/>
      <c r="W9" s="39"/>
      <c r="X9" s="39"/>
      <c r="Y9" s="76"/>
      <c r="Z9" s="39"/>
      <c r="AA9" s="39"/>
      <c r="AB9" s="39"/>
      <c r="AC9" s="39"/>
      <c r="AP9" s="68"/>
      <c r="AX9" s="39"/>
      <c r="AY9" s="76"/>
      <c r="AZ9" s="39"/>
      <c r="BA9" s="39"/>
      <c r="BB9" s="39"/>
      <c r="BS9" s="39"/>
      <c r="BT9" s="76"/>
      <c r="BU9" s="39"/>
      <c r="BV9" s="39"/>
      <c r="BW9" s="39"/>
    </row>
    <row r="10" spans="1:116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1260" t="s">
        <v>450</v>
      </c>
      <c r="V10" s="1260"/>
      <c r="W10" s="1260"/>
      <c r="X10" s="1260"/>
      <c r="Y10" s="1260"/>
      <c r="Z10" s="1260"/>
      <c r="AA10" s="1260"/>
      <c r="AB10" s="1260"/>
      <c r="AC10" s="1260"/>
      <c r="AD10" s="1260"/>
      <c r="AE10" s="1260"/>
      <c r="AF10" s="1260"/>
      <c r="AG10" s="1260"/>
      <c r="AH10" s="1260"/>
      <c r="AI10" s="1260"/>
      <c r="AJ10" s="1260"/>
      <c r="AK10" s="1260"/>
      <c r="AL10" s="1260"/>
      <c r="AM10" s="1260"/>
      <c r="AN10" s="1260"/>
      <c r="AO10" s="1260"/>
      <c r="AP10" s="1260"/>
      <c r="AQ10" s="1260"/>
      <c r="AR10" s="1260"/>
      <c r="AS10" s="1260"/>
      <c r="AT10" s="1260"/>
      <c r="AU10" s="1260"/>
      <c r="AV10" s="1260"/>
      <c r="AW10" s="1260"/>
      <c r="AX10" s="1260"/>
      <c r="AY10" s="1260"/>
      <c r="AZ10" s="1260"/>
      <c r="BA10" s="1260"/>
      <c r="BS10" s="1293" t="s">
        <v>1060</v>
      </c>
      <c r="BT10" s="1293"/>
      <c r="BU10" s="1293"/>
    </row>
    <row r="11" spans="1:116" ht="54" customHeight="1" x14ac:dyDescent="0.25">
      <c r="A11" s="1261" t="s">
        <v>57</v>
      </c>
      <c r="B11" s="1261" t="s">
        <v>0</v>
      </c>
      <c r="C11" s="1073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1126</v>
      </c>
      <c r="J11" s="1254" t="s">
        <v>1127</v>
      </c>
      <c r="K11" s="1254" t="s">
        <v>534</v>
      </c>
      <c r="L11" s="1254" t="s">
        <v>493</v>
      </c>
      <c r="M11" s="1254" t="s">
        <v>535</v>
      </c>
      <c r="N11" s="1069" t="s">
        <v>529</v>
      </c>
      <c r="O11" s="1254" t="s">
        <v>492</v>
      </c>
      <c r="P11" s="1070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1245" t="s">
        <v>447</v>
      </c>
      <c r="V11" s="1268" t="s">
        <v>452</v>
      </c>
      <c r="W11" s="1245" t="s">
        <v>439</v>
      </c>
      <c r="X11" s="158" t="s">
        <v>15</v>
      </c>
      <c r="Y11" s="159" t="s">
        <v>15</v>
      </c>
      <c r="Z11" s="158" t="s">
        <v>16</v>
      </c>
      <c r="AA11" s="1245" t="s">
        <v>527</v>
      </c>
      <c r="AB11" s="1245" t="s">
        <v>536</v>
      </c>
      <c r="AC11" s="158" t="s">
        <v>3</v>
      </c>
      <c r="AD11" s="158" t="s">
        <v>4</v>
      </c>
      <c r="AE11" s="158" t="s">
        <v>5</v>
      </c>
      <c r="AF11" s="158" t="s">
        <v>6</v>
      </c>
      <c r="AG11" s="158" t="s">
        <v>7</v>
      </c>
      <c r="AH11" s="158" t="s">
        <v>8</v>
      </c>
      <c r="AI11" s="158" t="s">
        <v>9</v>
      </c>
      <c r="AJ11" s="158" t="s">
        <v>10</v>
      </c>
      <c r="AK11" s="158" t="s">
        <v>11</v>
      </c>
      <c r="AL11" s="158" t="s">
        <v>12</v>
      </c>
      <c r="AM11" s="158" t="s">
        <v>13</v>
      </c>
      <c r="AN11" s="158" t="s">
        <v>14</v>
      </c>
      <c r="AO11" s="1066" t="s">
        <v>1017</v>
      </c>
      <c r="AP11" s="160" t="s">
        <v>63</v>
      </c>
      <c r="AQ11" s="1245" t="s">
        <v>976</v>
      </c>
      <c r="AR11" s="1245" t="s">
        <v>536</v>
      </c>
      <c r="AS11" s="158" t="s">
        <v>3</v>
      </c>
      <c r="AT11" s="158" t="s">
        <v>4</v>
      </c>
      <c r="AU11" s="158" t="s">
        <v>5</v>
      </c>
      <c r="AV11" s="158" t="s">
        <v>6</v>
      </c>
      <c r="AW11" s="158" t="s">
        <v>7</v>
      </c>
      <c r="AX11" s="158" t="s">
        <v>15</v>
      </c>
      <c r="AY11" s="159" t="s">
        <v>15</v>
      </c>
      <c r="AZ11" s="158" t="s">
        <v>16</v>
      </c>
      <c r="BA11" s="1245" t="s">
        <v>1059</v>
      </c>
      <c r="BB11" s="1245" t="s">
        <v>536</v>
      </c>
      <c r="BC11" s="158" t="s">
        <v>8</v>
      </c>
      <c r="BD11" s="158" t="s">
        <v>9</v>
      </c>
      <c r="BE11" s="158" t="s">
        <v>10</v>
      </c>
      <c r="BF11" s="158" t="s">
        <v>11</v>
      </c>
      <c r="BG11" s="158" t="s">
        <v>12</v>
      </c>
      <c r="BH11" s="158" t="s">
        <v>13</v>
      </c>
      <c r="BI11" s="158" t="s">
        <v>14</v>
      </c>
      <c r="BJ11" s="1066" t="s">
        <v>989</v>
      </c>
      <c r="BK11" s="160" t="s">
        <v>63</v>
      </c>
      <c r="BL11" s="158" t="s">
        <v>3</v>
      </c>
      <c r="BM11" s="158" t="s">
        <v>4</v>
      </c>
      <c r="BN11" s="158" t="s">
        <v>5</v>
      </c>
      <c r="BO11" s="158" t="s">
        <v>6</v>
      </c>
      <c r="BP11" s="158" t="s">
        <v>7</v>
      </c>
      <c r="BQ11" s="1245" t="s">
        <v>1154</v>
      </c>
      <c r="BR11" s="1245" t="s">
        <v>1155</v>
      </c>
      <c r="BS11" s="158" t="s">
        <v>15</v>
      </c>
      <c r="BT11" s="159" t="s">
        <v>15</v>
      </c>
      <c r="BU11" s="158" t="s">
        <v>16</v>
      </c>
      <c r="BV11" s="1245" t="s">
        <v>1124</v>
      </c>
      <c r="BW11" s="1245" t="s">
        <v>536</v>
      </c>
      <c r="BX11" s="158" t="s">
        <v>8</v>
      </c>
      <c r="BY11" s="158" t="s">
        <v>9</v>
      </c>
      <c r="BZ11" s="158" t="s">
        <v>10</v>
      </c>
      <c r="CA11" s="158" t="s">
        <v>11</v>
      </c>
      <c r="CB11" s="158" t="s">
        <v>12</v>
      </c>
      <c r="CC11" s="158" t="s">
        <v>13</v>
      </c>
      <c r="CD11" s="158" t="s">
        <v>14</v>
      </c>
      <c r="CE11" s="1066" t="s">
        <v>1058</v>
      </c>
      <c r="CF11" s="160" t="s">
        <v>63</v>
      </c>
      <c r="CG11" s="158" t="s">
        <v>3</v>
      </c>
      <c r="CH11" s="158" t="s">
        <v>4</v>
      </c>
      <c r="CI11" s="158" t="s">
        <v>5</v>
      </c>
      <c r="CJ11" s="158" t="s">
        <v>6</v>
      </c>
      <c r="CK11" s="158" t="s">
        <v>7</v>
      </c>
      <c r="CL11" s="1247" t="s">
        <v>1252</v>
      </c>
      <c r="CM11" s="1247" t="s">
        <v>1253</v>
      </c>
      <c r="CN11" s="158" t="s">
        <v>15</v>
      </c>
      <c r="CO11" s="159" t="s">
        <v>15</v>
      </c>
      <c r="CP11" s="158" t="s">
        <v>16</v>
      </c>
      <c r="CQ11" s="1245" t="s">
        <v>1254</v>
      </c>
      <c r="CR11" s="1245" t="s">
        <v>536</v>
      </c>
      <c r="CS11" s="158" t="s">
        <v>8</v>
      </c>
      <c r="CT11" s="158" t="s">
        <v>9</v>
      </c>
      <c r="CU11" s="158" t="s">
        <v>10</v>
      </c>
      <c r="CV11" s="158" t="s">
        <v>11</v>
      </c>
      <c r="CW11" s="158" t="s">
        <v>12</v>
      </c>
      <c r="CX11" s="158" t="s">
        <v>13</v>
      </c>
      <c r="CY11" s="158" t="s">
        <v>14</v>
      </c>
      <c r="CZ11" s="158" t="s">
        <v>3</v>
      </c>
      <c r="DA11" s="158" t="s">
        <v>4</v>
      </c>
      <c r="DB11" s="158" t="s">
        <v>5</v>
      </c>
      <c r="DC11" s="158" t="s">
        <v>6</v>
      </c>
      <c r="DD11" s="158" t="s">
        <v>7</v>
      </c>
      <c r="DE11" s="158" t="s">
        <v>8</v>
      </c>
      <c r="DF11" s="158" t="s">
        <v>9</v>
      </c>
      <c r="DG11" s="158" t="s">
        <v>10</v>
      </c>
      <c r="DH11" s="158" t="s">
        <v>11</v>
      </c>
      <c r="DI11" s="158" t="s">
        <v>12</v>
      </c>
      <c r="DJ11" s="158" t="s">
        <v>13</v>
      </c>
      <c r="DK11" s="1247" t="s">
        <v>1274</v>
      </c>
      <c r="DL11" s="1247" t="s">
        <v>1263</v>
      </c>
    </row>
    <row r="12" spans="1:116" ht="32.25" customHeight="1" x14ac:dyDescent="0.25">
      <c r="A12" s="1262"/>
      <c r="B12" s="1262"/>
      <c r="C12" s="161" t="s">
        <v>659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1267"/>
      <c r="V12" s="1269">
        <v>41639</v>
      </c>
      <c r="W12" s="1246"/>
      <c r="X12" s="162" t="s">
        <v>20</v>
      </c>
      <c r="Y12" s="163" t="s">
        <v>21</v>
      </c>
      <c r="Z12" s="162" t="s">
        <v>22</v>
      </c>
      <c r="AA12" s="1246"/>
      <c r="AB12" s="1246"/>
      <c r="AC12" s="162">
        <v>2015</v>
      </c>
      <c r="AD12" s="162">
        <v>2015</v>
      </c>
      <c r="AE12" s="162">
        <v>2015</v>
      </c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 t="s">
        <v>64</v>
      </c>
      <c r="AQ12" s="1246"/>
      <c r="AR12" s="1246"/>
      <c r="AS12" s="162">
        <v>2016</v>
      </c>
      <c r="AT12" s="162">
        <v>2016</v>
      </c>
      <c r="AU12" s="162">
        <v>2016</v>
      </c>
      <c r="AV12" s="162">
        <v>2016</v>
      </c>
      <c r="AW12" s="162">
        <v>2016</v>
      </c>
      <c r="AX12" s="162" t="s">
        <v>20</v>
      </c>
      <c r="AY12" s="163" t="s">
        <v>21</v>
      </c>
      <c r="AZ12" s="162" t="s">
        <v>22</v>
      </c>
      <c r="BA12" s="1246"/>
      <c r="BB12" s="1246"/>
      <c r="BC12" s="162">
        <v>2016</v>
      </c>
      <c r="BD12" s="162">
        <v>2016</v>
      </c>
      <c r="BE12" s="162">
        <v>2016</v>
      </c>
      <c r="BF12" s="162">
        <v>2016</v>
      </c>
      <c r="BG12" s="162">
        <v>2016</v>
      </c>
      <c r="BH12" s="162">
        <v>2016</v>
      </c>
      <c r="BI12" s="162">
        <v>2016</v>
      </c>
      <c r="BJ12" s="162">
        <v>2016</v>
      </c>
      <c r="BK12" s="162" t="s">
        <v>64</v>
      </c>
      <c r="BL12" s="162">
        <v>2017</v>
      </c>
      <c r="BM12" s="162">
        <v>2017</v>
      </c>
      <c r="BN12" s="162">
        <v>2017</v>
      </c>
      <c r="BO12" s="162">
        <v>2017</v>
      </c>
      <c r="BP12" s="162">
        <v>2017</v>
      </c>
      <c r="BQ12" s="1246"/>
      <c r="BR12" s="1246"/>
      <c r="BS12" s="162" t="s">
        <v>20</v>
      </c>
      <c r="BT12" s="163" t="s">
        <v>21</v>
      </c>
      <c r="BU12" s="162" t="s">
        <v>22</v>
      </c>
      <c r="BV12" s="1246"/>
      <c r="BW12" s="1246"/>
      <c r="BX12" s="162">
        <v>2017</v>
      </c>
      <c r="BY12" s="162">
        <v>2017</v>
      </c>
      <c r="BZ12" s="162">
        <v>2017</v>
      </c>
      <c r="CA12" s="162">
        <v>2017</v>
      </c>
      <c r="CB12" s="162">
        <v>2017</v>
      </c>
      <c r="CC12" s="162">
        <v>2017</v>
      </c>
      <c r="CD12" s="162">
        <v>2017</v>
      </c>
      <c r="CE12" s="162">
        <v>2017</v>
      </c>
      <c r="CF12" s="162" t="s">
        <v>64</v>
      </c>
      <c r="CG12" s="162">
        <v>2018</v>
      </c>
      <c r="CH12" s="162">
        <v>2018</v>
      </c>
      <c r="CI12" s="162">
        <v>2018</v>
      </c>
      <c r="CJ12" s="162">
        <v>2018</v>
      </c>
      <c r="CK12" s="162">
        <v>2018</v>
      </c>
      <c r="CL12" s="1248"/>
      <c r="CM12" s="1248"/>
      <c r="CN12" s="162" t="s">
        <v>20</v>
      </c>
      <c r="CO12" s="163" t="s">
        <v>21</v>
      </c>
      <c r="CP12" s="162" t="s">
        <v>22</v>
      </c>
      <c r="CQ12" s="1246"/>
      <c r="CR12" s="1246"/>
      <c r="CS12" s="162">
        <v>2018</v>
      </c>
      <c r="CT12" s="162">
        <v>2018</v>
      </c>
      <c r="CU12" s="162">
        <v>2018</v>
      </c>
      <c r="CV12" s="162">
        <v>2018</v>
      </c>
      <c r="CW12" s="162">
        <v>2018</v>
      </c>
      <c r="CX12" s="162">
        <v>2018</v>
      </c>
      <c r="CY12" s="162">
        <v>2018</v>
      </c>
      <c r="CZ12" s="162">
        <v>2019</v>
      </c>
      <c r="DA12" s="162">
        <v>2019</v>
      </c>
      <c r="DB12" s="162">
        <v>2019</v>
      </c>
      <c r="DC12" s="162">
        <v>2019</v>
      </c>
      <c r="DD12" s="162">
        <v>2019</v>
      </c>
      <c r="DE12" s="162">
        <v>2019</v>
      </c>
      <c r="DF12" s="162">
        <v>2019</v>
      </c>
      <c r="DG12" s="162">
        <v>2019</v>
      </c>
      <c r="DH12" s="162">
        <v>2019</v>
      </c>
      <c r="DI12" s="162">
        <v>2019</v>
      </c>
      <c r="DJ12" s="162">
        <v>2019</v>
      </c>
      <c r="DK12" s="1248"/>
      <c r="DL12" s="1248"/>
    </row>
    <row r="13" spans="1:116" s="16" customFormat="1" ht="13.5" customHeight="1" x14ac:dyDescent="0.2">
      <c r="A13" s="120" t="s">
        <v>65</v>
      </c>
      <c r="B13" s="120"/>
      <c r="C13" s="124"/>
      <c r="D13" s="111"/>
      <c r="E13" s="130"/>
      <c r="F13" s="125"/>
      <c r="G13" s="125"/>
      <c r="H13" s="146"/>
      <c r="I13" s="125"/>
      <c r="J13" s="125"/>
      <c r="K13" s="125"/>
      <c r="L13" s="125"/>
      <c r="M13" s="125"/>
      <c r="N13" s="125"/>
      <c r="O13" s="125"/>
      <c r="P13" s="125"/>
      <c r="Q13" s="125"/>
      <c r="R13" s="119"/>
      <c r="S13" s="119"/>
      <c r="T13" s="134"/>
      <c r="U13" s="134"/>
      <c r="V13" s="106"/>
      <c r="W13" s="66"/>
      <c r="X13" s="66"/>
      <c r="Y13" s="83"/>
      <c r="Z13" s="66"/>
      <c r="AA13" s="65"/>
      <c r="AB13" s="65"/>
      <c r="AC13" s="6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72"/>
      <c r="AQ13" s="55"/>
      <c r="AR13" s="55"/>
      <c r="AS13" s="55"/>
      <c r="AT13" s="55"/>
      <c r="AU13" s="55"/>
      <c r="AV13" s="55"/>
      <c r="AW13" s="55"/>
      <c r="AX13" s="66"/>
      <c r="AY13" s="83"/>
      <c r="AZ13" s="66"/>
      <c r="BA13" s="65"/>
      <c r="BB13" s="6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66"/>
      <c r="BT13" s="83"/>
      <c r="BU13" s="66"/>
      <c r="BV13" s="65"/>
      <c r="BW13" s="65"/>
      <c r="BX13" s="55"/>
      <c r="BY13" s="55"/>
      <c r="BZ13" s="55"/>
      <c r="CA13" s="55"/>
      <c r="CB13" s="55"/>
      <c r="CC13" s="55"/>
      <c r="CD13" s="55"/>
      <c r="CE13" s="55"/>
      <c r="CF13" s="55"/>
      <c r="CG13" s="968"/>
      <c r="CH13" s="505"/>
      <c r="CI13" s="505"/>
      <c r="CJ13" s="505"/>
      <c r="CK13" s="505"/>
      <c r="CL13" s="505"/>
      <c r="CM13" s="50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</row>
    <row r="14" spans="1:116" s="16" customFormat="1" x14ac:dyDescent="0.2">
      <c r="A14" s="120" t="s">
        <v>672</v>
      </c>
      <c r="B14" s="100"/>
      <c r="C14" s="100"/>
      <c r="D14" s="8"/>
      <c r="E14" s="130"/>
      <c r="F14" s="46"/>
      <c r="G14" s="48"/>
      <c r="H14" s="145"/>
      <c r="I14" s="48"/>
      <c r="J14" s="48"/>
      <c r="K14" s="48"/>
      <c r="L14" s="48"/>
      <c r="M14" s="48"/>
      <c r="N14" s="48"/>
      <c r="O14" s="48"/>
      <c r="P14" s="48"/>
      <c r="Q14" s="48"/>
      <c r="R14" s="46"/>
      <c r="S14" s="119"/>
      <c r="T14" s="134"/>
      <c r="U14" s="47"/>
      <c r="V14" s="106"/>
      <c r="W14" s="165">
        <v>0</v>
      </c>
      <c r="X14" s="57"/>
      <c r="Y14" s="83"/>
      <c r="Z14" s="57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72"/>
      <c r="AQ14" s="55"/>
      <c r="AR14" s="55"/>
      <c r="AS14" s="55"/>
      <c r="AT14" s="55"/>
      <c r="AU14" s="55"/>
      <c r="AV14" s="55"/>
      <c r="AW14" s="55"/>
      <c r="AX14" s="57"/>
      <c r="AY14" s="83"/>
      <c r="AZ14" s="57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7"/>
      <c r="BT14" s="83"/>
      <c r="BU14" s="57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05"/>
      <c r="CM14" s="50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</row>
    <row r="15" spans="1:116" s="16" customFormat="1" ht="15.75" customHeight="1" x14ac:dyDescent="0.2">
      <c r="A15" s="100" t="s">
        <v>660</v>
      </c>
      <c r="B15" s="100" t="s">
        <v>689</v>
      </c>
      <c r="C15" s="100" t="s">
        <v>659</v>
      </c>
      <c r="D15" s="58">
        <v>3</v>
      </c>
      <c r="E15" s="127">
        <v>0.33329999999999999</v>
      </c>
      <c r="F15" s="46">
        <v>43281</v>
      </c>
      <c r="G15" s="48">
        <v>36</v>
      </c>
      <c r="H15" s="145">
        <f>100/G15</f>
        <v>2.7777777777777777</v>
      </c>
      <c r="I15" s="165">
        <f>H15*J15</f>
        <v>83.333333333333329</v>
      </c>
      <c r="J15" s="48">
        <f>(YEAR(F15)-YEAR(S15))*12+MONTH(F15)-MONTH(S15)</f>
        <v>30</v>
      </c>
      <c r="K15" s="165">
        <f>L15*H15</f>
        <v>16.666666666666664</v>
      </c>
      <c r="L15" s="48">
        <f>G15-J15</f>
        <v>6</v>
      </c>
      <c r="M15" s="165">
        <f>N15*H15</f>
        <v>2.7777777777777777</v>
      </c>
      <c r="N15" s="48">
        <v>1</v>
      </c>
      <c r="O15" s="165">
        <f>K15-M15</f>
        <v>13.888888888888886</v>
      </c>
      <c r="P15" s="48">
        <f>L15-N15</f>
        <v>5</v>
      </c>
      <c r="Q15" s="46">
        <f>DATE(YEAR(S15),MONTH(S15)+G15,DAY(S15))</f>
        <v>43435</v>
      </c>
      <c r="R15" s="48" t="s">
        <v>690</v>
      </c>
      <c r="S15" s="119">
        <v>42339</v>
      </c>
      <c r="T15" s="619">
        <v>4999.49</v>
      </c>
      <c r="U15" s="692">
        <v>0</v>
      </c>
      <c r="V15" s="693">
        <v>0</v>
      </c>
      <c r="W15" s="694">
        <v>0</v>
      </c>
      <c r="X15" s="656">
        <v>115.958</v>
      </c>
      <c r="Y15" s="688">
        <v>112.79</v>
      </c>
      <c r="Z15" s="656">
        <f>X15/Y15</f>
        <v>1.0280875964181222</v>
      </c>
      <c r="AA15" s="511">
        <f>T15*M15/100/K15*100/7</f>
        <v>119.0354761904762</v>
      </c>
      <c r="AB15" s="511">
        <f>AA15*Z15</f>
        <v>122.37889660515329</v>
      </c>
      <c r="AC15" s="511"/>
      <c r="AD15" s="511"/>
      <c r="AE15" s="511"/>
      <c r="AF15" s="511"/>
      <c r="AG15" s="511"/>
      <c r="AH15" s="511"/>
      <c r="AI15" s="511"/>
      <c r="AJ15" s="511"/>
      <c r="AK15" s="511"/>
      <c r="AL15" s="511"/>
      <c r="AM15" s="511"/>
      <c r="AN15" s="511">
        <v>27.42</v>
      </c>
      <c r="AO15" s="511">
        <f>SUM(AC15:AN15)</f>
        <v>27.42</v>
      </c>
      <c r="AP15" s="695">
        <f>T15-AO15</f>
        <v>4972.07</v>
      </c>
      <c r="AQ15" s="511"/>
      <c r="AR15" s="511"/>
      <c r="AS15" s="511">
        <f>$AN15</f>
        <v>27.42</v>
      </c>
      <c r="AT15" s="511">
        <f t="shared" ref="AT15:AW17" si="0">$AN15</f>
        <v>27.42</v>
      </c>
      <c r="AU15" s="511">
        <f t="shared" si="0"/>
        <v>27.42</v>
      </c>
      <c r="AV15" s="511">
        <f t="shared" si="0"/>
        <v>27.42</v>
      </c>
      <c r="AW15" s="511">
        <f t="shared" si="0"/>
        <v>27.42</v>
      </c>
      <c r="AX15" s="656">
        <v>118.901</v>
      </c>
      <c r="AY15" s="688">
        <v>112.79</v>
      </c>
      <c r="AZ15" s="656">
        <f>AX15/AY15</f>
        <v>1.0541803351360934</v>
      </c>
      <c r="BA15" s="511">
        <f>T15/(D15*12)</f>
        <v>138.8747222222222</v>
      </c>
      <c r="BB15" s="511">
        <f>BA15*AZ15</f>
        <v>146.39900121415408</v>
      </c>
      <c r="BC15" s="511">
        <f>$BB15</f>
        <v>146.39900121415408</v>
      </c>
      <c r="BD15" s="511">
        <f>$BB15</f>
        <v>146.39900121415408</v>
      </c>
      <c r="BE15" s="511">
        <f>$BB15</f>
        <v>146.39900121415408</v>
      </c>
      <c r="BF15" s="511">
        <f>$BB15</f>
        <v>146.39900121415408</v>
      </c>
      <c r="BG15" s="511">
        <v>146.6</v>
      </c>
      <c r="BH15" s="511">
        <v>146.6</v>
      </c>
      <c r="BI15" s="511">
        <v>146.6</v>
      </c>
      <c r="BJ15" s="511">
        <f>SUM((AS15:AW15),(BC15:BI15))</f>
        <v>1162.4960048566163</v>
      </c>
      <c r="BK15" s="657">
        <f>(AP15-BJ15)</f>
        <v>3809.5739951433834</v>
      </c>
      <c r="BL15" s="516">
        <v>146.6</v>
      </c>
      <c r="BM15" s="516">
        <v>146.6</v>
      </c>
      <c r="BN15" s="516">
        <v>146.6</v>
      </c>
      <c r="BO15" s="516">
        <v>146.6</v>
      </c>
      <c r="BP15" s="516">
        <v>146.6</v>
      </c>
      <c r="BQ15" s="516">
        <f>SUM(BL15:BP15)</f>
        <v>733</v>
      </c>
      <c r="BR15" s="505">
        <f>BK15-BQ15</f>
        <v>3076.5739951433834</v>
      </c>
      <c r="BS15" s="998">
        <v>126.408</v>
      </c>
      <c r="BT15" s="999">
        <v>112.79</v>
      </c>
      <c r="BU15" s="998">
        <f>BS15/BT15</f>
        <v>1.1207376540473446</v>
      </c>
      <c r="BV15" s="505">
        <f>BR15/L15</f>
        <v>512.76233252389727</v>
      </c>
      <c r="BW15" s="505">
        <f>BV15*BU15</f>
        <v>574.67205363667711</v>
      </c>
      <c r="BX15" s="505">
        <v>95.778675606112827</v>
      </c>
      <c r="BY15" s="505">
        <v>95.778675606112827</v>
      </c>
      <c r="BZ15" s="505">
        <v>95.778675606112827</v>
      </c>
      <c r="CA15" s="505">
        <v>95.778675606112827</v>
      </c>
      <c r="CB15" s="505">
        <v>95.778675606112827</v>
      </c>
      <c r="CC15" s="505">
        <v>95.778675606112827</v>
      </c>
      <c r="CD15" s="505">
        <v>95.778675606112827</v>
      </c>
      <c r="CE15" s="505">
        <f>SUM(BX15:CD15)</f>
        <v>670.45072924278986</v>
      </c>
      <c r="CF15" s="506">
        <f>BR15-CE15</f>
        <v>2406.1232659005937</v>
      </c>
      <c r="CG15" s="505">
        <v>95.778675606112827</v>
      </c>
      <c r="CH15" s="505">
        <v>95.778675606112827</v>
      </c>
      <c r="CI15" s="505">
        <v>95.778675606112827</v>
      </c>
      <c r="CJ15" s="505">
        <v>95.778675606112827</v>
      </c>
      <c r="CK15" s="505">
        <v>95.778675606112827</v>
      </c>
      <c r="CL15" s="505">
        <f>SUM(CG15:CK15)</f>
        <v>478.89337803056412</v>
      </c>
      <c r="CM15" s="679">
        <f>CF15-CL15</f>
        <v>1927.2298878700294</v>
      </c>
      <c r="CN15" s="956">
        <v>132.28200000000001</v>
      </c>
      <c r="CO15" s="999">
        <v>112.79</v>
      </c>
      <c r="CP15" s="957">
        <f>CN15/CO15</f>
        <v>1.1728167390726127</v>
      </c>
      <c r="CQ15" s="511">
        <f>CM15/L15</f>
        <v>321.20498131167159</v>
      </c>
      <c r="CR15" s="511">
        <f>CQ15*CP15</f>
        <v>376.71457875583417</v>
      </c>
      <c r="CS15" s="511">
        <v>376.71457875583417</v>
      </c>
      <c r="CT15" s="511">
        <v>376.71</v>
      </c>
      <c r="CU15" s="511">
        <v>376.71</v>
      </c>
      <c r="CV15" s="511">
        <v>376.71</v>
      </c>
      <c r="CW15" s="511">
        <v>376.71</v>
      </c>
      <c r="CX15" s="511">
        <v>42.68</v>
      </c>
      <c r="CY15" s="511">
        <v>42.68</v>
      </c>
      <c r="CZ15" s="511">
        <v>-42.68</v>
      </c>
      <c r="DA15" s="511">
        <v>0</v>
      </c>
      <c r="DB15" s="511">
        <v>0</v>
      </c>
      <c r="DC15" s="511">
        <v>0</v>
      </c>
      <c r="DD15" s="511">
        <v>0</v>
      </c>
      <c r="DE15" s="511">
        <v>0</v>
      </c>
      <c r="DF15" s="511">
        <v>0</v>
      </c>
      <c r="DG15" s="511">
        <v>0</v>
      </c>
      <c r="DH15" s="511">
        <v>0</v>
      </c>
      <c r="DI15" s="511">
        <v>0</v>
      </c>
      <c r="DJ15" s="511">
        <v>0</v>
      </c>
      <c r="DK15" s="511">
        <f>SUM(CS15:DJ15)</f>
        <v>1926.2345787558343</v>
      </c>
      <c r="DL15" s="756">
        <f>CM15-DK15</f>
        <v>0.99530911419515178</v>
      </c>
    </row>
    <row r="16" spans="1:116" s="16" customFormat="1" ht="15" x14ac:dyDescent="0.2">
      <c r="A16" s="120" t="s">
        <v>92</v>
      </c>
      <c r="B16" s="100"/>
      <c r="C16" s="100"/>
      <c r="D16" s="8"/>
      <c r="E16" s="130"/>
      <c r="F16" s="46"/>
      <c r="G16" s="48"/>
      <c r="H16" s="145"/>
      <c r="I16" s="48"/>
      <c r="J16" s="48"/>
      <c r="K16" s="48"/>
      <c r="L16" s="48"/>
      <c r="M16" s="48"/>
      <c r="N16" s="48"/>
      <c r="O16" s="48"/>
      <c r="P16" s="48"/>
      <c r="Q16" s="48"/>
      <c r="R16" s="46"/>
      <c r="S16" s="119"/>
      <c r="T16" s="619"/>
      <c r="U16" s="692"/>
      <c r="V16" s="693"/>
      <c r="W16" s="694">
        <v>0</v>
      </c>
      <c r="X16" s="656"/>
      <c r="Y16" s="689"/>
      <c r="Z16" s="656"/>
      <c r="AA16" s="511"/>
      <c r="AB16" s="511"/>
      <c r="AC16" s="511"/>
      <c r="AD16" s="511"/>
      <c r="AE16" s="511"/>
      <c r="AF16" s="511"/>
      <c r="AG16" s="511"/>
      <c r="AH16" s="511"/>
      <c r="AI16" s="511"/>
      <c r="AJ16" s="511"/>
      <c r="AK16" s="511"/>
      <c r="AL16" s="511"/>
      <c r="AM16" s="511"/>
      <c r="AN16" s="511"/>
      <c r="AO16" s="511"/>
      <c r="AP16" s="695"/>
      <c r="AQ16" s="511"/>
      <c r="AR16" s="511"/>
      <c r="AS16" s="511"/>
      <c r="AT16" s="511"/>
      <c r="AU16" s="511"/>
      <c r="AV16" s="511"/>
      <c r="AW16" s="511"/>
      <c r="AX16" s="656"/>
      <c r="AY16" s="689"/>
      <c r="AZ16" s="656"/>
      <c r="BA16" s="511"/>
      <c r="BB16" s="511"/>
      <c r="BC16" s="511"/>
      <c r="BD16" s="511"/>
      <c r="BE16" s="511"/>
      <c r="BF16" s="511"/>
      <c r="BG16" s="511"/>
      <c r="BH16" s="511"/>
      <c r="BI16" s="511"/>
      <c r="BJ16" s="511"/>
      <c r="BK16" s="511"/>
      <c r="BL16" s="516"/>
      <c r="BM16" s="516"/>
      <c r="BN16" s="516"/>
      <c r="BO16" s="516"/>
      <c r="BP16" s="516"/>
      <c r="BQ16" s="516"/>
      <c r="BR16" s="505"/>
      <c r="BS16" s="998"/>
      <c r="BT16" s="1000"/>
      <c r="BU16" s="998"/>
      <c r="BV16" s="505"/>
      <c r="BW16" s="505"/>
      <c r="BX16" s="505"/>
      <c r="BY16" s="505"/>
      <c r="BZ16" s="505"/>
      <c r="CA16" s="505"/>
      <c r="CB16" s="505"/>
      <c r="CC16" s="505"/>
      <c r="CD16" s="505"/>
      <c r="CE16" s="505"/>
      <c r="CF16" s="505"/>
      <c r="CG16" s="505"/>
      <c r="CH16" s="505"/>
      <c r="CI16" s="505"/>
      <c r="CJ16" s="505"/>
      <c r="CK16" s="505"/>
      <c r="CL16" s="505"/>
      <c r="CM16" s="681"/>
      <c r="CN16" s="511"/>
      <c r="CO16" s="1000"/>
      <c r="CP16" s="957"/>
      <c r="CQ16" s="511"/>
      <c r="CR16" s="511"/>
      <c r="CS16" s="511"/>
      <c r="CT16" s="511"/>
      <c r="CU16" s="511"/>
      <c r="CV16" s="511"/>
      <c r="CW16" s="511"/>
      <c r="CX16" s="511"/>
      <c r="CY16" s="511"/>
      <c r="CZ16" s="511"/>
      <c r="DA16" s="511"/>
      <c r="DB16" s="511"/>
      <c r="DC16" s="511"/>
      <c r="DD16" s="511"/>
      <c r="DE16" s="511"/>
      <c r="DF16" s="511"/>
      <c r="DG16" s="511"/>
      <c r="DH16" s="511"/>
      <c r="DI16" s="511"/>
      <c r="DJ16" s="511"/>
      <c r="DK16" s="511">
        <f t="shared" ref="DK16:DK25" si="1">SUM(CS16:DJ16)</f>
        <v>0</v>
      </c>
      <c r="DL16" s="511"/>
    </row>
    <row r="17" spans="1:116" s="16" customFormat="1" ht="15.75" customHeight="1" x14ac:dyDescent="0.2">
      <c r="A17" s="100" t="s">
        <v>1016</v>
      </c>
      <c r="B17" s="100" t="s">
        <v>93</v>
      </c>
      <c r="C17" s="100" t="s">
        <v>659</v>
      </c>
      <c r="D17" s="58">
        <v>3</v>
      </c>
      <c r="E17" s="127">
        <v>0.33329999999999999</v>
      </c>
      <c r="F17" s="46">
        <v>43281</v>
      </c>
      <c r="G17" s="48">
        <v>36</v>
      </c>
      <c r="H17" s="145">
        <f>100/G17</f>
        <v>2.7777777777777777</v>
      </c>
      <c r="I17" s="165">
        <f>H17*J17</f>
        <v>61.111111111111107</v>
      </c>
      <c r="J17" s="48">
        <f>(YEAR(F17)-YEAR(S17))*12+MONTH(F17)-MONTH(S17)</f>
        <v>22</v>
      </c>
      <c r="K17" s="165">
        <f>L17*H17</f>
        <v>38.888888888888886</v>
      </c>
      <c r="L17" s="48">
        <f>G17-J17</f>
        <v>14</v>
      </c>
      <c r="M17" s="165">
        <f>N17*H17</f>
        <v>2.7777777777777777</v>
      </c>
      <c r="N17" s="48">
        <v>1</v>
      </c>
      <c r="O17" s="165">
        <f>K17-M17</f>
        <v>36.111111111111107</v>
      </c>
      <c r="P17" s="48">
        <f>L17-N17</f>
        <v>13</v>
      </c>
      <c r="Q17" s="46">
        <f>DATE(YEAR(S17),MONTH(S17)+G17,DAY(S17))</f>
        <v>43682</v>
      </c>
      <c r="R17" s="48">
        <v>2669</v>
      </c>
      <c r="S17" s="119">
        <v>42587</v>
      </c>
      <c r="T17" s="619">
        <v>649</v>
      </c>
      <c r="U17" s="692">
        <v>0</v>
      </c>
      <c r="V17" s="693">
        <v>0</v>
      </c>
      <c r="W17" s="694">
        <v>0</v>
      </c>
      <c r="X17" s="656">
        <v>118.901</v>
      </c>
      <c r="Y17" s="688">
        <v>119.547</v>
      </c>
      <c r="Z17" s="656">
        <f>X17/Y17</f>
        <v>0.994596267576769</v>
      </c>
      <c r="AA17" s="511"/>
      <c r="AB17" s="511">
        <f>AA17*Z17</f>
        <v>0</v>
      </c>
      <c r="AC17" s="511"/>
      <c r="AD17" s="511"/>
      <c r="AE17" s="511"/>
      <c r="AF17" s="511"/>
      <c r="AG17" s="511"/>
      <c r="AH17" s="511"/>
      <c r="AI17" s="511"/>
      <c r="AJ17" s="511"/>
      <c r="AK17" s="511"/>
      <c r="AL17" s="511"/>
      <c r="AM17" s="511"/>
      <c r="AN17" s="511">
        <v>27.42</v>
      </c>
      <c r="AO17" s="511"/>
      <c r="AP17" s="695">
        <f>T17-AO17</f>
        <v>649</v>
      </c>
      <c r="AQ17" s="511"/>
      <c r="AR17" s="511"/>
      <c r="AS17" s="511">
        <f>$AN17</f>
        <v>27.42</v>
      </c>
      <c r="AT17" s="511">
        <f t="shared" si="0"/>
        <v>27.42</v>
      </c>
      <c r="AU17" s="511">
        <f t="shared" si="0"/>
        <v>27.42</v>
      </c>
      <c r="AV17" s="511">
        <f t="shared" si="0"/>
        <v>27.42</v>
      </c>
      <c r="AW17" s="511">
        <f t="shared" si="0"/>
        <v>27.42</v>
      </c>
      <c r="AX17" s="656">
        <v>118.901</v>
      </c>
      <c r="AY17" s="688">
        <v>119.547</v>
      </c>
      <c r="AZ17" s="656">
        <f>AX17/AY17</f>
        <v>0.994596267576769</v>
      </c>
      <c r="BA17" s="511">
        <f>T17/(D17*12)</f>
        <v>18.027777777777779</v>
      </c>
      <c r="BB17" s="511">
        <f>BA17*AZ17</f>
        <v>17.930360490481199</v>
      </c>
      <c r="BC17" s="511"/>
      <c r="BD17" s="511"/>
      <c r="BE17" s="511"/>
      <c r="BF17" s="511">
        <f>$BB17</f>
        <v>17.930360490481199</v>
      </c>
      <c r="BG17" s="511">
        <v>17.93</v>
      </c>
      <c r="BH17" s="511">
        <v>17.93</v>
      </c>
      <c r="BI17" s="511">
        <v>17.93</v>
      </c>
      <c r="BJ17" s="511">
        <f>SUM((AS17:AW17),(BC17:BI17))</f>
        <v>208.82036049048125</v>
      </c>
      <c r="BK17" s="657">
        <f>(AP17-BJ17)</f>
        <v>440.17963950951878</v>
      </c>
      <c r="BL17" s="516">
        <v>17.93</v>
      </c>
      <c r="BM17" s="516">
        <v>17.93</v>
      </c>
      <c r="BN17" s="516">
        <v>17.93</v>
      </c>
      <c r="BO17" s="516">
        <v>17.93</v>
      </c>
      <c r="BP17" s="516">
        <v>17.93</v>
      </c>
      <c r="BQ17" s="516">
        <f>SUM(BL17:BP17)</f>
        <v>89.65</v>
      </c>
      <c r="BR17" s="505">
        <f>BK17-BQ17</f>
        <v>350.5296395095188</v>
      </c>
      <c r="BS17" s="998">
        <v>126.408</v>
      </c>
      <c r="BT17" s="999">
        <v>119.547</v>
      </c>
      <c r="BU17" s="998">
        <f>BS17/BT17</f>
        <v>1.0573916534919321</v>
      </c>
      <c r="BV17" s="505">
        <f>BR17/L17</f>
        <v>25.037831393537058</v>
      </c>
      <c r="BW17" s="505">
        <f>BV17*BU17</f>
        <v>26.474793937064355</v>
      </c>
      <c r="BX17" s="505">
        <v>10.295753197747249</v>
      </c>
      <c r="BY17" s="505">
        <v>10.295753197747249</v>
      </c>
      <c r="BZ17" s="505">
        <v>10.295753197747249</v>
      </c>
      <c r="CA17" s="505">
        <v>10.295753197747249</v>
      </c>
      <c r="CB17" s="505">
        <v>10.295753197747249</v>
      </c>
      <c r="CC17" s="505">
        <v>10.295753197747249</v>
      </c>
      <c r="CD17" s="505">
        <v>10.295753197747249</v>
      </c>
      <c r="CE17" s="505">
        <f>SUM(BX17:CD17)</f>
        <v>72.070272384230734</v>
      </c>
      <c r="CF17" s="506">
        <f>BR17-CE17</f>
        <v>278.45936712528805</v>
      </c>
      <c r="CG17" s="505">
        <v>10.295753197747249</v>
      </c>
      <c r="CH17" s="505">
        <v>10.295753197747249</v>
      </c>
      <c r="CI17" s="505">
        <v>10.295753197747249</v>
      </c>
      <c r="CJ17" s="505">
        <v>10.295753197747249</v>
      </c>
      <c r="CK17" s="505">
        <v>10.295753197747249</v>
      </c>
      <c r="CL17" s="505">
        <f>SUM(CG17:CK17)</f>
        <v>51.478765988736242</v>
      </c>
      <c r="CM17" s="679">
        <f>CF17-CL17</f>
        <v>226.9806011365518</v>
      </c>
      <c r="CN17" s="956">
        <v>132.28200000000001</v>
      </c>
      <c r="CO17" s="999">
        <v>119.547</v>
      </c>
      <c r="CP17" s="957">
        <f>CN17/CO17</f>
        <v>1.1065271399533239</v>
      </c>
      <c r="CQ17" s="511">
        <f>CM17/L17</f>
        <v>16.212900081182273</v>
      </c>
      <c r="CR17" s="511">
        <f>CQ17*CP17</f>
        <v>17.940013957179634</v>
      </c>
      <c r="CS17" s="511">
        <v>17.940013957179634</v>
      </c>
      <c r="CT17" s="511">
        <v>17.940000000000001</v>
      </c>
      <c r="CU17" s="511">
        <v>17.940000000000001</v>
      </c>
      <c r="CV17" s="511">
        <v>17.940000000000001</v>
      </c>
      <c r="CW17" s="511">
        <v>17.940000000000001</v>
      </c>
      <c r="CX17" s="511">
        <v>17.940000000000001</v>
      </c>
      <c r="CY17" s="511">
        <v>17.940000000000001</v>
      </c>
      <c r="CZ17" s="511">
        <v>17.940000000000001</v>
      </c>
      <c r="DA17" s="511">
        <v>17.940000000000001</v>
      </c>
      <c r="DB17" s="511">
        <v>17.940000000000001</v>
      </c>
      <c r="DC17" s="511">
        <v>17.940000000000001</v>
      </c>
      <c r="DD17" s="511">
        <v>17.940000000000001</v>
      </c>
      <c r="DE17" s="511">
        <v>10.7</v>
      </c>
      <c r="DF17" s="511">
        <v>0</v>
      </c>
      <c r="DG17" s="511">
        <v>0</v>
      </c>
      <c r="DH17" s="511">
        <v>0</v>
      </c>
      <c r="DI17" s="511">
        <v>0</v>
      </c>
      <c r="DJ17" s="511">
        <v>0</v>
      </c>
      <c r="DK17" s="511">
        <f t="shared" si="1"/>
        <v>225.98001395717961</v>
      </c>
      <c r="DL17" s="756">
        <f>CM17-DK17</f>
        <v>1.0005871793721894</v>
      </c>
    </row>
    <row r="18" spans="1:116" s="16" customFormat="1" ht="15" x14ac:dyDescent="0.2">
      <c r="A18" s="120" t="s">
        <v>539</v>
      </c>
      <c r="B18" s="120"/>
      <c r="C18" s="45"/>
      <c r="D18" s="111"/>
      <c r="E18" s="130"/>
      <c r="F18" s="46"/>
      <c r="G18" s="125"/>
      <c r="H18" s="145"/>
      <c r="I18" s="165"/>
      <c r="J18" s="48"/>
      <c r="K18" s="165"/>
      <c r="L18" s="48"/>
      <c r="M18" s="165"/>
      <c r="N18" s="48"/>
      <c r="O18" s="165"/>
      <c r="P18" s="48"/>
      <c r="Q18" s="125"/>
      <c r="R18" s="125"/>
      <c r="S18" s="119"/>
      <c r="T18" s="619"/>
      <c r="U18" s="619"/>
      <c r="V18" s="620"/>
      <c r="W18" s="621"/>
      <c r="X18" s="656"/>
      <c r="Y18" s="688"/>
      <c r="Z18" s="656"/>
      <c r="AA18" s="511"/>
      <c r="AB18" s="511"/>
      <c r="AC18" s="623"/>
      <c r="AD18" s="511"/>
      <c r="AE18" s="511"/>
      <c r="AF18" s="511"/>
      <c r="AG18" s="511"/>
      <c r="AH18" s="511"/>
      <c r="AI18" s="511"/>
      <c r="AJ18" s="511"/>
      <c r="AK18" s="511"/>
      <c r="AL18" s="511"/>
      <c r="AM18" s="511"/>
      <c r="AN18" s="511"/>
      <c r="AO18" s="511"/>
      <c r="AP18" s="695"/>
      <c r="AQ18" s="511"/>
      <c r="AR18" s="511"/>
      <c r="AS18" s="511">
        <f t="shared" ref="AS18:AW25" si="2">$AN18</f>
        <v>0</v>
      </c>
      <c r="AT18" s="511">
        <f t="shared" si="2"/>
        <v>0</v>
      </c>
      <c r="AU18" s="511">
        <f t="shared" si="2"/>
        <v>0</v>
      </c>
      <c r="AV18" s="511">
        <f t="shared" si="2"/>
        <v>0</v>
      </c>
      <c r="AW18" s="511">
        <f t="shared" si="2"/>
        <v>0</v>
      </c>
      <c r="AX18" s="656"/>
      <c r="AY18" s="688"/>
      <c r="AZ18" s="656"/>
      <c r="BA18" s="511"/>
      <c r="BB18" s="511"/>
      <c r="BC18" s="511"/>
      <c r="BD18" s="511"/>
      <c r="BE18" s="511"/>
      <c r="BF18" s="511"/>
      <c r="BG18" s="511"/>
      <c r="BH18" s="511"/>
      <c r="BI18" s="511"/>
      <c r="BJ18" s="511"/>
      <c r="BK18" s="657"/>
      <c r="BL18" s="516"/>
      <c r="BM18" s="516"/>
      <c r="BN18" s="516"/>
      <c r="BO18" s="516"/>
      <c r="BP18" s="516"/>
      <c r="BQ18" s="516"/>
      <c r="BR18" s="505"/>
      <c r="BS18" s="998"/>
      <c r="BT18" s="999"/>
      <c r="BU18" s="998"/>
      <c r="BV18" s="505"/>
      <c r="BW18" s="505"/>
      <c r="BX18" s="505"/>
      <c r="BY18" s="505"/>
      <c r="BZ18" s="505"/>
      <c r="CA18" s="505"/>
      <c r="CB18" s="505"/>
      <c r="CC18" s="505"/>
      <c r="CD18" s="505"/>
      <c r="CE18" s="505"/>
      <c r="CF18" s="506"/>
      <c r="CG18" s="505"/>
      <c r="CH18" s="505"/>
      <c r="CI18" s="505"/>
      <c r="CJ18" s="505"/>
      <c r="CK18" s="505"/>
      <c r="CL18" s="505"/>
      <c r="CM18" s="681"/>
      <c r="CN18" s="656"/>
      <c r="CO18" s="999"/>
      <c r="CP18" s="957"/>
      <c r="CQ18" s="511"/>
      <c r="CR18" s="511"/>
      <c r="CS18" s="511"/>
      <c r="CT18" s="511"/>
      <c r="CU18" s="511"/>
      <c r="CV18" s="511"/>
      <c r="CW18" s="511"/>
      <c r="CX18" s="511"/>
      <c r="CY18" s="511"/>
      <c r="CZ18" s="511"/>
      <c r="DA18" s="511"/>
      <c r="DB18" s="511"/>
      <c r="DC18" s="511"/>
      <c r="DD18" s="511"/>
      <c r="DE18" s="511"/>
      <c r="DF18" s="511"/>
      <c r="DG18" s="511"/>
      <c r="DH18" s="511"/>
      <c r="DI18" s="511"/>
      <c r="DJ18" s="511"/>
      <c r="DK18" s="511">
        <f t="shared" si="1"/>
        <v>0</v>
      </c>
      <c r="DL18" s="511"/>
    </row>
    <row r="19" spans="1:116" s="16" customFormat="1" ht="15.75" customHeight="1" x14ac:dyDescent="0.2">
      <c r="A19" s="120" t="s">
        <v>83</v>
      </c>
      <c r="B19" s="100"/>
      <c r="C19" s="45"/>
      <c r="D19" s="8"/>
      <c r="E19" s="130"/>
      <c r="F19" s="46"/>
      <c r="G19" s="125"/>
      <c r="H19" s="145"/>
      <c r="I19" s="165"/>
      <c r="J19" s="48"/>
      <c r="K19" s="165"/>
      <c r="L19" s="48"/>
      <c r="M19" s="165"/>
      <c r="N19" s="48"/>
      <c r="O19" s="165"/>
      <c r="P19" s="48"/>
      <c r="Q19" s="48"/>
      <c r="R19" s="125"/>
      <c r="S19" s="119"/>
      <c r="T19" s="619"/>
      <c r="U19" s="619"/>
      <c r="V19" s="620"/>
      <c r="W19" s="621"/>
      <c r="X19" s="621"/>
      <c r="Y19" s="688"/>
      <c r="Z19" s="621"/>
      <c r="AA19" s="511"/>
      <c r="AB19" s="511"/>
      <c r="AC19" s="511"/>
      <c r="AD19" s="511"/>
      <c r="AE19" s="511"/>
      <c r="AF19" s="511"/>
      <c r="AG19" s="511"/>
      <c r="AH19" s="511"/>
      <c r="AI19" s="511"/>
      <c r="AJ19" s="511"/>
      <c r="AK19" s="511"/>
      <c r="AL19" s="511"/>
      <c r="AM19" s="511"/>
      <c r="AN19" s="511"/>
      <c r="AO19" s="511"/>
      <c r="AP19" s="695"/>
      <c r="AQ19" s="511"/>
      <c r="AR19" s="511"/>
      <c r="AS19" s="511">
        <f t="shared" si="2"/>
        <v>0</v>
      </c>
      <c r="AT19" s="511">
        <f t="shared" si="2"/>
        <v>0</v>
      </c>
      <c r="AU19" s="511">
        <f t="shared" si="2"/>
        <v>0</v>
      </c>
      <c r="AV19" s="511">
        <f t="shared" si="2"/>
        <v>0</v>
      </c>
      <c r="AW19" s="511">
        <f t="shared" si="2"/>
        <v>0</v>
      </c>
      <c r="AX19" s="621"/>
      <c r="AY19" s="688"/>
      <c r="AZ19" s="656"/>
      <c r="BA19" s="511"/>
      <c r="BB19" s="511"/>
      <c r="BC19" s="511"/>
      <c r="BD19" s="511"/>
      <c r="BE19" s="511"/>
      <c r="BF19" s="511"/>
      <c r="BG19" s="511"/>
      <c r="BH19" s="511"/>
      <c r="BI19" s="511"/>
      <c r="BJ19" s="511"/>
      <c r="BK19" s="657"/>
      <c r="BL19" s="516"/>
      <c r="BM19" s="516"/>
      <c r="BN19" s="516"/>
      <c r="BO19" s="516"/>
      <c r="BP19" s="516"/>
      <c r="BQ19" s="516"/>
      <c r="BR19" s="505"/>
      <c r="BS19" s="674"/>
      <c r="BT19" s="999"/>
      <c r="BU19" s="998"/>
      <c r="BV19" s="505"/>
      <c r="BW19" s="505"/>
      <c r="BX19" s="505"/>
      <c r="BY19" s="505"/>
      <c r="BZ19" s="505"/>
      <c r="CA19" s="505"/>
      <c r="CB19" s="505"/>
      <c r="CC19" s="505"/>
      <c r="CD19" s="505"/>
      <c r="CE19" s="505"/>
      <c r="CF19" s="506"/>
      <c r="CG19" s="505"/>
      <c r="CH19" s="505"/>
      <c r="CI19" s="505"/>
      <c r="CJ19" s="505"/>
      <c r="CK19" s="505"/>
      <c r="CL19" s="505"/>
      <c r="CM19" s="679"/>
      <c r="CN19" s="623"/>
      <c r="CO19" s="999"/>
      <c r="CP19" s="957"/>
      <c r="CQ19" s="511"/>
      <c r="CR19" s="511"/>
      <c r="CS19" s="511"/>
      <c r="CT19" s="511"/>
      <c r="CU19" s="511"/>
      <c r="CV19" s="511"/>
      <c r="CW19" s="511"/>
      <c r="CX19" s="511"/>
      <c r="CY19" s="511"/>
      <c r="CZ19" s="511"/>
      <c r="DA19" s="511"/>
      <c r="DB19" s="511"/>
      <c r="DC19" s="511"/>
      <c r="DD19" s="511"/>
      <c r="DE19" s="511"/>
      <c r="DF19" s="511"/>
      <c r="DG19" s="511"/>
      <c r="DH19" s="511"/>
      <c r="DI19" s="511"/>
      <c r="DJ19" s="511"/>
      <c r="DK19" s="511">
        <f t="shared" si="1"/>
        <v>0</v>
      </c>
      <c r="DL19" s="511"/>
    </row>
    <row r="20" spans="1:116" s="16" customFormat="1" ht="15" x14ac:dyDescent="0.2">
      <c r="A20" s="100" t="s">
        <v>714</v>
      </c>
      <c r="B20" s="100" t="s">
        <v>713</v>
      </c>
      <c r="C20" s="45" t="s">
        <v>659</v>
      </c>
      <c r="D20" s="58">
        <v>10</v>
      </c>
      <c r="E20" s="53">
        <v>0.1</v>
      </c>
      <c r="F20" s="46">
        <v>43281</v>
      </c>
      <c r="G20" s="48">
        <v>120</v>
      </c>
      <c r="H20" s="145">
        <f>100/G20</f>
        <v>0.83333333333333337</v>
      </c>
      <c r="I20" s="165">
        <f>H20*J20</f>
        <v>25.833333333333336</v>
      </c>
      <c r="J20" s="48">
        <f>(YEAR(F20)-YEAR(S20))*12+MONTH(F20)-MONTH(S20)</f>
        <v>31</v>
      </c>
      <c r="K20" s="165">
        <f>L20*H20</f>
        <v>74.166666666666671</v>
      </c>
      <c r="L20" s="48">
        <f>G20-J20</f>
        <v>89</v>
      </c>
      <c r="M20" s="165">
        <f>N20*H20</f>
        <v>0.83333333333333337</v>
      </c>
      <c r="N20" s="48">
        <v>1</v>
      </c>
      <c r="O20" s="165">
        <f>P20*H20</f>
        <v>73.333333333333343</v>
      </c>
      <c r="P20" s="48">
        <f>L20-N20</f>
        <v>88</v>
      </c>
      <c r="Q20" s="46">
        <f>DATE(YEAR(S20),MONTH(S20)+G20,DAY(S20))</f>
        <v>45988</v>
      </c>
      <c r="R20" s="48">
        <v>4658</v>
      </c>
      <c r="S20" s="46">
        <v>42335</v>
      </c>
      <c r="T20" s="692">
        <v>734</v>
      </c>
      <c r="U20" s="656">
        <v>0</v>
      </c>
      <c r="V20" s="511">
        <v>0</v>
      </c>
      <c r="W20" s="511">
        <v>118.051</v>
      </c>
      <c r="X20" s="656">
        <v>115.958</v>
      </c>
      <c r="Y20" s="511">
        <v>118.051</v>
      </c>
      <c r="Z20" s="656">
        <f>X20/Y20</f>
        <v>0.98227037466857536</v>
      </c>
      <c r="AA20" s="511">
        <f>H20*T20/100</f>
        <v>6.1166666666666671</v>
      </c>
      <c r="AB20" s="511">
        <f>AA20*Z20</f>
        <v>6.0082204583894532</v>
      </c>
      <c r="AC20" s="511"/>
      <c r="AD20" s="511"/>
      <c r="AE20" s="511"/>
      <c r="AF20" s="511"/>
      <c r="AG20" s="511"/>
      <c r="AH20" s="511"/>
      <c r="AI20" s="511"/>
      <c r="AJ20" s="511"/>
      <c r="AK20" s="695"/>
      <c r="AL20" s="695"/>
      <c r="AM20" s="695"/>
      <c r="AN20" s="695">
        <f>AB20</f>
        <v>6.0082204583894532</v>
      </c>
      <c r="AO20" s="695">
        <f>AN20</f>
        <v>6.0082204583894532</v>
      </c>
      <c r="AP20" s="695">
        <f>T20-AO20</f>
        <v>727.99177954161053</v>
      </c>
      <c r="AQ20" s="511"/>
      <c r="AR20" s="511"/>
      <c r="AS20" s="511">
        <f t="shared" si="2"/>
        <v>6.0082204583894532</v>
      </c>
      <c r="AT20" s="511">
        <f t="shared" si="2"/>
        <v>6.0082204583894532</v>
      </c>
      <c r="AU20" s="511">
        <f t="shared" si="2"/>
        <v>6.0082204583894532</v>
      </c>
      <c r="AV20" s="511">
        <f t="shared" si="2"/>
        <v>6.0082204583894532</v>
      </c>
      <c r="AW20" s="511">
        <f t="shared" si="2"/>
        <v>6.0082204583894532</v>
      </c>
      <c r="AX20" s="656">
        <v>118.901</v>
      </c>
      <c r="AY20" s="511">
        <v>118.051</v>
      </c>
      <c r="AZ20" s="656">
        <f>AX20/AY20</f>
        <v>1.0072002778460156</v>
      </c>
      <c r="BA20" s="511">
        <f>T20/(D20*12)</f>
        <v>6.1166666666666663</v>
      </c>
      <c r="BB20" s="511">
        <f>BA20*AZ20</f>
        <v>6.1607083661581283</v>
      </c>
      <c r="BC20" s="511">
        <f>$BB20</f>
        <v>6.1607083661581283</v>
      </c>
      <c r="BD20" s="511">
        <f>$BB20</f>
        <v>6.1607083661581283</v>
      </c>
      <c r="BE20" s="511">
        <f>$BB20</f>
        <v>6.1607083661581283</v>
      </c>
      <c r="BF20" s="511">
        <f>$BB20</f>
        <v>6.1607083661581283</v>
      </c>
      <c r="BG20" s="511">
        <v>6.16</v>
      </c>
      <c r="BH20" s="511">
        <v>6.16</v>
      </c>
      <c r="BI20" s="511">
        <v>6.16</v>
      </c>
      <c r="BJ20" s="511">
        <f>SUM((AS20:AW20),(BC20:BI20))</f>
        <v>73.163935756579761</v>
      </c>
      <c r="BK20" s="657">
        <f>(AP20-BJ20)</f>
        <v>654.82784378503072</v>
      </c>
      <c r="BL20" s="516">
        <v>6.16</v>
      </c>
      <c r="BM20" s="516">
        <v>6.16</v>
      </c>
      <c r="BN20" s="516">
        <v>6.16</v>
      </c>
      <c r="BO20" s="516">
        <v>6.16</v>
      </c>
      <c r="BP20" s="516">
        <v>6.16</v>
      </c>
      <c r="BQ20" s="516">
        <f>SUM(BL20:BP20)</f>
        <v>30.8</v>
      </c>
      <c r="BR20" s="505">
        <f>BK20-BQ20</f>
        <v>624.02784378503077</v>
      </c>
      <c r="BS20" s="998">
        <v>126.408</v>
      </c>
      <c r="BT20" s="505">
        <v>118.051</v>
      </c>
      <c r="BU20" s="998">
        <f>BS20/BT20</f>
        <v>1.0707914375990037</v>
      </c>
      <c r="BV20" s="505">
        <f>BR20/L20</f>
        <v>7.0115488065733791</v>
      </c>
      <c r="BW20" s="505">
        <f>BV20*BU20</f>
        <v>7.5079064263862874</v>
      </c>
      <c r="BX20" s="505">
        <v>5.5683639329031642</v>
      </c>
      <c r="BY20" s="505">
        <v>5.5683639329031642</v>
      </c>
      <c r="BZ20" s="505">
        <v>7.67</v>
      </c>
      <c r="CA20" s="505">
        <v>6.62</v>
      </c>
      <c r="CB20" s="505">
        <v>6.62</v>
      </c>
      <c r="CC20" s="505">
        <v>6.62</v>
      </c>
      <c r="CD20" s="505">
        <v>6.62</v>
      </c>
      <c r="CE20" s="505">
        <f>SUM(BX20:CD20)</f>
        <v>45.286727865806327</v>
      </c>
      <c r="CF20" s="506">
        <f>BR20-CE20</f>
        <v>578.7411159192244</v>
      </c>
      <c r="CG20" s="505">
        <v>6.62</v>
      </c>
      <c r="CH20" s="505">
        <v>6.62</v>
      </c>
      <c r="CI20" s="505">
        <v>6.62</v>
      </c>
      <c r="CJ20" s="505">
        <v>6.62</v>
      </c>
      <c r="CK20" s="505">
        <v>6.62</v>
      </c>
      <c r="CL20" s="505">
        <f t="shared" ref="CL20:CL25" si="3">SUM(CG20:CK20)</f>
        <v>33.1</v>
      </c>
      <c r="CM20" s="679">
        <f t="shared" ref="CM20:CM25" si="4">CF20-CL20</f>
        <v>545.64111591922438</v>
      </c>
      <c r="CN20" s="956">
        <v>132.28200000000001</v>
      </c>
      <c r="CO20" s="505">
        <v>118.051</v>
      </c>
      <c r="CP20" s="957">
        <f>CN20/CO20</f>
        <v>1.1205495929725289</v>
      </c>
      <c r="CQ20" s="511">
        <f>CM20/L20</f>
        <v>6.1307990552721838</v>
      </c>
      <c r="CR20" s="511">
        <f>CQ20*CP20</f>
        <v>6.86986438598161</v>
      </c>
      <c r="CS20" s="511">
        <v>6.86986438598161</v>
      </c>
      <c r="CT20" s="511">
        <v>6.87</v>
      </c>
      <c r="CU20" s="511">
        <v>6.87</v>
      </c>
      <c r="CV20" s="511">
        <v>6.87</v>
      </c>
      <c r="CW20" s="511">
        <v>6.87</v>
      </c>
      <c r="CX20" s="511">
        <v>6.87</v>
      </c>
      <c r="CY20" s="511">
        <v>6.87</v>
      </c>
      <c r="CZ20" s="511">
        <v>6.87</v>
      </c>
      <c r="DA20" s="511">
        <v>6.87</v>
      </c>
      <c r="DB20" s="511">
        <v>6.87</v>
      </c>
      <c r="DC20" s="511">
        <v>6.87</v>
      </c>
      <c r="DD20" s="511">
        <v>6.87</v>
      </c>
      <c r="DE20" s="511">
        <v>6.87</v>
      </c>
      <c r="DF20" s="511">
        <v>6.87</v>
      </c>
      <c r="DG20" s="511">
        <v>6.87</v>
      </c>
      <c r="DH20" s="511">
        <v>6.87</v>
      </c>
      <c r="DI20" s="511">
        <v>6.87</v>
      </c>
      <c r="DJ20" s="511">
        <v>6.87</v>
      </c>
      <c r="DK20" s="511">
        <f t="shared" si="1"/>
        <v>123.65986438598163</v>
      </c>
      <c r="DL20" s="756">
        <f>CM20-DK20</f>
        <v>421.98125153324276</v>
      </c>
    </row>
    <row r="21" spans="1:116" s="16" customFormat="1" ht="15.75" customHeight="1" x14ac:dyDescent="0.2">
      <c r="A21" s="368" t="s">
        <v>1054</v>
      </c>
      <c r="B21" s="347"/>
      <c r="C21" s="45"/>
      <c r="D21" s="8"/>
      <c r="E21" s="130"/>
      <c r="F21" s="46"/>
      <c r="G21" s="125"/>
      <c r="H21" s="145"/>
      <c r="I21" s="165"/>
      <c r="J21" s="48"/>
      <c r="K21" s="165"/>
      <c r="L21" s="48"/>
      <c r="M21" s="165"/>
      <c r="N21" s="48"/>
      <c r="O21" s="165"/>
      <c r="P21" s="48"/>
      <c r="Q21" s="48"/>
      <c r="R21" s="125"/>
      <c r="S21" s="119"/>
      <c r="T21" s="619"/>
      <c r="U21" s="619"/>
      <c r="V21" s="620"/>
      <c r="W21" s="621"/>
      <c r="X21" s="621"/>
      <c r="Y21" s="688"/>
      <c r="Z21" s="621"/>
      <c r="AA21" s="511"/>
      <c r="AB21" s="511"/>
      <c r="AC21" s="511"/>
      <c r="AD21" s="511"/>
      <c r="AE21" s="511"/>
      <c r="AF21" s="511"/>
      <c r="AG21" s="511"/>
      <c r="AH21" s="511"/>
      <c r="AI21" s="511"/>
      <c r="AJ21" s="511"/>
      <c r="AK21" s="511"/>
      <c r="AL21" s="511"/>
      <c r="AM21" s="511"/>
      <c r="AN21" s="511"/>
      <c r="AO21" s="511"/>
      <c r="AP21" s="695"/>
      <c r="AQ21" s="511"/>
      <c r="AR21" s="511"/>
      <c r="AS21" s="511">
        <f t="shared" si="2"/>
        <v>0</v>
      </c>
      <c r="AT21" s="511">
        <f t="shared" si="2"/>
        <v>0</v>
      </c>
      <c r="AU21" s="511">
        <f t="shared" si="2"/>
        <v>0</v>
      </c>
      <c r="AV21" s="511">
        <f t="shared" si="2"/>
        <v>0</v>
      </c>
      <c r="AW21" s="511">
        <f t="shared" si="2"/>
        <v>0</v>
      </c>
      <c r="AX21" s="621"/>
      <c r="AY21" s="688"/>
      <c r="AZ21" s="656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657"/>
      <c r="BL21" s="516"/>
      <c r="BM21" s="516"/>
      <c r="BN21" s="516"/>
      <c r="BO21" s="516"/>
      <c r="BP21" s="516"/>
      <c r="BQ21" s="516"/>
      <c r="BR21" s="505"/>
      <c r="BS21" s="674"/>
      <c r="BT21" s="999"/>
      <c r="BU21" s="998"/>
      <c r="BV21" s="505"/>
      <c r="BW21" s="505"/>
      <c r="BX21" s="505"/>
      <c r="BY21" s="505"/>
      <c r="BZ21" s="505"/>
      <c r="CA21" s="505"/>
      <c r="CB21" s="505"/>
      <c r="CC21" s="505"/>
      <c r="CD21" s="505"/>
      <c r="CE21" s="505"/>
      <c r="CF21" s="506"/>
      <c r="CG21" s="505"/>
      <c r="CH21" s="505"/>
      <c r="CI21" s="505"/>
      <c r="CJ21" s="505"/>
      <c r="CK21" s="505"/>
      <c r="CL21" s="505"/>
      <c r="CM21" s="679"/>
      <c r="CN21" s="956"/>
      <c r="CO21" s="999"/>
      <c r="CP21" s="957"/>
      <c r="CQ21" s="511"/>
      <c r="CR21" s="511"/>
      <c r="CS21" s="511"/>
      <c r="CT21" s="511"/>
      <c r="CU21" s="511"/>
      <c r="CV21" s="511"/>
      <c r="CW21" s="511"/>
      <c r="CX21" s="511"/>
      <c r="CY21" s="511"/>
      <c r="CZ21" s="511"/>
      <c r="DA21" s="511"/>
      <c r="DB21" s="511"/>
      <c r="DC21" s="511"/>
      <c r="DD21" s="511"/>
      <c r="DE21" s="511"/>
      <c r="DF21" s="511"/>
      <c r="DG21" s="511"/>
      <c r="DH21" s="511"/>
      <c r="DI21" s="511"/>
      <c r="DJ21" s="511"/>
      <c r="DK21" s="511">
        <f t="shared" si="1"/>
        <v>0</v>
      </c>
      <c r="DL21" s="756"/>
    </row>
    <row r="22" spans="1:116" s="16" customFormat="1" ht="15" x14ac:dyDescent="0.2">
      <c r="A22" s="100" t="s">
        <v>1065</v>
      </c>
      <c r="B22" s="100" t="s">
        <v>1055</v>
      </c>
      <c r="C22" s="45" t="s">
        <v>659</v>
      </c>
      <c r="D22" s="58">
        <v>10</v>
      </c>
      <c r="E22" s="53">
        <v>0.1</v>
      </c>
      <c r="F22" s="46">
        <v>43281</v>
      </c>
      <c r="G22" s="48">
        <v>120</v>
      </c>
      <c r="H22" s="145">
        <f>100/G22</f>
        <v>0.83333333333333337</v>
      </c>
      <c r="I22" s="165">
        <v>0</v>
      </c>
      <c r="J22" s="48">
        <f>(YEAR(F22)-YEAR(S22))*12+MONTH(F22)-MONTH(S22)</f>
        <v>18</v>
      </c>
      <c r="K22" s="165">
        <f>L22*H22</f>
        <v>85</v>
      </c>
      <c r="L22" s="48">
        <f>G22-J22</f>
        <v>102</v>
      </c>
      <c r="M22" s="165">
        <f>N22*H22</f>
        <v>0</v>
      </c>
      <c r="N22" s="48">
        <v>0</v>
      </c>
      <c r="O22" s="165">
        <f>P22*H22</f>
        <v>85</v>
      </c>
      <c r="P22" s="48">
        <f>L22-N22</f>
        <v>102</v>
      </c>
      <c r="Q22" s="46">
        <f>DATE(YEAR(S22),MONTH(S22)+G22,DAY(S22))</f>
        <v>46386</v>
      </c>
      <c r="R22" s="48" t="s">
        <v>1056</v>
      </c>
      <c r="S22" s="46">
        <v>42734</v>
      </c>
      <c r="T22" s="692">
        <v>5800</v>
      </c>
      <c r="U22" s="656"/>
      <c r="V22" s="511"/>
      <c r="W22" s="511"/>
      <c r="X22" s="656"/>
      <c r="Y22" s="511"/>
      <c r="Z22" s="656"/>
      <c r="AA22" s="511"/>
      <c r="AB22" s="511">
        <f>U22*N22/100/L22*100/7</f>
        <v>0</v>
      </c>
      <c r="AC22" s="511"/>
      <c r="AD22" s="511"/>
      <c r="AE22" s="511"/>
      <c r="AF22" s="511"/>
      <c r="AG22" s="511"/>
      <c r="AH22" s="511"/>
      <c r="AI22" s="511"/>
      <c r="AJ22" s="511"/>
      <c r="AK22" s="695"/>
      <c r="AL22" s="695"/>
      <c r="AM22" s="695"/>
      <c r="AN22" s="695"/>
      <c r="AO22" s="695"/>
      <c r="AP22" s="695">
        <f>T22-AO22</f>
        <v>5800</v>
      </c>
      <c r="AQ22" s="511"/>
      <c r="AR22" s="511"/>
      <c r="AS22" s="511">
        <f t="shared" si="2"/>
        <v>0</v>
      </c>
      <c r="AT22" s="511">
        <f t="shared" si="2"/>
        <v>0</v>
      </c>
      <c r="AU22" s="511">
        <f t="shared" si="2"/>
        <v>0</v>
      </c>
      <c r="AV22" s="511">
        <f t="shared" si="2"/>
        <v>0</v>
      </c>
      <c r="AW22" s="511">
        <f t="shared" si="2"/>
        <v>0</v>
      </c>
      <c r="AX22" s="656">
        <v>118.901</v>
      </c>
      <c r="AY22" s="511">
        <v>122.515</v>
      </c>
      <c r="AZ22" s="656">
        <f>AX22/AY22</f>
        <v>0.97050157123617509</v>
      </c>
      <c r="BA22" s="511">
        <f>T22/(D22*12)</f>
        <v>48.333333333333336</v>
      </c>
      <c r="BB22" s="511">
        <f>BA22*AZ22</f>
        <v>46.907575943081795</v>
      </c>
      <c r="BC22" s="511"/>
      <c r="BD22" s="511"/>
      <c r="BE22" s="511"/>
      <c r="BF22" s="511"/>
      <c r="BG22" s="511"/>
      <c r="BH22" s="511"/>
      <c r="BI22" s="511"/>
      <c r="BJ22" s="511">
        <f>SUM((AS22:AW22),(BC22:BI22))</f>
        <v>0</v>
      </c>
      <c r="BK22" s="657">
        <f>(AP22-BJ22)</f>
        <v>5800</v>
      </c>
      <c r="BL22" s="516">
        <v>46.91</v>
      </c>
      <c r="BM22" s="516">
        <v>46.91</v>
      </c>
      <c r="BN22" s="516">
        <v>46.91</v>
      </c>
      <c r="BO22" s="516">
        <v>46.91</v>
      </c>
      <c r="BP22" s="516">
        <v>46.91</v>
      </c>
      <c r="BQ22" s="516">
        <f>SUM(BL22:BP22)</f>
        <v>234.54999999999998</v>
      </c>
      <c r="BR22" s="505">
        <f>BK22-BQ22</f>
        <v>5565.45</v>
      </c>
      <c r="BS22" s="998">
        <v>126.408</v>
      </c>
      <c r="BT22" s="505">
        <v>118.051</v>
      </c>
      <c r="BU22" s="998">
        <f>BS22/BT22</f>
        <v>1.0707914375990037</v>
      </c>
      <c r="BV22" s="505">
        <f>BR22/L22</f>
        <v>54.563235294117646</v>
      </c>
      <c r="BW22" s="505">
        <f>BV22*BU22</f>
        <v>58.425845160640932</v>
      </c>
      <c r="BX22" s="505">
        <v>49.661968386544793</v>
      </c>
      <c r="BY22" s="505">
        <v>49.661968386544793</v>
      </c>
      <c r="BZ22" s="505">
        <v>49.661968386544793</v>
      </c>
      <c r="CA22" s="505">
        <v>49.661968386544793</v>
      </c>
      <c r="CB22" s="505">
        <v>49.661968386544793</v>
      </c>
      <c r="CC22" s="505">
        <v>49.661968386544793</v>
      </c>
      <c r="CD22" s="505">
        <v>49.661968386544793</v>
      </c>
      <c r="CE22" s="505">
        <f>SUM(BX22:CD22)</f>
        <v>347.63377870581354</v>
      </c>
      <c r="CF22" s="506">
        <f>BR22-CE22</f>
        <v>5217.8162212941861</v>
      </c>
      <c r="CG22" s="505">
        <v>49.661968386544793</v>
      </c>
      <c r="CH22" s="505">
        <v>49.661968386544793</v>
      </c>
      <c r="CI22" s="505">
        <v>49.661968386544793</v>
      </c>
      <c r="CJ22" s="505">
        <v>49.661968386544793</v>
      </c>
      <c r="CK22" s="505">
        <v>49.661968386544793</v>
      </c>
      <c r="CL22" s="505">
        <f t="shared" si="3"/>
        <v>248.30984193272397</v>
      </c>
      <c r="CM22" s="679">
        <f t="shared" si="4"/>
        <v>4969.5063793614618</v>
      </c>
      <c r="CN22" s="956">
        <v>132.28200000000001</v>
      </c>
      <c r="CO22" s="505">
        <v>118.051</v>
      </c>
      <c r="CP22" s="957">
        <f>CN22/CO22</f>
        <v>1.1205495929725289</v>
      </c>
      <c r="CQ22" s="511">
        <f>CM22/L22</f>
        <v>48.720650778053546</v>
      </c>
      <c r="CR22" s="511">
        <f>CQ22*CP22</f>
        <v>54.593905398704621</v>
      </c>
      <c r="CS22" s="511">
        <v>54.593905398704621</v>
      </c>
      <c r="CT22" s="511">
        <v>54.59</v>
      </c>
      <c r="CU22" s="511">
        <v>54.59</v>
      </c>
      <c r="CV22" s="511">
        <v>54.59</v>
      </c>
      <c r="CW22" s="511">
        <v>54.59</v>
      </c>
      <c r="CX22" s="511">
        <v>54.59</v>
      </c>
      <c r="CY22" s="511">
        <v>54.59</v>
      </c>
      <c r="CZ22" s="511">
        <v>54.59</v>
      </c>
      <c r="DA22" s="511">
        <v>54.59</v>
      </c>
      <c r="DB22" s="511">
        <v>54.59</v>
      </c>
      <c r="DC22" s="511">
        <v>54.59</v>
      </c>
      <c r="DD22" s="511">
        <v>54.59</v>
      </c>
      <c r="DE22" s="511">
        <v>54.59</v>
      </c>
      <c r="DF22" s="511">
        <v>54.59</v>
      </c>
      <c r="DG22" s="511">
        <v>54.59</v>
      </c>
      <c r="DH22" s="511">
        <v>54.59</v>
      </c>
      <c r="DI22" s="511">
        <v>54.59</v>
      </c>
      <c r="DJ22" s="511">
        <v>54.59</v>
      </c>
      <c r="DK22" s="511">
        <f t="shared" si="1"/>
        <v>982.62390539870501</v>
      </c>
      <c r="DL22" s="756">
        <f>CM22-DK22</f>
        <v>3986.8824739627566</v>
      </c>
    </row>
    <row r="23" spans="1:116" s="16" customFormat="1" ht="15" x14ac:dyDescent="0.2">
      <c r="A23" s="100" t="s">
        <v>1065</v>
      </c>
      <c r="B23" s="100" t="s">
        <v>1064</v>
      </c>
      <c r="C23" s="45" t="s">
        <v>659</v>
      </c>
      <c r="D23" s="58">
        <v>10</v>
      </c>
      <c r="E23" s="53">
        <v>0.1</v>
      </c>
      <c r="F23" s="46">
        <v>43281</v>
      </c>
      <c r="G23" s="48">
        <v>120</v>
      </c>
      <c r="H23" s="145">
        <f>100/G23</f>
        <v>0.83333333333333337</v>
      </c>
      <c r="I23" s="165">
        <v>0</v>
      </c>
      <c r="J23" s="48">
        <f>(YEAR(F23)-YEAR(S23))*12+MONTH(F23)-MONTH(S23)</f>
        <v>18</v>
      </c>
      <c r="K23" s="165">
        <f>L23*H23</f>
        <v>85</v>
      </c>
      <c r="L23" s="48">
        <f>G23-J23</f>
        <v>102</v>
      </c>
      <c r="M23" s="165">
        <f>N23*H23</f>
        <v>0</v>
      </c>
      <c r="N23" s="48">
        <v>0</v>
      </c>
      <c r="O23" s="165">
        <f>P23*H23</f>
        <v>85</v>
      </c>
      <c r="P23" s="48">
        <f>L23-N23</f>
        <v>102</v>
      </c>
      <c r="Q23" s="46">
        <f>DATE(YEAR(S23),MONTH(S23)+G23,DAY(S23))</f>
        <v>46386</v>
      </c>
      <c r="R23" s="48" t="s">
        <v>1056</v>
      </c>
      <c r="S23" s="46">
        <v>42734</v>
      </c>
      <c r="T23" s="692">
        <v>2088</v>
      </c>
      <c r="U23" s="656"/>
      <c r="V23" s="511"/>
      <c r="W23" s="511"/>
      <c r="X23" s="656"/>
      <c r="Y23" s="511"/>
      <c r="Z23" s="656"/>
      <c r="AA23" s="511"/>
      <c r="AB23" s="511">
        <f>U23*N23/100/L23*100/7</f>
        <v>0</v>
      </c>
      <c r="AC23" s="511"/>
      <c r="AD23" s="511"/>
      <c r="AE23" s="511"/>
      <c r="AF23" s="511"/>
      <c r="AG23" s="511"/>
      <c r="AH23" s="511"/>
      <c r="AI23" s="511"/>
      <c r="AJ23" s="511"/>
      <c r="AK23" s="695"/>
      <c r="AL23" s="695"/>
      <c r="AM23" s="695"/>
      <c r="AN23" s="695"/>
      <c r="AO23" s="695"/>
      <c r="AP23" s="695">
        <f>T23-AO23</f>
        <v>2088</v>
      </c>
      <c r="AQ23" s="511"/>
      <c r="AR23" s="511"/>
      <c r="AS23" s="511">
        <f t="shared" si="2"/>
        <v>0</v>
      </c>
      <c r="AT23" s="511">
        <f t="shared" si="2"/>
        <v>0</v>
      </c>
      <c r="AU23" s="511">
        <f t="shared" si="2"/>
        <v>0</v>
      </c>
      <c r="AV23" s="511">
        <f t="shared" si="2"/>
        <v>0</v>
      </c>
      <c r="AW23" s="511">
        <f t="shared" si="2"/>
        <v>0</v>
      </c>
      <c r="AX23" s="656">
        <v>118.901</v>
      </c>
      <c r="AY23" s="511">
        <v>122.515</v>
      </c>
      <c r="AZ23" s="656">
        <f>AX23/AY23</f>
        <v>0.97050157123617509</v>
      </c>
      <c r="BA23" s="511">
        <f>T23/(D23*12)</f>
        <v>17.399999999999999</v>
      </c>
      <c r="BB23" s="511">
        <f>BA23*AZ23</f>
        <v>16.886727339509445</v>
      </c>
      <c r="BC23" s="511"/>
      <c r="BD23" s="511"/>
      <c r="BE23" s="511"/>
      <c r="BF23" s="511"/>
      <c r="BG23" s="511"/>
      <c r="BH23" s="511"/>
      <c r="BI23" s="511"/>
      <c r="BJ23" s="511">
        <f>SUM((AS23:AW23),(BC23:BI23))</f>
        <v>0</v>
      </c>
      <c r="BK23" s="657">
        <f>(AP23-BJ23)</f>
        <v>2088</v>
      </c>
      <c r="BL23" s="516">
        <v>16.89</v>
      </c>
      <c r="BM23" s="516">
        <v>16.89</v>
      </c>
      <c r="BN23" s="516">
        <v>16.89</v>
      </c>
      <c r="BO23" s="516">
        <v>16.89</v>
      </c>
      <c r="BP23" s="516">
        <v>16.89</v>
      </c>
      <c r="BQ23" s="516">
        <f>SUM(BL23:BP23)</f>
        <v>84.45</v>
      </c>
      <c r="BR23" s="505">
        <f>BK23-BQ23</f>
        <v>2003.55</v>
      </c>
      <c r="BS23" s="998">
        <v>126.408</v>
      </c>
      <c r="BT23" s="505">
        <v>118.051</v>
      </c>
      <c r="BU23" s="998">
        <f>BS23/BT23</f>
        <v>1.0707914375990037</v>
      </c>
      <c r="BV23" s="505">
        <f>BR23/L23</f>
        <v>19.642647058823528</v>
      </c>
      <c r="BW23" s="505">
        <f>BV23*BU23</f>
        <v>21.033178282367487</v>
      </c>
      <c r="BX23" s="505">
        <v>17.878201540012366</v>
      </c>
      <c r="BY23" s="505">
        <v>17.878201540012366</v>
      </c>
      <c r="BZ23" s="505">
        <v>17.878201540012366</v>
      </c>
      <c r="CA23" s="505">
        <v>17.878201540012366</v>
      </c>
      <c r="CB23" s="505">
        <v>17.878201540012366</v>
      </c>
      <c r="CC23" s="505">
        <v>17.878201540012366</v>
      </c>
      <c r="CD23" s="505">
        <v>17.878201540012366</v>
      </c>
      <c r="CE23" s="505">
        <f>SUM(BX23:CD23)</f>
        <v>125.14741078008657</v>
      </c>
      <c r="CF23" s="506">
        <f>BR23-CE23</f>
        <v>1878.4025892199134</v>
      </c>
      <c r="CG23" s="505">
        <v>17.878201540012366</v>
      </c>
      <c r="CH23" s="505">
        <v>17.878201540012366</v>
      </c>
      <c r="CI23" s="505">
        <v>17.878201540012366</v>
      </c>
      <c r="CJ23" s="505">
        <v>17.878201540012366</v>
      </c>
      <c r="CK23" s="505">
        <v>17.878201540012366</v>
      </c>
      <c r="CL23" s="505">
        <f t="shared" si="3"/>
        <v>89.391007700061834</v>
      </c>
      <c r="CM23" s="679">
        <f t="shared" si="4"/>
        <v>1789.0115815198515</v>
      </c>
      <c r="CN23" s="956">
        <v>132.28200000000001</v>
      </c>
      <c r="CO23" s="505">
        <v>118.051</v>
      </c>
      <c r="CP23" s="957">
        <f>CN23/CO23</f>
        <v>1.1205495929725289</v>
      </c>
      <c r="CQ23" s="511">
        <f>CM23/L23</f>
        <v>17.53932923058678</v>
      </c>
      <c r="CR23" s="511">
        <f>CQ23*CP23</f>
        <v>19.653688230345196</v>
      </c>
      <c r="CS23" s="511">
        <v>19.653688230345196</v>
      </c>
      <c r="CT23" s="511">
        <v>19.649999999999999</v>
      </c>
      <c r="CU23" s="511">
        <v>19.649999999999999</v>
      </c>
      <c r="CV23" s="511">
        <v>19.649999999999999</v>
      </c>
      <c r="CW23" s="511">
        <v>19.649999999999999</v>
      </c>
      <c r="CX23" s="511">
        <v>19.649999999999999</v>
      </c>
      <c r="CY23" s="511">
        <v>19.649999999999999</v>
      </c>
      <c r="CZ23" s="511">
        <v>19.649999999999999</v>
      </c>
      <c r="DA23" s="511">
        <v>19.649999999999999</v>
      </c>
      <c r="DB23" s="511">
        <v>19.649999999999999</v>
      </c>
      <c r="DC23" s="511">
        <v>19.649999999999999</v>
      </c>
      <c r="DD23" s="511">
        <v>19.649999999999999</v>
      </c>
      <c r="DE23" s="511">
        <v>19.649999999999999</v>
      </c>
      <c r="DF23" s="511">
        <v>19.649999999999999</v>
      </c>
      <c r="DG23" s="511">
        <v>19.649999999999999</v>
      </c>
      <c r="DH23" s="511">
        <v>19.649999999999999</v>
      </c>
      <c r="DI23" s="511">
        <v>19.649999999999999</v>
      </c>
      <c r="DJ23" s="511">
        <v>19.649999999999999</v>
      </c>
      <c r="DK23" s="511">
        <f t="shared" si="1"/>
        <v>353.70368823034516</v>
      </c>
      <c r="DL23" s="756">
        <f>CM23-DK23</f>
        <v>1435.3078932895064</v>
      </c>
    </row>
    <row r="24" spans="1:116" s="16" customFormat="1" ht="15" x14ac:dyDescent="0.2">
      <c r="A24" s="368" t="s">
        <v>1063</v>
      </c>
      <c r="B24" s="347"/>
      <c r="C24" s="45"/>
      <c r="D24" s="8"/>
      <c r="E24" s="130"/>
      <c r="F24" s="46"/>
      <c r="G24" s="125"/>
      <c r="H24" s="145"/>
      <c r="I24" s="165"/>
      <c r="J24" s="48"/>
      <c r="K24" s="165"/>
      <c r="L24" s="48"/>
      <c r="M24" s="165"/>
      <c r="N24" s="48"/>
      <c r="O24" s="165"/>
      <c r="P24" s="48"/>
      <c r="Q24" s="48"/>
      <c r="R24" s="125"/>
      <c r="S24" s="119"/>
      <c r="T24" s="619"/>
      <c r="U24" s="619"/>
      <c r="V24" s="620"/>
      <c r="W24" s="621"/>
      <c r="X24" s="621"/>
      <c r="Y24" s="688"/>
      <c r="Z24" s="621"/>
      <c r="AA24" s="511"/>
      <c r="AB24" s="511"/>
      <c r="AC24" s="511"/>
      <c r="AD24" s="511"/>
      <c r="AE24" s="511"/>
      <c r="AF24" s="511"/>
      <c r="AG24" s="511"/>
      <c r="AH24" s="511"/>
      <c r="AI24" s="511"/>
      <c r="AJ24" s="511"/>
      <c r="AK24" s="511"/>
      <c r="AL24" s="511"/>
      <c r="AM24" s="511"/>
      <c r="AN24" s="511"/>
      <c r="AO24" s="511"/>
      <c r="AP24" s="695"/>
      <c r="AQ24" s="511"/>
      <c r="AR24" s="511"/>
      <c r="AS24" s="511">
        <f t="shared" si="2"/>
        <v>0</v>
      </c>
      <c r="AT24" s="511">
        <f t="shared" si="2"/>
        <v>0</v>
      </c>
      <c r="AU24" s="511">
        <f t="shared" si="2"/>
        <v>0</v>
      </c>
      <c r="AV24" s="511">
        <f t="shared" si="2"/>
        <v>0</v>
      </c>
      <c r="AW24" s="511">
        <f t="shared" si="2"/>
        <v>0</v>
      </c>
      <c r="AX24" s="621"/>
      <c r="AY24" s="688"/>
      <c r="AZ24" s="656"/>
      <c r="BA24" s="511"/>
      <c r="BB24" s="511"/>
      <c r="BC24" s="511"/>
      <c r="BD24" s="511"/>
      <c r="BE24" s="511"/>
      <c r="BF24" s="511"/>
      <c r="BG24" s="511"/>
      <c r="BH24" s="511"/>
      <c r="BI24" s="511"/>
      <c r="BJ24" s="511"/>
      <c r="BK24" s="657"/>
      <c r="BL24" s="516"/>
      <c r="BM24" s="516"/>
      <c r="BN24" s="516"/>
      <c r="BO24" s="516"/>
      <c r="BP24" s="516"/>
      <c r="BQ24" s="516"/>
      <c r="BR24" s="505"/>
      <c r="BS24" s="674"/>
      <c r="BT24" s="999"/>
      <c r="BU24" s="998"/>
      <c r="BV24" s="505"/>
      <c r="BW24" s="505"/>
      <c r="BX24" s="505"/>
      <c r="BY24" s="505"/>
      <c r="BZ24" s="505"/>
      <c r="CA24" s="505"/>
      <c r="CB24" s="505"/>
      <c r="CC24" s="505"/>
      <c r="CD24" s="505"/>
      <c r="CE24" s="505"/>
      <c r="CF24" s="506"/>
      <c r="CG24" s="505"/>
      <c r="CH24" s="505"/>
      <c r="CI24" s="505"/>
      <c r="CJ24" s="505"/>
      <c r="CK24" s="505"/>
      <c r="CL24" s="505"/>
      <c r="CM24" s="679"/>
      <c r="CN24" s="956"/>
      <c r="CO24" s="999"/>
      <c r="CP24" s="957"/>
      <c r="CQ24" s="511"/>
      <c r="CR24" s="511"/>
      <c r="CS24" s="511"/>
      <c r="CT24" s="511"/>
      <c r="CU24" s="511"/>
      <c r="CV24" s="511"/>
      <c r="CW24" s="511"/>
      <c r="CX24" s="511"/>
      <c r="CY24" s="511"/>
      <c r="CZ24" s="511"/>
      <c r="DA24" s="511"/>
      <c r="DB24" s="511"/>
      <c r="DC24" s="511"/>
      <c r="DD24" s="511"/>
      <c r="DE24" s="511"/>
      <c r="DF24" s="511"/>
      <c r="DG24" s="511"/>
      <c r="DH24" s="511"/>
      <c r="DI24" s="511"/>
      <c r="DJ24" s="511"/>
      <c r="DK24" s="511">
        <f t="shared" si="1"/>
        <v>0</v>
      </c>
      <c r="DL24" s="756"/>
    </row>
    <row r="25" spans="1:116" s="16" customFormat="1" ht="15" x14ac:dyDescent="0.2">
      <c r="A25" s="100" t="s">
        <v>1066</v>
      </c>
      <c r="B25" s="100" t="s">
        <v>1067</v>
      </c>
      <c r="C25" s="45" t="s">
        <v>659</v>
      </c>
      <c r="D25" s="58">
        <v>10</v>
      </c>
      <c r="E25" s="53">
        <v>0.1</v>
      </c>
      <c r="F25" s="46">
        <v>43281</v>
      </c>
      <c r="G25" s="48">
        <v>120</v>
      </c>
      <c r="H25" s="145">
        <f>100/G25</f>
        <v>0.83333333333333337</v>
      </c>
      <c r="I25" s="165">
        <v>0</v>
      </c>
      <c r="J25" s="48">
        <f>(YEAR(F25)-YEAR(S25))*12+MONTH(F25)-MONTH(S25)</f>
        <v>18</v>
      </c>
      <c r="K25" s="165">
        <f>L25*H25</f>
        <v>85</v>
      </c>
      <c r="L25" s="48">
        <f>G25-J25</f>
        <v>102</v>
      </c>
      <c r="M25" s="165">
        <f>N25*H25</f>
        <v>0</v>
      </c>
      <c r="N25" s="48">
        <v>0</v>
      </c>
      <c r="O25" s="165">
        <f>P25*H25</f>
        <v>85</v>
      </c>
      <c r="P25" s="48">
        <f>L25-N25</f>
        <v>102</v>
      </c>
      <c r="Q25" s="46">
        <f>DATE(YEAR(S25),MONTH(S25)+G25,DAY(S25))</f>
        <v>46386</v>
      </c>
      <c r="R25" s="48" t="s">
        <v>1056</v>
      </c>
      <c r="S25" s="46">
        <v>42734</v>
      </c>
      <c r="T25" s="692">
        <v>1972</v>
      </c>
      <c r="U25" s="656"/>
      <c r="V25" s="511"/>
      <c r="W25" s="511"/>
      <c r="X25" s="656"/>
      <c r="Y25" s="511"/>
      <c r="Z25" s="656"/>
      <c r="AA25" s="511"/>
      <c r="AB25" s="511">
        <f>U25*N25/100/L25*100/7</f>
        <v>0</v>
      </c>
      <c r="AC25" s="511"/>
      <c r="AD25" s="511"/>
      <c r="AE25" s="511"/>
      <c r="AF25" s="511"/>
      <c r="AG25" s="511"/>
      <c r="AH25" s="511"/>
      <c r="AI25" s="511"/>
      <c r="AJ25" s="511"/>
      <c r="AK25" s="695"/>
      <c r="AL25" s="695"/>
      <c r="AM25" s="695"/>
      <c r="AN25" s="695"/>
      <c r="AO25" s="695"/>
      <c r="AP25" s="695">
        <f>T25-AO25</f>
        <v>1972</v>
      </c>
      <c r="AQ25" s="511"/>
      <c r="AR25" s="511"/>
      <c r="AS25" s="511">
        <f t="shared" si="2"/>
        <v>0</v>
      </c>
      <c r="AT25" s="511">
        <f t="shared" si="2"/>
        <v>0</v>
      </c>
      <c r="AU25" s="511">
        <f t="shared" si="2"/>
        <v>0</v>
      </c>
      <c r="AV25" s="511">
        <f t="shared" si="2"/>
        <v>0</v>
      </c>
      <c r="AW25" s="511">
        <f t="shared" si="2"/>
        <v>0</v>
      </c>
      <c r="AX25" s="656">
        <v>118.901</v>
      </c>
      <c r="AY25" s="511">
        <v>122.515</v>
      </c>
      <c r="AZ25" s="656">
        <f>AX25/AY25</f>
        <v>0.97050157123617509</v>
      </c>
      <c r="BA25" s="511">
        <f>T25/(D25*12)</f>
        <v>16.433333333333334</v>
      </c>
      <c r="BB25" s="511">
        <f>BA25*AZ25</f>
        <v>15.948575820647811</v>
      </c>
      <c r="BC25" s="511"/>
      <c r="BD25" s="511"/>
      <c r="BE25" s="511"/>
      <c r="BF25" s="511"/>
      <c r="BG25" s="511"/>
      <c r="BH25" s="511"/>
      <c r="BI25" s="511"/>
      <c r="BJ25" s="511">
        <f>SUM((AS25:AW25),(BC25:BI25))</f>
        <v>0</v>
      </c>
      <c r="BK25" s="657">
        <f>(AP25-BJ25)</f>
        <v>1972</v>
      </c>
      <c r="BL25" s="516">
        <v>15.95</v>
      </c>
      <c r="BM25" s="516">
        <v>15.95</v>
      </c>
      <c r="BN25" s="516">
        <v>15.95</v>
      </c>
      <c r="BO25" s="516">
        <v>15.95</v>
      </c>
      <c r="BP25" s="516">
        <v>15.95</v>
      </c>
      <c r="BQ25" s="516">
        <f>SUM(BL25:BP25)</f>
        <v>79.75</v>
      </c>
      <c r="BR25" s="505">
        <f>BK25-BQ25</f>
        <v>1892.25</v>
      </c>
      <c r="BS25" s="998">
        <v>126.408</v>
      </c>
      <c r="BT25" s="505">
        <v>118.051</v>
      </c>
      <c r="BU25" s="998">
        <f>BS25/BT25</f>
        <v>1.0707914375990037</v>
      </c>
      <c r="BV25" s="505">
        <f>BR25/L25</f>
        <v>18.551470588235293</v>
      </c>
      <c r="BW25" s="505">
        <f>BV25*BU25</f>
        <v>19.864755860752105</v>
      </c>
      <c r="BX25" s="505">
        <v>16.885042481639292</v>
      </c>
      <c r="BY25" s="505">
        <v>16.885042481639292</v>
      </c>
      <c r="BZ25" s="505">
        <v>16.885042481639292</v>
      </c>
      <c r="CA25" s="505">
        <v>16.885042481639292</v>
      </c>
      <c r="CB25" s="505">
        <v>16.885042481639292</v>
      </c>
      <c r="CC25" s="505">
        <v>16.885042481639292</v>
      </c>
      <c r="CD25" s="505">
        <v>16.885042481639292</v>
      </c>
      <c r="CE25" s="505">
        <f>SUM(BX25:CD25)</f>
        <v>118.19529737147504</v>
      </c>
      <c r="CF25" s="506">
        <f>BR25-CE25</f>
        <v>1774.0547026285249</v>
      </c>
      <c r="CG25" s="505">
        <v>16.885042481639292</v>
      </c>
      <c r="CH25" s="505">
        <v>16.885042481639292</v>
      </c>
      <c r="CI25" s="505">
        <v>16.885042481639292</v>
      </c>
      <c r="CJ25" s="505">
        <v>16.885042481639292</v>
      </c>
      <c r="CK25" s="505">
        <v>16.885042481639292</v>
      </c>
      <c r="CL25" s="505">
        <f t="shared" si="3"/>
        <v>84.425212408196458</v>
      </c>
      <c r="CM25" s="679">
        <f t="shared" si="4"/>
        <v>1689.6294902203283</v>
      </c>
      <c r="CN25" s="956">
        <v>132.28200000000001</v>
      </c>
      <c r="CO25" s="505">
        <v>118.051</v>
      </c>
      <c r="CP25" s="957">
        <f>CN25/CO25</f>
        <v>1.1205495929725289</v>
      </c>
      <c r="CQ25" s="511">
        <f>CM25/L25</f>
        <v>16.564995002160082</v>
      </c>
      <c r="CR25" s="511">
        <f>CQ25*CP25</f>
        <v>18.561898407262454</v>
      </c>
      <c r="CS25" s="511">
        <v>18.561898407262454</v>
      </c>
      <c r="CT25" s="511">
        <v>18.559999999999999</v>
      </c>
      <c r="CU25" s="511">
        <v>18.559999999999999</v>
      </c>
      <c r="CV25" s="511">
        <v>18.559999999999999</v>
      </c>
      <c r="CW25" s="511">
        <v>18.559999999999999</v>
      </c>
      <c r="CX25" s="511">
        <v>18.559999999999999</v>
      </c>
      <c r="CY25" s="511">
        <v>18.559999999999999</v>
      </c>
      <c r="CZ25" s="511">
        <v>18.559999999999999</v>
      </c>
      <c r="DA25" s="511">
        <v>18.559999999999999</v>
      </c>
      <c r="DB25" s="511">
        <v>18.559999999999999</v>
      </c>
      <c r="DC25" s="511">
        <v>18.559999999999999</v>
      </c>
      <c r="DD25" s="511">
        <v>18.559999999999999</v>
      </c>
      <c r="DE25" s="511">
        <v>18.559999999999999</v>
      </c>
      <c r="DF25" s="511">
        <v>18.559999999999999</v>
      </c>
      <c r="DG25" s="511">
        <v>18.559999999999999</v>
      </c>
      <c r="DH25" s="511">
        <v>18.559999999999999</v>
      </c>
      <c r="DI25" s="511">
        <v>18.559999999999999</v>
      </c>
      <c r="DJ25" s="511">
        <v>18.559999999999999</v>
      </c>
      <c r="DK25" s="511">
        <f t="shared" si="1"/>
        <v>334.08189840726249</v>
      </c>
      <c r="DL25" s="756">
        <f>CM25-DK25</f>
        <v>1355.5475918130658</v>
      </c>
    </row>
    <row r="26" spans="1:116" ht="15" x14ac:dyDescent="0.2">
      <c r="R26" s="175"/>
      <c r="V26" s="627"/>
      <c r="W26" s="12"/>
      <c r="X26" s="12"/>
      <c r="Y26" s="85"/>
      <c r="Z26" s="12"/>
      <c r="AA26" s="12"/>
      <c r="AB26" s="400"/>
      <c r="AC26" s="12"/>
      <c r="AD26" s="12"/>
      <c r="AE26" s="12"/>
      <c r="AF26" s="12"/>
      <c r="AG26" s="12"/>
      <c r="AH26" s="400"/>
      <c r="AI26" s="400"/>
      <c r="AJ26" s="400"/>
      <c r="AK26" s="400"/>
      <c r="AL26" s="400"/>
      <c r="AM26" s="400"/>
      <c r="AN26" s="696"/>
      <c r="AO26" s="400"/>
      <c r="AP26" s="400"/>
      <c r="AQ26" s="12"/>
      <c r="AR26" s="12"/>
      <c r="AS26" s="400"/>
      <c r="AT26" s="400"/>
      <c r="AU26" s="400"/>
      <c r="AV26" s="400"/>
      <c r="AW26" s="400"/>
      <c r="AX26" s="12"/>
      <c r="AY26" s="85"/>
      <c r="AZ26" s="12"/>
      <c r="BA26" s="12"/>
      <c r="BB26" s="400"/>
      <c r="BC26" s="400"/>
      <c r="BD26" s="400"/>
      <c r="BE26" s="400"/>
      <c r="BF26" s="400"/>
      <c r="BG26" s="400"/>
      <c r="BH26" s="400"/>
      <c r="BI26" s="400"/>
      <c r="BJ26" s="697"/>
      <c r="BK26" s="698"/>
      <c r="BL26" s="524"/>
      <c r="BM26" s="524"/>
      <c r="BN26" s="524"/>
      <c r="BO26" s="524"/>
      <c r="BP26" s="524"/>
      <c r="BQ26" s="524"/>
      <c r="BR26" s="290"/>
      <c r="BS26" s="685"/>
      <c r="BT26" s="686"/>
      <c r="BU26" s="685"/>
      <c r="BV26" s="685"/>
      <c r="BW26" s="290"/>
      <c r="BX26" s="290"/>
      <c r="BY26" s="290"/>
      <c r="BZ26" s="290"/>
      <c r="CA26" s="290"/>
      <c r="CB26" s="290"/>
      <c r="CC26" s="290"/>
      <c r="CD26" s="290"/>
      <c r="CE26" s="997"/>
      <c r="CF26" s="996"/>
      <c r="CG26" s="505"/>
      <c r="CH26" s="505"/>
      <c r="CI26" s="516"/>
      <c r="CJ26" s="516"/>
      <c r="CK26" s="516"/>
      <c r="CL26" s="505"/>
      <c r="CM26" s="505"/>
      <c r="CN26" s="956"/>
      <c r="CO26" s="957"/>
      <c r="CP26" s="957"/>
      <c r="CQ26" s="511"/>
      <c r="CR26" s="511"/>
      <c r="CS26" s="511"/>
      <c r="CT26" s="511"/>
      <c r="CU26" s="511"/>
      <c r="CV26" s="511"/>
      <c r="CW26" s="511"/>
      <c r="CX26" s="511"/>
      <c r="CY26" s="511"/>
      <c r="CZ26" s="511"/>
      <c r="DA26" s="511"/>
      <c r="DB26" s="511"/>
      <c r="DC26" s="511"/>
      <c r="DD26" s="511"/>
      <c r="DE26" s="511"/>
      <c r="DF26" s="511"/>
      <c r="DG26" s="511"/>
      <c r="DH26" s="511"/>
      <c r="DI26" s="511"/>
      <c r="DJ26" s="511"/>
      <c r="DK26" s="511"/>
      <c r="DL26" s="756"/>
    </row>
    <row r="27" spans="1:116" s="104" customFormat="1" ht="15" x14ac:dyDescent="0.2">
      <c r="A27" s="110" t="s">
        <v>315</v>
      </c>
      <c r="B27" s="87"/>
      <c r="C27" s="87"/>
      <c r="D27" s="88"/>
      <c r="E27" s="88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9"/>
      <c r="S27" s="89"/>
      <c r="T27" s="90"/>
      <c r="U27" s="90"/>
      <c r="V27" s="627"/>
      <c r="W27" s="12"/>
      <c r="X27" s="12"/>
      <c r="Y27" s="85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699"/>
      <c r="AQ27" s="627"/>
      <c r="AR27" s="627"/>
      <c r="AS27" s="627"/>
      <c r="AT27" s="627"/>
      <c r="AU27" s="627"/>
      <c r="AV27" s="627"/>
      <c r="AW27" s="627"/>
      <c r="AX27" s="12"/>
      <c r="AY27" s="85"/>
      <c r="AZ27" s="12"/>
      <c r="BA27" s="12"/>
      <c r="BB27" s="12"/>
      <c r="BC27" s="627"/>
      <c r="BD27" s="627"/>
      <c r="BE27" s="627"/>
      <c r="BF27" s="627"/>
      <c r="BG27" s="627"/>
      <c r="BH27" s="627"/>
      <c r="BI27" s="627"/>
      <c r="BJ27" s="627"/>
      <c r="BK27" s="627">
        <f>BK26-BL26</f>
        <v>0</v>
      </c>
      <c r="BL27" s="522"/>
      <c r="BM27" s="522"/>
      <c r="BN27" s="522"/>
      <c r="BO27" s="522"/>
      <c r="BP27" s="522"/>
      <c r="BQ27" s="522"/>
      <c r="BR27" s="684"/>
      <c r="BS27" s="685"/>
      <c r="BT27" s="686"/>
      <c r="BU27" s="685"/>
      <c r="BV27" s="685"/>
      <c r="BW27" s="685"/>
      <c r="BX27" s="684"/>
      <c r="BY27" s="684"/>
      <c r="BZ27" s="684"/>
      <c r="CA27" s="684"/>
      <c r="CB27" s="684"/>
      <c r="CC27" s="684"/>
      <c r="CD27" s="684"/>
      <c r="CE27" s="684"/>
      <c r="CF27" s="684"/>
      <c r="CG27" s="684"/>
      <c r="CH27" s="684"/>
      <c r="CI27" s="684"/>
      <c r="CJ27" s="684"/>
      <c r="CK27" s="684"/>
      <c r="CL27" s="684"/>
      <c r="CM27" s="684">
        <f>SUM(CM14:CM26)</f>
        <v>11147.999056027447</v>
      </c>
      <c r="CS27" s="104">
        <f t="shared" ref="CS27:CX27" si="5">SUM(CS14:CS26)</f>
        <v>494.33394913530771</v>
      </c>
      <c r="CT27" s="104">
        <f t="shared" si="5"/>
        <v>494.32</v>
      </c>
      <c r="CU27" s="104">
        <f t="shared" si="5"/>
        <v>494.32</v>
      </c>
      <c r="CV27" s="104">
        <f t="shared" si="5"/>
        <v>494.32</v>
      </c>
      <c r="CW27" s="104">
        <f t="shared" si="5"/>
        <v>494.32</v>
      </c>
      <c r="CX27" s="104">
        <f t="shared" si="5"/>
        <v>160.29000000000002</v>
      </c>
      <c r="CY27" s="522">
        <f t="shared" ref="CY27:DJ27" si="6">SUM(CY14:CY26)</f>
        <v>160.29000000000002</v>
      </c>
      <c r="CZ27" s="522">
        <f t="shared" si="6"/>
        <v>74.930000000000007</v>
      </c>
      <c r="DA27" s="522">
        <f t="shared" si="6"/>
        <v>117.61000000000001</v>
      </c>
      <c r="DB27" s="522">
        <f t="shared" si="6"/>
        <v>117.61000000000001</v>
      </c>
      <c r="DC27" s="522">
        <f t="shared" si="6"/>
        <v>117.61000000000001</v>
      </c>
      <c r="DD27" s="522">
        <f t="shared" ref="DD27:DI27" si="7">SUM(DD14:DD26)</f>
        <v>117.61000000000001</v>
      </c>
      <c r="DE27" s="522">
        <f t="shared" si="7"/>
        <v>110.37</v>
      </c>
      <c r="DF27" s="522">
        <f t="shared" si="7"/>
        <v>99.67</v>
      </c>
      <c r="DG27" s="522">
        <f t="shared" si="7"/>
        <v>99.67</v>
      </c>
      <c r="DH27" s="522">
        <f t="shared" si="7"/>
        <v>99.67</v>
      </c>
      <c r="DI27" s="522">
        <f t="shared" si="7"/>
        <v>99.67</v>
      </c>
      <c r="DJ27" s="522">
        <f t="shared" si="6"/>
        <v>99.67</v>
      </c>
      <c r="DK27" s="104">
        <f>SUM(DK13:DK26)</f>
        <v>3946.2839491353084</v>
      </c>
      <c r="DL27" s="104">
        <f>SUM(DL13:DL26)</f>
        <v>7201.7151068921385</v>
      </c>
    </row>
    <row r="28" spans="1:116" s="104" customFormat="1" ht="14.25" x14ac:dyDescent="0.2">
      <c r="A28" s="349"/>
      <c r="B28"/>
      <c r="C28"/>
      <c r="D28" s="18"/>
      <c r="E28" s="18"/>
      <c r="F28"/>
      <c r="G28"/>
      <c r="H28"/>
      <c r="I28"/>
      <c r="J28"/>
      <c r="K28"/>
      <c r="L28"/>
      <c r="M28"/>
      <c r="N28"/>
      <c r="O28"/>
      <c r="P28"/>
      <c r="Q28"/>
      <c r="R28" s="19"/>
      <c r="S28" s="19"/>
      <c r="T28" s="12"/>
      <c r="U28" s="12"/>
      <c r="W28"/>
      <c r="X28"/>
      <c r="Y28" s="77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 s="69"/>
      <c r="AX28"/>
      <c r="AY28" s="77"/>
      <c r="AZ28"/>
      <c r="BA28"/>
      <c r="BB28"/>
      <c r="BS28"/>
      <c r="BT28" s="77"/>
      <c r="BU28"/>
      <c r="BV28"/>
      <c r="BW28"/>
      <c r="CF28" s="545">
        <f>BR26-CE26</f>
        <v>0</v>
      </c>
      <c r="DL28" s="104">
        <f>CM27-DK27</f>
        <v>7201.7151068921394</v>
      </c>
    </row>
    <row r="29" spans="1:116" ht="30.75" hidden="1" customHeight="1" x14ac:dyDescent="0.2">
      <c r="A29" s="1271" t="s">
        <v>462</v>
      </c>
      <c r="B29" s="1271"/>
      <c r="C29" s="1271"/>
      <c r="D29" s="1271"/>
      <c r="E29" s="1271"/>
      <c r="F29" s="1271"/>
      <c r="G29" s="1271"/>
      <c r="H29" s="1271"/>
      <c r="I29" s="1271"/>
      <c r="J29" s="1271"/>
      <c r="K29" s="1271"/>
      <c r="L29" s="1271"/>
      <c r="M29" s="1271"/>
      <c r="N29" s="1271"/>
      <c r="O29" s="1271"/>
      <c r="P29" s="1271"/>
      <c r="Q29" s="1271"/>
      <c r="R29" s="1271"/>
      <c r="S29" s="1271"/>
      <c r="T29" s="1271"/>
      <c r="U29" s="1271"/>
      <c r="V29" s="1271"/>
      <c r="W29" s="1271"/>
      <c r="X29" s="1271"/>
      <c r="Y29" s="171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Y29" s="171"/>
      <c r="AZ29" s="170"/>
      <c r="BA29" s="170"/>
      <c r="BB29" s="170"/>
      <c r="BT29" s="171"/>
      <c r="BU29" s="170"/>
      <c r="BV29" s="170"/>
      <c r="BW29" s="170"/>
    </row>
    <row r="30" spans="1:116" hidden="1" x14ac:dyDescent="0.2">
      <c r="A30" s="1271"/>
      <c r="B30" s="1271"/>
      <c r="C30" s="1271"/>
      <c r="D30" s="1271"/>
      <c r="E30" s="1271"/>
      <c r="F30" s="1271"/>
      <c r="G30" s="1271"/>
      <c r="H30" s="1271"/>
      <c r="I30" s="1271"/>
      <c r="J30" s="1271"/>
      <c r="K30" s="1271"/>
      <c r="L30" s="1271"/>
      <c r="M30" s="1271"/>
      <c r="N30" s="1271"/>
      <c r="O30" s="1271"/>
      <c r="P30" s="1271"/>
      <c r="Q30" s="1271"/>
      <c r="R30" s="1271"/>
      <c r="S30" s="1271"/>
      <c r="T30" s="1271"/>
      <c r="U30" s="1271"/>
      <c r="V30" s="1271"/>
      <c r="W30" s="1271"/>
      <c r="X30" s="1271"/>
    </row>
    <row r="31" spans="1:116" x14ac:dyDescent="0.2">
      <c r="AA31" s="12"/>
      <c r="AO31" s="104"/>
      <c r="BA31" s="12"/>
      <c r="BV31" s="12"/>
      <c r="CF31" s="289"/>
    </row>
  </sheetData>
  <mergeCells count="40">
    <mergeCell ref="A29:X30"/>
    <mergeCell ref="R11:R12"/>
    <mergeCell ref="S11:S12"/>
    <mergeCell ref="T11:T12"/>
    <mergeCell ref="U11:U12"/>
    <mergeCell ref="V11:V12"/>
    <mergeCell ref="W11:W12"/>
    <mergeCell ref="J11:J12"/>
    <mergeCell ref="K11:K12"/>
    <mergeCell ref="L11:L12"/>
    <mergeCell ref="M11:M12"/>
    <mergeCell ref="O11:O12"/>
    <mergeCell ref="Q11:Q12"/>
    <mergeCell ref="A11:A12"/>
    <mergeCell ref="B11:B12"/>
    <mergeCell ref="BS10:BU10"/>
    <mergeCell ref="D10:P10"/>
    <mergeCell ref="R10:T10"/>
    <mergeCell ref="H11:H12"/>
    <mergeCell ref="I11:I12"/>
    <mergeCell ref="AA11:AA12"/>
    <mergeCell ref="U10:BA10"/>
    <mergeCell ref="BA11:BA12"/>
    <mergeCell ref="E11:E12"/>
    <mergeCell ref="F11:F12"/>
    <mergeCell ref="G11:G12"/>
    <mergeCell ref="AQ11:AQ12"/>
    <mergeCell ref="AR11:AR12"/>
    <mergeCell ref="AB11:AB12"/>
    <mergeCell ref="BB11:BB12"/>
    <mergeCell ref="DL11:DL12"/>
    <mergeCell ref="BQ11:BQ12"/>
    <mergeCell ref="BR11:BR12"/>
    <mergeCell ref="BV11:BV12"/>
    <mergeCell ref="BW11:BW12"/>
    <mergeCell ref="CL11:CL12"/>
    <mergeCell ref="CM11:CM12"/>
    <mergeCell ref="CQ11:CQ12"/>
    <mergeCell ref="CR11:CR12"/>
    <mergeCell ref="DK11:DK12"/>
  </mergeCells>
  <printOptions horizontalCentered="1"/>
  <pageMargins left="0.19685039370078741" right="0.19685039370078741" top="0.39370078740157483" bottom="0.39370078740157483" header="0" footer="0"/>
  <pageSetup scale="50" orientation="landscape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DM29"/>
  <sheetViews>
    <sheetView topLeftCell="C4" zoomScaleNormal="100" workbookViewId="0">
      <selection activeCell="DK26" sqref="DK26"/>
    </sheetView>
  </sheetViews>
  <sheetFormatPr baseColWidth="10" defaultRowHeight="12.75" x14ac:dyDescent="0.2"/>
  <cols>
    <col min="1" max="1" width="19.42578125" customWidth="1"/>
    <col min="2" max="2" width="19.85546875" customWidth="1"/>
    <col min="3" max="3" width="14.42578125" customWidth="1"/>
    <col min="4" max="4" width="5.5703125" style="18" customWidth="1"/>
    <col min="5" max="5" width="7.42578125" style="18" customWidth="1"/>
    <col min="6" max="6" width="9.7109375" customWidth="1"/>
    <col min="7" max="7" width="5.85546875" customWidth="1"/>
    <col min="8" max="9" width="8.5703125" hidden="1" customWidth="1"/>
    <col min="10" max="10" width="7.5703125" hidden="1" customWidth="1"/>
    <col min="11" max="11" width="8.5703125" hidden="1" customWidth="1"/>
    <col min="12" max="12" width="6.85546875" hidden="1" customWidth="1"/>
    <col min="13" max="13" width="11.28515625" hidden="1" customWidth="1"/>
    <col min="14" max="14" width="12.5703125" hidden="1" customWidth="1"/>
    <col min="15" max="15" width="8.42578125" hidden="1" customWidth="1"/>
    <col min="16" max="16" width="9.5703125" customWidth="1"/>
    <col min="17" max="17" width="11" customWidth="1"/>
    <col min="18" max="18" width="11.5703125" style="19" customWidth="1"/>
    <col min="19" max="19" width="9.5703125" style="19" customWidth="1"/>
    <col min="20" max="20" width="10.140625" style="12" bestFit="1" customWidth="1"/>
    <col min="21" max="24" width="8.42578125" style="12" hidden="1" customWidth="1"/>
    <col min="25" max="25" width="9.140625" style="104" hidden="1" customWidth="1"/>
    <col min="26" max="27" width="8.7109375" hidden="1" customWidth="1"/>
    <col min="28" max="28" width="8.7109375" style="77" hidden="1" customWidth="1"/>
    <col min="29" max="29" width="7.42578125" hidden="1" customWidth="1"/>
    <col min="30" max="31" width="10.42578125" hidden="1" customWidth="1"/>
    <col min="32" max="36" width="7.7109375" hidden="1" customWidth="1"/>
    <col min="37" max="37" width="11.28515625" hidden="1" customWidth="1"/>
    <col min="38" max="39" width="7.7109375" hidden="1" customWidth="1"/>
    <col min="40" max="40" width="9" hidden="1" customWidth="1"/>
    <col min="41" max="43" width="7.7109375" hidden="1" customWidth="1"/>
    <col min="44" max="44" width="9.28515625" hidden="1" customWidth="1"/>
    <col min="45" max="45" width="10" style="69" hidden="1" customWidth="1"/>
    <col min="46" max="46" width="7.85546875" hidden="1" customWidth="1"/>
    <col min="47" max="47" width="6.85546875" hidden="1" customWidth="1"/>
    <col min="48" max="48" width="9.28515625" hidden="1" customWidth="1"/>
    <col min="49" max="49" width="10.140625" hidden="1" customWidth="1"/>
    <col min="50" max="50" width="10.28515625" hidden="1" customWidth="1"/>
    <col min="51" max="51" width="10" hidden="1" customWidth="1"/>
    <col min="52" max="52" width="10.28515625" hidden="1" customWidth="1"/>
    <col min="53" max="53" width="10.85546875" hidden="1" customWidth="1"/>
    <col min="54" max="54" width="10.85546875" style="77" hidden="1" customWidth="1"/>
    <col min="55" max="55" width="8.28515625" hidden="1" customWidth="1"/>
    <col min="56" max="56" width="7" hidden="1" customWidth="1"/>
    <col min="57" max="57" width="8.42578125" hidden="1" customWidth="1"/>
    <col min="58" max="63" width="9" hidden="1" customWidth="1"/>
    <col min="64" max="64" width="8.7109375" hidden="1" customWidth="1"/>
    <col min="65" max="65" width="9.7109375" hidden="1" customWidth="1"/>
    <col min="66" max="66" width="10.85546875" hidden="1" customWidth="1"/>
    <col min="67" max="71" width="9" hidden="1" customWidth="1"/>
    <col min="72" max="72" width="10.85546875" hidden="1" customWidth="1"/>
    <col min="73" max="73" width="10.85546875" style="77" hidden="1" customWidth="1"/>
    <col min="74" max="74" width="8.28515625" hidden="1" customWidth="1"/>
    <col min="75" max="75" width="8.7109375" hidden="1" customWidth="1"/>
    <col min="76" max="76" width="8.42578125" hidden="1" customWidth="1"/>
    <col min="77" max="83" width="9" hidden="1" customWidth="1"/>
    <col min="84" max="84" width="10.7109375" hidden="1" customWidth="1"/>
    <col min="85" max="85" width="9.85546875" hidden="1" customWidth="1"/>
    <col min="86" max="91" width="11.42578125" hidden="1" customWidth="1"/>
    <col min="93" max="97" width="11.42578125" customWidth="1"/>
    <col min="98" max="114" width="11.42578125" hidden="1" customWidth="1"/>
    <col min="115" max="117" width="11.42578125" customWidth="1"/>
  </cols>
  <sheetData>
    <row r="1" spans="1:117" x14ac:dyDescent="0.2">
      <c r="A1" s="637"/>
      <c r="B1" s="638" t="s">
        <v>27</v>
      </c>
      <c r="C1" s="637"/>
      <c r="D1" s="639"/>
      <c r="E1" s="639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40"/>
      <c r="S1" s="640"/>
      <c r="T1" s="637"/>
      <c r="U1" s="637"/>
      <c r="V1" s="637"/>
      <c r="W1" s="637"/>
      <c r="X1" s="637"/>
      <c r="Y1" s="661"/>
      <c r="Z1" s="662"/>
      <c r="AA1" s="662"/>
      <c r="AB1" s="663"/>
      <c r="AC1" s="662"/>
      <c r="AD1" s="662"/>
      <c r="AE1" s="662"/>
      <c r="AF1" s="662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62" t="s">
        <v>1072</v>
      </c>
      <c r="AR1" s="637"/>
      <c r="AS1" s="664"/>
      <c r="AT1" s="637"/>
      <c r="AU1" s="637"/>
      <c r="AV1" s="637"/>
      <c r="AW1" s="637"/>
      <c r="AX1" s="637"/>
      <c r="AY1" s="637"/>
      <c r="AZ1" s="637"/>
      <c r="BA1" s="662"/>
      <c r="BB1" s="663"/>
      <c r="BC1" s="662"/>
      <c r="BD1" s="662"/>
      <c r="BE1" s="662"/>
      <c r="BF1" s="637"/>
      <c r="BG1" s="637"/>
      <c r="BH1" s="637"/>
      <c r="BI1" s="637"/>
      <c r="BJ1" s="637"/>
      <c r="BK1" s="637"/>
      <c r="BL1" s="637"/>
      <c r="BM1" s="637"/>
      <c r="BN1" s="637"/>
      <c r="BO1" s="637"/>
      <c r="BP1" s="637"/>
      <c r="BQ1" s="637"/>
      <c r="BR1" s="637"/>
      <c r="BS1" s="637"/>
      <c r="BT1" s="662"/>
      <c r="BU1" s="663"/>
      <c r="BV1" s="662"/>
      <c r="BW1" s="662"/>
      <c r="BX1" s="662"/>
      <c r="BY1" s="637"/>
      <c r="BZ1" s="637"/>
      <c r="CA1" s="637"/>
      <c r="CB1" s="637"/>
      <c r="CC1" s="637"/>
      <c r="CD1" s="637"/>
      <c r="CE1" s="637"/>
      <c r="CF1" s="637"/>
      <c r="CG1" s="637"/>
    </row>
    <row r="2" spans="1:117" x14ac:dyDescent="0.2">
      <c r="A2" s="637"/>
      <c r="B2" s="638" t="s">
        <v>1273</v>
      </c>
      <c r="C2" s="637"/>
      <c r="D2" s="639"/>
      <c r="E2" s="639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40"/>
      <c r="S2" s="640"/>
      <c r="T2" s="637"/>
      <c r="U2" s="637"/>
      <c r="V2" s="637"/>
      <c r="W2" s="637"/>
      <c r="X2" s="637"/>
      <c r="Y2" s="661"/>
      <c r="Z2" s="662"/>
      <c r="AA2" s="662"/>
      <c r="AB2" s="663"/>
      <c r="AC2" s="662"/>
      <c r="AD2" s="662"/>
      <c r="AE2" s="662"/>
      <c r="AF2" s="662"/>
      <c r="AG2" s="637"/>
      <c r="AH2" s="637"/>
      <c r="AI2" s="637"/>
      <c r="AJ2" s="637"/>
      <c r="AK2" s="637"/>
      <c r="AL2" s="637"/>
      <c r="AM2" s="637"/>
      <c r="AN2" s="637"/>
      <c r="AO2" s="637"/>
      <c r="AP2" s="637"/>
      <c r="AQ2" s="637"/>
      <c r="AR2" s="637"/>
      <c r="AS2" s="664"/>
      <c r="AT2" s="637"/>
      <c r="AU2" s="637"/>
      <c r="AV2" s="637"/>
      <c r="AW2" s="637"/>
      <c r="AX2" s="637"/>
      <c r="AY2" s="637"/>
      <c r="AZ2" s="637"/>
      <c r="BA2" s="662"/>
      <c r="BB2" s="663"/>
      <c r="BC2" s="662"/>
      <c r="BD2" s="662"/>
      <c r="BE2" s="662"/>
      <c r="BF2" s="637"/>
      <c r="BG2" s="637"/>
      <c r="BH2" s="637"/>
      <c r="BI2" s="637"/>
      <c r="BJ2" s="637"/>
      <c r="BK2" s="637"/>
      <c r="BL2" s="637"/>
      <c r="BM2" s="637"/>
      <c r="BN2" s="637"/>
      <c r="BO2" s="637"/>
      <c r="BP2" s="637"/>
      <c r="BQ2" s="637"/>
      <c r="BR2" s="637"/>
      <c r="BS2" s="637"/>
      <c r="BT2" s="662"/>
      <c r="BU2" s="663"/>
      <c r="BV2" s="662"/>
      <c r="BW2" s="662"/>
      <c r="BX2" s="662"/>
      <c r="BY2" s="637"/>
      <c r="BZ2" s="637"/>
      <c r="CA2" s="637"/>
      <c r="CB2" s="637"/>
      <c r="CC2" s="637"/>
      <c r="CD2" s="637"/>
      <c r="CE2" s="637"/>
      <c r="CF2" s="637"/>
      <c r="CG2" s="637"/>
    </row>
    <row r="3" spans="1:117" x14ac:dyDescent="0.2">
      <c r="A3" s="637"/>
      <c r="B3" s="637"/>
      <c r="C3" s="638"/>
      <c r="D3" s="641"/>
      <c r="E3" s="639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38"/>
      <c r="S3" s="638"/>
      <c r="T3" s="642"/>
      <c r="U3" s="642"/>
      <c r="V3" s="642"/>
      <c r="W3" s="642"/>
      <c r="X3" s="642"/>
      <c r="Y3" s="665"/>
      <c r="Z3" s="662"/>
      <c r="AA3" s="662"/>
      <c r="AB3" s="663"/>
      <c r="AC3" s="662"/>
      <c r="AD3" s="662"/>
      <c r="AE3" s="662"/>
      <c r="AF3" s="662"/>
      <c r="AG3" s="637"/>
      <c r="AH3" s="637"/>
      <c r="AI3" s="637"/>
      <c r="AJ3" s="637"/>
      <c r="AK3" s="637"/>
      <c r="AL3" s="637"/>
      <c r="AM3" s="637"/>
      <c r="AN3" s="637"/>
      <c r="AO3" s="637"/>
      <c r="AP3" s="637"/>
      <c r="AQ3" s="637"/>
      <c r="AR3" s="637"/>
      <c r="AS3" s="664"/>
      <c r="AT3" s="637"/>
      <c r="AU3" s="637"/>
      <c r="AV3" s="637"/>
      <c r="AW3" s="637"/>
      <c r="AX3" s="637"/>
      <c r="AY3" s="637"/>
      <c r="AZ3" s="637"/>
      <c r="BA3" s="662"/>
      <c r="BB3" s="663"/>
      <c r="BC3" s="662"/>
      <c r="BD3" s="662"/>
      <c r="BE3" s="662"/>
      <c r="BF3" s="637"/>
      <c r="BG3" s="637"/>
      <c r="BH3" s="637"/>
      <c r="BI3" s="637"/>
      <c r="BJ3" s="637"/>
      <c r="BK3" s="637"/>
      <c r="BL3" s="637"/>
      <c r="BM3" s="637"/>
      <c r="BN3" s="637"/>
      <c r="BO3" s="637"/>
      <c r="BP3" s="637"/>
      <c r="BQ3" s="637"/>
      <c r="BR3" s="637"/>
      <c r="BS3" s="637"/>
      <c r="BT3" s="662"/>
      <c r="BU3" s="663"/>
      <c r="BV3" s="662"/>
      <c r="BW3" s="662"/>
      <c r="BX3" s="662"/>
      <c r="BY3" s="637"/>
      <c r="BZ3" s="637"/>
      <c r="CA3" s="637"/>
      <c r="CB3" s="637"/>
      <c r="CC3" s="637"/>
      <c r="CD3" s="637"/>
      <c r="CE3" s="637"/>
      <c r="CF3" s="637"/>
      <c r="CG3" s="637"/>
    </row>
    <row r="4" spans="1:117" x14ac:dyDescent="0.2">
      <c r="A4" s="637"/>
      <c r="B4" s="637" t="s">
        <v>309</v>
      </c>
      <c r="C4" s="638"/>
      <c r="D4" s="641"/>
      <c r="E4" s="639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38"/>
      <c r="S4" s="638"/>
      <c r="T4" s="642"/>
      <c r="U4" s="642"/>
      <c r="V4" s="642"/>
      <c r="W4" s="642"/>
      <c r="X4" s="642"/>
      <c r="Y4" s="665"/>
      <c r="Z4" s="662"/>
      <c r="AA4" s="662"/>
      <c r="AB4" s="663"/>
      <c r="AC4" s="662"/>
      <c r="AD4" s="662"/>
      <c r="AE4" s="662"/>
      <c r="AF4" s="662"/>
      <c r="AG4" s="637"/>
      <c r="AH4" s="637"/>
      <c r="AI4" s="637"/>
      <c r="AJ4" s="637"/>
      <c r="AK4" s="637"/>
      <c r="AL4" s="637"/>
      <c r="AM4" s="637"/>
      <c r="AN4" s="637"/>
      <c r="AO4" s="637"/>
      <c r="AP4" s="637"/>
      <c r="AQ4" s="637"/>
      <c r="AR4" s="637"/>
      <c r="AS4" s="664"/>
      <c r="AT4" s="637"/>
      <c r="AU4" s="637"/>
      <c r="AV4" s="637"/>
      <c r="AW4" s="637"/>
      <c r="AX4" s="637"/>
      <c r="AY4" s="637"/>
      <c r="AZ4" s="637"/>
      <c r="BA4" s="662"/>
      <c r="BB4" s="663"/>
      <c r="BC4" s="662"/>
      <c r="BD4" s="662"/>
      <c r="BE4" s="662"/>
      <c r="BF4" s="637"/>
      <c r="BG4" s="637"/>
      <c r="BH4" s="637"/>
      <c r="BI4" s="637"/>
      <c r="BJ4" s="637"/>
      <c r="BK4" s="637"/>
      <c r="BL4" s="637"/>
      <c r="BM4" s="637"/>
      <c r="BN4" s="637"/>
      <c r="BO4" s="637"/>
      <c r="BP4" s="637"/>
      <c r="BQ4" s="637"/>
      <c r="BR4" s="637"/>
      <c r="BS4" s="637"/>
      <c r="BT4" s="662"/>
      <c r="BU4" s="663"/>
      <c r="BV4" s="662"/>
      <c r="BW4" s="662"/>
      <c r="BX4" s="662"/>
      <c r="BY4" s="637"/>
      <c r="BZ4" s="637"/>
      <c r="CA4" s="637"/>
      <c r="CB4" s="637"/>
      <c r="CC4" s="637"/>
      <c r="CD4" s="637"/>
      <c r="CE4" s="637"/>
      <c r="CF4" s="637"/>
      <c r="CG4" s="637"/>
    </row>
    <row r="5" spans="1:117" x14ac:dyDescent="0.2">
      <c r="A5" s="637"/>
      <c r="B5" s="642" t="s">
        <v>659</v>
      </c>
      <c r="C5" s="637"/>
      <c r="D5" s="639"/>
      <c r="E5" s="639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40"/>
      <c r="S5" s="640"/>
      <c r="T5" s="637"/>
      <c r="U5" s="637"/>
      <c r="V5" s="637"/>
      <c r="W5" s="637"/>
      <c r="X5" s="637"/>
      <c r="Y5" s="661"/>
      <c r="Z5" s="662"/>
      <c r="AA5" s="662"/>
      <c r="AB5" s="663"/>
      <c r="AC5" s="662"/>
      <c r="AD5" s="662"/>
      <c r="AE5" s="662"/>
      <c r="AF5" s="662"/>
      <c r="AG5" s="637"/>
      <c r="AH5" s="637"/>
      <c r="AI5" s="637"/>
      <c r="AJ5" s="637"/>
      <c r="AK5" s="637"/>
      <c r="AL5" s="637"/>
      <c r="AM5" s="637"/>
      <c r="AN5" s="637"/>
      <c r="AO5" s="637"/>
      <c r="AP5" s="637"/>
      <c r="AQ5" s="637"/>
      <c r="AR5" s="637"/>
      <c r="AS5" s="664"/>
      <c r="AT5" s="637"/>
      <c r="AU5" s="637"/>
      <c r="AV5" s="637"/>
      <c r="AW5" s="637"/>
      <c r="AX5" s="637"/>
      <c r="AY5" s="637"/>
      <c r="AZ5" s="637"/>
      <c r="BA5" s="662"/>
      <c r="BB5" s="663"/>
      <c r="BC5" s="662"/>
      <c r="BD5" s="662"/>
      <c r="BE5" s="662"/>
      <c r="BF5" s="637"/>
      <c r="BG5" s="637"/>
      <c r="BH5" s="637"/>
      <c r="BI5" s="637"/>
      <c r="BJ5" s="637"/>
      <c r="BK5" s="637"/>
      <c r="BL5" s="637"/>
      <c r="BM5" s="637"/>
      <c r="BN5" s="637"/>
      <c r="BO5" s="637"/>
      <c r="BP5" s="637"/>
      <c r="BQ5" s="637"/>
      <c r="BR5" s="637"/>
      <c r="BS5" s="637"/>
      <c r="BT5" s="662"/>
      <c r="BU5" s="663"/>
      <c r="BV5" s="662"/>
      <c r="BW5" s="662"/>
      <c r="BX5" s="662"/>
      <c r="BY5" s="637"/>
      <c r="BZ5" s="637"/>
      <c r="CA5" s="637"/>
      <c r="CB5" s="637"/>
      <c r="CC5" s="637"/>
      <c r="CD5" s="637"/>
      <c r="CE5" s="637"/>
      <c r="CF5" s="637"/>
      <c r="CG5" s="637"/>
    </row>
    <row r="6" spans="1:117" x14ac:dyDescent="0.2">
      <c r="A6" s="637"/>
      <c r="B6" s="637" t="s">
        <v>1272</v>
      </c>
      <c r="C6" s="637"/>
      <c r="D6" s="639"/>
      <c r="E6" s="639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40"/>
      <c r="S6" s="640"/>
      <c r="T6" s="637"/>
      <c r="U6" s="637"/>
      <c r="V6" s="637"/>
      <c r="W6" s="637"/>
      <c r="X6" s="637"/>
      <c r="Y6" s="661"/>
      <c r="Z6" s="662"/>
      <c r="AA6" s="662"/>
      <c r="AB6" s="663"/>
      <c r="AC6" s="662"/>
      <c r="AD6" s="662"/>
      <c r="AE6" s="662"/>
      <c r="AF6" s="662"/>
      <c r="AG6" s="637"/>
      <c r="AH6" s="637"/>
      <c r="AI6" s="637"/>
      <c r="AJ6" s="637"/>
      <c r="AK6" s="637"/>
      <c r="AL6" s="637"/>
      <c r="AM6" s="637"/>
      <c r="AN6" s="637"/>
      <c r="AO6" s="637"/>
      <c r="AP6" s="637"/>
      <c r="AQ6" s="637"/>
      <c r="AR6" s="637"/>
      <c r="AS6" s="664"/>
      <c r="AT6" s="637"/>
      <c r="AU6" s="637"/>
      <c r="AV6" s="637"/>
      <c r="AW6" s="637"/>
      <c r="AX6" s="637"/>
      <c r="AY6" s="637"/>
      <c r="AZ6" s="637"/>
      <c r="BA6" s="662"/>
      <c r="BB6" s="663"/>
      <c r="BC6" s="662"/>
      <c r="BD6" s="662"/>
      <c r="BE6" s="662"/>
      <c r="BF6" s="637"/>
      <c r="BG6" s="637"/>
      <c r="BH6" s="637"/>
      <c r="BI6" s="637"/>
      <c r="BJ6" s="637"/>
      <c r="BK6" s="637"/>
      <c r="BL6" s="637"/>
      <c r="BM6" s="637"/>
      <c r="BN6" s="637"/>
      <c r="BO6" s="637"/>
      <c r="BP6" s="637"/>
      <c r="BQ6" s="637"/>
      <c r="BR6" s="637"/>
      <c r="BS6" s="637"/>
      <c r="BT6" s="662"/>
      <c r="BU6" s="663"/>
      <c r="BV6" s="662"/>
      <c r="BW6" s="662"/>
      <c r="BX6" s="662"/>
      <c r="BY6" s="637"/>
      <c r="BZ6" s="637"/>
      <c r="CA6" s="637"/>
      <c r="CB6" s="637"/>
      <c r="CC6" s="637"/>
      <c r="CD6" s="637"/>
      <c r="CE6" s="637"/>
      <c r="CF6" s="637"/>
      <c r="CG6" s="637"/>
    </row>
    <row r="7" spans="1:117" x14ac:dyDescent="0.2">
      <c r="A7" s="637"/>
      <c r="B7" s="637"/>
      <c r="C7" s="637"/>
      <c r="D7" s="639"/>
      <c r="E7" s="639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40"/>
      <c r="S7" s="640"/>
      <c r="T7" s="637"/>
      <c r="U7" s="637"/>
      <c r="V7" s="637"/>
      <c r="W7" s="637"/>
      <c r="X7" s="637"/>
      <c r="Y7" s="661"/>
      <c r="Z7" s="662"/>
      <c r="AA7" s="662"/>
      <c r="AB7" s="663"/>
      <c r="AC7" s="662"/>
      <c r="AD7" s="662"/>
      <c r="AE7" s="662"/>
      <c r="AF7" s="662"/>
      <c r="AG7" s="637"/>
      <c r="AH7" s="637"/>
      <c r="AI7" s="637"/>
      <c r="AJ7" s="637"/>
      <c r="AK7" s="637"/>
      <c r="AL7" s="637"/>
      <c r="AM7" s="637"/>
      <c r="AN7" s="637"/>
      <c r="AO7" s="637"/>
      <c r="AP7" s="637"/>
      <c r="AQ7" s="637"/>
      <c r="AR7" s="637"/>
      <c r="AS7" s="664"/>
      <c r="AT7" s="637"/>
      <c r="AU7" s="637"/>
      <c r="AV7" s="637"/>
      <c r="AW7" s="637"/>
      <c r="AX7" s="637"/>
      <c r="AY7" s="637"/>
      <c r="AZ7" s="637"/>
      <c r="BA7" s="662"/>
      <c r="BB7" s="663"/>
      <c r="BC7" s="662"/>
      <c r="BD7" s="662"/>
      <c r="BE7" s="662"/>
      <c r="BF7" s="637"/>
      <c r="BG7" s="637"/>
      <c r="BH7" s="637"/>
      <c r="BI7" s="637"/>
      <c r="BJ7" s="637"/>
      <c r="BK7" s="637"/>
      <c r="BL7" s="637"/>
      <c r="BM7" s="637"/>
      <c r="BN7" s="637"/>
      <c r="BO7" s="637"/>
      <c r="BP7" s="637"/>
      <c r="BQ7" s="637"/>
      <c r="BR7" s="637"/>
      <c r="BS7" s="637"/>
      <c r="BT7" s="662"/>
      <c r="BU7" s="663"/>
      <c r="BV7" s="662"/>
      <c r="BW7" s="662"/>
      <c r="BX7" s="662"/>
      <c r="BY7" s="637"/>
      <c r="BZ7" s="637"/>
      <c r="CA7" s="637"/>
      <c r="CB7" s="637"/>
      <c r="CC7" s="637"/>
      <c r="CD7" s="637"/>
      <c r="CE7" s="637"/>
      <c r="CF7" s="637"/>
      <c r="CG7" s="637"/>
    </row>
    <row r="8" spans="1:117" s="16" customFormat="1" x14ac:dyDescent="0.2">
      <c r="D8" s="38"/>
      <c r="E8" s="38"/>
      <c r="R8" s="37"/>
      <c r="S8" s="37"/>
      <c r="T8" s="35"/>
      <c r="U8" s="35"/>
      <c r="V8" s="35"/>
      <c r="W8" s="35"/>
      <c r="X8" s="35"/>
      <c r="Y8" s="103"/>
      <c r="Z8" s="39"/>
      <c r="AA8" s="39"/>
      <c r="AB8" s="76"/>
      <c r="AC8" s="39"/>
      <c r="AD8" s="39"/>
      <c r="AE8" s="39"/>
      <c r="AF8" s="39"/>
      <c r="AS8" s="68"/>
      <c r="BA8" s="39"/>
      <c r="BB8" s="76"/>
      <c r="BC8" s="39"/>
      <c r="BD8" s="39"/>
      <c r="BE8" s="39"/>
      <c r="BT8" s="39"/>
      <c r="BU8" s="76"/>
      <c r="BV8" s="39"/>
      <c r="BW8" s="39"/>
      <c r="BX8" s="39"/>
    </row>
    <row r="9" spans="1:117" s="16" customFormat="1" ht="20.25" customHeight="1" x14ac:dyDescent="0.2">
      <c r="D9" s="38"/>
      <c r="E9" s="38"/>
      <c r="R9" s="37"/>
      <c r="S9" s="37"/>
      <c r="T9" s="35"/>
      <c r="U9" s="35"/>
      <c r="V9" s="35"/>
      <c r="W9" s="35"/>
      <c r="X9" s="35"/>
      <c r="Y9" s="103"/>
      <c r="Z9" s="39"/>
      <c r="AA9" s="39"/>
      <c r="AB9" s="76"/>
      <c r="AC9" s="39"/>
      <c r="AD9" s="39"/>
      <c r="AE9" s="39"/>
      <c r="AF9" s="39"/>
      <c r="AS9" s="68"/>
      <c r="BA9" s="39"/>
      <c r="BB9" s="76"/>
      <c r="BC9" s="39"/>
      <c r="BD9" s="39"/>
      <c r="BE9" s="39"/>
      <c r="BT9" s="39"/>
      <c r="BU9" s="76"/>
      <c r="BV9" s="39"/>
      <c r="BW9" s="39"/>
      <c r="BX9" s="39"/>
    </row>
    <row r="10" spans="1:117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279"/>
      <c r="V10" s="253"/>
      <c r="W10" s="1260" t="s">
        <v>450</v>
      </c>
      <c r="X10" s="1260"/>
      <c r="Y10" s="1260"/>
      <c r="Z10" s="1260"/>
      <c r="AA10" s="1260"/>
      <c r="AB10" s="1260"/>
      <c r="AC10" s="1260"/>
      <c r="AD10" s="1260"/>
      <c r="AE10" s="1260"/>
      <c r="AF10" s="1260"/>
      <c r="AG10" s="1260"/>
      <c r="AH10" s="1260"/>
      <c r="AI10" s="1260"/>
      <c r="AJ10" s="1260"/>
      <c r="AK10" s="1260"/>
      <c r="AL10" s="1260"/>
      <c r="AM10" s="1260"/>
      <c r="AN10" s="1260"/>
      <c r="AO10" s="1260"/>
      <c r="AP10" s="1260"/>
      <c r="AQ10" s="1260"/>
      <c r="AR10" s="1260"/>
      <c r="AS10" s="1260"/>
      <c r="AT10" s="1260"/>
      <c r="AU10" s="1260"/>
      <c r="AV10" s="1260"/>
      <c r="AW10" s="1260"/>
      <c r="AX10" s="1260"/>
      <c r="AY10" s="1260"/>
      <c r="AZ10" s="1260"/>
      <c r="BA10" s="1260"/>
      <c r="BB10" s="1260"/>
      <c r="BC10" s="1260"/>
      <c r="BD10" s="1260"/>
      <c r="BE10" s="1260"/>
      <c r="BT10" s="1293" t="s">
        <v>450</v>
      </c>
      <c r="BU10" s="1293"/>
      <c r="BV10" s="1293"/>
    </row>
    <row r="11" spans="1:117" ht="54" customHeight="1" x14ac:dyDescent="0.25">
      <c r="A11" s="1261" t="s">
        <v>57</v>
      </c>
      <c r="B11" s="1261" t="s">
        <v>0</v>
      </c>
      <c r="C11" s="280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1126</v>
      </c>
      <c r="J11" s="1254" t="s">
        <v>1127</v>
      </c>
      <c r="K11" s="1254" t="s">
        <v>534</v>
      </c>
      <c r="L11" s="1254" t="s">
        <v>493</v>
      </c>
      <c r="M11" s="1254" t="s">
        <v>1148</v>
      </c>
      <c r="N11" s="281" t="s">
        <v>529</v>
      </c>
      <c r="O11" s="1254" t="s">
        <v>492</v>
      </c>
      <c r="P11" s="286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283"/>
      <c r="V11" s="1245" t="s">
        <v>595</v>
      </c>
      <c r="W11" s="1245" t="s">
        <v>596</v>
      </c>
      <c r="X11" s="282"/>
      <c r="Y11" s="1268" t="s">
        <v>569</v>
      </c>
      <c r="Z11" s="1245" t="s">
        <v>599</v>
      </c>
      <c r="AA11" s="158" t="s">
        <v>15</v>
      </c>
      <c r="AB11" s="159" t="s">
        <v>15</v>
      </c>
      <c r="AC11" s="158" t="s">
        <v>16</v>
      </c>
      <c r="AD11" s="1245" t="s">
        <v>527</v>
      </c>
      <c r="AE11" s="1245" t="s">
        <v>536</v>
      </c>
      <c r="AF11" s="158" t="s">
        <v>3</v>
      </c>
      <c r="AG11" s="158" t="s">
        <v>4</v>
      </c>
      <c r="AH11" s="158" t="s">
        <v>5</v>
      </c>
      <c r="AI11" s="158" t="s">
        <v>6</v>
      </c>
      <c r="AJ11" s="158" t="s">
        <v>7</v>
      </c>
      <c r="AK11" s="158" t="s">
        <v>8</v>
      </c>
      <c r="AL11" s="158" t="s">
        <v>9</v>
      </c>
      <c r="AM11" s="158" t="s">
        <v>10</v>
      </c>
      <c r="AN11" s="158" t="s">
        <v>11</v>
      </c>
      <c r="AO11" s="158" t="s">
        <v>12</v>
      </c>
      <c r="AP11" s="158" t="s">
        <v>13</v>
      </c>
      <c r="AQ11" s="158" t="s">
        <v>14</v>
      </c>
      <c r="AR11" s="196" t="s">
        <v>531</v>
      </c>
      <c r="AS11" s="926" t="s">
        <v>63</v>
      </c>
      <c r="AT11" s="1245" t="s">
        <v>976</v>
      </c>
      <c r="AU11" s="1245" t="s">
        <v>536</v>
      </c>
      <c r="AV11" s="158" t="s">
        <v>3</v>
      </c>
      <c r="AW11" s="158" t="s">
        <v>4</v>
      </c>
      <c r="AX11" s="158" t="s">
        <v>5</v>
      </c>
      <c r="AY11" s="158" t="s">
        <v>6</v>
      </c>
      <c r="AZ11" s="158" t="s">
        <v>7</v>
      </c>
      <c r="BA11" s="158" t="s">
        <v>15</v>
      </c>
      <c r="BB11" s="159" t="s">
        <v>15</v>
      </c>
      <c r="BC11" s="158" t="s">
        <v>16</v>
      </c>
      <c r="BD11" s="1245" t="s">
        <v>1059</v>
      </c>
      <c r="BE11" s="1245" t="s">
        <v>536</v>
      </c>
      <c r="BF11" s="158" t="s">
        <v>8</v>
      </c>
      <c r="BG11" s="158" t="s">
        <v>9</v>
      </c>
      <c r="BH11" s="158" t="s">
        <v>10</v>
      </c>
      <c r="BI11" s="158" t="s">
        <v>11</v>
      </c>
      <c r="BJ11" s="158" t="s">
        <v>12</v>
      </c>
      <c r="BK11" s="158" t="s">
        <v>13</v>
      </c>
      <c r="BL11" s="158" t="s">
        <v>14</v>
      </c>
      <c r="BM11" s="196" t="s">
        <v>989</v>
      </c>
      <c r="BN11" s="196" t="s">
        <v>63</v>
      </c>
      <c r="BO11" s="158" t="s">
        <v>3</v>
      </c>
      <c r="BP11" s="158" t="s">
        <v>4</v>
      </c>
      <c r="BQ11" s="158" t="s">
        <v>5</v>
      </c>
      <c r="BR11" s="158" t="s">
        <v>6</v>
      </c>
      <c r="BS11" s="158" t="s">
        <v>7</v>
      </c>
      <c r="BT11" s="158" t="s">
        <v>15</v>
      </c>
      <c r="BU11" s="159" t="s">
        <v>15</v>
      </c>
      <c r="BV11" s="158" t="s">
        <v>16</v>
      </c>
      <c r="BW11" s="1245" t="s">
        <v>1062</v>
      </c>
      <c r="BX11" s="1245" t="s">
        <v>536</v>
      </c>
      <c r="BY11" s="158" t="s">
        <v>8</v>
      </c>
      <c r="BZ11" s="158" t="s">
        <v>9</v>
      </c>
      <c r="CA11" s="158" t="s">
        <v>10</v>
      </c>
      <c r="CB11" s="158" t="s">
        <v>11</v>
      </c>
      <c r="CC11" s="158" t="s">
        <v>12</v>
      </c>
      <c r="CD11" s="158" t="s">
        <v>13</v>
      </c>
      <c r="CE11" s="158" t="s">
        <v>14</v>
      </c>
      <c r="CF11" s="196" t="s">
        <v>1058</v>
      </c>
      <c r="CG11" s="196" t="s">
        <v>63</v>
      </c>
      <c r="CH11" s="158" t="s">
        <v>3</v>
      </c>
      <c r="CI11" s="158" t="s">
        <v>4</v>
      </c>
      <c r="CJ11" s="158" t="s">
        <v>5</v>
      </c>
      <c r="CK11" s="158" t="s">
        <v>6</v>
      </c>
      <c r="CL11" s="158" t="s">
        <v>7</v>
      </c>
      <c r="CM11" s="1247" t="s">
        <v>1252</v>
      </c>
      <c r="CN11" s="1247" t="s">
        <v>1253</v>
      </c>
      <c r="CO11" s="158" t="s">
        <v>15</v>
      </c>
      <c r="CP11" s="159" t="s">
        <v>15</v>
      </c>
      <c r="CQ11" s="158" t="s">
        <v>16</v>
      </c>
      <c r="CR11" s="1245" t="s">
        <v>1254</v>
      </c>
      <c r="CS11" s="1245" t="s">
        <v>536</v>
      </c>
      <c r="CT11" s="158" t="s">
        <v>8</v>
      </c>
      <c r="CU11" s="158" t="s">
        <v>9</v>
      </c>
      <c r="CV11" s="158" t="s">
        <v>10</v>
      </c>
      <c r="CW11" s="158" t="s">
        <v>11</v>
      </c>
      <c r="CX11" s="158" t="s">
        <v>12</v>
      </c>
      <c r="CY11" s="158" t="s">
        <v>13</v>
      </c>
      <c r="CZ11" s="158" t="s">
        <v>14</v>
      </c>
      <c r="DA11" s="158" t="s">
        <v>3</v>
      </c>
      <c r="DB11" s="158" t="s">
        <v>4</v>
      </c>
      <c r="DC11" s="158" t="s">
        <v>5</v>
      </c>
      <c r="DD11" s="158" t="s">
        <v>6</v>
      </c>
      <c r="DE11" s="158" t="s">
        <v>7</v>
      </c>
      <c r="DF11" s="158" t="s">
        <v>8</v>
      </c>
      <c r="DG11" s="158" t="s">
        <v>9</v>
      </c>
      <c r="DH11" s="158" t="s">
        <v>10</v>
      </c>
      <c r="DI11" s="158" t="s">
        <v>11</v>
      </c>
      <c r="DJ11" s="158" t="s">
        <v>12</v>
      </c>
      <c r="DK11" s="158" t="s">
        <v>13</v>
      </c>
      <c r="DL11" s="1247" t="s">
        <v>1274</v>
      </c>
      <c r="DM11" s="1247" t="s">
        <v>1263</v>
      </c>
    </row>
    <row r="12" spans="1:117" ht="32.25" customHeight="1" x14ac:dyDescent="0.25">
      <c r="A12" s="1262"/>
      <c r="B12" s="1262"/>
      <c r="C12" s="161" t="s">
        <v>659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42916</v>
      </c>
      <c r="O12" s="1255"/>
      <c r="P12" s="193">
        <v>42916</v>
      </c>
      <c r="Q12" s="1257"/>
      <c r="R12" s="1251" t="s">
        <v>18</v>
      </c>
      <c r="S12" s="1251" t="s">
        <v>18</v>
      </c>
      <c r="T12" s="1253"/>
      <c r="U12" s="284"/>
      <c r="V12" s="1267"/>
      <c r="W12" s="1267"/>
      <c r="X12" s="285" t="s">
        <v>570</v>
      </c>
      <c r="Y12" s="1272"/>
      <c r="Z12" s="1246"/>
      <c r="AA12" s="162" t="s">
        <v>20</v>
      </c>
      <c r="AB12" s="163" t="s">
        <v>21</v>
      </c>
      <c r="AC12" s="162" t="s">
        <v>22</v>
      </c>
      <c r="AD12" s="1246"/>
      <c r="AE12" s="1246"/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>
        <v>2015</v>
      </c>
      <c r="AQ12" s="162">
        <v>2015</v>
      </c>
      <c r="AR12" s="162">
        <v>2015</v>
      </c>
      <c r="AS12" s="162" t="s">
        <v>64</v>
      </c>
      <c r="AT12" s="1246"/>
      <c r="AU12" s="1246"/>
      <c r="AV12" s="162">
        <v>2016</v>
      </c>
      <c r="AW12" s="162">
        <v>2016</v>
      </c>
      <c r="AX12" s="162">
        <v>2016</v>
      </c>
      <c r="AY12" s="162">
        <v>2016</v>
      </c>
      <c r="AZ12" s="162">
        <v>2016</v>
      </c>
      <c r="BA12" s="162" t="s">
        <v>20</v>
      </c>
      <c r="BB12" s="163" t="s">
        <v>21</v>
      </c>
      <c r="BC12" s="162" t="s">
        <v>22</v>
      </c>
      <c r="BD12" s="1246"/>
      <c r="BE12" s="1246"/>
      <c r="BF12" s="162">
        <v>2016</v>
      </c>
      <c r="BG12" s="162">
        <v>2016</v>
      </c>
      <c r="BH12" s="162">
        <v>2016</v>
      </c>
      <c r="BI12" s="162">
        <v>2016</v>
      </c>
      <c r="BJ12" s="162">
        <v>2016</v>
      </c>
      <c r="BK12" s="162">
        <v>2016</v>
      </c>
      <c r="BL12" s="162">
        <v>2016</v>
      </c>
      <c r="BM12" s="162">
        <v>2016</v>
      </c>
      <c r="BN12" s="162" t="s">
        <v>64</v>
      </c>
      <c r="BO12" s="162">
        <v>2017</v>
      </c>
      <c r="BP12" s="162">
        <v>2017</v>
      </c>
      <c r="BQ12" s="162">
        <v>2017</v>
      </c>
      <c r="BR12" s="162">
        <v>2017</v>
      </c>
      <c r="BS12" s="162">
        <v>2017</v>
      </c>
      <c r="BT12" s="162" t="s">
        <v>20</v>
      </c>
      <c r="BU12" s="163" t="s">
        <v>21</v>
      </c>
      <c r="BV12" s="162" t="s">
        <v>22</v>
      </c>
      <c r="BW12" s="1246"/>
      <c r="BX12" s="1246"/>
      <c r="BY12" s="162">
        <v>2017</v>
      </c>
      <c r="BZ12" s="162">
        <v>2017</v>
      </c>
      <c r="CA12" s="162">
        <v>2017</v>
      </c>
      <c r="CB12" s="162">
        <v>2017</v>
      </c>
      <c r="CC12" s="162">
        <v>2017</v>
      </c>
      <c r="CD12" s="162">
        <v>2017</v>
      </c>
      <c r="CE12" s="162">
        <v>2017</v>
      </c>
      <c r="CF12" s="162">
        <v>2017</v>
      </c>
      <c r="CG12" s="162" t="s">
        <v>64</v>
      </c>
      <c r="CH12" s="162">
        <v>2018</v>
      </c>
      <c r="CI12" s="162">
        <v>2018</v>
      </c>
      <c r="CJ12" s="162">
        <v>2018</v>
      </c>
      <c r="CK12" s="162">
        <v>2018</v>
      </c>
      <c r="CL12" s="162">
        <v>2018</v>
      </c>
      <c r="CM12" s="1248"/>
      <c r="CN12" s="1248"/>
      <c r="CO12" s="162" t="s">
        <v>20</v>
      </c>
      <c r="CP12" s="163" t="s">
        <v>21</v>
      </c>
      <c r="CQ12" s="162" t="s">
        <v>22</v>
      </c>
      <c r="CR12" s="1246"/>
      <c r="CS12" s="1246"/>
      <c r="CT12" s="162">
        <v>2018</v>
      </c>
      <c r="CU12" s="162">
        <v>2018</v>
      </c>
      <c r="CV12" s="162">
        <v>2018</v>
      </c>
      <c r="CW12" s="162">
        <v>2018</v>
      </c>
      <c r="CX12" s="162">
        <v>2018</v>
      </c>
      <c r="CY12" s="162">
        <v>2018</v>
      </c>
      <c r="CZ12" s="162">
        <v>2018</v>
      </c>
      <c r="DA12" s="162">
        <v>2019</v>
      </c>
      <c r="DB12" s="162">
        <v>2019</v>
      </c>
      <c r="DC12" s="162">
        <v>2019</v>
      </c>
      <c r="DD12" s="162">
        <v>2019</v>
      </c>
      <c r="DE12" s="162">
        <v>2019</v>
      </c>
      <c r="DF12" s="162">
        <v>2019</v>
      </c>
      <c r="DG12" s="162">
        <v>2019</v>
      </c>
      <c r="DH12" s="162">
        <v>2019</v>
      </c>
      <c r="DI12" s="162">
        <v>2019</v>
      </c>
      <c r="DJ12" s="162">
        <v>2019</v>
      </c>
      <c r="DK12" s="162">
        <v>2019</v>
      </c>
      <c r="DL12" s="1248"/>
      <c r="DM12" s="1248"/>
    </row>
    <row r="13" spans="1:117" s="16" customFormat="1" x14ac:dyDescent="0.2">
      <c r="A13" s="409" t="s">
        <v>641</v>
      </c>
      <c r="B13" s="409"/>
      <c r="C13" s="409"/>
      <c r="D13" s="27"/>
      <c r="E13" s="25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20"/>
      <c r="S13" s="20"/>
      <c r="T13" s="14"/>
      <c r="U13" s="14"/>
      <c r="V13" s="14"/>
      <c r="W13" s="14"/>
      <c r="X13" s="14"/>
      <c r="Y13" s="108"/>
      <c r="Z13" s="66"/>
      <c r="AA13" s="66"/>
      <c r="AB13" s="81"/>
      <c r="AC13" s="66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73"/>
      <c r="AT13" s="355"/>
      <c r="AU13" s="355"/>
      <c r="AV13" s="355"/>
      <c r="AW13" s="355"/>
      <c r="AX13" s="355"/>
      <c r="AY13" s="355"/>
      <c r="AZ13" s="355"/>
      <c r="BA13" s="66"/>
      <c r="BB13" s="81"/>
      <c r="BC13" s="66"/>
      <c r="BD13" s="65"/>
      <c r="BE13" s="65"/>
      <c r="BF13" s="355"/>
      <c r="BG13" s="355"/>
      <c r="BH13" s="355"/>
      <c r="BI13" s="355"/>
      <c r="BJ13" s="355"/>
      <c r="BK13" s="355"/>
      <c r="BL13" s="355"/>
      <c r="BM13" s="355"/>
      <c r="BN13" s="355"/>
      <c r="BO13" s="355"/>
      <c r="BP13" s="355"/>
      <c r="BQ13" s="355"/>
      <c r="BR13" s="355"/>
      <c r="BS13" s="355"/>
      <c r="BT13" s="66"/>
      <c r="BU13" s="81"/>
      <c r="BV13" s="66"/>
      <c r="BW13" s="65"/>
      <c r="BX13" s="65"/>
      <c r="BY13" s="355"/>
      <c r="BZ13" s="355"/>
      <c r="CA13" s="355"/>
      <c r="CB13" s="355"/>
      <c r="CC13" s="355"/>
      <c r="CD13" s="355"/>
      <c r="CE13" s="355"/>
      <c r="CF13" s="355"/>
      <c r="CG13" s="355"/>
      <c r="CH13" s="968"/>
      <c r="CI13" s="505"/>
      <c r="CJ13" s="505"/>
      <c r="CK13" s="505"/>
      <c r="CL13" s="505"/>
      <c r="CM13" s="505"/>
      <c r="CN13" s="50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</row>
    <row r="14" spans="1:117" s="16" customFormat="1" x14ac:dyDescent="0.2">
      <c r="A14" s="409" t="s">
        <v>78</v>
      </c>
      <c r="B14" s="410"/>
      <c r="C14" s="177"/>
      <c r="D14" s="150"/>
      <c r="E14" s="25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20"/>
      <c r="S14" s="20"/>
      <c r="T14" s="14"/>
      <c r="U14" s="14"/>
      <c r="V14" s="14"/>
      <c r="W14" s="14"/>
      <c r="X14" s="14"/>
      <c r="Y14" s="108"/>
      <c r="Z14" s="66"/>
      <c r="AA14" s="66"/>
      <c r="AB14" s="112"/>
      <c r="AC14" s="66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73"/>
      <c r="AT14" s="355"/>
      <c r="AU14" s="355"/>
      <c r="AV14" s="355"/>
      <c r="AW14" s="355"/>
      <c r="AX14" s="355"/>
      <c r="AY14" s="355"/>
      <c r="AZ14" s="355"/>
      <c r="BA14" s="66"/>
      <c r="BB14" s="112"/>
      <c r="BC14" s="66"/>
      <c r="BD14" s="65"/>
      <c r="BE14" s="65"/>
      <c r="BF14" s="355"/>
      <c r="BG14" s="355"/>
      <c r="BH14" s="355"/>
      <c r="BI14" s="355"/>
      <c r="BJ14" s="355"/>
      <c r="BK14" s="355"/>
      <c r="BL14" s="355"/>
      <c r="BM14" s="355"/>
      <c r="BN14" s="355"/>
      <c r="BO14" s="355"/>
      <c r="BP14" s="355"/>
      <c r="BQ14" s="355"/>
      <c r="BR14" s="355"/>
      <c r="BS14" s="355"/>
      <c r="BT14" s="66"/>
      <c r="BU14" s="112"/>
      <c r="BV14" s="66"/>
      <c r="BW14" s="65"/>
      <c r="BX14" s="65"/>
      <c r="BY14" s="355"/>
      <c r="BZ14" s="355"/>
      <c r="CA14" s="355"/>
      <c r="CB14" s="355"/>
      <c r="CC14" s="355"/>
      <c r="CD14" s="355"/>
      <c r="CE14" s="355"/>
      <c r="CF14" s="355"/>
      <c r="CG14" s="355"/>
      <c r="CH14" s="355"/>
      <c r="CI14" s="505"/>
      <c r="CJ14" s="505"/>
      <c r="CK14" s="505"/>
      <c r="CL14" s="505"/>
      <c r="CM14" s="505"/>
      <c r="CN14" s="50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</row>
    <row r="15" spans="1:117" s="35" customFormat="1" ht="15.75" x14ac:dyDescent="0.25">
      <c r="A15" s="367" t="s">
        <v>660</v>
      </c>
      <c r="B15" s="176" t="s">
        <v>661</v>
      </c>
      <c r="C15" s="176" t="s">
        <v>659</v>
      </c>
      <c r="D15" s="109">
        <v>3</v>
      </c>
      <c r="E15" s="1217">
        <v>0.33329999999999999</v>
      </c>
      <c r="F15" s="1218">
        <v>42185</v>
      </c>
      <c r="G15" s="148">
        <v>36</v>
      </c>
      <c r="H15" s="1219">
        <f>100/G15</f>
        <v>2.7777777777777777</v>
      </c>
      <c r="I15" s="1220">
        <f>H15*J15</f>
        <v>113.88888888888889</v>
      </c>
      <c r="J15" s="148">
        <f>(YEAR(F15)-YEAR(S15))*12+MONTH(F15)-MONTH(S15)</f>
        <v>41</v>
      </c>
      <c r="K15" s="1220">
        <f>L15*H15</f>
        <v>0</v>
      </c>
      <c r="L15" s="148">
        <v>0</v>
      </c>
      <c r="M15" s="1220">
        <f>N15*H15</f>
        <v>0</v>
      </c>
      <c r="N15" s="148">
        <v>0</v>
      </c>
      <c r="O15" s="1220">
        <f>K15-M15</f>
        <v>0</v>
      </c>
      <c r="P15" s="148">
        <f>L15-N15</f>
        <v>0</v>
      </c>
      <c r="Q15" s="148">
        <f>M15-O15</f>
        <v>0</v>
      </c>
      <c r="R15" s="148" t="s">
        <v>445</v>
      </c>
      <c r="S15" s="1221">
        <v>40909</v>
      </c>
      <c r="T15" s="610">
        <v>650</v>
      </c>
      <c r="U15" s="1222"/>
      <c r="V15" s="612">
        <f>T15*H15%*12</f>
        <v>216.66666666666663</v>
      </c>
      <c r="W15" s="612">
        <f>T15-V15</f>
        <v>433.33333333333337</v>
      </c>
      <c r="X15" s="1223">
        <f>T15*H15%</f>
        <v>18.055555555555554</v>
      </c>
      <c r="Y15" s="610">
        <f>X15*5</f>
        <v>90.277777777777771</v>
      </c>
      <c r="Z15" s="1224">
        <f>W15-Y15</f>
        <v>343.0555555555556</v>
      </c>
      <c r="AA15" s="1225">
        <v>115.958</v>
      </c>
      <c r="AB15" s="1225">
        <v>104.28400000000001</v>
      </c>
      <c r="AC15" s="1225">
        <f>AA15/AB15</f>
        <v>1.1119443059337961</v>
      </c>
      <c r="AD15" s="1223">
        <f>Z15/19</f>
        <v>18.055555555555557</v>
      </c>
      <c r="AE15" s="1223">
        <f>AD15*AC15</f>
        <v>20.076772190471321</v>
      </c>
      <c r="AF15" s="1223"/>
      <c r="AG15" s="1223"/>
      <c r="AH15" s="1223"/>
      <c r="AI15" s="1223"/>
      <c r="AJ15" s="1223"/>
      <c r="AK15" s="1223">
        <f>AE15</f>
        <v>20.076772190471321</v>
      </c>
      <c r="AL15" s="1223">
        <v>20.076772190471321</v>
      </c>
      <c r="AM15" s="1223">
        <v>20.076772190471321</v>
      </c>
      <c r="AN15" s="1223">
        <v>20.076772190471321</v>
      </c>
      <c r="AO15" s="1223">
        <v>20.076772190471321</v>
      </c>
      <c r="AP15" s="1223">
        <v>20.076772190471321</v>
      </c>
      <c r="AQ15" s="1223">
        <v>20.076772190471321</v>
      </c>
      <c r="AR15" s="1223">
        <f>SUM(AF15:AQ15)</f>
        <v>140.53740533329923</v>
      </c>
      <c r="AS15" s="1222">
        <f>Z15-AR15</f>
        <v>202.51815022225637</v>
      </c>
      <c r="AT15" s="1176"/>
      <c r="AU15" s="1176"/>
      <c r="AV15" s="1176">
        <f>$AQ15</f>
        <v>20.076772190471321</v>
      </c>
      <c r="AW15" s="1176">
        <f>$AQ15</f>
        <v>20.076772190471321</v>
      </c>
      <c r="AX15" s="1176">
        <f>$AQ15</f>
        <v>20.076772190471321</v>
      </c>
      <c r="AY15" s="1176">
        <f>$AQ15</f>
        <v>20.076772190471321</v>
      </c>
      <c r="AZ15" s="1176">
        <f>$AQ15</f>
        <v>20.076772190471321</v>
      </c>
      <c r="BA15" s="1226">
        <v>118.901</v>
      </c>
      <c r="BB15" s="1226">
        <v>104.28400000000001</v>
      </c>
      <c r="BC15" s="1226">
        <f>BA15/BB15</f>
        <v>1.1401653177860458</v>
      </c>
      <c r="BD15" s="1176">
        <f>T15/(D15*12)</f>
        <v>18.055555555555557</v>
      </c>
      <c r="BE15" s="1176">
        <f>BD15*BC15</f>
        <v>20.586318237803606</v>
      </c>
      <c r="BF15" s="1227">
        <f>$BE15</f>
        <v>20.586318237803606</v>
      </c>
      <c r="BG15" s="1227">
        <f>$BE15</f>
        <v>20.586318237803606</v>
      </c>
      <c r="BH15" s="1227">
        <f>$BE15</f>
        <v>20.586318237803606</v>
      </c>
      <c r="BI15" s="1227">
        <f>$BE15</f>
        <v>20.586318237803606</v>
      </c>
      <c r="BJ15" s="1227">
        <v>18.79</v>
      </c>
      <c r="BK15" s="1227">
        <v>0</v>
      </c>
      <c r="BL15" s="1227">
        <v>0</v>
      </c>
      <c r="BM15" s="1227">
        <f>SUM((AV15:AZ15),(BF15:BL15))</f>
        <v>201.519133903571</v>
      </c>
      <c r="BN15" s="1228">
        <f>(AS15-BM15)</f>
        <v>0.99901631868536356</v>
      </c>
      <c r="BO15" s="1227">
        <v>0</v>
      </c>
      <c r="BP15" s="1227">
        <v>0</v>
      </c>
      <c r="BQ15" s="1227">
        <v>0</v>
      </c>
      <c r="BR15" s="1227">
        <v>0</v>
      </c>
      <c r="BS15" s="1227">
        <v>0</v>
      </c>
      <c r="BT15" s="1229">
        <v>118.901</v>
      </c>
      <c r="BU15" s="1229">
        <v>104.28400000000001</v>
      </c>
      <c r="BV15" s="1229">
        <f>BT15/BU15</f>
        <v>1.1401653177860458</v>
      </c>
      <c r="BW15" s="1227">
        <v>0</v>
      </c>
      <c r="BX15" s="1227">
        <f>BW15*BV15</f>
        <v>0</v>
      </c>
      <c r="BY15" s="1227">
        <v>0</v>
      </c>
      <c r="BZ15" s="1227">
        <v>0</v>
      </c>
      <c r="CA15" s="1227">
        <v>0</v>
      </c>
      <c r="CB15" s="1227">
        <v>0</v>
      </c>
      <c r="CC15" s="1227">
        <v>0</v>
      </c>
      <c r="CD15" s="1227">
        <v>0</v>
      </c>
      <c r="CE15" s="1227">
        <v>0</v>
      </c>
      <c r="CF15" s="1227">
        <v>0</v>
      </c>
      <c r="CG15" s="1228">
        <f>BN15</f>
        <v>0.99901631868536356</v>
      </c>
      <c r="CH15" s="1227">
        <v>0</v>
      </c>
      <c r="CI15" s="1227">
        <v>0</v>
      </c>
      <c r="CJ15" s="1227">
        <v>0</v>
      </c>
      <c r="CK15" s="1227">
        <v>0</v>
      </c>
      <c r="CL15" s="1227">
        <v>0</v>
      </c>
      <c r="CM15" s="1170">
        <f>SUM(CH15:CL15)</f>
        <v>0</v>
      </c>
      <c r="CN15" s="679">
        <f>CG15-CM15</f>
        <v>0.99901631868536356</v>
      </c>
      <c r="CO15" s="1171">
        <v>132.28200000000001</v>
      </c>
      <c r="CP15" s="1226">
        <v>104.28400000000001</v>
      </c>
      <c r="CQ15" s="1200">
        <f>CO15/CP15</f>
        <v>1.2684783859460704</v>
      </c>
      <c r="CR15" s="510">
        <v>0</v>
      </c>
      <c r="CS15" s="510">
        <v>0</v>
      </c>
      <c r="CT15" s="510"/>
      <c r="CU15" s="510"/>
      <c r="CV15" s="510"/>
      <c r="CW15" s="510"/>
      <c r="CX15" s="510"/>
      <c r="CY15" s="510"/>
      <c r="CZ15" s="510">
        <v>0</v>
      </c>
      <c r="DA15" s="510">
        <v>0</v>
      </c>
      <c r="DB15" s="510">
        <v>0</v>
      </c>
      <c r="DC15" s="510">
        <v>0</v>
      </c>
      <c r="DD15" s="510">
        <v>0</v>
      </c>
      <c r="DE15" s="510">
        <v>0</v>
      </c>
      <c r="DF15" s="510">
        <v>0</v>
      </c>
      <c r="DG15" s="510">
        <v>0</v>
      </c>
      <c r="DH15" s="510">
        <v>0</v>
      </c>
      <c r="DI15" s="510">
        <v>0</v>
      </c>
      <c r="DJ15" s="510">
        <v>0</v>
      </c>
      <c r="DK15" s="510">
        <v>0</v>
      </c>
      <c r="DL15" s="510">
        <f>SUM(CT15:CZ15)</f>
        <v>0</v>
      </c>
      <c r="DM15" s="510">
        <f>CN15-DL15</f>
        <v>0.99901631868536356</v>
      </c>
    </row>
    <row r="16" spans="1:117" s="35" customFormat="1" ht="15.75" x14ac:dyDescent="0.25">
      <c r="A16" s="409" t="s">
        <v>688</v>
      </c>
      <c r="B16" s="409"/>
      <c r="C16" s="409"/>
      <c r="D16" s="111"/>
      <c r="E16" s="130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19"/>
      <c r="S16" s="119"/>
      <c r="T16" s="619"/>
      <c r="U16" s="619"/>
      <c r="V16" s="619"/>
      <c r="W16" s="619"/>
      <c r="X16" s="619"/>
      <c r="Y16" s="1230"/>
      <c r="Z16" s="1174"/>
      <c r="AA16" s="1174"/>
      <c r="AB16" s="622"/>
      <c r="AC16" s="1174"/>
      <c r="AD16" s="510"/>
      <c r="AE16" s="510"/>
      <c r="AF16" s="510"/>
      <c r="AG16" s="510"/>
      <c r="AH16" s="510"/>
      <c r="AI16" s="510"/>
      <c r="AJ16" s="510"/>
      <c r="AK16" s="510"/>
      <c r="AL16" s="510"/>
      <c r="AM16" s="510"/>
      <c r="AN16" s="510"/>
      <c r="AO16" s="510"/>
      <c r="AP16" s="510"/>
      <c r="AQ16" s="510"/>
      <c r="AR16" s="510"/>
      <c r="AS16" s="1231"/>
      <c r="AT16" s="1176"/>
      <c r="AU16" s="1176"/>
      <c r="AV16" s="1176">
        <f t="shared" ref="AV16:AZ23" si="0">$AQ16</f>
        <v>0</v>
      </c>
      <c r="AW16" s="1176">
        <f t="shared" si="0"/>
        <v>0</v>
      </c>
      <c r="AX16" s="1176">
        <f t="shared" si="0"/>
        <v>0</v>
      </c>
      <c r="AY16" s="1176">
        <f t="shared" si="0"/>
        <v>0</v>
      </c>
      <c r="AZ16" s="1176">
        <f t="shared" si="0"/>
        <v>0</v>
      </c>
      <c r="BA16" s="1226"/>
      <c r="BB16" s="624"/>
      <c r="BC16" s="1226"/>
      <c r="BD16" s="1176"/>
      <c r="BE16" s="1176"/>
      <c r="BF16" s="1227"/>
      <c r="BG16" s="1227"/>
      <c r="BH16" s="1227"/>
      <c r="BI16" s="1227"/>
      <c r="BJ16" s="1227"/>
      <c r="BK16" s="1227"/>
      <c r="BL16" s="1227"/>
      <c r="BM16" s="1227"/>
      <c r="BN16" s="1228"/>
      <c r="BO16" s="1227"/>
      <c r="BP16" s="1227"/>
      <c r="BQ16" s="1227"/>
      <c r="BR16" s="1227"/>
      <c r="BS16" s="1227"/>
      <c r="BT16" s="1229"/>
      <c r="BU16" s="529"/>
      <c r="BV16" s="1229"/>
      <c r="BW16" s="1227"/>
      <c r="BX16" s="1227"/>
      <c r="BY16" s="1227"/>
      <c r="BZ16" s="1227"/>
      <c r="CA16" s="1227"/>
      <c r="CB16" s="1227"/>
      <c r="CC16" s="1227"/>
      <c r="CD16" s="1227"/>
      <c r="CE16" s="1227"/>
      <c r="CF16" s="1227"/>
      <c r="CG16" s="1228"/>
      <c r="CH16" s="1227"/>
      <c r="CI16" s="1227"/>
      <c r="CJ16" s="1227"/>
      <c r="CK16" s="1227"/>
      <c r="CL16" s="1227"/>
      <c r="CM16" s="1170"/>
      <c r="CN16" s="679"/>
      <c r="CO16" s="510"/>
      <c r="CP16" s="624"/>
      <c r="CQ16" s="1200"/>
      <c r="CR16" s="510"/>
      <c r="CS16" s="510"/>
      <c r="CT16" s="510"/>
      <c r="CU16" s="510"/>
      <c r="CV16" s="510"/>
      <c r="CW16" s="510"/>
      <c r="CX16" s="510"/>
      <c r="CY16" s="510"/>
      <c r="CZ16" s="510"/>
      <c r="DA16" s="510"/>
      <c r="DB16" s="510"/>
      <c r="DC16" s="510"/>
      <c r="DD16" s="510"/>
      <c r="DE16" s="510"/>
      <c r="DF16" s="510"/>
      <c r="DG16" s="510"/>
      <c r="DH16" s="510"/>
      <c r="DI16" s="510"/>
      <c r="DJ16" s="510"/>
      <c r="DK16" s="510"/>
      <c r="DL16" s="510"/>
      <c r="DM16" s="510"/>
    </row>
    <row r="17" spans="1:117" s="35" customFormat="1" ht="15.75" x14ac:dyDescent="0.25">
      <c r="A17" s="409" t="s">
        <v>662</v>
      </c>
      <c r="B17" s="176"/>
      <c r="C17" s="176"/>
      <c r="D17" s="1171"/>
      <c r="E17" s="130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19"/>
      <c r="S17" s="119"/>
      <c r="T17" s="619"/>
      <c r="U17" s="619"/>
      <c r="V17" s="619"/>
      <c r="W17" s="619"/>
      <c r="X17" s="619"/>
      <c r="Y17" s="1230"/>
      <c r="Z17" s="1174"/>
      <c r="AA17" s="1174"/>
      <c r="AB17" s="625"/>
      <c r="AC17" s="1174"/>
      <c r="AD17" s="510"/>
      <c r="AE17" s="510"/>
      <c r="AF17" s="510"/>
      <c r="AG17" s="510"/>
      <c r="AH17" s="510"/>
      <c r="AI17" s="510"/>
      <c r="AJ17" s="510"/>
      <c r="AK17" s="510"/>
      <c r="AL17" s="510"/>
      <c r="AM17" s="510"/>
      <c r="AN17" s="510"/>
      <c r="AO17" s="510"/>
      <c r="AP17" s="510"/>
      <c r="AQ17" s="510"/>
      <c r="AR17" s="510"/>
      <c r="AS17" s="1231"/>
      <c r="AT17" s="1176"/>
      <c r="AU17" s="1176"/>
      <c r="AV17" s="1176">
        <f t="shared" si="0"/>
        <v>0</v>
      </c>
      <c r="AW17" s="1176">
        <f t="shared" si="0"/>
        <v>0</v>
      </c>
      <c r="AX17" s="1176">
        <f t="shared" si="0"/>
        <v>0</v>
      </c>
      <c r="AY17" s="1176">
        <f t="shared" si="0"/>
        <v>0</v>
      </c>
      <c r="AZ17" s="1176">
        <f t="shared" si="0"/>
        <v>0</v>
      </c>
      <c r="BA17" s="1226"/>
      <c r="BB17" s="626"/>
      <c r="BC17" s="1226"/>
      <c r="BD17" s="1176"/>
      <c r="BE17" s="1176"/>
      <c r="BF17" s="1227"/>
      <c r="BG17" s="1227"/>
      <c r="BH17" s="1227"/>
      <c r="BI17" s="1227"/>
      <c r="BJ17" s="1227"/>
      <c r="BK17" s="1227"/>
      <c r="BL17" s="1227"/>
      <c r="BM17" s="1227"/>
      <c r="BN17" s="1228"/>
      <c r="BO17" s="1227"/>
      <c r="BP17" s="1227"/>
      <c r="BQ17" s="1227"/>
      <c r="BR17" s="1227"/>
      <c r="BS17" s="1227"/>
      <c r="BT17" s="1229"/>
      <c r="BU17" s="531"/>
      <c r="BV17" s="1229"/>
      <c r="BW17" s="1227"/>
      <c r="BX17" s="1227"/>
      <c r="BY17" s="1227"/>
      <c r="BZ17" s="1227"/>
      <c r="CA17" s="1227"/>
      <c r="CB17" s="1227"/>
      <c r="CC17" s="1227"/>
      <c r="CD17" s="1227"/>
      <c r="CE17" s="1227"/>
      <c r="CF17" s="1227"/>
      <c r="CG17" s="1228"/>
      <c r="CH17" s="1227"/>
      <c r="CI17" s="1227"/>
      <c r="CJ17" s="1227"/>
      <c r="CK17" s="1227"/>
      <c r="CL17" s="1227"/>
      <c r="CM17" s="1170"/>
      <c r="CN17" s="679"/>
      <c r="CO17" s="510"/>
      <c r="CP17" s="626"/>
      <c r="CQ17" s="1200"/>
      <c r="CR17" s="510"/>
      <c r="CS17" s="510"/>
      <c r="CT17" s="510"/>
      <c r="CU17" s="510"/>
      <c r="CV17" s="510"/>
      <c r="CW17" s="510"/>
      <c r="CX17" s="510"/>
      <c r="CY17" s="510"/>
      <c r="CZ17" s="510"/>
      <c r="DA17" s="510"/>
      <c r="DB17" s="510"/>
      <c r="DC17" s="510"/>
      <c r="DD17" s="510"/>
      <c r="DE17" s="510"/>
      <c r="DF17" s="510"/>
      <c r="DG17" s="510"/>
      <c r="DH17" s="510"/>
      <c r="DI17" s="510"/>
      <c r="DJ17" s="510"/>
      <c r="DK17" s="510"/>
      <c r="DL17" s="510"/>
      <c r="DM17" s="510"/>
    </row>
    <row r="18" spans="1:117" s="35" customFormat="1" ht="15.75" x14ac:dyDescent="0.25">
      <c r="A18" s="367" t="s">
        <v>663</v>
      </c>
      <c r="B18" s="176" t="s">
        <v>664</v>
      </c>
      <c r="C18" s="176" t="s">
        <v>659</v>
      </c>
      <c r="D18" s="109">
        <v>3</v>
      </c>
      <c r="E18" s="1217">
        <v>0.33329999999999999</v>
      </c>
      <c r="F18" s="1218">
        <v>42185</v>
      </c>
      <c r="G18" s="148">
        <v>36</v>
      </c>
      <c r="H18" s="1219">
        <f>100/G18</f>
        <v>2.7777777777777777</v>
      </c>
      <c r="I18" s="1220">
        <f>H18*J18</f>
        <v>280.55555555555554</v>
      </c>
      <c r="J18" s="148">
        <f>(YEAR(F18)-YEAR(S18))*12+MONTH(F18)-MONTH(S18)</f>
        <v>101</v>
      </c>
      <c r="K18" s="1220">
        <f>L18*H18</f>
        <v>0</v>
      </c>
      <c r="L18" s="148">
        <v>0</v>
      </c>
      <c r="M18" s="1220">
        <f>N18*H18</f>
        <v>0</v>
      </c>
      <c r="N18" s="148">
        <v>0</v>
      </c>
      <c r="O18" s="1220">
        <f t="shared" ref="O18:Q23" si="1">K18-M18</f>
        <v>0</v>
      </c>
      <c r="P18" s="148">
        <f t="shared" si="1"/>
        <v>0</v>
      </c>
      <c r="Q18" s="148">
        <f t="shared" si="1"/>
        <v>0</v>
      </c>
      <c r="R18" s="148" t="s">
        <v>445</v>
      </c>
      <c r="S18" s="1221">
        <v>39083</v>
      </c>
      <c r="T18" s="610">
        <v>300</v>
      </c>
      <c r="U18" s="1222"/>
      <c r="V18" s="612">
        <f>T18*H18%*12</f>
        <v>99.999999999999986</v>
      </c>
      <c r="W18" s="612">
        <f>T18-V18</f>
        <v>200</v>
      </c>
      <c r="X18" s="1223">
        <f>T18*H18%</f>
        <v>8.3333333333333321</v>
      </c>
      <c r="Y18" s="610">
        <f>X18*5</f>
        <v>41.666666666666657</v>
      </c>
      <c r="Z18" s="1224">
        <f>W18-Y18</f>
        <v>158.33333333333334</v>
      </c>
      <c r="AA18" s="1225">
        <v>115.958</v>
      </c>
      <c r="AB18" s="1225">
        <v>121.64</v>
      </c>
      <c r="AC18" s="1225">
        <f>AA18/AB18</f>
        <v>0.95328839197632353</v>
      </c>
      <c r="AD18" s="1223">
        <f>Z18/19</f>
        <v>8.3333333333333339</v>
      </c>
      <c r="AE18" s="1223">
        <f>AD18*AC18</f>
        <v>7.9440699331360296</v>
      </c>
      <c r="AF18" s="1223"/>
      <c r="AG18" s="1223"/>
      <c r="AH18" s="1223"/>
      <c r="AI18" s="1223"/>
      <c r="AJ18" s="1223"/>
      <c r="AK18" s="1223">
        <f>AE18</f>
        <v>7.9440699331360296</v>
      </c>
      <c r="AL18" s="1223">
        <v>7.9440699331360296</v>
      </c>
      <c r="AM18" s="1223">
        <v>7.9440699331360296</v>
      </c>
      <c r="AN18" s="1223">
        <v>7.9440699331360296</v>
      </c>
      <c r="AO18" s="1223">
        <v>7.9440699331360296</v>
      </c>
      <c r="AP18" s="1223">
        <v>7.9440699331360296</v>
      </c>
      <c r="AQ18" s="1223">
        <v>7.9440699331360296</v>
      </c>
      <c r="AR18" s="1223">
        <f>SUM(AF18:AQ18)</f>
        <v>55.608489531952202</v>
      </c>
      <c r="AS18" s="1222">
        <f>Z18-AR18</f>
        <v>102.72484380138114</v>
      </c>
      <c r="AT18" s="1176"/>
      <c r="AU18" s="1176"/>
      <c r="AV18" s="1176">
        <f t="shared" si="0"/>
        <v>7.9440699331360296</v>
      </c>
      <c r="AW18" s="1176">
        <f t="shared" si="0"/>
        <v>7.9440699331360296</v>
      </c>
      <c r="AX18" s="1176">
        <f t="shared" si="0"/>
        <v>7.9440699331360296</v>
      </c>
      <c r="AY18" s="1176">
        <f t="shared" si="0"/>
        <v>7.9440699331360296</v>
      </c>
      <c r="AZ18" s="1176">
        <f t="shared" si="0"/>
        <v>7.9440699331360296</v>
      </c>
      <c r="BA18" s="1226">
        <v>118.901</v>
      </c>
      <c r="BB18" s="1226">
        <v>121.64</v>
      </c>
      <c r="BC18" s="1226">
        <f>BA18/BB18</f>
        <v>0.97748273594212431</v>
      </c>
      <c r="BD18" s="1176">
        <f>T18/(D18*12)</f>
        <v>8.3333333333333339</v>
      </c>
      <c r="BE18" s="1176">
        <f>BD18*BC18</f>
        <v>8.1456894661843702</v>
      </c>
      <c r="BF18" s="1227">
        <f t="shared" ref="BF18:BL23" si="2">$BE18</f>
        <v>8.1456894661843702</v>
      </c>
      <c r="BG18" s="1227">
        <f t="shared" si="2"/>
        <v>8.1456894661843702</v>
      </c>
      <c r="BH18" s="1227">
        <f t="shared" si="2"/>
        <v>8.1456894661843702</v>
      </c>
      <c r="BI18" s="1227">
        <f t="shared" si="2"/>
        <v>8.1456894661843702</v>
      </c>
      <c r="BJ18" s="1227">
        <f t="shared" si="2"/>
        <v>8.1456894661843702</v>
      </c>
      <c r="BK18" s="1227">
        <f t="shared" si="2"/>
        <v>8.1456894661843702</v>
      </c>
      <c r="BL18" s="1227">
        <f t="shared" si="2"/>
        <v>8.1456894661843702</v>
      </c>
      <c r="BM18" s="1227">
        <f>SUM((AV18:AZ18),(BF18:BL18))</f>
        <v>96.740175928970714</v>
      </c>
      <c r="BN18" s="1228">
        <f>(AS18-BM18)</f>
        <v>5.9846678724104265</v>
      </c>
      <c r="BO18" s="1227">
        <v>4.9800000000000004</v>
      </c>
      <c r="BP18" s="1227">
        <v>0</v>
      </c>
      <c r="BQ18" s="1227">
        <v>0</v>
      </c>
      <c r="BR18" s="1227">
        <v>0</v>
      </c>
      <c r="BS18" s="1227">
        <v>0</v>
      </c>
      <c r="BT18" s="1229">
        <v>118.901</v>
      </c>
      <c r="BU18" s="1229">
        <v>121.64</v>
      </c>
      <c r="BV18" s="1229">
        <f>BT18/BU18</f>
        <v>0.97748273594212431</v>
      </c>
      <c r="BW18" s="1227">
        <v>0</v>
      </c>
      <c r="BX18" s="1227">
        <f>BW18*BV18</f>
        <v>0</v>
      </c>
      <c r="BY18" s="1227">
        <v>0</v>
      </c>
      <c r="BZ18" s="1227">
        <v>0</v>
      </c>
      <c r="CA18" s="1227">
        <v>0</v>
      </c>
      <c r="CB18" s="1227">
        <v>0</v>
      </c>
      <c r="CC18" s="1227">
        <v>0</v>
      </c>
      <c r="CD18" s="1227">
        <v>0</v>
      </c>
      <c r="CE18" s="1227">
        <v>0</v>
      </c>
      <c r="CF18" s="1227">
        <f>SUM(BO18+BP18+BQ18+BR18+BS18+BY18+BZ18+CA18+CB18+CC18+CD18+CE18)</f>
        <v>4.9800000000000004</v>
      </c>
      <c r="CG18" s="1232">
        <f>BN18-CF18</f>
        <v>1.0046678724104261</v>
      </c>
      <c r="CH18" s="1227">
        <v>0</v>
      </c>
      <c r="CI18" s="1227">
        <v>0</v>
      </c>
      <c r="CJ18" s="1227">
        <v>0</v>
      </c>
      <c r="CK18" s="1227">
        <v>0</v>
      </c>
      <c r="CL18" s="1227">
        <v>0</v>
      </c>
      <c r="CM18" s="1170">
        <f t="shared" ref="CM18:CM25" si="3">SUM(CH18:CL18)</f>
        <v>0</v>
      </c>
      <c r="CN18" s="679">
        <f>CG18-CM18</f>
        <v>1.0046678724104261</v>
      </c>
      <c r="CO18" s="1171">
        <v>132.28200000000001</v>
      </c>
      <c r="CP18" s="1226">
        <v>121.64</v>
      </c>
      <c r="CQ18" s="1200">
        <f>CO18/CP18</f>
        <v>1.0874876685300889</v>
      </c>
      <c r="CR18" s="510">
        <v>0</v>
      </c>
      <c r="CS18" s="510">
        <v>0</v>
      </c>
      <c r="CT18" s="510">
        <v>0</v>
      </c>
      <c r="CU18" s="510">
        <v>0</v>
      </c>
      <c r="CV18" s="510">
        <v>0</v>
      </c>
      <c r="CW18" s="510">
        <v>0</v>
      </c>
      <c r="CX18" s="510">
        <v>0</v>
      </c>
      <c r="CY18" s="510">
        <v>0</v>
      </c>
      <c r="CZ18" s="510">
        <v>0</v>
      </c>
      <c r="DA18" s="510">
        <v>0</v>
      </c>
      <c r="DB18" s="510">
        <v>0</v>
      </c>
      <c r="DC18" s="510">
        <v>0</v>
      </c>
      <c r="DD18" s="510">
        <v>0</v>
      </c>
      <c r="DE18" s="510">
        <v>0</v>
      </c>
      <c r="DF18" s="510">
        <v>0</v>
      </c>
      <c r="DG18" s="510">
        <v>0</v>
      </c>
      <c r="DH18" s="510">
        <v>0</v>
      </c>
      <c r="DI18" s="510">
        <v>0</v>
      </c>
      <c r="DJ18" s="510">
        <v>0</v>
      </c>
      <c r="DK18" s="510">
        <v>0</v>
      </c>
      <c r="DL18" s="510">
        <f>SUM(CT18:CZ18)</f>
        <v>0</v>
      </c>
      <c r="DM18" s="510">
        <f>CN18-DL18</f>
        <v>1.0046678724104261</v>
      </c>
    </row>
    <row r="19" spans="1:117" s="35" customFormat="1" ht="15.75" x14ac:dyDescent="0.25">
      <c r="A19" s="409" t="s">
        <v>688</v>
      </c>
      <c r="B19" s="176"/>
      <c r="C19" s="176"/>
      <c r="D19" s="109"/>
      <c r="E19" s="1217"/>
      <c r="F19" s="1218"/>
      <c r="G19" s="148"/>
      <c r="H19" s="1219"/>
      <c r="I19" s="1220"/>
      <c r="J19" s="148"/>
      <c r="K19" s="1220"/>
      <c r="L19" s="148"/>
      <c r="M19" s="1220"/>
      <c r="N19" s="148"/>
      <c r="O19" s="1220"/>
      <c r="P19" s="148"/>
      <c r="Q19" s="148"/>
      <c r="R19" s="148"/>
      <c r="S19" s="1221"/>
      <c r="T19" s="610"/>
      <c r="U19" s="1222"/>
      <c r="V19" s="612"/>
      <c r="W19" s="612"/>
      <c r="X19" s="1223"/>
      <c r="Y19" s="610"/>
      <c r="Z19" s="1224"/>
      <c r="AA19" s="1225"/>
      <c r="AB19" s="1225"/>
      <c r="AC19" s="1225"/>
      <c r="AD19" s="1223"/>
      <c r="AE19" s="1223"/>
      <c r="AF19" s="1223"/>
      <c r="AG19" s="1223"/>
      <c r="AH19" s="1223"/>
      <c r="AI19" s="1223"/>
      <c r="AJ19" s="1223"/>
      <c r="AK19" s="1223"/>
      <c r="AL19" s="1223"/>
      <c r="AM19" s="1223"/>
      <c r="AN19" s="1223"/>
      <c r="AO19" s="1223"/>
      <c r="AP19" s="1223"/>
      <c r="AQ19" s="1223"/>
      <c r="AR19" s="1223"/>
      <c r="AS19" s="1222"/>
      <c r="AT19" s="1176"/>
      <c r="AU19" s="1176"/>
      <c r="AV19" s="1176"/>
      <c r="AW19" s="1176"/>
      <c r="AX19" s="1176"/>
      <c r="AY19" s="1176"/>
      <c r="AZ19" s="1176"/>
      <c r="BA19" s="1226"/>
      <c r="BB19" s="1226"/>
      <c r="BC19" s="1226"/>
      <c r="BD19" s="1176"/>
      <c r="BE19" s="1176"/>
      <c r="BF19" s="1227"/>
      <c r="BG19" s="1227"/>
      <c r="BH19" s="1227"/>
      <c r="BI19" s="1227"/>
      <c r="BJ19" s="1227"/>
      <c r="BK19" s="1227"/>
      <c r="BL19" s="1227"/>
      <c r="BM19" s="1227"/>
      <c r="BN19" s="1228"/>
      <c r="BO19" s="1227"/>
      <c r="BP19" s="1227"/>
      <c r="BQ19" s="1227"/>
      <c r="BR19" s="1227"/>
      <c r="BS19" s="1227"/>
      <c r="BT19" s="1229"/>
      <c r="BU19" s="1229"/>
      <c r="BV19" s="1229"/>
      <c r="BW19" s="1227"/>
      <c r="BX19" s="1227"/>
      <c r="BY19" s="1227"/>
      <c r="BZ19" s="1227"/>
      <c r="CA19" s="1227"/>
      <c r="CB19" s="1227"/>
      <c r="CC19" s="1227"/>
      <c r="CD19" s="1227"/>
      <c r="CE19" s="1227"/>
      <c r="CF19" s="1227"/>
      <c r="CG19" s="1232"/>
      <c r="CH19" s="1227"/>
      <c r="CI19" s="1227"/>
      <c r="CJ19" s="1227"/>
      <c r="CK19" s="1227"/>
      <c r="CL19" s="1227"/>
      <c r="CM19" s="1170"/>
      <c r="CN19" s="679"/>
      <c r="CO19" s="510"/>
      <c r="CP19" s="1226"/>
      <c r="CQ19" s="1200"/>
      <c r="CR19" s="510"/>
      <c r="CS19" s="510"/>
      <c r="CT19" s="510"/>
      <c r="CU19" s="510"/>
      <c r="CV19" s="510"/>
      <c r="CW19" s="510"/>
      <c r="CX19" s="510"/>
      <c r="CY19" s="510"/>
      <c r="CZ19" s="510"/>
      <c r="DA19" s="510"/>
      <c r="DB19" s="510"/>
      <c r="DC19" s="510"/>
      <c r="DD19" s="510"/>
      <c r="DE19" s="510"/>
      <c r="DF19" s="510"/>
      <c r="DG19" s="510"/>
      <c r="DH19" s="510"/>
      <c r="DI19" s="510"/>
      <c r="DJ19" s="510"/>
      <c r="DK19" s="510"/>
      <c r="DL19" s="510"/>
      <c r="DM19" s="510"/>
    </row>
    <row r="20" spans="1:117" s="35" customFormat="1" ht="15.75" x14ac:dyDescent="0.25">
      <c r="A20" s="409" t="s">
        <v>1224</v>
      </c>
      <c r="B20" s="176"/>
      <c r="C20" s="176"/>
      <c r="D20" s="109"/>
      <c r="E20" s="1217"/>
      <c r="F20" s="1218"/>
      <c r="G20" s="148"/>
      <c r="H20" s="1219"/>
      <c r="I20" s="1220"/>
      <c r="J20" s="148"/>
      <c r="K20" s="1220"/>
      <c r="L20" s="148"/>
      <c r="M20" s="1220"/>
      <c r="N20" s="148"/>
      <c r="O20" s="1220"/>
      <c r="P20" s="148"/>
      <c r="Q20" s="148"/>
      <c r="R20" s="148"/>
      <c r="S20" s="1221"/>
      <c r="T20" s="610"/>
      <c r="U20" s="1222"/>
      <c r="V20" s="612"/>
      <c r="W20" s="612"/>
      <c r="X20" s="1223"/>
      <c r="Y20" s="610"/>
      <c r="Z20" s="1224"/>
      <c r="AA20" s="1225"/>
      <c r="AB20" s="1225"/>
      <c r="AC20" s="1225"/>
      <c r="AD20" s="1223"/>
      <c r="AE20" s="1223"/>
      <c r="AF20" s="1223"/>
      <c r="AG20" s="1223"/>
      <c r="AH20" s="1223"/>
      <c r="AI20" s="1223"/>
      <c r="AJ20" s="1223"/>
      <c r="AK20" s="1223"/>
      <c r="AL20" s="1223"/>
      <c r="AM20" s="1223"/>
      <c r="AN20" s="1223"/>
      <c r="AO20" s="1223"/>
      <c r="AP20" s="1223"/>
      <c r="AQ20" s="1223"/>
      <c r="AR20" s="1223"/>
      <c r="AS20" s="1222"/>
      <c r="AT20" s="1176"/>
      <c r="AU20" s="1176"/>
      <c r="AV20" s="1176"/>
      <c r="AW20" s="1176"/>
      <c r="AX20" s="1176"/>
      <c r="AY20" s="1176"/>
      <c r="AZ20" s="1176"/>
      <c r="BA20" s="1226"/>
      <c r="BB20" s="1226"/>
      <c r="BC20" s="1226"/>
      <c r="BD20" s="1176"/>
      <c r="BE20" s="1176"/>
      <c r="BF20" s="1227"/>
      <c r="BG20" s="1227"/>
      <c r="BH20" s="1227"/>
      <c r="BI20" s="1227"/>
      <c r="BJ20" s="1227"/>
      <c r="BK20" s="1227"/>
      <c r="BL20" s="1227"/>
      <c r="BM20" s="1227"/>
      <c r="BN20" s="1228"/>
      <c r="BO20" s="1227"/>
      <c r="BP20" s="1227"/>
      <c r="BQ20" s="1227"/>
      <c r="BR20" s="1227"/>
      <c r="BS20" s="1227"/>
      <c r="BT20" s="1229"/>
      <c r="BU20" s="1229"/>
      <c r="BV20" s="1229"/>
      <c r="BW20" s="1227"/>
      <c r="BX20" s="1227"/>
      <c r="BY20" s="1227"/>
      <c r="BZ20" s="1227"/>
      <c r="CA20" s="1227"/>
      <c r="CB20" s="1227"/>
      <c r="CC20" s="1227"/>
      <c r="CD20" s="1227"/>
      <c r="CE20" s="1227"/>
      <c r="CF20" s="1227"/>
      <c r="CG20" s="1232"/>
      <c r="CH20" s="1227"/>
      <c r="CI20" s="1227"/>
      <c r="CJ20" s="1227"/>
      <c r="CK20" s="1227"/>
      <c r="CL20" s="1227"/>
      <c r="CM20" s="1170"/>
      <c r="CN20" s="679"/>
      <c r="CO20" s="1171"/>
      <c r="CP20" s="1226"/>
      <c r="CQ20" s="1200"/>
      <c r="CR20" s="510"/>
      <c r="CS20" s="510"/>
      <c r="CT20" s="510"/>
      <c r="CU20" s="510"/>
      <c r="CV20" s="510"/>
      <c r="CW20" s="510"/>
      <c r="CX20" s="510"/>
      <c r="CY20" s="510"/>
      <c r="CZ20" s="510"/>
      <c r="DA20" s="510"/>
      <c r="DB20" s="510"/>
      <c r="DC20" s="510"/>
      <c r="DD20" s="510"/>
      <c r="DE20" s="510"/>
      <c r="DF20" s="510"/>
      <c r="DG20" s="510"/>
      <c r="DH20" s="510"/>
      <c r="DI20" s="510"/>
      <c r="DJ20" s="510"/>
      <c r="DK20" s="510"/>
      <c r="DL20" s="510"/>
      <c r="DM20" s="756"/>
    </row>
    <row r="21" spans="1:117" s="35" customFormat="1" ht="15.75" x14ac:dyDescent="0.25">
      <c r="A21" s="119" t="s">
        <v>1225</v>
      </c>
      <c r="B21" s="100" t="s">
        <v>1226</v>
      </c>
      <c r="C21" s="100" t="s">
        <v>659</v>
      </c>
      <c r="D21" s="125">
        <v>10</v>
      </c>
      <c r="E21" s="127">
        <v>0.1</v>
      </c>
      <c r="F21" s="119">
        <v>43069</v>
      </c>
      <c r="G21" s="8">
        <v>120</v>
      </c>
      <c r="H21" s="146">
        <f>100/G21</f>
        <v>0.83333333333333337</v>
      </c>
      <c r="I21" s="1167">
        <v>0</v>
      </c>
      <c r="J21" s="148">
        <f>(YEAR(F21)-YEAR(S21))*12+MONTH(F21)-MONTH(S21)</f>
        <v>0</v>
      </c>
      <c r="K21" s="1167">
        <v>100</v>
      </c>
      <c r="L21" s="125">
        <v>120</v>
      </c>
      <c r="M21" s="1167">
        <f>N21*H21</f>
        <v>5.8333333333333339</v>
      </c>
      <c r="N21" s="125">
        <v>7</v>
      </c>
      <c r="O21" s="1167">
        <f>K21-M21</f>
        <v>94.166666666666671</v>
      </c>
      <c r="P21" s="125">
        <f>L21-N21</f>
        <v>113</v>
      </c>
      <c r="Q21" s="119">
        <v>43050</v>
      </c>
      <c r="R21" s="125" t="s">
        <v>1227</v>
      </c>
      <c r="S21" s="128">
        <v>43050</v>
      </c>
      <c r="T21" s="1230">
        <v>338</v>
      </c>
      <c r="U21" s="1231"/>
      <c r="V21" s="1001"/>
      <c r="W21" s="1001"/>
      <c r="X21" s="510"/>
      <c r="Y21" s="1230"/>
      <c r="Z21" s="1033"/>
      <c r="AA21" s="1174"/>
      <c r="AB21" s="1174"/>
      <c r="AC21" s="1174"/>
      <c r="AD21" s="510"/>
      <c r="AE21" s="510"/>
      <c r="AF21" s="510"/>
      <c r="AG21" s="510"/>
      <c r="AH21" s="510"/>
      <c r="AI21" s="510"/>
      <c r="AJ21" s="510"/>
      <c r="AK21" s="510"/>
      <c r="AL21" s="510"/>
      <c r="AM21" s="510"/>
      <c r="AN21" s="510"/>
      <c r="AO21" s="510"/>
      <c r="AP21" s="510"/>
      <c r="AQ21" s="510"/>
      <c r="AR21" s="510"/>
      <c r="AS21" s="1230">
        <v>338</v>
      </c>
      <c r="AT21" s="510"/>
      <c r="AU21" s="510"/>
      <c r="AV21" s="510"/>
      <c r="AW21" s="510"/>
      <c r="AX21" s="510"/>
      <c r="AY21" s="510"/>
      <c r="AZ21" s="510"/>
      <c r="BA21" s="1174">
        <v>126.408</v>
      </c>
      <c r="BB21" s="1174">
        <v>130.04400000000001</v>
      </c>
      <c r="BC21" s="1174">
        <f>BA21/BB21</f>
        <v>0.97204023253667982</v>
      </c>
      <c r="BD21" s="510">
        <f>T21/(D21*12)</f>
        <v>2.8166666666666669</v>
      </c>
      <c r="BE21" s="510">
        <f>BD21*BC21</f>
        <v>2.7379133216449816</v>
      </c>
      <c r="BF21" s="538"/>
      <c r="BG21" s="538"/>
      <c r="BH21" s="538"/>
      <c r="BI21" s="538"/>
      <c r="BJ21" s="538"/>
      <c r="BK21" s="538"/>
      <c r="BL21" s="538"/>
      <c r="BM21" s="538"/>
      <c r="BN21" s="1199">
        <f>(AS21-BM21)</f>
        <v>338</v>
      </c>
      <c r="BO21" s="538"/>
      <c r="BP21" s="538"/>
      <c r="BQ21" s="538"/>
      <c r="BR21" s="538"/>
      <c r="BS21" s="1199">
        <f>(AX21-BR21)</f>
        <v>0</v>
      </c>
      <c r="BT21" s="1190"/>
      <c r="BU21" s="1190"/>
      <c r="BV21" s="1190"/>
      <c r="BW21" s="538"/>
      <c r="BX21" s="538"/>
      <c r="BY21" s="538"/>
      <c r="BZ21" s="538"/>
      <c r="CA21" s="538"/>
      <c r="CB21" s="538"/>
      <c r="CC21" s="538"/>
      <c r="CD21" s="538">
        <v>0</v>
      </c>
      <c r="CE21" s="538">
        <v>2.74</v>
      </c>
      <c r="CF21" s="538">
        <f>SUM(BO21+BP21+BQ21+BR21+BS21+BY21+BZ21+CA21+CB21+CC21+CD21+CE21)</f>
        <v>2.74</v>
      </c>
      <c r="CG21" s="1233">
        <f>BN21-CF21</f>
        <v>335.26</v>
      </c>
      <c r="CH21" s="538">
        <v>2.74</v>
      </c>
      <c r="CI21" s="538">
        <v>2.74</v>
      </c>
      <c r="CJ21" s="538">
        <v>2.74</v>
      </c>
      <c r="CK21" s="538">
        <v>2.74</v>
      </c>
      <c r="CL21" s="538">
        <v>2.74</v>
      </c>
      <c r="CM21" s="1170">
        <f t="shared" si="3"/>
        <v>13.700000000000001</v>
      </c>
      <c r="CN21" s="679">
        <f>CG21-CH21</f>
        <v>332.52</v>
      </c>
      <c r="CO21" s="1171">
        <v>132.28200000000001</v>
      </c>
      <c r="CP21" s="1174">
        <v>130.04400000000001</v>
      </c>
      <c r="CQ21" s="1200">
        <f>CO21/CP21</f>
        <v>1.0172095598412845</v>
      </c>
      <c r="CR21" s="510">
        <f>CN21/P21</f>
        <v>2.9426548672566368</v>
      </c>
      <c r="CS21" s="510">
        <f>CR21*CQ21</f>
        <v>2.9932966622869368</v>
      </c>
      <c r="CT21" s="510">
        <v>2.99</v>
      </c>
      <c r="CU21" s="510">
        <v>2.99</v>
      </c>
      <c r="CV21" s="510">
        <v>2.99</v>
      </c>
      <c r="CW21" s="510">
        <v>2.99</v>
      </c>
      <c r="CX21" s="510">
        <v>2.99</v>
      </c>
      <c r="CY21" s="510">
        <v>2.99</v>
      </c>
      <c r="CZ21" s="510">
        <v>2.99</v>
      </c>
      <c r="DA21" s="510">
        <v>2.99</v>
      </c>
      <c r="DB21" s="510">
        <v>2.99</v>
      </c>
      <c r="DC21" s="510">
        <v>2.99</v>
      </c>
      <c r="DD21" s="510">
        <v>2.99</v>
      </c>
      <c r="DE21" s="510">
        <v>2.99</v>
      </c>
      <c r="DF21" s="510">
        <v>2.99</v>
      </c>
      <c r="DG21" s="510">
        <v>2.99</v>
      </c>
      <c r="DH21" s="510">
        <v>2.99</v>
      </c>
      <c r="DI21" s="510">
        <v>2.99</v>
      </c>
      <c r="DJ21" s="510">
        <v>2.99</v>
      </c>
      <c r="DK21" s="510">
        <v>2.99</v>
      </c>
      <c r="DL21" s="510">
        <f>SUM(CT21:DK21)</f>
        <v>53.820000000000022</v>
      </c>
      <c r="DM21" s="510">
        <f>CN21-DL21</f>
        <v>278.69999999999993</v>
      </c>
    </row>
    <row r="22" spans="1:117" s="35" customFormat="1" ht="15.75" x14ac:dyDescent="0.25">
      <c r="A22" s="367" t="s">
        <v>660</v>
      </c>
      <c r="B22" s="176" t="s">
        <v>665</v>
      </c>
      <c r="C22" s="176" t="s">
        <v>659</v>
      </c>
      <c r="D22" s="109">
        <v>3</v>
      </c>
      <c r="E22" s="1217">
        <v>0.33329999999999999</v>
      </c>
      <c r="F22" s="1218">
        <v>42185</v>
      </c>
      <c r="G22" s="148">
        <v>36</v>
      </c>
      <c r="H22" s="1219">
        <f>100/G22</f>
        <v>2.7777777777777777</v>
      </c>
      <c r="I22" s="1220">
        <f>H22*J22</f>
        <v>247.2222222222222</v>
      </c>
      <c r="J22" s="148">
        <f>(YEAR(F22)-YEAR(S22))*12+MONTH(F22)-MONTH(S22)</f>
        <v>89</v>
      </c>
      <c r="K22" s="1220">
        <f>L22*H22</f>
        <v>0</v>
      </c>
      <c r="L22" s="148">
        <v>0</v>
      </c>
      <c r="M22" s="1220">
        <f>N22*H22</f>
        <v>0</v>
      </c>
      <c r="N22" s="148">
        <v>0</v>
      </c>
      <c r="O22" s="1220">
        <f t="shared" si="1"/>
        <v>0</v>
      </c>
      <c r="P22" s="148">
        <f t="shared" si="1"/>
        <v>0</v>
      </c>
      <c r="Q22" s="148">
        <f t="shared" si="1"/>
        <v>0</v>
      </c>
      <c r="R22" s="148" t="s">
        <v>445</v>
      </c>
      <c r="S22" s="1221">
        <v>39448</v>
      </c>
      <c r="T22" s="610">
        <v>70</v>
      </c>
      <c r="U22" s="1222"/>
      <c r="V22" s="612">
        <f>T22*H22%*12</f>
        <v>23.333333333333332</v>
      </c>
      <c r="W22" s="612">
        <f>T22-V22</f>
        <v>46.666666666666671</v>
      </c>
      <c r="X22" s="1223">
        <f>T22*H22%</f>
        <v>1.9444444444444444</v>
      </c>
      <c r="Y22" s="610">
        <f>X22*5</f>
        <v>9.7222222222222214</v>
      </c>
      <c r="Z22" s="1224">
        <f>W22-Y22</f>
        <v>36.94444444444445</v>
      </c>
      <c r="AA22" s="1225">
        <v>115.958</v>
      </c>
      <c r="AB22" s="1225">
        <v>126.146</v>
      </c>
      <c r="AC22" s="1225">
        <f>AA22/AB22</f>
        <v>0.91923644031519036</v>
      </c>
      <c r="AD22" s="1223">
        <f>Z22/19</f>
        <v>1.9444444444444446</v>
      </c>
      <c r="AE22" s="1223">
        <f>AD22*AC22</f>
        <v>1.7874041895017592</v>
      </c>
      <c r="AF22" s="1223"/>
      <c r="AG22" s="1223"/>
      <c r="AH22" s="1223"/>
      <c r="AI22" s="1223"/>
      <c r="AJ22" s="1223"/>
      <c r="AK22" s="1223">
        <f>AE22</f>
        <v>1.7874041895017592</v>
      </c>
      <c r="AL22" s="1223">
        <v>1.7874041895017592</v>
      </c>
      <c r="AM22" s="1223">
        <v>1.7874041895017592</v>
      </c>
      <c r="AN22" s="1223">
        <v>1.7874041895017592</v>
      </c>
      <c r="AO22" s="1223">
        <v>1.7874041895017592</v>
      </c>
      <c r="AP22" s="1223">
        <v>1.7874041895017592</v>
      </c>
      <c r="AQ22" s="1223">
        <v>1.7874041895017592</v>
      </c>
      <c r="AR22" s="1223">
        <f>SUM(AF22:AQ22)</f>
        <v>12.511829326512313</v>
      </c>
      <c r="AS22" s="1222">
        <f>Z22-AR22</f>
        <v>24.432615117932137</v>
      </c>
      <c r="AT22" s="1176"/>
      <c r="AU22" s="1176"/>
      <c r="AV22" s="1176">
        <f t="shared" si="0"/>
        <v>1.7874041895017592</v>
      </c>
      <c r="AW22" s="1176">
        <f t="shared" si="0"/>
        <v>1.7874041895017592</v>
      </c>
      <c r="AX22" s="1176">
        <f t="shared" si="0"/>
        <v>1.7874041895017592</v>
      </c>
      <c r="AY22" s="1176">
        <f t="shared" si="0"/>
        <v>1.7874041895017592</v>
      </c>
      <c r="AZ22" s="1176">
        <f t="shared" si="0"/>
        <v>1.7874041895017592</v>
      </c>
      <c r="BA22" s="1226">
        <v>118.901</v>
      </c>
      <c r="BB22" s="1226">
        <v>126.146</v>
      </c>
      <c r="BC22" s="1226">
        <f>BA22/BB22</f>
        <v>0.94256654987078459</v>
      </c>
      <c r="BD22" s="1176">
        <f>T22/(D22*12)</f>
        <v>1.9444444444444444</v>
      </c>
      <c r="BE22" s="1176">
        <f>BD22*BC22</f>
        <v>1.8327682914154144</v>
      </c>
      <c r="BF22" s="1227">
        <f t="shared" si="2"/>
        <v>1.8327682914154144</v>
      </c>
      <c r="BG22" s="1227">
        <f t="shared" si="2"/>
        <v>1.8327682914154144</v>
      </c>
      <c r="BH22" s="1227">
        <f t="shared" si="2"/>
        <v>1.8327682914154144</v>
      </c>
      <c r="BI22" s="1227">
        <f t="shared" si="2"/>
        <v>1.8327682914154144</v>
      </c>
      <c r="BJ22" s="1227">
        <f t="shared" si="2"/>
        <v>1.8327682914154144</v>
      </c>
      <c r="BK22" s="1227">
        <f t="shared" si="2"/>
        <v>1.8327682914154144</v>
      </c>
      <c r="BL22" s="1227">
        <f t="shared" si="2"/>
        <v>1.8327682914154144</v>
      </c>
      <c r="BM22" s="1227">
        <f>SUM((AV22:AZ22),(BF22:BL22))</f>
        <v>21.7663989874167</v>
      </c>
      <c r="BN22" s="1228">
        <f>(AS22-BM22)</f>
        <v>2.666216130515437</v>
      </c>
      <c r="BO22" s="1227">
        <v>1.67</v>
      </c>
      <c r="BP22" s="1227">
        <v>0</v>
      </c>
      <c r="BQ22" s="1227">
        <v>0</v>
      </c>
      <c r="BR22" s="1227">
        <v>0</v>
      </c>
      <c r="BS22" s="1227">
        <v>0</v>
      </c>
      <c r="BT22" s="1229">
        <v>118.901</v>
      </c>
      <c r="BU22" s="1229">
        <v>126.146</v>
      </c>
      <c r="BV22" s="1229">
        <f>BT22/BU22</f>
        <v>0.94256654987078459</v>
      </c>
      <c r="BW22" s="1227">
        <v>0</v>
      </c>
      <c r="BX22" s="1227">
        <f>BW22*BV22</f>
        <v>0</v>
      </c>
      <c r="BY22" s="1227">
        <v>0</v>
      </c>
      <c r="BZ22" s="1227">
        <v>0</v>
      </c>
      <c r="CA22" s="1227">
        <v>0</v>
      </c>
      <c r="CB22" s="1227">
        <v>0</v>
      </c>
      <c r="CC22" s="1227">
        <v>0</v>
      </c>
      <c r="CD22" s="1227">
        <v>0</v>
      </c>
      <c r="CE22" s="1227">
        <v>0</v>
      </c>
      <c r="CF22" s="1227">
        <f>SUM(BO22+BP22+BQ22+BR22+BS22+BY22+BZ22+CA22+CB22+CC22+CD22+CE22)</f>
        <v>1.67</v>
      </c>
      <c r="CG22" s="1232">
        <f>BN22-CF22</f>
        <v>0.99621613051543711</v>
      </c>
      <c r="CH22" s="1227">
        <v>0</v>
      </c>
      <c r="CI22" s="1227">
        <v>0</v>
      </c>
      <c r="CJ22" s="1227">
        <v>0</v>
      </c>
      <c r="CK22" s="1227">
        <v>0</v>
      </c>
      <c r="CL22" s="1227">
        <v>0</v>
      </c>
      <c r="CM22" s="1170">
        <f t="shared" si="3"/>
        <v>0</v>
      </c>
      <c r="CN22" s="679">
        <f>CG22-CM22</f>
        <v>0.99621613051543711</v>
      </c>
      <c r="CO22" s="1171">
        <v>132.28200000000001</v>
      </c>
      <c r="CP22" s="1226">
        <v>126.146</v>
      </c>
      <c r="CQ22" s="1200">
        <f>CO22/CP22</f>
        <v>1.0486420496884563</v>
      </c>
      <c r="CR22" s="510">
        <v>0</v>
      </c>
      <c r="CS22" s="510">
        <v>0</v>
      </c>
      <c r="CT22" s="510"/>
      <c r="CU22" s="510"/>
      <c r="CV22" s="510"/>
      <c r="CW22" s="510"/>
      <c r="CX22" s="510"/>
      <c r="CY22" s="510"/>
      <c r="CZ22" s="510"/>
      <c r="DA22" s="510"/>
      <c r="DB22" s="510"/>
      <c r="DC22" s="510"/>
      <c r="DD22" s="510"/>
      <c r="DE22" s="510"/>
      <c r="DF22" s="510"/>
      <c r="DG22" s="510"/>
      <c r="DH22" s="510"/>
      <c r="DI22" s="510"/>
      <c r="DJ22" s="510"/>
      <c r="DK22" s="510"/>
      <c r="DL22" s="510">
        <f>SUM(CT22:CZ22)</f>
        <v>0</v>
      </c>
      <c r="DM22" s="510">
        <f>CN22-DL22</f>
        <v>0.99621613051543711</v>
      </c>
    </row>
    <row r="23" spans="1:117" s="16" customFormat="1" ht="15.75" x14ac:dyDescent="0.25">
      <c r="A23" s="367" t="s">
        <v>660</v>
      </c>
      <c r="B23" s="176" t="s">
        <v>666</v>
      </c>
      <c r="C23" s="177" t="s">
        <v>659</v>
      </c>
      <c r="D23" s="61">
        <v>3</v>
      </c>
      <c r="E23" s="117">
        <v>0.33329999999999999</v>
      </c>
      <c r="F23" s="41">
        <v>42185</v>
      </c>
      <c r="G23" s="148">
        <v>36</v>
      </c>
      <c r="H23" s="147">
        <f>100/G23</f>
        <v>2.7777777777777777</v>
      </c>
      <c r="I23" s="164">
        <f>H23*J23</f>
        <v>180.55555555555554</v>
      </c>
      <c r="J23" s="44">
        <f>(YEAR(F23)-YEAR(S23))*12+MONTH(F23)-MONTH(S23)</f>
        <v>65</v>
      </c>
      <c r="K23" s="164">
        <f>L23*H23</f>
        <v>0</v>
      </c>
      <c r="L23" s="44">
        <v>0</v>
      </c>
      <c r="M23" s="164">
        <f>N23*H23</f>
        <v>0</v>
      </c>
      <c r="N23" s="44">
        <v>0</v>
      </c>
      <c r="O23" s="164">
        <f t="shared" si="1"/>
        <v>0</v>
      </c>
      <c r="P23" s="44">
        <f t="shared" si="1"/>
        <v>0</v>
      </c>
      <c r="Q23" s="44">
        <f t="shared" si="1"/>
        <v>0</v>
      </c>
      <c r="R23" s="148" t="s">
        <v>445</v>
      </c>
      <c r="S23" s="287">
        <v>40179</v>
      </c>
      <c r="T23" s="610">
        <v>1200</v>
      </c>
      <c r="U23" s="611"/>
      <c r="V23" s="612">
        <f>T23*H23%*12</f>
        <v>399.99999999999994</v>
      </c>
      <c r="W23" s="612">
        <f>T23-V23</f>
        <v>800</v>
      </c>
      <c r="X23" s="613">
        <f>T23*H23%</f>
        <v>33.333333333333329</v>
      </c>
      <c r="Y23" s="614">
        <f>X23*5</f>
        <v>166.66666666666663</v>
      </c>
      <c r="Z23" s="615">
        <f>W23-Y23</f>
        <v>633.33333333333337</v>
      </c>
      <c r="AA23" s="616">
        <v>115.958</v>
      </c>
      <c r="AB23" s="616">
        <v>140.047</v>
      </c>
      <c r="AC23" s="616">
        <f>AA23/AB23</f>
        <v>0.82799345933865065</v>
      </c>
      <c r="AD23" s="613">
        <f>Z23/19</f>
        <v>33.333333333333336</v>
      </c>
      <c r="AE23" s="613">
        <f>AD23*AC23</f>
        <v>27.599781977955022</v>
      </c>
      <c r="AF23" s="613"/>
      <c r="AG23" s="613"/>
      <c r="AH23" s="613"/>
      <c r="AI23" s="613"/>
      <c r="AJ23" s="613"/>
      <c r="AK23" s="613">
        <f>AE23</f>
        <v>27.599781977955022</v>
      </c>
      <c r="AL23" s="613">
        <v>27.599781977955022</v>
      </c>
      <c r="AM23" s="613">
        <v>27.599781977955022</v>
      </c>
      <c r="AN23" s="613">
        <v>27.599781977955022</v>
      </c>
      <c r="AO23" s="613">
        <v>27.599781977955022</v>
      </c>
      <c r="AP23" s="613">
        <v>27.599781977955022</v>
      </c>
      <c r="AQ23" s="613">
        <v>27.599781977955022</v>
      </c>
      <c r="AR23" s="613">
        <f>SUM(AF23:AQ23)</f>
        <v>193.19847384568516</v>
      </c>
      <c r="AS23" s="611">
        <f>Z23-AR23</f>
        <v>440.13485948764821</v>
      </c>
      <c r="AT23" s="617"/>
      <c r="AU23" s="617"/>
      <c r="AV23" s="617">
        <f t="shared" si="0"/>
        <v>27.599781977955022</v>
      </c>
      <c r="AW23" s="617">
        <f t="shared" si="0"/>
        <v>27.599781977955022</v>
      </c>
      <c r="AX23" s="617">
        <f t="shared" si="0"/>
        <v>27.599781977955022</v>
      </c>
      <c r="AY23" s="617">
        <f t="shared" si="0"/>
        <v>27.599781977955022</v>
      </c>
      <c r="AZ23" s="617">
        <f t="shared" si="0"/>
        <v>27.599781977955022</v>
      </c>
      <c r="BA23" s="618">
        <v>118.901</v>
      </c>
      <c r="BB23" s="618">
        <v>140.047</v>
      </c>
      <c r="BC23" s="618">
        <f>BA23/BB23</f>
        <v>0.84900783308460726</v>
      </c>
      <c r="BD23" s="617">
        <f>T23/(D23*12)</f>
        <v>33.333333333333336</v>
      </c>
      <c r="BE23" s="617">
        <f>BD23*BC23</f>
        <v>28.300261102820244</v>
      </c>
      <c r="BF23" s="525">
        <f t="shared" si="2"/>
        <v>28.300261102820244</v>
      </c>
      <c r="BG23" s="525">
        <f t="shared" si="2"/>
        <v>28.300261102820244</v>
      </c>
      <c r="BH23" s="525">
        <f t="shared" si="2"/>
        <v>28.300261102820244</v>
      </c>
      <c r="BI23" s="525">
        <f t="shared" si="2"/>
        <v>28.300261102820244</v>
      </c>
      <c r="BJ23" s="525">
        <f t="shared" si="2"/>
        <v>28.300261102820244</v>
      </c>
      <c r="BK23" s="525">
        <f t="shared" si="2"/>
        <v>28.300261102820244</v>
      </c>
      <c r="BL23" s="525">
        <f t="shared" si="2"/>
        <v>28.300261102820244</v>
      </c>
      <c r="BM23" s="525">
        <f>SUM((AV23:AZ23),(BF23:BL23))</f>
        <v>336.10073760951673</v>
      </c>
      <c r="BN23" s="527">
        <f>(AS23-BM23)</f>
        <v>104.03412187813149</v>
      </c>
      <c r="BO23" s="525">
        <f>$BE23</f>
        <v>28.300261102820244</v>
      </c>
      <c r="BP23" s="525">
        <v>28.3</v>
      </c>
      <c r="BQ23" s="525">
        <v>28.3</v>
      </c>
      <c r="BR23" s="525">
        <v>18.13</v>
      </c>
      <c r="BS23" s="525">
        <v>0</v>
      </c>
      <c r="BT23" s="526">
        <v>118.901</v>
      </c>
      <c r="BU23" s="526">
        <v>140.047</v>
      </c>
      <c r="BV23" s="526">
        <f>BT23/BU23</f>
        <v>0.84900783308460726</v>
      </c>
      <c r="BW23" s="525">
        <v>0</v>
      </c>
      <c r="BX23" s="525">
        <f>BW23*BV23</f>
        <v>0</v>
      </c>
      <c r="BY23" s="525">
        <v>0</v>
      </c>
      <c r="BZ23" s="525">
        <v>0</v>
      </c>
      <c r="CA23" s="525">
        <v>0</v>
      </c>
      <c r="CB23" s="525">
        <v>0</v>
      </c>
      <c r="CC23" s="525">
        <v>0</v>
      </c>
      <c r="CD23" s="525">
        <v>0</v>
      </c>
      <c r="CE23" s="525">
        <v>0</v>
      </c>
      <c r="CF23" s="525">
        <f>SUM(BO23+BP23+BQ23+BR23+BS23+BY23+BZ23+CA23+CB23+CC23+CD23+CE23)</f>
        <v>103.03026110282023</v>
      </c>
      <c r="CG23" s="532">
        <f>BN23-CF23</f>
        <v>1.003860775311253</v>
      </c>
      <c r="CH23" s="525">
        <v>0</v>
      </c>
      <c r="CI23" s="525">
        <v>0</v>
      </c>
      <c r="CJ23" s="525">
        <v>0</v>
      </c>
      <c r="CK23" s="525">
        <v>0</v>
      </c>
      <c r="CL23" s="525">
        <v>0</v>
      </c>
      <c r="CM23" s="505">
        <f>SUM(CH23:CL23)</f>
        <v>0</v>
      </c>
      <c r="CN23" s="679">
        <f>CG23-CM23</f>
        <v>1.003860775311253</v>
      </c>
      <c r="CO23" s="956">
        <v>132.28200000000001</v>
      </c>
      <c r="CP23" s="618">
        <v>140.047</v>
      </c>
      <c r="CQ23" s="957">
        <f>CO23/CP23</f>
        <v>0.9445543281898221</v>
      </c>
      <c r="CR23" s="511">
        <v>0</v>
      </c>
      <c r="CS23" s="511">
        <v>0</v>
      </c>
      <c r="CT23" s="511">
        <v>0</v>
      </c>
      <c r="CU23" s="511">
        <v>0</v>
      </c>
      <c r="CV23" s="511">
        <v>0</v>
      </c>
      <c r="CW23" s="511">
        <v>0</v>
      </c>
      <c r="CX23" s="511">
        <v>0</v>
      </c>
      <c r="CY23" s="511">
        <v>0</v>
      </c>
      <c r="CZ23" s="511">
        <v>0</v>
      </c>
      <c r="DA23" s="511">
        <v>0</v>
      </c>
      <c r="DB23" s="511">
        <v>0</v>
      </c>
      <c r="DC23" s="511">
        <v>0</v>
      </c>
      <c r="DD23" s="511">
        <v>0</v>
      </c>
      <c r="DE23" s="511">
        <v>0</v>
      </c>
      <c r="DF23" s="511">
        <v>0</v>
      </c>
      <c r="DG23" s="511">
        <v>0</v>
      </c>
      <c r="DH23" s="511">
        <v>0</v>
      </c>
      <c r="DI23" s="511">
        <v>0</v>
      </c>
      <c r="DJ23" s="511">
        <v>0</v>
      </c>
      <c r="DK23" s="511">
        <v>0</v>
      </c>
      <c r="DL23" s="511">
        <f>SUM(CT23:CZ23)</f>
        <v>0</v>
      </c>
      <c r="DM23" s="511">
        <f>CN23-DL23</f>
        <v>1.003860775311253</v>
      </c>
    </row>
    <row r="24" spans="1:117" ht="15.75" x14ac:dyDescent="0.25">
      <c r="R24" s="175"/>
      <c r="V24" s="627">
        <f>SUM(V15:V23)</f>
        <v>739.99999999999989</v>
      </c>
      <c r="W24" s="627">
        <f>SUM(W15:W23)</f>
        <v>1480</v>
      </c>
      <c r="Y24" s="628"/>
      <c r="Z24" s="629">
        <f>SUM(Z15:Z23)</f>
        <v>1171.6666666666667</v>
      </c>
      <c r="AA24" s="12"/>
      <c r="AB24" s="85"/>
      <c r="AC24" s="12"/>
      <c r="AD24" s="400"/>
      <c r="AE24" s="400"/>
      <c r="AF24" s="400" t="e">
        <f>SUM(#REF!)</f>
        <v>#REF!</v>
      </c>
      <c r="AG24" s="400" t="e">
        <f>SUM(#REF!)</f>
        <v>#REF!</v>
      </c>
      <c r="AH24" s="400" t="e">
        <f>SUM(#REF!)</f>
        <v>#REF!</v>
      </c>
      <c r="AI24" s="400" t="e">
        <f>SUM(#REF!)</f>
        <v>#REF!</v>
      </c>
      <c r="AJ24" s="400" t="e">
        <f>SUM(#REF!)</f>
        <v>#REF!</v>
      </c>
      <c r="AK24" s="400">
        <f t="shared" ref="AK24:AR24" si="4">SUM(AK15:AK23)</f>
        <v>57.408028291064134</v>
      </c>
      <c r="AL24" s="400"/>
      <c r="AM24" s="400"/>
      <c r="AN24" s="400"/>
      <c r="AO24" s="400"/>
      <c r="AP24" s="400">
        <f t="shared" si="4"/>
        <v>57.408028291064134</v>
      </c>
      <c r="AQ24" s="400">
        <f t="shared" si="4"/>
        <v>57.408028291064134</v>
      </c>
      <c r="AR24" s="630">
        <f t="shared" si="4"/>
        <v>401.85619803744891</v>
      </c>
      <c r="AS24" s="400">
        <f>SUM(AS15:AS23)</f>
        <v>1107.8104686292179</v>
      </c>
      <c r="AT24" s="12"/>
      <c r="AU24" s="12"/>
      <c r="AV24" s="400">
        <f>SUM(AV14:AV23)</f>
        <v>57.408028291064134</v>
      </c>
      <c r="AW24" s="400">
        <f>SUM(AW14:AW23)</f>
        <v>57.408028291064134</v>
      </c>
      <c r="AX24" s="400">
        <f>SUM(AX14:AX23)</f>
        <v>57.408028291064134</v>
      </c>
      <c r="AY24" s="400">
        <f>SUM(AY15:AY23)</f>
        <v>57.408028291064134</v>
      </c>
      <c r="AZ24" s="400">
        <f>SUM(AZ15:AZ23)</f>
        <v>57.408028291064134</v>
      </c>
      <c r="BA24" s="12"/>
      <c r="BB24" s="85"/>
      <c r="BC24" s="12"/>
      <c r="BD24" s="400"/>
      <c r="BE24" s="400"/>
      <c r="BF24" s="524">
        <f>SUM(BF15:BF23)</f>
        <v>58.865037098223638</v>
      </c>
      <c r="BG24" s="524">
        <f t="shared" ref="BG24:BL24" si="5">SUM(BG14:BG23)</f>
        <v>58.865037098223638</v>
      </c>
      <c r="BH24" s="524">
        <f t="shared" si="5"/>
        <v>58.865037098223638</v>
      </c>
      <c r="BI24" s="524">
        <f t="shared" si="5"/>
        <v>58.865037098223638</v>
      </c>
      <c r="BJ24" s="524">
        <f t="shared" si="5"/>
        <v>57.068718860420034</v>
      </c>
      <c r="BK24" s="524">
        <f t="shared" si="5"/>
        <v>38.278718860420028</v>
      </c>
      <c r="BL24" s="524">
        <f t="shared" si="5"/>
        <v>38.278718860420028</v>
      </c>
      <c r="BM24" s="533">
        <f>SUM(AV24:BL24)</f>
        <v>656.12644642947532</v>
      </c>
      <c r="BN24" s="534">
        <f>SUM(BN15:BN23)</f>
        <v>451.68402219974269</v>
      </c>
      <c r="BO24" s="534">
        <f t="shared" ref="BO24:CF24" si="6">SUM(BO15:BO23)</f>
        <v>34.950261102820242</v>
      </c>
      <c r="BP24" s="534">
        <f t="shared" si="6"/>
        <v>28.3</v>
      </c>
      <c r="BQ24" s="534">
        <f t="shared" si="6"/>
        <v>28.3</v>
      </c>
      <c r="BR24" s="534">
        <f>SUM(BR15:BR23)</f>
        <v>18.13</v>
      </c>
      <c r="BS24" s="534">
        <f>SUM(BS15:BS23)</f>
        <v>0</v>
      </c>
      <c r="BT24" s="534">
        <f t="shared" si="6"/>
        <v>475.60399999999998</v>
      </c>
      <c r="BU24" s="534">
        <f t="shared" si="6"/>
        <v>492.11699999999996</v>
      </c>
      <c r="BV24" s="534">
        <f t="shared" si="6"/>
        <v>3.9092224366835624</v>
      </c>
      <c r="BW24" s="534">
        <f t="shared" si="6"/>
        <v>0</v>
      </c>
      <c r="BX24" s="534">
        <f t="shared" si="6"/>
        <v>0</v>
      </c>
      <c r="BY24" s="534">
        <f t="shared" si="6"/>
        <v>0</v>
      </c>
      <c r="BZ24" s="534">
        <f t="shared" si="6"/>
        <v>0</v>
      </c>
      <c r="CA24" s="534">
        <f t="shared" si="6"/>
        <v>0</v>
      </c>
      <c r="CB24" s="534">
        <f t="shared" si="6"/>
        <v>0</v>
      </c>
      <c r="CC24" s="534">
        <f t="shared" si="6"/>
        <v>0</v>
      </c>
      <c r="CD24" s="534">
        <f t="shared" si="6"/>
        <v>0</v>
      </c>
      <c r="CE24" s="534">
        <f t="shared" si="6"/>
        <v>2.74</v>
      </c>
      <c r="CF24" s="534">
        <f t="shared" si="6"/>
        <v>112.42026110282023</v>
      </c>
      <c r="CG24" s="532">
        <f>SUM(CG13:CG23)</f>
        <v>339.26376109692245</v>
      </c>
      <c r="CH24" s="534">
        <f>SUM(CH13:CH23)</f>
        <v>2.74</v>
      </c>
      <c r="CI24" s="1017">
        <f>SUM(CI15:CI23)</f>
        <v>2.74</v>
      </c>
      <c r="CJ24" s="1017">
        <f>SUM(CJ15:CJ23)</f>
        <v>2.74</v>
      </c>
      <c r="CK24" s="1017">
        <f>SUM(CK15:CK23)</f>
        <v>2.74</v>
      </c>
      <c r="CL24" s="1017">
        <f>SUM(CL15:CL23)</f>
        <v>2.74</v>
      </c>
      <c r="CM24" s="505">
        <f>SUM(CH24:CL24)</f>
        <v>13.700000000000001</v>
      </c>
      <c r="CN24" s="1017">
        <f>SUM(CN15:CN23)</f>
        <v>336.52376109692244</v>
      </c>
      <c r="CT24" s="13">
        <f t="shared" ref="CT24:CZ24" si="7">SUM(CT14:CT23)</f>
        <v>2.99</v>
      </c>
      <c r="CU24" s="13">
        <f t="shared" si="7"/>
        <v>2.99</v>
      </c>
      <c r="CV24" s="13">
        <f t="shared" si="7"/>
        <v>2.99</v>
      </c>
      <c r="CW24" s="13">
        <f t="shared" si="7"/>
        <v>2.99</v>
      </c>
      <c r="CX24" s="13">
        <f t="shared" si="7"/>
        <v>2.99</v>
      </c>
      <c r="CY24" s="524">
        <f t="shared" si="7"/>
        <v>2.99</v>
      </c>
      <c r="CZ24" s="524">
        <f t="shared" si="7"/>
        <v>2.99</v>
      </c>
      <c r="DA24" s="524">
        <f t="shared" ref="DA24:DB24" si="8">SUM(DA14:DA23)</f>
        <v>2.99</v>
      </c>
      <c r="DB24" s="524">
        <f t="shared" si="8"/>
        <v>2.99</v>
      </c>
      <c r="DC24" s="524">
        <f t="shared" ref="DC24:DD24" si="9">SUM(DC14:DC23)</f>
        <v>2.99</v>
      </c>
      <c r="DD24" s="524">
        <f t="shared" si="9"/>
        <v>2.99</v>
      </c>
      <c r="DE24" s="524">
        <f t="shared" ref="DE24:DK24" si="10">SUM(DE14:DE23)</f>
        <v>2.99</v>
      </c>
      <c r="DF24" s="524">
        <f t="shared" ref="DF24:DJ24" si="11">SUM(DF14:DF23)</f>
        <v>2.99</v>
      </c>
      <c r="DG24" s="524">
        <f t="shared" si="11"/>
        <v>2.99</v>
      </c>
      <c r="DH24" s="524">
        <f t="shared" si="11"/>
        <v>2.99</v>
      </c>
      <c r="DI24" s="524">
        <f t="shared" si="11"/>
        <v>2.99</v>
      </c>
      <c r="DJ24" s="524">
        <f t="shared" si="11"/>
        <v>2.99</v>
      </c>
      <c r="DK24" s="524">
        <f t="shared" si="10"/>
        <v>2.99</v>
      </c>
      <c r="DL24" s="13">
        <f>SUM(DL13:DL23)</f>
        <v>53.820000000000022</v>
      </c>
      <c r="DM24" s="13">
        <f>SUM(DM13:DM23)</f>
        <v>282.70376109692239</v>
      </c>
    </row>
    <row r="25" spans="1:117" s="104" customFormat="1" x14ac:dyDescent="0.2">
      <c r="A25" s="110" t="s">
        <v>315</v>
      </c>
      <c r="B25" s="87"/>
      <c r="C25" s="87"/>
      <c r="D25" s="88"/>
      <c r="E25" s="88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9"/>
      <c r="S25" s="89"/>
      <c r="T25" s="90"/>
      <c r="U25" s="90"/>
      <c r="V25" s="90"/>
      <c r="W25" s="90"/>
      <c r="X25" s="90"/>
      <c r="Z25"/>
      <c r="AA25"/>
      <c r="AB25" s="77"/>
      <c r="AC25"/>
      <c r="AD25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68"/>
      <c r="BA25"/>
      <c r="BB25" s="77"/>
      <c r="BC25"/>
      <c r="BD25"/>
      <c r="BE25"/>
      <c r="BN25" s="104">
        <f>BN24-CF24</f>
        <v>339.26376109692245</v>
      </c>
      <c r="BT25"/>
      <c r="BU25" s="77"/>
      <c r="BV25"/>
      <c r="BW25"/>
      <c r="BX25"/>
      <c r="CM25" s="971">
        <f t="shared" si="3"/>
        <v>0</v>
      </c>
      <c r="CN25" s="104">
        <f>CG24-CH24</f>
        <v>336.52376109692244</v>
      </c>
      <c r="DM25" s="104">
        <f>CN25-DL24</f>
        <v>282.70376109692245</v>
      </c>
    </row>
    <row r="26" spans="1:117" s="104" customFormat="1" x14ac:dyDescent="0.2">
      <c r="A26" s="238" t="s">
        <v>568</v>
      </c>
      <c r="B26" s="239"/>
      <c r="C26" s="239"/>
      <c r="D26" s="240"/>
      <c r="E26" s="240"/>
      <c r="F26"/>
      <c r="G26"/>
      <c r="H26"/>
      <c r="I26"/>
      <c r="J26"/>
      <c r="K26"/>
      <c r="L26"/>
      <c r="M26"/>
      <c r="N26"/>
      <c r="O26"/>
      <c r="P26"/>
      <c r="Q26"/>
      <c r="R26" s="19"/>
      <c r="S26" s="19"/>
      <c r="T26" s="12"/>
      <c r="U26" s="12"/>
      <c r="V26" s="12"/>
      <c r="W26" s="12"/>
      <c r="X26" s="12"/>
      <c r="Z26"/>
      <c r="AA26"/>
      <c r="AB26" s="85"/>
      <c r="AC26"/>
      <c r="AD26"/>
      <c r="AE26" s="35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386"/>
      <c r="AS26" s="68"/>
      <c r="BA26"/>
      <c r="BB26" s="85"/>
      <c r="BC26"/>
      <c r="BD26"/>
      <c r="BE26" s="12"/>
      <c r="BT26"/>
      <c r="BU26" s="85"/>
      <c r="BV26"/>
      <c r="BW26"/>
      <c r="BX26" s="12"/>
    </row>
    <row r="27" spans="1:117" ht="30.75" hidden="1" customHeight="1" x14ac:dyDescent="0.2">
      <c r="A27" s="1271" t="s">
        <v>462</v>
      </c>
      <c r="B27" s="1271"/>
      <c r="C27" s="1271"/>
      <c r="D27" s="1271"/>
      <c r="E27" s="1271"/>
      <c r="F27" s="1271"/>
      <c r="G27" s="1271"/>
      <c r="H27" s="1271"/>
      <c r="I27" s="1271"/>
      <c r="J27" s="1271"/>
      <c r="K27" s="1271"/>
      <c r="L27" s="1271"/>
      <c r="M27" s="1271"/>
      <c r="N27" s="1271"/>
      <c r="O27" s="1271"/>
      <c r="P27" s="1271"/>
      <c r="Q27" s="1271"/>
      <c r="R27" s="1271"/>
      <c r="S27" s="1271"/>
      <c r="T27" s="1271"/>
      <c r="U27" s="1271"/>
      <c r="V27" s="1271"/>
      <c r="W27" s="1271"/>
      <c r="X27" s="1271"/>
      <c r="Y27" s="1271"/>
      <c r="Z27" s="1271"/>
      <c r="AA27" s="1271"/>
      <c r="AB27" s="171"/>
      <c r="AC27" s="170"/>
      <c r="AD27" s="170"/>
      <c r="AE27" s="387"/>
      <c r="AF27" s="387"/>
      <c r="AG27" s="387"/>
      <c r="AH27" s="387"/>
      <c r="AI27" s="387"/>
      <c r="AJ27" s="387"/>
      <c r="AK27" s="387"/>
      <c r="AL27" s="387"/>
      <c r="AM27" s="387"/>
      <c r="AN27" s="387"/>
      <c r="AO27" s="387"/>
      <c r="AP27" s="387"/>
      <c r="AQ27" s="387"/>
      <c r="AR27" s="387"/>
      <c r="AS27" s="387"/>
      <c r="BB27" s="171"/>
      <c r="BC27" s="170"/>
      <c r="BD27" s="170"/>
      <c r="BE27" s="170"/>
      <c r="BU27" s="171"/>
      <c r="BV27" s="170"/>
      <c r="BW27" s="170"/>
      <c r="BX27" s="170"/>
    </row>
    <row r="28" spans="1:117" hidden="1" x14ac:dyDescent="0.2">
      <c r="A28" s="1271"/>
      <c r="B28" s="1271"/>
      <c r="C28" s="1271"/>
      <c r="D28" s="1271"/>
      <c r="E28" s="1271"/>
      <c r="F28" s="1271"/>
      <c r="G28" s="1271"/>
      <c r="H28" s="1271"/>
      <c r="I28" s="1271"/>
      <c r="J28" s="1271"/>
      <c r="K28" s="1271"/>
      <c r="L28" s="1271"/>
      <c r="M28" s="1271"/>
      <c r="N28" s="1271"/>
      <c r="O28" s="1271"/>
      <c r="P28" s="1271"/>
      <c r="Q28" s="1271"/>
      <c r="R28" s="1271"/>
      <c r="S28" s="1271"/>
      <c r="T28" s="1271"/>
      <c r="U28" s="1271"/>
      <c r="V28" s="1271"/>
      <c r="W28" s="1271"/>
      <c r="X28" s="1271"/>
      <c r="Y28" s="1271"/>
      <c r="Z28" s="1271"/>
      <c r="AA28" s="1271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68"/>
    </row>
    <row r="29" spans="1:117" x14ac:dyDescent="0.2"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68"/>
    </row>
  </sheetData>
  <mergeCells count="39">
    <mergeCell ref="A11:A12"/>
    <mergeCell ref="Q11:Q12"/>
    <mergeCell ref="B11:B12"/>
    <mergeCell ref="A27:AA28"/>
    <mergeCell ref="R11:R12"/>
    <mergeCell ref="S11:S12"/>
    <mergeCell ref="T11:T12"/>
    <mergeCell ref="V11:V12"/>
    <mergeCell ref="W11:W12"/>
    <mergeCell ref="Y11:Y12"/>
    <mergeCell ref="J11:J12"/>
    <mergeCell ref="K11:K12"/>
    <mergeCell ref="L11:L12"/>
    <mergeCell ref="M11:M12"/>
    <mergeCell ref="O11:O12"/>
    <mergeCell ref="Z11:Z12"/>
    <mergeCell ref="F11:F12"/>
    <mergeCell ref="G11:G12"/>
    <mergeCell ref="AT11:AT12"/>
    <mergeCell ref="AU11:AU12"/>
    <mergeCell ref="D10:P10"/>
    <mergeCell ref="R10:T10"/>
    <mergeCell ref="H11:H12"/>
    <mergeCell ref="I11:I12"/>
    <mergeCell ref="AD11:AD12"/>
    <mergeCell ref="E11:E12"/>
    <mergeCell ref="BT10:BV10"/>
    <mergeCell ref="AE11:AE12"/>
    <mergeCell ref="BD11:BD12"/>
    <mergeCell ref="BX11:BX12"/>
    <mergeCell ref="BW11:BW12"/>
    <mergeCell ref="W10:BE10"/>
    <mergeCell ref="BE11:BE12"/>
    <mergeCell ref="DM11:DM12"/>
    <mergeCell ref="CM11:CM12"/>
    <mergeCell ref="CN11:CN12"/>
    <mergeCell ref="CR11:CR12"/>
    <mergeCell ref="CS11:CS12"/>
    <mergeCell ref="DL11:DL12"/>
  </mergeCells>
  <printOptions horizontalCentered="1"/>
  <pageMargins left="0.19685039370078741" right="0.19685039370078741" top="0.39370078740157483" bottom="0.39370078740157483" header="0" footer="0"/>
  <pageSetup scale="40" orientation="landscape" r:id="rId1"/>
  <headerFooter alignWithMargins="0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DL27"/>
  <sheetViews>
    <sheetView topLeftCell="C4" zoomScaleNormal="100" workbookViewId="0">
      <selection activeCell="DJ24" sqref="DJ24"/>
    </sheetView>
  </sheetViews>
  <sheetFormatPr baseColWidth="10" defaultRowHeight="12.75" x14ac:dyDescent="0.2"/>
  <cols>
    <col min="1" max="1" width="18.42578125" customWidth="1"/>
    <col min="2" max="2" width="19.5703125" customWidth="1"/>
    <col min="3" max="3" width="15.85546875" customWidth="1"/>
    <col min="4" max="4" width="4.42578125" style="18" customWidth="1"/>
    <col min="5" max="5" width="7.42578125" style="18" customWidth="1"/>
    <col min="6" max="6" width="9.140625" customWidth="1"/>
    <col min="7" max="7" width="5.7109375" customWidth="1"/>
    <col min="8" max="8" width="8" hidden="1" customWidth="1"/>
    <col min="9" max="9" width="12.28515625" hidden="1" customWidth="1"/>
    <col min="10" max="10" width="7.140625" hidden="1" customWidth="1"/>
    <col min="11" max="11" width="7.42578125" hidden="1" customWidth="1"/>
    <col min="12" max="12" width="7.28515625" hidden="1" customWidth="1"/>
    <col min="13" max="13" width="7.7109375" hidden="1" customWidth="1"/>
    <col min="14" max="14" width="8.5703125" hidden="1" customWidth="1"/>
    <col min="15" max="15" width="7.7109375" hidden="1" customWidth="1"/>
    <col min="16" max="16" width="8.5703125" customWidth="1"/>
    <col min="17" max="17" width="11" customWidth="1"/>
    <col min="18" max="18" width="12.140625" style="19" customWidth="1"/>
    <col min="19" max="19" width="9.5703125" style="19" customWidth="1"/>
    <col min="20" max="20" width="8.42578125" style="12" customWidth="1"/>
    <col min="21" max="21" width="8.42578125" style="12" hidden="1" customWidth="1"/>
    <col min="22" max="22" width="8.42578125" style="104" hidden="1" customWidth="1"/>
    <col min="23" max="24" width="8.7109375" hidden="1" customWidth="1"/>
    <col min="25" max="25" width="8.7109375" style="77" hidden="1" customWidth="1"/>
    <col min="26" max="26" width="7.42578125" hidden="1" customWidth="1"/>
    <col min="27" max="28" width="10.42578125" hidden="1" customWidth="1"/>
    <col min="29" max="33" width="7.7109375" hidden="1" customWidth="1"/>
    <col min="34" max="34" width="11.28515625" hidden="1" customWidth="1"/>
    <col min="35" max="36" width="7.7109375" hidden="1" customWidth="1"/>
    <col min="37" max="37" width="9.140625" hidden="1" customWidth="1"/>
    <col min="38" max="40" width="7.7109375" hidden="1" customWidth="1"/>
    <col min="41" max="41" width="9.28515625" hidden="1" customWidth="1"/>
    <col min="42" max="42" width="10" style="69" hidden="1" customWidth="1"/>
    <col min="43" max="43" width="9.28515625" hidden="1" customWidth="1"/>
    <col min="44" max="45" width="8.85546875" hidden="1" customWidth="1"/>
    <col min="46" max="46" width="10" hidden="1" customWidth="1"/>
    <col min="47" max="47" width="10.42578125" hidden="1" customWidth="1"/>
    <col min="48" max="48" width="11.42578125" hidden="1" customWidth="1"/>
    <col min="49" max="49" width="10.28515625" hidden="1" customWidth="1"/>
    <col min="50" max="50" width="8.7109375" hidden="1" customWidth="1"/>
    <col min="51" max="51" width="8.7109375" style="77" hidden="1" customWidth="1"/>
    <col min="52" max="52" width="10.28515625" hidden="1" customWidth="1"/>
    <col min="53" max="54" width="10.42578125" hidden="1" customWidth="1"/>
    <col min="55" max="60" width="9" hidden="1" customWidth="1"/>
    <col min="61" max="61" width="11.42578125" hidden="1" customWidth="1"/>
    <col min="62" max="62" width="10" hidden="1" customWidth="1"/>
    <col min="63" max="63" width="11.42578125" hidden="1" customWidth="1"/>
    <col min="64" max="64" width="8.85546875" hidden="1" customWidth="1"/>
    <col min="65" max="65" width="6.85546875" hidden="1" customWidth="1"/>
    <col min="66" max="66" width="10.42578125" hidden="1" customWidth="1"/>
    <col min="67" max="67" width="11.42578125" hidden="1" customWidth="1"/>
    <col min="68" max="70" width="10.28515625" hidden="1" customWidth="1"/>
    <col min="71" max="71" width="8.7109375" hidden="1" customWidth="1"/>
    <col min="72" max="72" width="8.7109375" style="77" hidden="1" customWidth="1"/>
    <col min="73" max="73" width="8" hidden="1" customWidth="1"/>
    <col min="74" max="74" width="7.85546875" hidden="1" customWidth="1"/>
    <col min="75" max="75" width="10.42578125" hidden="1" customWidth="1"/>
    <col min="76" max="80" width="9" hidden="1" customWidth="1"/>
    <col min="81" max="81" width="9.85546875" hidden="1" customWidth="1"/>
    <col min="82" max="82" width="11.42578125" hidden="1" customWidth="1"/>
    <col min="83" max="83" width="10" hidden="1" customWidth="1"/>
    <col min="84" max="84" width="11.42578125" hidden="1" customWidth="1"/>
    <col min="85" max="85" width="9.28515625" hidden="1" customWidth="1"/>
    <col min="86" max="89" width="11.42578125" hidden="1" customWidth="1"/>
    <col min="90" max="90" width="9.5703125" hidden="1" customWidth="1"/>
    <col min="92" max="96" width="11.42578125" customWidth="1"/>
    <col min="97" max="113" width="11.42578125" hidden="1" customWidth="1"/>
    <col min="114" max="116" width="11.42578125" customWidth="1"/>
  </cols>
  <sheetData>
    <row r="1" spans="1:116" x14ac:dyDescent="0.2">
      <c r="A1" s="637"/>
      <c r="B1" s="638" t="s">
        <v>27</v>
      </c>
      <c r="C1" s="637"/>
      <c r="D1" s="639"/>
      <c r="E1" s="639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40"/>
      <c r="S1" s="640"/>
      <c r="T1" s="637"/>
      <c r="U1" s="637"/>
      <c r="V1" s="661"/>
      <c r="W1" s="662"/>
      <c r="X1" s="662"/>
      <c r="Y1" s="663"/>
      <c r="Z1" s="662"/>
      <c r="AA1" s="662"/>
      <c r="AB1" s="662"/>
      <c r="AC1" s="662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62" t="s">
        <v>1072</v>
      </c>
      <c r="AO1" s="637"/>
      <c r="AP1" s="664"/>
      <c r="AQ1" s="637"/>
      <c r="AR1" s="637"/>
      <c r="AS1" s="637"/>
      <c r="AT1" s="637"/>
      <c r="AU1" s="637"/>
      <c r="AV1" s="637"/>
      <c r="AW1" s="637"/>
      <c r="AX1" s="662"/>
      <c r="AY1" s="663"/>
      <c r="AZ1" s="662"/>
      <c r="BA1" s="662"/>
      <c r="BB1" s="662"/>
      <c r="BC1" s="637"/>
      <c r="BD1" s="637"/>
      <c r="BE1" s="637"/>
      <c r="BF1" s="637"/>
      <c r="BG1" s="637"/>
      <c r="BH1" s="637"/>
      <c r="BI1" s="637"/>
      <c r="BJ1" s="637"/>
      <c r="BK1" s="637"/>
      <c r="BL1" s="637"/>
      <c r="BM1" s="637"/>
      <c r="BN1" s="637"/>
      <c r="BO1" s="637"/>
      <c r="BP1" s="637"/>
      <c r="BQ1" s="637"/>
      <c r="BR1" s="637"/>
      <c r="BS1" s="662"/>
      <c r="BT1" s="663"/>
      <c r="BU1" s="662"/>
      <c r="BV1" s="662"/>
      <c r="BW1" s="662"/>
      <c r="BX1" s="637"/>
      <c r="BY1" s="637"/>
      <c r="BZ1" s="637"/>
      <c r="CA1" s="637"/>
      <c r="CB1" s="637"/>
      <c r="CC1" s="637"/>
      <c r="CD1" s="637"/>
      <c r="CE1" s="637"/>
      <c r="CF1" s="637"/>
    </row>
    <row r="2" spans="1:116" x14ac:dyDescent="0.2">
      <c r="A2" s="637"/>
      <c r="B2" s="638" t="s">
        <v>1273</v>
      </c>
      <c r="C2" s="637"/>
      <c r="D2" s="639"/>
      <c r="E2" s="639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40"/>
      <c r="S2" s="640"/>
      <c r="T2" s="637"/>
      <c r="U2" s="637"/>
      <c r="V2" s="661"/>
      <c r="W2" s="662"/>
      <c r="X2" s="662"/>
      <c r="Y2" s="663"/>
      <c r="Z2" s="662"/>
      <c r="AA2" s="662"/>
      <c r="AB2" s="662"/>
      <c r="AC2" s="662"/>
      <c r="AD2" s="637"/>
      <c r="AE2" s="637"/>
      <c r="AF2" s="637"/>
      <c r="AG2" s="637"/>
      <c r="AH2" s="637"/>
      <c r="AI2" s="637"/>
      <c r="AJ2" s="637"/>
      <c r="AK2" s="637"/>
      <c r="AL2" s="637"/>
      <c r="AM2" s="637"/>
      <c r="AN2" s="637"/>
      <c r="AO2" s="637"/>
      <c r="AP2" s="664"/>
      <c r="AQ2" s="637"/>
      <c r="AR2" s="637"/>
      <c r="AS2" s="637"/>
      <c r="AT2" s="637"/>
      <c r="AU2" s="637"/>
      <c r="AV2" s="637"/>
      <c r="AW2" s="637"/>
      <c r="AX2" s="662"/>
      <c r="AY2" s="663"/>
      <c r="AZ2" s="662"/>
      <c r="BA2" s="662"/>
      <c r="BB2" s="662"/>
      <c r="BC2" s="637"/>
      <c r="BD2" s="637"/>
      <c r="BE2" s="637"/>
      <c r="BF2" s="637"/>
      <c r="BG2" s="637"/>
      <c r="BH2" s="637"/>
      <c r="BI2" s="637"/>
      <c r="BJ2" s="637"/>
      <c r="BK2" s="637"/>
      <c r="BL2" s="637"/>
      <c r="BM2" s="637"/>
      <c r="BN2" s="637"/>
      <c r="BO2" s="637"/>
      <c r="BP2" s="637"/>
      <c r="BQ2" s="637"/>
      <c r="BR2" s="637"/>
      <c r="BS2" s="662"/>
      <c r="BT2" s="663"/>
      <c r="BU2" s="662"/>
      <c r="BV2" s="662"/>
      <c r="BW2" s="662"/>
      <c r="BX2" s="637"/>
      <c r="BY2" s="637"/>
      <c r="BZ2" s="637"/>
      <c r="CA2" s="637"/>
      <c r="CB2" s="637"/>
      <c r="CC2" s="637"/>
      <c r="CD2" s="637"/>
      <c r="CE2" s="637"/>
      <c r="CF2" s="637"/>
    </row>
    <row r="3" spans="1:116" x14ac:dyDescent="0.2">
      <c r="A3" s="637"/>
      <c r="B3" s="637"/>
      <c r="C3" s="638"/>
      <c r="D3" s="641"/>
      <c r="E3" s="639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38"/>
      <c r="S3" s="638"/>
      <c r="T3" s="642"/>
      <c r="U3" s="642"/>
      <c r="V3" s="665"/>
      <c r="W3" s="662"/>
      <c r="X3" s="662"/>
      <c r="Y3" s="663"/>
      <c r="Z3" s="662"/>
      <c r="AA3" s="662"/>
      <c r="AB3" s="662"/>
      <c r="AC3" s="662"/>
      <c r="AD3" s="637"/>
      <c r="AE3" s="637"/>
      <c r="AF3" s="637"/>
      <c r="AG3" s="637"/>
      <c r="AH3" s="637"/>
      <c r="AI3" s="637"/>
      <c r="AJ3" s="637"/>
      <c r="AK3" s="637"/>
      <c r="AL3" s="637"/>
      <c r="AM3" s="637"/>
      <c r="AN3" s="637"/>
      <c r="AO3" s="637"/>
      <c r="AP3" s="664"/>
      <c r="AQ3" s="637"/>
      <c r="AR3" s="637"/>
      <c r="AS3" s="637"/>
      <c r="AT3" s="637"/>
      <c r="AU3" s="637"/>
      <c r="AV3" s="637"/>
      <c r="AW3" s="637"/>
      <c r="AX3" s="662"/>
      <c r="AY3" s="663"/>
      <c r="AZ3" s="662"/>
      <c r="BA3" s="662"/>
      <c r="BB3" s="662"/>
      <c r="BC3" s="637"/>
      <c r="BD3" s="637"/>
      <c r="BE3" s="637"/>
      <c r="BF3" s="637"/>
      <c r="BG3" s="637"/>
      <c r="BH3" s="637"/>
      <c r="BI3" s="637"/>
      <c r="BJ3" s="637"/>
      <c r="BK3" s="637"/>
      <c r="BL3" s="637"/>
      <c r="BM3" s="637"/>
      <c r="BN3" s="637"/>
      <c r="BO3" s="637"/>
      <c r="BP3" s="637"/>
      <c r="BQ3" s="637"/>
      <c r="BR3" s="637"/>
      <c r="BS3" s="662"/>
      <c r="BT3" s="663"/>
      <c r="BU3" s="662"/>
      <c r="BV3" s="662"/>
      <c r="BW3" s="662"/>
      <c r="BX3" s="637"/>
      <c r="BY3" s="637"/>
      <c r="BZ3" s="637"/>
      <c r="CA3" s="637"/>
      <c r="CB3" s="637"/>
      <c r="CC3" s="637"/>
      <c r="CD3" s="637"/>
      <c r="CE3" s="637"/>
      <c r="CF3" s="637"/>
    </row>
    <row r="4" spans="1:116" x14ac:dyDescent="0.2">
      <c r="A4" s="637"/>
      <c r="B4" s="637" t="s">
        <v>309</v>
      </c>
      <c r="C4" s="638"/>
      <c r="D4" s="641"/>
      <c r="E4" s="639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38"/>
      <c r="S4" s="638"/>
      <c r="T4" s="642"/>
      <c r="U4" s="642"/>
      <c r="V4" s="665"/>
      <c r="W4" s="662"/>
      <c r="X4" s="662"/>
      <c r="Y4" s="663"/>
      <c r="Z4" s="662"/>
      <c r="AA4" s="662"/>
      <c r="AB4" s="662"/>
      <c r="AC4" s="662"/>
      <c r="AD4" s="637"/>
      <c r="AE4" s="637"/>
      <c r="AF4" s="637"/>
      <c r="AG4" s="637"/>
      <c r="AH4" s="637"/>
      <c r="AI4" s="637"/>
      <c r="AJ4" s="637"/>
      <c r="AK4" s="637"/>
      <c r="AL4" s="637"/>
      <c r="AM4" s="637"/>
      <c r="AN4" s="637"/>
      <c r="AO4" s="637"/>
      <c r="AP4" s="664"/>
      <c r="AQ4" s="637"/>
      <c r="AR4" s="637"/>
      <c r="AS4" s="637"/>
      <c r="AT4" s="637"/>
      <c r="AU4" s="637"/>
      <c r="AV4" s="637"/>
      <c r="AW4" s="637"/>
      <c r="AX4" s="662"/>
      <c r="AY4" s="663"/>
      <c r="AZ4" s="662"/>
      <c r="BA4" s="662"/>
      <c r="BB4" s="662"/>
      <c r="BC4" s="637"/>
      <c r="BD4" s="637"/>
      <c r="BE4" s="637"/>
      <c r="BF4" s="637"/>
      <c r="BG4" s="637"/>
      <c r="BH4" s="637"/>
      <c r="BI4" s="637"/>
      <c r="BJ4" s="637"/>
      <c r="BK4" s="637"/>
      <c r="BL4" s="637"/>
      <c r="BM4" s="637"/>
      <c r="BN4" s="637"/>
      <c r="BO4" s="637"/>
      <c r="BP4" s="637"/>
      <c r="BQ4" s="637"/>
      <c r="BR4" s="637"/>
      <c r="BS4" s="662"/>
      <c r="BT4" s="663"/>
      <c r="BU4" s="662"/>
      <c r="BV4" s="662"/>
      <c r="BW4" s="662"/>
      <c r="BX4" s="637"/>
      <c r="BY4" s="637"/>
      <c r="BZ4" s="637"/>
      <c r="CA4" s="637"/>
      <c r="CB4" s="637"/>
      <c r="CC4" s="637"/>
      <c r="CD4" s="637"/>
      <c r="CE4" s="637"/>
      <c r="CF4" s="637"/>
    </row>
    <row r="5" spans="1:116" x14ac:dyDescent="0.2">
      <c r="A5" s="637"/>
      <c r="B5" s="642" t="s">
        <v>695</v>
      </c>
      <c r="C5" s="637"/>
      <c r="D5" s="639"/>
      <c r="E5" s="639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40"/>
      <c r="S5" s="640"/>
      <c r="T5" s="637"/>
      <c r="U5" s="637"/>
      <c r="V5" s="661"/>
      <c r="W5" s="662"/>
      <c r="X5" s="662"/>
      <c r="Y5" s="663"/>
      <c r="Z5" s="662"/>
      <c r="AA5" s="662"/>
      <c r="AB5" s="662"/>
      <c r="AC5" s="662"/>
      <c r="AD5" s="637"/>
      <c r="AE5" s="637"/>
      <c r="AF5" s="637"/>
      <c r="AG5" s="637"/>
      <c r="AH5" s="637"/>
      <c r="AI5" s="637"/>
      <c r="AJ5" s="637"/>
      <c r="AK5" s="637"/>
      <c r="AL5" s="637"/>
      <c r="AM5" s="637"/>
      <c r="AN5" s="637"/>
      <c r="AO5" s="637"/>
      <c r="AP5" s="664"/>
      <c r="AQ5" s="637"/>
      <c r="AR5" s="637"/>
      <c r="AS5" s="637"/>
      <c r="AT5" s="637"/>
      <c r="AU5" s="637"/>
      <c r="AV5" s="637"/>
      <c r="AW5" s="637"/>
      <c r="AX5" s="662"/>
      <c r="AY5" s="663"/>
      <c r="AZ5" s="662"/>
      <c r="BA5" s="662"/>
      <c r="BB5" s="662"/>
      <c r="BC5" s="637"/>
      <c r="BD5" s="637"/>
      <c r="BE5" s="637"/>
      <c r="BF5" s="637"/>
      <c r="BG5" s="637"/>
      <c r="BH5" s="637"/>
      <c r="BI5" s="637"/>
      <c r="BJ5" s="637"/>
      <c r="BK5" s="637"/>
      <c r="BL5" s="637"/>
      <c r="BM5" s="637"/>
      <c r="BN5" s="637"/>
      <c r="BO5" s="637"/>
      <c r="BP5" s="637"/>
      <c r="BQ5" s="637"/>
      <c r="BR5" s="637"/>
      <c r="BS5" s="662"/>
      <c r="BT5" s="663"/>
      <c r="BU5" s="662"/>
      <c r="BV5" s="662"/>
      <c r="BW5" s="662"/>
      <c r="BX5" s="637"/>
      <c r="BY5" s="637"/>
      <c r="BZ5" s="637"/>
      <c r="CA5" s="637"/>
      <c r="CB5" s="637"/>
      <c r="CC5" s="637"/>
      <c r="CD5" s="637"/>
      <c r="CE5" s="637"/>
      <c r="CF5" s="637"/>
    </row>
    <row r="6" spans="1:116" x14ac:dyDescent="0.2">
      <c r="A6" s="637"/>
      <c r="B6" s="637" t="s">
        <v>1272</v>
      </c>
      <c r="C6" s="637"/>
      <c r="D6" s="639"/>
      <c r="E6" s="639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40"/>
      <c r="S6" s="640"/>
      <c r="T6" s="637"/>
      <c r="U6" s="637"/>
      <c r="V6" s="661"/>
      <c r="W6" s="662"/>
      <c r="X6" s="662"/>
      <c r="Y6" s="663"/>
      <c r="Z6" s="662"/>
      <c r="AA6" s="662"/>
      <c r="AB6" s="662"/>
      <c r="AC6" s="662"/>
      <c r="AD6" s="637"/>
      <c r="AE6" s="637"/>
      <c r="AF6" s="637"/>
      <c r="AG6" s="637"/>
      <c r="AH6" s="637"/>
      <c r="AI6" s="637"/>
      <c r="AJ6" s="637"/>
      <c r="AK6" s="637"/>
      <c r="AL6" s="637"/>
      <c r="AM6" s="637"/>
      <c r="AN6" s="637"/>
      <c r="AO6" s="637"/>
      <c r="AP6" s="664"/>
      <c r="AQ6" s="637"/>
      <c r="AR6" s="637"/>
      <c r="AS6" s="637"/>
      <c r="AT6" s="637"/>
      <c r="AU6" s="637"/>
      <c r="AV6" s="637"/>
      <c r="AW6" s="637"/>
      <c r="AX6" s="662"/>
      <c r="AY6" s="663"/>
      <c r="AZ6" s="662"/>
      <c r="BA6" s="662"/>
      <c r="BB6" s="662"/>
      <c r="BC6" s="637"/>
      <c r="BD6" s="637"/>
      <c r="BE6" s="637"/>
      <c r="BF6" s="637"/>
      <c r="BG6" s="637"/>
      <c r="BH6" s="637"/>
      <c r="BI6" s="637"/>
      <c r="BJ6" s="637"/>
      <c r="BK6" s="637"/>
      <c r="BL6" s="637"/>
      <c r="BM6" s="637"/>
      <c r="BN6" s="637"/>
      <c r="BO6" s="637"/>
      <c r="BP6" s="637"/>
      <c r="BQ6" s="637"/>
      <c r="BR6" s="637"/>
      <c r="BS6" s="662"/>
      <c r="BT6" s="663"/>
      <c r="BU6" s="662"/>
      <c r="BV6" s="662"/>
      <c r="BW6" s="662"/>
      <c r="BX6" s="637"/>
      <c r="BY6" s="637"/>
      <c r="BZ6" s="637"/>
      <c r="CA6" s="637"/>
      <c r="CB6" s="637"/>
      <c r="CC6" s="637"/>
      <c r="CD6" s="637"/>
      <c r="CE6" s="637"/>
      <c r="CF6" s="637"/>
    </row>
    <row r="7" spans="1:116" x14ac:dyDescent="0.2">
      <c r="A7" s="637"/>
      <c r="B7" s="637"/>
      <c r="C7" s="637"/>
      <c r="D7" s="639"/>
      <c r="E7" s="639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40"/>
      <c r="S7" s="640"/>
      <c r="T7" s="637"/>
      <c r="U7" s="637"/>
      <c r="V7" s="661"/>
      <c r="W7" s="662"/>
      <c r="X7" s="662"/>
      <c r="Y7" s="663"/>
      <c r="Z7" s="662"/>
      <c r="AA7" s="662"/>
      <c r="AB7" s="662"/>
      <c r="AC7" s="662"/>
      <c r="AD7" s="637"/>
      <c r="AE7" s="637"/>
      <c r="AF7" s="637"/>
      <c r="AG7" s="637"/>
      <c r="AH7" s="637"/>
      <c r="AI7" s="637"/>
      <c r="AJ7" s="637"/>
      <c r="AK7" s="637"/>
      <c r="AL7" s="637"/>
      <c r="AM7" s="637"/>
      <c r="AN7" s="637"/>
      <c r="AO7" s="637"/>
      <c r="AP7" s="664"/>
      <c r="AQ7" s="637"/>
      <c r="AR7" s="637"/>
      <c r="AS7" s="637"/>
      <c r="AT7" s="637"/>
      <c r="AU7" s="637"/>
      <c r="AV7" s="637"/>
      <c r="AW7" s="637"/>
      <c r="AX7" s="662"/>
      <c r="AY7" s="663"/>
      <c r="AZ7" s="662"/>
      <c r="BA7" s="662"/>
      <c r="BB7" s="662"/>
      <c r="BC7" s="637"/>
      <c r="BD7" s="637"/>
      <c r="BE7" s="637"/>
      <c r="BF7" s="637"/>
      <c r="BG7" s="637"/>
      <c r="BH7" s="637"/>
      <c r="BI7" s="637"/>
      <c r="BJ7" s="637"/>
      <c r="BK7" s="637"/>
      <c r="BL7" s="637"/>
      <c r="BM7" s="637"/>
      <c r="BN7" s="637"/>
      <c r="BO7" s="637"/>
      <c r="BP7" s="637"/>
      <c r="BQ7" s="637"/>
      <c r="BR7" s="637"/>
      <c r="BS7" s="662"/>
      <c r="BT7" s="663"/>
      <c r="BU7" s="662"/>
      <c r="BV7" s="662"/>
      <c r="BW7" s="662"/>
      <c r="BX7" s="637"/>
      <c r="BY7" s="637"/>
      <c r="BZ7" s="637"/>
      <c r="CA7" s="637"/>
      <c r="CB7" s="637"/>
      <c r="CC7" s="637"/>
      <c r="CD7" s="637"/>
      <c r="CE7" s="637"/>
      <c r="CF7" s="637"/>
    </row>
    <row r="8" spans="1:116" s="16" customFormat="1" x14ac:dyDescent="0.2">
      <c r="D8" s="38"/>
      <c r="E8" s="38"/>
      <c r="R8" s="37"/>
      <c r="S8" s="37"/>
      <c r="T8" s="35"/>
      <c r="U8" s="35"/>
      <c r="V8" s="103"/>
      <c r="W8" s="39"/>
      <c r="X8" s="39"/>
      <c r="Y8" s="76"/>
      <c r="Z8" s="39"/>
      <c r="AA8" s="39"/>
      <c r="AB8" s="39"/>
      <c r="AC8" s="39"/>
      <c r="AP8" s="68"/>
      <c r="AX8" s="39"/>
      <c r="AY8" s="76"/>
      <c r="AZ8" s="39"/>
      <c r="BA8" s="39"/>
      <c r="BB8" s="39"/>
      <c r="BS8" s="39"/>
      <c r="BT8" s="76"/>
      <c r="BU8" s="39"/>
      <c r="BV8" s="39"/>
      <c r="BW8" s="39"/>
    </row>
    <row r="9" spans="1:116" s="16" customFormat="1" ht="20.25" customHeight="1" x14ac:dyDescent="0.2">
      <c r="D9" s="38"/>
      <c r="E9" s="38"/>
      <c r="R9" s="37"/>
      <c r="S9" s="37"/>
      <c r="T9" s="35"/>
      <c r="U9" s="35"/>
      <c r="V9" s="103"/>
      <c r="W9" s="39"/>
      <c r="X9" s="39"/>
      <c r="Y9" s="76"/>
      <c r="Z9" s="39"/>
      <c r="AA9" s="39"/>
      <c r="AB9" s="39"/>
      <c r="AC9" s="39"/>
      <c r="AP9" s="68"/>
      <c r="AX9" s="39"/>
      <c r="AY9" s="76"/>
      <c r="AZ9" s="39"/>
      <c r="BA9" s="39"/>
      <c r="BB9" s="39"/>
      <c r="BS9" s="39"/>
      <c r="BT9" s="76"/>
      <c r="BU9" s="39"/>
      <c r="BV9" s="39"/>
      <c r="BW9" s="39"/>
    </row>
    <row r="10" spans="1:116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1275" t="s">
        <v>450</v>
      </c>
      <c r="V10" s="1275"/>
      <c r="W10" s="1275"/>
      <c r="X10" s="1275"/>
      <c r="Y10" s="1275"/>
      <c r="Z10" s="1275"/>
      <c r="AA10" s="1275"/>
      <c r="AB10" s="1275"/>
      <c r="AC10" s="1275"/>
      <c r="AD10" s="1275"/>
      <c r="AE10" s="1275"/>
      <c r="AF10" s="1275"/>
      <c r="AG10" s="1275"/>
      <c r="AH10" s="1275"/>
      <c r="AI10" s="1275"/>
      <c r="AJ10" s="1275"/>
      <c r="AK10" s="1275"/>
      <c r="AL10" s="1275"/>
      <c r="AM10" s="1275"/>
      <c r="AN10" s="1275"/>
      <c r="AO10" s="1275"/>
      <c r="AP10" s="1275"/>
      <c r="AQ10" s="1275"/>
      <c r="AR10" s="1275"/>
      <c r="AS10" s="1275"/>
      <c r="AT10" s="1275"/>
      <c r="AU10" s="1275"/>
      <c r="AV10" s="1275"/>
      <c r="AW10" s="1275"/>
      <c r="AX10" s="1275"/>
      <c r="AY10" s="1275"/>
      <c r="AZ10" s="1275"/>
      <c r="BA10" s="1275"/>
      <c r="BT10"/>
    </row>
    <row r="11" spans="1:116" ht="54" customHeight="1" x14ac:dyDescent="0.25">
      <c r="A11" s="1261" t="s">
        <v>57</v>
      </c>
      <c r="B11" s="1261" t="s">
        <v>0</v>
      </c>
      <c r="C11" s="1073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1126</v>
      </c>
      <c r="J11" s="1254" t="s">
        <v>1127</v>
      </c>
      <c r="K11" s="1254" t="s">
        <v>534</v>
      </c>
      <c r="L11" s="1254" t="s">
        <v>493</v>
      </c>
      <c r="M11" s="1254" t="s">
        <v>1145</v>
      </c>
      <c r="N11" s="1069" t="s">
        <v>529</v>
      </c>
      <c r="O11" s="1254" t="s">
        <v>492</v>
      </c>
      <c r="P11" s="1070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1245" t="s">
        <v>447</v>
      </c>
      <c r="V11" s="1268" t="s">
        <v>452</v>
      </c>
      <c r="W11" s="1245" t="s">
        <v>439</v>
      </c>
      <c r="X11" s="158" t="s">
        <v>15</v>
      </c>
      <c r="Y11" s="159" t="s">
        <v>15</v>
      </c>
      <c r="Z11" s="158" t="s">
        <v>16</v>
      </c>
      <c r="AA11" s="1245" t="s">
        <v>527</v>
      </c>
      <c r="AB11" s="1245" t="s">
        <v>536</v>
      </c>
      <c r="AC11" s="158" t="s">
        <v>3</v>
      </c>
      <c r="AD11" s="158" t="s">
        <v>4</v>
      </c>
      <c r="AE11" s="158" t="s">
        <v>5</v>
      </c>
      <c r="AF11" s="158" t="s">
        <v>6</v>
      </c>
      <c r="AG11" s="158" t="s">
        <v>7</v>
      </c>
      <c r="AH11" s="158" t="s">
        <v>8</v>
      </c>
      <c r="AI11" s="158" t="s">
        <v>9</v>
      </c>
      <c r="AJ11" s="158" t="s">
        <v>10</v>
      </c>
      <c r="AK11" s="158" t="s">
        <v>11</v>
      </c>
      <c r="AL11" s="158" t="s">
        <v>12</v>
      </c>
      <c r="AM11" s="158" t="s">
        <v>13</v>
      </c>
      <c r="AN11" s="158" t="s">
        <v>14</v>
      </c>
      <c r="AO11" s="1066" t="s">
        <v>531</v>
      </c>
      <c r="AP11" s="1066" t="s">
        <v>63</v>
      </c>
      <c r="AQ11" s="1245" t="s">
        <v>976</v>
      </c>
      <c r="AR11" s="1245" t="s">
        <v>536</v>
      </c>
      <c r="AS11" s="158" t="s">
        <v>3</v>
      </c>
      <c r="AT11" s="158" t="s">
        <v>4</v>
      </c>
      <c r="AU11" s="158" t="s">
        <v>5</v>
      </c>
      <c r="AV11" s="158" t="s">
        <v>6</v>
      </c>
      <c r="AW11" s="158" t="s">
        <v>7</v>
      </c>
      <c r="AX11" s="158" t="s">
        <v>15</v>
      </c>
      <c r="AY11" s="159" t="s">
        <v>15</v>
      </c>
      <c r="AZ11" s="158" t="s">
        <v>16</v>
      </c>
      <c r="BA11" s="1245" t="s">
        <v>1059</v>
      </c>
      <c r="BB11" s="1245" t="s">
        <v>536</v>
      </c>
      <c r="BC11" s="158" t="s">
        <v>8</v>
      </c>
      <c r="BD11" s="158" t="s">
        <v>9</v>
      </c>
      <c r="BE11" s="158" t="s">
        <v>10</v>
      </c>
      <c r="BF11" s="158" t="s">
        <v>11</v>
      </c>
      <c r="BG11" s="158" t="s">
        <v>12</v>
      </c>
      <c r="BH11" s="158" t="s">
        <v>13</v>
      </c>
      <c r="BI11" s="158" t="s">
        <v>14</v>
      </c>
      <c r="BJ11" s="1066" t="s">
        <v>989</v>
      </c>
      <c r="BK11" s="158" t="s">
        <v>63</v>
      </c>
      <c r="BL11" s="158" t="s">
        <v>3</v>
      </c>
      <c r="BM11" s="158" t="s">
        <v>4</v>
      </c>
      <c r="BN11" s="158" t="s">
        <v>5</v>
      </c>
      <c r="BO11" s="158" t="s">
        <v>6</v>
      </c>
      <c r="BP11" s="158" t="s">
        <v>7</v>
      </c>
      <c r="BQ11" s="1245" t="s">
        <v>1156</v>
      </c>
      <c r="BR11" s="1247" t="s">
        <v>1134</v>
      </c>
      <c r="BS11" s="158" t="s">
        <v>15</v>
      </c>
      <c r="BT11" s="159" t="s">
        <v>15</v>
      </c>
      <c r="BU11" s="158" t="s">
        <v>16</v>
      </c>
      <c r="BV11" s="1245" t="s">
        <v>1004</v>
      </c>
      <c r="BW11" s="1245" t="s">
        <v>536</v>
      </c>
      <c r="BX11" s="158" t="s">
        <v>8</v>
      </c>
      <c r="BY11" s="158" t="s">
        <v>9</v>
      </c>
      <c r="BZ11" s="158" t="s">
        <v>10</v>
      </c>
      <c r="CA11" s="158" t="s">
        <v>11</v>
      </c>
      <c r="CB11" s="158" t="s">
        <v>12</v>
      </c>
      <c r="CC11" s="158" t="s">
        <v>13</v>
      </c>
      <c r="CD11" s="158" t="s">
        <v>14</v>
      </c>
      <c r="CE11" s="1066" t="s">
        <v>1058</v>
      </c>
      <c r="CF11" s="158" t="s">
        <v>63</v>
      </c>
      <c r="CG11" s="158" t="s">
        <v>3</v>
      </c>
      <c r="CH11" s="158" t="s">
        <v>4</v>
      </c>
      <c r="CI11" s="158" t="s">
        <v>5</v>
      </c>
      <c r="CJ11" s="158" t="s">
        <v>6</v>
      </c>
      <c r="CK11" s="158" t="s">
        <v>7</v>
      </c>
      <c r="CL11" s="1247" t="s">
        <v>1252</v>
      </c>
      <c r="CM11" s="1247" t="s">
        <v>1253</v>
      </c>
      <c r="CN11" s="158" t="s">
        <v>15</v>
      </c>
      <c r="CO11" s="159" t="s">
        <v>15</v>
      </c>
      <c r="CP11" s="158" t="s">
        <v>16</v>
      </c>
      <c r="CQ11" s="1245" t="s">
        <v>1254</v>
      </c>
      <c r="CR11" s="1245" t="s">
        <v>536</v>
      </c>
      <c r="CS11" s="158" t="s">
        <v>8</v>
      </c>
      <c r="CT11" s="158" t="s">
        <v>9</v>
      </c>
      <c r="CU11" s="158" t="s">
        <v>10</v>
      </c>
      <c r="CV11" s="158" t="s">
        <v>11</v>
      </c>
      <c r="CW11" s="158" t="s">
        <v>12</v>
      </c>
      <c r="CX11" s="158" t="s">
        <v>13</v>
      </c>
      <c r="CY11" s="158" t="s">
        <v>14</v>
      </c>
      <c r="CZ11" s="158" t="s">
        <v>3</v>
      </c>
      <c r="DA11" s="158" t="s">
        <v>4</v>
      </c>
      <c r="DB11" s="158" t="s">
        <v>5</v>
      </c>
      <c r="DC11" s="158" t="s">
        <v>6</v>
      </c>
      <c r="DD11" s="158" t="s">
        <v>7</v>
      </c>
      <c r="DE11" s="158" t="s">
        <v>8</v>
      </c>
      <c r="DF11" s="158" t="s">
        <v>9</v>
      </c>
      <c r="DG11" s="158" t="s">
        <v>10</v>
      </c>
      <c r="DH11" s="158" t="s">
        <v>11</v>
      </c>
      <c r="DI11" s="158" t="s">
        <v>12</v>
      </c>
      <c r="DJ11" s="158" t="s">
        <v>13</v>
      </c>
      <c r="DK11" s="1247" t="s">
        <v>1274</v>
      </c>
      <c r="DL11" s="1247" t="s">
        <v>1263</v>
      </c>
    </row>
    <row r="12" spans="1:116" ht="32.25" customHeight="1" x14ac:dyDescent="0.25">
      <c r="A12" s="1262"/>
      <c r="B12" s="1262"/>
      <c r="C12" s="161" t="s">
        <v>695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/>
      <c r="Q12" s="1257"/>
      <c r="R12" s="1251" t="s">
        <v>18</v>
      </c>
      <c r="S12" s="1251" t="s">
        <v>18</v>
      </c>
      <c r="T12" s="1253"/>
      <c r="U12" s="1267"/>
      <c r="V12" s="1269">
        <v>41639</v>
      </c>
      <c r="W12" s="1246"/>
      <c r="X12" s="162" t="s">
        <v>20</v>
      </c>
      <c r="Y12" s="163" t="s">
        <v>21</v>
      </c>
      <c r="Z12" s="162" t="s">
        <v>22</v>
      </c>
      <c r="AA12" s="1246"/>
      <c r="AB12" s="1246"/>
      <c r="AC12" s="162">
        <v>2015</v>
      </c>
      <c r="AD12" s="162">
        <v>2015</v>
      </c>
      <c r="AE12" s="162">
        <v>2015</v>
      </c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 t="s">
        <v>64</v>
      </c>
      <c r="AQ12" s="1246"/>
      <c r="AR12" s="1246"/>
      <c r="AS12" s="162">
        <v>2016</v>
      </c>
      <c r="AT12" s="162">
        <v>2016</v>
      </c>
      <c r="AU12" s="162">
        <v>2016</v>
      </c>
      <c r="AV12" s="162">
        <v>2016</v>
      </c>
      <c r="AW12" s="162">
        <v>2016</v>
      </c>
      <c r="AX12" s="162" t="s">
        <v>20</v>
      </c>
      <c r="AY12" s="163" t="s">
        <v>21</v>
      </c>
      <c r="AZ12" s="162" t="s">
        <v>22</v>
      </c>
      <c r="BA12" s="1246"/>
      <c r="BB12" s="1246"/>
      <c r="BC12" s="162">
        <v>2016</v>
      </c>
      <c r="BD12" s="162">
        <v>2016</v>
      </c>
      <c r="BE12" s="162">
        <v>2016</v>
      </c>
      <c r="BF12" s="162">
        <v>2016</v>
      </c>
      <c r="BG12" s="162">
        <v>2016</v>
      </c>
      <c r="BH12" s="162">
        <v>2016</v>
      </c>
      <c r="BI12" s="162">
        <v>2016</v>
      </c>
      <c r="BJ12" s="162">
        <v>2016</v>
      </c>
      <c r="BK12" s="162" t="s">
        <v>64</v>
      </c>
      <c r="BL12" s="162">
        <v>2017</v>
      </c>
      <c r="BM12" s="162">
        <v>2017</v>
      </c>
      <c r="BN12" s="162">
        <v>2017</v>
      </c>
      <c r="BO12" s="162">
        <v>2017</v>
      </c>
      <c r="BP12" s="162">
        <v>2017</v>
      </c>
      <c r="BQ12" s="1246"/>
      <c r="BR12" s="1248"/>
      <c r="BS12" s="162" t="s">
        <v>20</v>
      </c>
      <c r="BT12" s="163" t="s">
        <v>21</v>
      </c>
      <c r="BU12" s="162" t="s">
        <v>22</v>
      </c>
      <c r="BV12" s="1246"/>
      <c r="BW12" s="1246"/>
      <c r="BX12" s="162">
        <v>2017</v>
      </c>
      <c r="BY12" s="162">
        <v>2017</v>
      </c>
      <c r="BZ12" s="162">
        <v>2017</v>
      </c>
      <c r="CA12" s="162">
        <v>2017</v>
      </c>
      <c r="CB12" s="162">
        <v>2017</v>
      </c>
      <c r="CC12" s="162">
        <v>2017</v>
      </c>
      <c r="CD12" s="162">
        <v>2017</v>
      </c>
      <c r="CE12" s="162">
        <v>2017</v>
      </c>
      <c r="CF12" s="162" t="s">
        <v>64</v>
      </c>
      <c r="CG12" s="162">
        <v>2018</v>
      </c>
      <c r="CH12" s="162">
        <v>2018</v>
      </c>
      <c r="CI12" s="162">
        <v>2018</v>
      </c>
      <c r="CJ12" s="162">
        <v>2018</v>
      </c>
      <c r="CK12" s="162">
        <v>2018</v>
      </c>
      <c r="CL12" s="1248"/>
      <c r="CM12" s="1248"/>
      <c r="CN12" s="162" t="s">
        <v>20</v>
      </c>
      <c r="CO12" s="163" t="s">
        <v>21</v>
      </c>
      <c r="CP12" s="162" t="s">
        <v>22</v>
      </c>
      <c r="CQ12" s="1246"/>
      <c r="CR12" s="1246"/>
      <c r="CS12" s="162">
        <v>2018</v>
      </c>
      <c r="CT12" s="162">
        <v>2018</v>
      </c>
      <c r="CU12" s="162">
        <v>2018</v>
      </c>
      <c r="CV12" s="162">
        <v>2018</v>
      </c>
      <c r="CW12" s="162">
        <v>2018</v>
      </c>
      <c r="CX12" s="162">
        <v>2018</v>
      </c>
      <c r="CY12" s="162">
        <v>2018</v>
      </c>
      <c r="CZ12" s="162">
        <v>2019</v>
      </c>
      <c r="DA12" s="162">
        <v>2019</v>
      </c>
      <c r="DB12" s="162">
        <v>2019</v>
      </c>
      <c r="DC12" s="162">
        <v>2019</v>
      </c>
      <c r="DD12" s="162">
        <v>2019</v>
      </c>
      <c r="DE12" s="162">
        <v>2019</v>
      </c>
      <c r="DF12" s="162">
        <v>2019</v>
      </c>
      <c r="DG12" s="162">
        <v>2019</v>
      </c>
      <c r="DH12" s="162">
        <v>2019</v>
      </c>
      <c r="DI12" s="162">
        <v>2019</v>
      </c>
      <c r="DJ12" s="162">
        <v>2019</v>
      </c>
      <c r="DK12" s="1248"/>
      <c r="DL12" s="1248"/>
    </row>
    <row r="13" spans="1:116" s="16" customFormat="1" x14ac:dyDescent="0.2">
      <c r="A13" s="120" t="s">
        <v>65</v>
      </c>
      <c r="B13" s="120" t="s">
        <v>150</v>
      </c>
      <c r="C13" s="124"/>
      <c r="D13" s="111"/>
      <c r="E13" s="130"/>
      <c r="F13" s="125"/>
      <c r="G13" s="125"/>
      <c r="H13" s="146"/>
      <c r="I13" s="125"/>
      <c r="J13" s="125"/>
      <c r="K13" s="125"/>
      <c r="L13" s="125"/>
      <c r="M13" s="125"/>
      <c r="N13" s="125"/>
      <c r="O13" s="125"/>
      <c r="P13" s="125"/>
      <c r="Q13" s="125"/>
      <c r="R13" s="119"/>
      <c r="S13" s="119"/>
      <c r="T13" s="134"/>
      <c r="U13" s="134"/>
      <c r="V13" s="106"/>
      <c r="W13" s="66"/>
      <c r="X13" s="66"/>
      <c r="Y13" s="83"/>
      <c r="Z13" s="66"/>
      <c r="AA13" s="65"/>
      <c r="AB13" s="65"/>
      <c r="AC13" s="6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72"/>
      <c r="AQ13" s="55"/>
      <c r="AR13" s="55"/>
      <c r="AS13" s="55"/>
      <c r="AT13" s="55"/>
      <c r="AU13" s="55"/>
      <c r="AV13" s="55"/>
      <c r="AW13" s="55"/>
      <c r="AX13" s="66"/>
      <c r="AY13" s="83"/>
      <c r="AZ13" s="66"/>
      <c r="BA13" s="65"/>
      <c r="BB13" s="6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66"/>
      <c r="BT13" s="83"/>
      <c r="BU13" s="66"/>
      <c r="BV13" s="65"/>
      <c r="BW13" s="6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05"/>
      <c r="CI13" s="505"/>
      <c r="CJ13" s="505"/>
      <c r="CK13" s="505"/>
      <c r="CL13" s="505"/>
      <c r="CM13" s="50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</row>
    <row r="14" spans="1:116" s="16" customFormat="1" x14ac:dyDescent="0.2">
      <c r="A14" s="120" t="s">
        <v>222</v>
      </c>
      <c r="B14" s="100"/>
      <c r="C14" s="100"/>
      <c r="D14" s="8"/>
      <c r="E14" s="130"/>
      <c r="F14" s="46"/>
      <c r="G14" s="48"/>
      <c r="H14" s="145"/>
      <c r="I14" s="48"/>
      <c r="J14" s="48"/>
      <c r="K14" s="48"/>
      <c r="L14" s="48"/>
      <c r="M14" s="48"/>
      <c r="N14" s="48"/>
      <c r="O14" s="48"/>
      <c r="P14" s="48"/>
      <c r="Q14" s="48"/>
      <c r="R14" s="46"/>
      <c r="S14" s="119"/>
      <c r="T14" s="134"/>
      <c r="U14" s="47"/>
      <c r="V14" s="106"/>
      <c r="W14" s="165">
        <v>0</v>
      </c>
      <c r="X14" s="57"/>
      <c r="Y14" s="83"/>
      <c r="Z14" s="57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72"/>
      <c r="AQ14" s="55"/>
      <c r="AR14" s="55"/>
      <c r="AS14" s="55"/>
      <c r="AT14" s="55"/>
      <c r="AU14" s="55"/>
      <c r="AV14" s="55"/>
      <c r="AW14" s="55"/>
      <c r="AX14" s="57"/>
      <c r="AY14" s="83"/>
      <c r="AZ14" s="57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7"/>
      <c r="BT14" s="83"/>
      <c r="BU14" s="57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05"/>
      <c r="CM14" s="50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</row>
    <row r="15" spans="1:116" s="16" customFormat="1" x14ac:dyDescent="0.2">
      <c r="A15" s="100" t="s">
        <v>693</v>
      </c>
      <c r="B15" s="100" t="s">
        <v>694</v>
      </c>
      <c r="C15" s="100" t="s">
        <v>695</v>
      </c>
      <c r="D15" s="58">
        <v>3</v>
      </c>
      <c r="E15" s="127">
        <v>0.33329999999999999</v>
      </c>
      <c r="F15" s="46">
        <v>43281</v>
      </c>
      <c r="G15" s="48">
        <v>36</v>
      </c>
      <c r="H15" s="145">
        <f>100/G15</f>
        <v>2.7777777777777777</v>
      </c>
      <c r="I15" s="165">
        <f>H15*J15</f>
        <v>83.333333333333329</v>
      </c>
      <c r="J15" s="48">
        <f>(YEAR(F15)-YEAR(S15))*12+MONTH(F15)-MONTH(S15)</f>
        <v>30</v>
      </c>
      <c r="K15" s="165">
        <f>L15*H15</f>
        <v>16.666666666666664</v>
      </c>
      <c r="L15" s="48">
        <f>G15-J15</f>
        <v>6</v>
      </c>
      <c r="M15" s="165">
        <f>N15*H15</f>
        <v>2.7777777777777777</v>
      </c>
      <c r="N15" s="48">
        <v>1</v>
      </c>
      <c r="O15" s="165">
        <f>K15-M15</f>
        <v>13.888888888888886</v>
      </c>
      <c r="P15" s="48">
        <f>L15-N15</f>
        <v>5</v>
      </c>
      <c r="Q15" s="46">
        <f>DATE(YEAR(S15),MONTH(S15)+G15,DAY(S15))</f>
        <v>43435</v>
      </c>
      <c r="R15" s="48" t="s">
        <v>690</v>
      </c>
      <c r="S15" s="119">
        <v>42339</v>
      </c>
      <c r="T15" s="134">
        <v>1499.01</v>
      </c>
      <c r="U15" s="47">
        <v>0</v>
      </c>
      <c r="V15" s="106">
        <v>0</v>
      </c>
      <c r="W15" s="165">
        <v>0</v>
      </c>
      <c r="X15" s="57">
        <v>115.958</v>
      </c>
      <c r="Y15" s="80">
        <v>118.532</v>
      </c>
      <c r="Z15" s="57">
        <f>X15/Y15</f>
        <v>0.97828434515573859</v>
      </c>
      <c r="AA15" s="55">
        <f>T15*M15/100/K15*100/1</f>
        <v>249.83499999999998</v>
      </c>
      <c r="AB15" s="55">
        <f>AA15*Z15</f>
        <v>244.40966937198394</v>
      </c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>
        <v>40.729999999999997</v>
      </c>
      <c r="AO15" s="55">
        <f>SUM(AC15:AN15)</f>
        <v>40.729999999999997</v>
      </c>
      <c r="AP15" s="72">
        <f>T15-AO15</f>
        <v>1458.28</v>
      </c>
      <c r="AQ15" s="55"/>
      <c r="AR15" s="55"/>
      <c r="AS15" s="55">
        <f>$AN15</f>
        <v>40.729999999999997</v>
      </c>
      <c r="AT15" s="55">
        <f>$AN15</f>
        <v>40.729999999999997</v>
      </c>
      <c r="AU15" s="55">
        <f>$AN15</f>
        <v>40.729999999999997</v>
      </c>
      <c r="AV15" s="55">
        <f>$AN15</f>
        <v>40.729999999999997</v>
      </c>
      <c r="AW15" s="55">
        <f>$AN15</f>
        <v>40.729999999999997</v>
      </c>
      <c r="AX15" s="57">
        <v>118.901</v>
      </c>
      <c r="AY15" s="80">
        <v>118.532</v>
      </c>
      <c r="AZ15" s="57">
        <f>AX15/AY15</f>
        <v>1.0031130833867647</v>
      </c>
      <c r="BA15" s="55">
        <f>T15/(D15*12)</f>
        <v>41.639166666666668</v>
      </c>
      <c r="BB15" s="55">
        <f>BA15*AZ15</f>
        <v>41.768792864655396</v>
      </c>
      <c r="BC15" s="55">
        <f t="shared" ref="BC15:BI15" si="0">$BB15</f>
        <v>41.768792864655396</v>
      </c>
      <c r="BD15" s="55">
        <f t="shared" si="0"/>
        <v>41.768792864655396</v>
      </c>
      <c r="BE15" s="55">
        <f t="shared" si="0"/>
        <v>41.768792864655396</v>
      </c>
      <c r="BF15" s="55">
        <f t="shared" si="0"/>
        <v>41.768792864655396</v>
      </c>
      <c r="BG15" s="55">
        <f t="shared" si="0"/>
        <v>41.768792864655396</v>
      </c>
      <c r="BH15" s="55">
        <f t="shared" si="0"/>
        <v>41.768792864655396</v>
      </c>
      <c r="BI15" s="55">
        <f t="shared" si="0"/>
        <v>41.768792864655396</v>
      </c>
      <c r="BJ15" s="55">
        <f>SUM((AS15:AW15),(BC15:BI15))</f>
        <v>496.03155005258765</v>
      </c>
      <c r="BK15" s="448">
        <f>(AP15-BJ15)</f>
        <v>962.24844994741238</v>
      </c>
      <c r="BL15" s="55">
        <f>$BB15</f>
        <v>41.768792864655396</v>
      </c>
      <c r="BM15" s="55">
        <f>$BB15</f>
        <v>41.768792864655396</v>
      </c>
      <c r="BN15" s="55">
        <f>$BB15</f>
        <v>41.768792864655396</v>
      </c>
      <c r="BO15" s="55">
        <f>$BB15</f>
        <v>41.768792864655396</v>
      </c>
      <c r="BP15" s="55">
        <f>$BB15</f>
        <v>41.768792864655396</v>
      </c>
      <c r="BQ15" s="55">
        <f>SUM(BL15:BP15)</f>
        <v>208.84396432327696</v>
      </c>
      <c r="BR15" s="55">
        <f>BK15-BQ15</f>
        <v>753.40448562413542</v>
      </c>
      <c r="BS15" s="57">
        <v>126.408</v>
      </c>
      <c r="BT15" s="80">
        <v>118.532</v>
      </c>
      <c r="BU15" s="57">
        <f>BS15/BT15</f>
        <v>1.0664461917456889</v>
      </c>
      <c r="BV15" s="55">
        <f>BR15/L15</f>
        <v>125.56741427068924</v>
      </c>
      <c r="BW15" s="55">
        <f>BV15*BU15</f>
        <v>133.91089075632982</v>
      </c>
      <c r="BX15" s="55">
        <v>44.636963585443269</v>
      </c>
      <c r="BY15" s="55">
        <v>44.636963585443269</v>
      </c>
      <c r="BZ15" s="55">
        <v>44.636963585443269</v>
      </c>
      <c r="CA15" s="55">
        <v>44.636963585443269</v>
      </c>
      <c r="CB15" s="55">
        <v>44.636963585443269</v>
      </c>
      <c r="CC15" s="55">
        <v>44.636963585443269</v>
      </c>
      <c r="CD15" s="55">
        <v>44.636963585443269</v>
      </c>
      <c r="CE15" s="55">
        <f>SUM((BL15:BP15),(BX15:CD15))</f>
        <v>521.30270942137975</v>
      </c>
      <c r="CF15" s="448">
        <f>BR15-CE15</f>
        <v>232.10177620275567</v>
      </c>
      <c r="CG15" s="55">
        <v>44.636963585443269</v>
      </c>
      <c r="CH15" s="55">
        <v>44.636963585443269</v>
      </c>
      <c r="CI15" s="55">
        <v>44.636963585443269</v>
      </c>
      <c r="CJ15" s="55">
        <v>44.636963585443269</v>
      </c>
      <c r="CK15" s="55">
        <v>44.636963585443269</v>
      </c>
      <c r="CL15" s="505">
        <f>SUM(CG15:CK15)</f>
        <v>223.18481792721633</v>
      </c>
      <c r="CM15" s="679">
        <f>CF15-CL15</f>
        <v>8.9169582755393435</v>
      </c>
      <c r="CN15" s="956">
        <v>132.28200000000001</v>
      </c>
      <c r="CO15" s="80">
        <v>118.532</v>
      </c>
      <c r="CP15" s="957">
        <f>CN15/CO15</f>
        <v>1.1160024297236191</v>
      </c>
      <c r="CQ15" s="511">
        <f>CM15/L15</f>
        <v>1.4861597125898907</v>
      </c>
      <c r="CR15" s="511">
        <f>CQ15*CP15</f>
        <v>1.6585578502076734</v>
      </c>
      <c r="CS15" s="511">
        <v>1.6585578502076734</v>
      </c>
      <c r="CT15" s="511">
        <v>1.66</v>
      </c>
      <c r="CU15" s="511">
        <v>1.66</v>
      </c>
      <c r="CV15" s="511">
        <v>1.66</v>
      </c>
      <c r="CW15" s="511">
        <v>1.28</v>
      </c>
      <c r="CX15" s="511">
        <v>0</v>
      </c>
      <c r="CY15" s="511">
        <v>0</v>
      </c>
      <c r="CZ15" s="511">
        <v>0</v>
      </c>
      <c r="DA15" s="511">
        <v>0</v>
      </c>
      <c r="DB15" s="511">
        <v>0</v>
      </c>
      <c r="DC15" s="511">
        <v>0</v>
      </c>
      <c r="DD15" s="511">
        <v>0</v>
      </c>
      <c r="DE15" s="511">
        <v>0</v>
      </c>
      <c r="DF15" s="511">
        <v>0</v>
      </c>
      <c r="DG15" s="511">
        <v>0</v>
      </c>
      <c r="DH15" s="511">
        <v>0</v>
      </c>
      <c r="DI15" s="511">
        <v>0</v>
      </c>
      <c r="DJ15" s="511">
        <v>0</v>
      </c>
      <c r="DK15" s="511">
        <f>SUM(CS15:DJ15)</f>
        <v>7.9185578502076739</v>
      </c>
      <c r="DL15" s="756">
        <f>CM15-DK15</f>
        <v>0.99840042533166962</v>
      </c>
    </row>
    <row r="16" spans="1:116" s="16" customFormat="1" x14ac:dyDescent="0.2">
      <c r="A16" s="120" t="s">
        <v>65</v>
      </c>
      <c r="B16" s="120"/>
      <c r="C16" s="45"/>
      <c r="D16" s="111"/>
      <c r="E16" s="130"/>
      <c r="F16" s="46"/>
      <c r="G16" s="125"/>
      <c r="H16" s="145"/>
      <c r="I16" s="48"/>
      <c r="J16" s="48"/>
      <c r="K16" s="48"/>
      <c r="L16" s="48"/>
      <c r="M16" s="48"/>
      <c r="N16" s="48"/>
      <c r="O16" s="48"/>
      <c r="P16" s="48"/>
      <c r="Q16" s="48"/>
      <c r="R16" s="119"/>
      <c r="S16" s="119"/>
      <c r="T16" s="134"/>
      <c r="U16" s="66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72"/>
      <c r="AL16" s="72"/>
      <c r="AM16" s="72"/>
      <c r="AN16" s="72"/>
      <c r="AO16" s="72"/>
      <c r="AP16" s="72"/>
      <c r="AQ16" s="55"/>
      <c r="AR16" s="55"/>
      <c r="AS16" s="55"/>
      <c r="AT16" s="55"/>
      <c r="AU16" s="55"/>
      <c r="AV16" s="55"/>
      <c r="AW16" s="55"/>
      <c r="AX16" s="55"/>
      <c r="AY16" s="55"/>
      <c r="AZ16" s="57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448"/>
      <c r="BL16" s="55"/>
      <c r="BM16" s="55"/>
      <c r="BN16" s="55"/>
      <c r="BO16" s="55"/>
      <c r="BP16" s="55"/>
      <c r="BQ16" s="55"/>
      <c r="BR16" s="55"/>
      <c r="BS16" s="55"/>
      <c r="BT16" s="55"/>
      <c r="BU16" s="57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448"/>
      <c r="CG16" s="55"/>
      <c r="CH16" s="55"/>
      <c r="CI16" s="55"/>
      <c r="CJ16" s="55"/>
      <c r="CK16" s="55"/>
      <c r="CL16" s="505"/>
      <c r="CM16" s="679"/>
      <c r="CN16" s="511"/>
      <c r="CO16" s="55"/>
      <c r="CP16" s="957"/>
      <c r="CQ16" s="511"/>
      <c r="CR16" s="511"/>
      <c r="CS16" s="511"/>
      <c r="CT16" s="511"/>
      <c r="CU16" s="511"/>
      <c r="CV16" s="511"/>
      <c r="CW16" s="511"/>
      <c r="CX16" s="511"/>
      <c r="CY16" s="511"/>
      <c r="CZ16" s="511"/>
      <c r="DA16" s="511"/>
      <c r="DB16" s="511"/>
      <c r="DC16" s="511"/>
      <c r="DD16" s="511"/>
      <c r="DE16" s="511"/>
      <c r="DF16" s="511"/>
      <c r="DG16" s="511"/>
      <c r="DH16" s="511"/>
      <c r="DI16" s="511"/>
      <c r="DJ16" s="511"/>
      <c r="DK16" s="511">
        <f t="shared" ref="DK16:DK21" si="1">SUM(CS16:DJ16)</f>
        <v>0</v>
      </c>
      <c r="DL16" s="511"/>
    </row>
    <row r="17" spans="1:116" s="16" customFormat="1" x14ac:dyDescent="0.2">
      <c r="A17" s="120" t="s">
        <v>109</v>
      </c>
      <c r="B17" s="100"/>
      <c r="C17" s="45"/>
      <c r="D17" s="8"/>
      <c r="E17" s="130"/>
      <c r="F17" s="125"/>
      <c r="G17" s="125"/>
      <c r="H17" s="146"/>
      <c r="I17" s="125"/>
      <c r="J17" s="125"/>
      <c r="K17" s="125"/>
      <c r="L17" s="125"/>
      <c r="M17" s="125"/>
      <c r="N17" s="125"/>
      <c r="O17" s="125"/>
      <c r="P17" s="125"/>
      <c r="Q17" s="125"/>
      <c r="R17" s="119"/>
      <c r="S17" s="119"/>
      <c r="T17" s="134"/>
      <c r="U17" s="66"/>
      <c r="V17" s="65"/>
      <c r="W17" s="65"/>
      <c r="X17" s="6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72"/>
      <c r="AL17" s="72"/>
      <c r="AM17" s="72"/>
      <c r="AN17" s="72"/>
      <c r="AO17" s="72"/>
      <c r="AP17" s="72"/>
      <c r="AQ17" s="55"/>
      <c r="AR17" s="55"/>
      <c r="AS17" s="55"/>
      <c r="AT17" s="55"/>
      <c r="AU17" s="55"/>
      <c r="AV17" s="55"/>
      <c r="AW17" s="55"/>
      <c r="AX17" s="65"/>
      <c r="AY17" s="55"/>
      <c r="AZ17" s="57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448"/>
      <c r="BL17" s="55"/>
      <c r="BM17" s="55"/>
      <c r="BN17" s="55"/>
      <c r="BO17" s="55"/>
      <c r="BP17" s="55"/>
      <c r="BQ17" s="55"/>
      <c r="BR17" s="55"/>
      <c r="BS17" s="65"/>
      <c r="BT17" s="55"/>
      <c r="BU17" s="57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448"/>
      <c r="CG17" s="55"/>
      <c r="CH17" s="55"/>
      <c r="CI17" s="55"/>
      <c r="CJ17" s="55"/>
      <c r="CK17" s="55"/>
      <c r="CL17" s="505"/>
      <c r="CM17" s="679"/>
      <c r="CN17" s="623"/>
      <c r="CO17" s="55"/>
      <c r="CP17" s="957"/>
      <c r="CQ17" s="511"/>
      <c r="CR17" s="511"/>
      <c r="CS17" s="511"/>
      <c r="CT17" s="511"/>
      <c r="CU17" s="511"/>
      <c r="CV17" s="511"/>
      <c r="CW17" s="511"/>
      <c r="CX17" s="511"/>
      <c r="CY17" s="511"/>
      <c r="CZ17" s="511"/>
      <c r="DA17" s="511"/>
      <c r="DB17" s="511"/>
      <c r="DC17" s="511"/>
      <c r="DD17" s="511"/>
      <c r="DE17" s="511"/>
      <c r="DF17" s="511"/>
      <c r="DG17" s="511"/>
      <c r="DH17" s="511"/>
      <c r="DI17" s="511"/>
      <c r="DJ17" s="511"/>
      <c r="DK17" s="511">
        <f t="shared" si="1"/>
        <v>0</v>
      </c>
      <c r="DL17" s="511"/>
    </row>
    <row r="18" spans="1:116" s="16" customFormat="1" x14ac:dyDescent="0.2">
      <c r="A18" s="100" t="s">
        <v>718</v>
      </c>
      <c r="B18" s="100" t="s">
        <v>708</v>
      </c>
      <c r="C18" s="45" t="s">
        <v>695</v>
      </c>
      <c r="D18" s="58">
        <v>10</v>
      </c>
      <c r="E18" s="53">
        <v>0.1</v>
      </c>
      <c r="F18" s="46">
        <v>43281</v>
      </c>
      <c r="G18" s="48">
        <v>120</v>
      </c>
      <c r="H18" s="145">
        <f>100/G18</f>
        <v>0.83333333333333337</v>
      </c>
      <c r="I18" s="165">
        <f>H18*J18</f>
        <v>25</v>
      </c>
      <c r="J18" s="48">
        <f>(YEAR(F18)-YEAR(S18))*12+MONTH(F18)-MONTH(S18)</f>
        <v>30</v>
      </c>
      <c r="K18" s="165">
        <f>L18*H18</f>
        <v>75</v>
      </c>
      <c r="L18" s="48">
        <f>G18-J18</f>
        <v>90</v>
      </c>
      <c r="M18" s="165">
        <f>N18*H18</f>
        <v>0.83333333333333337</v>
      </c>
      <c r="N18" s="48">
        <v>1</v>
      </c>
      <c r="O18" s="165">
        <f>P18*H18</f>
        <v>74.166666666666671</v>
      </c>
      <c r="P18" s="48">
        <f>L18-N18</f>
        <v>89</v>
      </c>
      <c r="Q18" s="46">
        <f>DATE(YEAR(S18),MONTH(S18)+G18,DAY(S18))</f>
        <v>45997</v>
      </c>
      <c r="R18" s="48">
        <v>3336</v>
      </c>
      <c r="S18" s="46">
        <v>42344</v>
      </c>
      <c r="T18" s="47">
        <v>734</v>
      </c>
      <c r="U18" s="57">
        <v>0</v>
      </c>
      <c r="V18" s="55">
        <v>0</v>
      </c>
      <c r="W18" s="55">
        <v>118.051</v>
      </c>
      <c r="X18" s="57">
        <v>115.958</v>
      </c>
      <c r="Y18" s="55">
        <v>118.532</v>
      </c>
      <c r="Z18" s="55">
        <f>X18/Y18</f>
        <v>0.97828434515573859</v>
      </c>
      <c r="AA18" s="55">
        <f>T18*H18/100</f>
        <v>6.1166666666666671</v>
      </c>
      <c r="AB18" s="55">
        <f>AA18*Z18</f>
        <v>5.9838392445359352</v>
      </c>
      <c r="AC18" s="55"/>
      <c r="AD18" s="55"/>
      <c r="AE18" s="55"/>
      <c r="AF18" s="55"/>
      <c r="AG18" s="55"/>
      <c r="AH18" s="55"/>
      <c r="AI18" s="55"/>
      <c r="AJ18" s="55"/>
      <c r="AK18" s="72"/>
      <c r="AL18" s="72">
        <v>0</v>
      </c>
      <c r="AM18" s="72">
        <v>0</v>
      </c>
      <c r="AN18" s="55">
        <v>0</v>
      </c>
      <c r="AO18" s="55"/>
      <c r="AP18" s="72">
        <f>T18</f>
        <v>734</v>
      </c>
      <c r="AQ18" s="55"/>
      <c r="AR18" s="55"/>
      <c r="AS18" s="55">
        <f>5.98</f>
        <v>5.98</v>
      </c>
      <c r="AT18" s="55">
        <f>5.98</f>
        <v>5.98</v>
      </c>
      <c r="AU18" s="55">
        <f>5.98</f>
        <v>5.98</v>
      </c>
      <c r="AV18" s="55">
        <f>5.98</f>
        <v>5.98</v>
      </c>
      <c r="AW18" s="55">
        <f>5.98</f>
        <v>5.98</v>
      </c>
      <c r="AX18" s="57">
        <v>118.901</v>
      </c>
      <c r="AY18" s="55">
        <v>118.532</v>
      </c>
      <c r="AZ18" s="57">
        <f>AX18/AY18</f>
        <v>1.0031130833867647</v>
      </c>
      <c r="BA18" s="55">
        <f>T18/(D18*12)</f>
        <v>6.1166666666666663</v>
      </c>
      <c r="BB18" s="55">
        <f>BA18*AZ18</f>
        <v>6.1357083600490441</v>
      </c>
      <c r="BC18" s="55">
        <f t="shared" ref="BC18:BI18" si="2">$BB18</f>
        <v>6.1357083600490441</v>
      </c>
      <c r="BD18" s="55">
        <f t="shared" si="2"/>
        <v>6.1357083600490441</v>
      </c>
      <c r="BE18" s="55">
        <f t="shared" si="2"/>
        <v>6.1357083600490441</v>
      </c>
      <c r="BF18" s="55">
        <f t="shared" si="2"/>
        <v>6.1357083600490441</v>
      </c>
      <c r="BG18" s="55">
        <f t="shared" si="2"/>
        <v>6.1357083600490441</v>
      </c>
      <c r="BH18" s="55">
        <f t="shared" si="2"/>
        <v>6.1357083600490441</v>
      </c>
      <c r="BI18" s="55">
        <f t="shared" si="2"/>
        <v>6.1357083600490441</v>
      </c>
      <c r="BJ18" s="55">
        <f>SUM((AS18:AW18),(BC18:BI18))</f>
        <v>72.849958520343307</v>
      </c>
      <c r="BK18" s="448">
        <f>(AP18-BJ18)</f>
        <v>661.15004147965669</v>
      </c>
      <c r="BL18" s="55">
        <f>$BB18</f>
        <v>6.1357083600490441</v>
      </c>
      <c r="BM18" s="55">
        <f>$BB18</f>
        <v>6.1357083600490441</v>
      </c>
      <c r="BN18" s="55">
        <f>$BB18</f>
        <v>6.1357083600490441</v>
      </c>
      <c r="BO18" s="55">
        <f>$BB18</f>
        <v>6.1357083600490441</v>
      </c>
      <c r="BP18" s="55">
        <f>$BB18</f>
        <v>6.1357083600490441</v>
      </c>
      <c r="BQ18" s="55">
        <f>SUM(BL18:BP18)</f>
        <v>30.67854180024522</v>
      </c>
      <c r="BR18" s="55">
        <f>BK18-BQ18</f>
        <v>630.47149967941152</v>
      </c>
      <c r="BS18" s="57">
        <v>126.408</v>
      </c>
      <c r="BT18" s="55">
        <v>118.532</v>
      </c>
      <c r="BU18" s="57">
        <f>BS18/BT18</f>
        <v>1.0664461917456889</v>
      </c>
      <c r="BV18" s="55">
        <f>BR18/L18</f>
        <v>7.0052388853267944</v>
      </c>
      <c r="BW18" s="55">
        <f>BV18*BU18</f>
        <v>7.4707103315255745</v>
      </c>
      <c r="BX18" s="55">
        <v>37.353551657627868</v>
      </c>
      <c r="BY18" s="55">
        <v>37.353551657627868</v>
      </c>
      <c r="BZ18" s="55">
        <v>37.353551657627868</v>
      </c>
      <c r="CA18" s="55">
        <v>37.353551657627868</v>
      </c>
      <c r="CB18" s="55">
        <v>37.353551657627868</v>
      </c>
      <c r="CC18" s="55">
        <v>37.353551657627868</v>
      </c>
      <c r="CD18" s="55">
        <v>37.353551657627868</v>
      </c>
      <c r="CE18" s="55">
        <f>SUM((BL18:BP18),(BX18:CD18))</f>
        <v>292.15340340364025</v>
      </c>
      <c r="CF18" s="448">
        <f>BR18-CE18</f>
        <v>338.31809627577127</v>
      </c>
      <c r="CG18" s="55">
        <v>37.353551657627868</v>
      </c>
      <c r="CH18" s="55">
        <v>37.353551657627868</v>
      </c>
      <c r="CI18" s="55">
        <v>37.353551657627868</v>
      </c>
      <c r="CJ18" s="55">
        <v>37.353551657627868</v>
      </c>
      <c r="CK18" s="55">
        <v>37.353551657627868</v>
      </c>
      <c r="CL18" s="505">
        <f t="shared" ref="CL18:CL21" si="3">SUM(CG18:CK18)</f>
        <v>186.76775828813933</v>
      </c>
      <c r="CM18" s="679">
        <f t="shared" ref="CM18:CM21" si="4">CF18-CL18</f>
        <v>151.55033798763193</v>
      </c>
      <c r="CN18" s="956">
        <v>132.28200000000001</v>
      </c>
      <c r="CO18" s="55">
        <v>118.532</v>
      </c>
      <c r="CP18" s="957">
        <f>CN18/CO18</f>
        <v>1.1160024297236191</v>
      </c>
      <c r="CQ18" s="511">
        <f>CM18/L18</f>
        <v>1.6838926443070215</v>
      </c>
      <c r="CR18" s="511">
        <f>CQ18*CP18</f>
        <v>1.8792282824403659</v>
      </c>
      <c r="CS18" s="511">
        <v>1.8792282824403659</v>
      </c>
      <c r="CT18" s="511">
        <v>1.88</v>
      </c>
      <c r="CU18" s="511">
        <v>1.88</v>
      </c>
      <c r="CV18" s="511">
        <v>1.88</v>
      </c>
      <c r="CW18" s="511">
        <v>1.88</v>
      </c>
      <c r="CX18" s="511">
        <v>1.88</v>
      </c>
      <c r="CY18" s="511">
        <v>1.88</v>
      </c>
      <c r="CZ18" s="511">
        <v>1.88</v>
      </c>
      <c r="DA18" s="511">
        <v>1.88</v>
      </c>
      <c r="DB18" s="511">
        <v>1.88</v>
      </c>
      <c r="DC18" s="511">
        <v>1.88</v>
      </c>
      <c r="DD18" s="511">
        <v>1.88</v>
      </c>
      <c r="DE18" s="511">
        <v>1.88</v>
      </c>
      <c r="DF18" s="511">
        <v>1.88</v>
      </c>
      <c r="DG18" s="511">
        <v>1.88</v>
      </c>
      <c r="DH18" s="511">
        <v>1.88</v>
      </c>
      <c r="DI18" s="511">
        <v>1.88</v>
      </c>
      <c r="DJ18" s="511">
        <v>1.88</v>
      </c>
      <c r="DK18" s="511">
        <f t="shared" si="1"/>
        <v>33.839228282440352</v>
      </c>
      <c r="DL18" s="756">
        <f>CM18-DK18</f>
        <v>117.71110970519157</v>
      </c>
    </row>
    <row r="19" spans="1:116" s="16" customFormat="1" x14ac:dyDescent="0.2">
      <c r="A19" s="120" t="s">
        <v>65</v>
      </c>
      <c r="B19" s="100"/>
      <c r="C19" s="45"/>
      <c r="D19" s="58"/>
      <c r="E19" s="53"/>
      <c r="F19" s="46"/>
      <c r="G19" s="48"/>
      <c r="H19" s="145"/>
      <c r="I19" s="165"/>
      <c r="J19" s="48"/>
      <c r="K19" s="165"/>
      <c r="L19" s="48"/>
      <c r="M19" s="165"/>
      <c r="N19" s="48"/>
      <c r="O19" s="165"/>
      <c r="P19" s="48"/>
      <c r="Q19" s="46"/>
      <c r="R19" s="48"/>
      <c r="S19" s="46"/>
      <c r="T19" s="47"/>
      <c r="U19" s="57"/>
      <c r="V19" s="55"/>
      <c r="W19" s="55"/>
      <c r="X19" s="57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72"/>
      <c r="AL19" s="72"/>
      <c r="AM19" s="72"/>
      <c r="AN19" s="55"/>
      <c r="AO19" s="55"/>
      <c r="AP19" s="72"/>
      <c r="AQ19" s="55"/>
      <c r="AR19" s="55"/>
      <c r="AS19" s="55"/>
      <c r="AT19" s="55"/>
      <c r="AU19" s="55"/>
      <c r="AV19" s="55"/>
      <c r="AW19" s="55"/>
      <c r="AX19" s="57"/>
      <c r="AY19" s="55"/>
      <c r="AZ19" s="57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448"/>
      <c r="BL19" s="55"/>
      <c r="BM19" s="55"/>
      <c r="BN19" s="55"/>
      <c r="BO19" s="55"/>
      <c r="BP19" s="55"/>
      <c r="BQ19" s="55"/>
      <c r="BR19" s="55"/>
      <c r="BS19" s="57"/>
      <c r="BT19" s="55"/>
      <c r="BU19" s="57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448"/>
      <c r="CG19" s="55"/>
      <c r="CH19" s="55"/>
      <c r="CI19" s="55"/>
      <c r="CJ19" s="55"/>
      <c r="CK19" s="55"/>
      <c r="CL19" s="505"/>
      <c r="CM19" s="679"/>
      <c r="CN19" s="623"/>
      <c r="CO19" s="55"/>
      <c r="CP19" s="957"/>
      <c r="CQ19" s="511"/>
      <c r="CR19" s="511"/>
      <c r="CS19" s="511"/>
      <c r="CT19" s="511"/>
      <c r="CU19" s="511"/>
      <c r="CV19" s="511"/>
      <c r="CW19" s="511"/>
      <c r="CX19" s="511"/>
      <c r="CY19" s="511"/>
      <c r="CZ19" s="511"/>
      <c r="DA19" s="511"/>
      <c r="DB19" s="511"/>
      <c r="DC19" s="511"/>
      <c r="DD19" s="511"/>
      <c r="DE19" s="511"/>
      <c r="DF19" s="511"/>
      <c r="DG19" s="511"/>
      <c r="DH19" s="511"/>
      <c r="DI19" s="511"/>
      <c r="DJ19" s="511"/>
      <c r="DK19" s="511">
        <f t="shared" si="1"/>
        <v>0</v>
      </c>
      <c r="DL19" s="511"/>
    </row>
    <row r="20" spans="1:116" s="16" customFormat="1" x14ac:dyDescent="0.2">
      <c r="A20" s="120" t="s">
        <v>1178</v>
      </c>
      <c r="B20" s="100"/>
      <c r="C20" s="45"/>
      <c r="D20" s="58"/>
      <c r="E20" s="53"/>
      <c r="F20" s="46"/>
      <c r="G20" s="48"/>
      <c r="H20" s="145"/>
      <c r="I20" s="165"/>
      <c r="J20" s="48"/>
      <c r="K20" s="165"/>
      <c r="L20" s="48"/>
      <c r="M20" s="165"/>
      <c r="N20" s="48"/>
      <c r="O20" s="165"/>
      <c r="P20" s="48"/>
      <c r="Q20" s="46"/>
      <c r="R20" s="48"/>
      <c r="S20" s="46"/>
      <c r="T20" s="47"/>
      <c r="U20" s="57"/>
      <c r="V20" s="55"/>
      <c r="W20" s="55"/>
      <c r="X20" s="57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72"/>
      <c r="AL20" s="72"/>
      <c r="AM20" s="72"/>
      <c r="AN20" s="55"/>
      <c r="AO20" s="55"/>
      <c r="AP20" s="72"/>
      <c r="AQ20" s="55"/>
      <c r="AR20" s="55"/>
      <c r="AS20" s="55"/>
      <c r="AT20" s="55"/>
      <c r="AU20" s="55"/>
      <c r="AV20" s="55"/>
      <c r="AW20" s="55"/>
      <c r="AX20" s="57"/>
      <c r="AY20" s="55"/>
      <c r="AZ20" s="57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448"/>
      <c r="BL20" s="55"/>
      <c r="BM20" s="55"/>
      <c r="BN20" s="55"/>
      <c r="BO20" s="55"/>
      <c r="BP20" s="55"/>
      <c r="BQ20" s="55"/>
      <c r="BR20" s="55"/>
      <c r="BS20" s="57"/>
      <c r="BT20" s="55"/>
      <c r="BU20" s="57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448"/>
      <c r="CG20" s="55"/>
      <c r="CH20" s="55"/>
      <c r="CI20" s="55"/>
      <c r="CJ20" s="55"/>
      <c r="CK20" s="55"/>
      <c r="CL20" s="505"/>
      <c r="CM20" s="679"/>
      <c r="CN20" s="623"/>
      <c r="CO20" s="55"/>
      <c r="CP20" s="957"/>
      <c r="CQ20" s="511"/>
      <c r="CR20" s="511"/>
      <c r="CS20" s="511"/>
      <c r="CT20" s="511"/>
      <c r="CU20" s="511"/>
      <c r="CV20" s="511"/>
      <c r="CW20" s="511"/>
      <c r="CX20" s="511"/>
      <c r="CY20" s="511"/>
      <c r="CZ20" s="511"/>
      <c r="DA20" s="511"/>
      <c r="DB20" s="511"/>
      <c r="DC20" s="511"/>
      <c r="DD20" s="511"/>
      <c r="DE20" s="511"/>
      <c r="DF20" s="511"/>
      <c r="DG20" s="511"/>
      <c r="DH20" s="511"/>
      <c r="DI20" s="511"/>
      <c r="DJ20" s="511"/>
      <c r="DK20" s="511">
        <f t="shared" si="1"/>
        <v>0</v>
      </c>
      <c r="DL20" s="511"/>
    </row>
    <row r="21" spans="1:116" s="16" customFormat="1" x14ac:dyDescent="0.2">
      <c r="A21" s="100" t="s">
        <v>1179</v>
      </c>
      <c r="B21" s="100" t="s">
        <v>1180</v>
      </c>
      <c r="C21" s="45"/>
      <c r="D21" s="58">
        <v>10</v>
      </c>
      <c r="E21" s="53">
        <v>0.1</v>
      </c>
      <c r="F21" s="46">
        <v>43373</v>
      </c>
      <c r="G21" s="48">
        <v>120</v>
      </c>
      <c r="H21" s="145">
        <f>100/G21</f>
        <v>0.83333333333333337</v>
      </c>
      <c r="I21" s="165">
        <f>H21*J21</f>
        <v>12.5</v>
      </c>
      <c r="J21" s="48">
        <f>(YEAR(F21)-YEAR(S21))*12+MONTH(F21)-MONTH(S21)</f>
        <v>15</v>
      </c>
      <c r="K21" s="165">
        <f>L21*H21</f>
        <v>87.5</v>
      </c>
      <c r="L21" s="48">
        <f>G21-J21</f>
        <v>105</v>
      </c>
      <c r="M21" s="165">
        <f>N21*H21</f>
        <v>0.83333333333333337</v>
      </c>
      <c r="N21" s="48">
        <v>1</v>
      </c>
      <c r="O21" s="165">
        <f>P21*H21</f>
        <v>86.666666666666671</v>
      </c>
      <c r="P21" s="48">
        <f>L21-N21</f>
        <v>104</v>
      </c>
      <c r="Q21" s="46">
        <f>DATE(YEAR(S21),MONTH(S21)+G21,DAY(S21))</f>
        <v>46566</v>
      </c>
      <c r="R21" s="48">
        <v>542</v>
      </c>
      <c r="S21" s="46">
        <v>42914</v>
      </c>
      <c r="T21" s="47">
        <v>5237.3999999999996</v>
      </c>
      <c r="U21" s="57"/>
      <c r="V21" s="55"/>
      <c r="W21" s="55"/>
      <c r="X21" s="57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72"/>
      <c r="AL21" s="72"/>
      <c r="AM21" s="72"/>
      <c r="AN21" s="55"/>
      <c r="AO21" s="55"/>
      <c r="AP21" s="72"/>
      <c r="AQ21" s="55"/>
      <c r="AR21" s="55"/>
      <c r="AS21" s="55"/>
      <c r="AT21" s="55"/>
      <c r="AU21" s="55"/>
      <c r="AV21" s="55"/>
      <c r="AW21" s="55"/>
      <c r="AX21" s="57">
        <v>118.901</v>
      </c>
      <c r="AY21" s="55">
        <v>118.532</v>
      </c>
      <c r="AZ21" s="57">
        <f>AX21/AY21</f>
        <v>1.0031130833867647</v>
      </c>
      <c r="BA21" s="55">
        <f>T21/(D21*12)</f>
        <v>43.644999999999996</v>
      </c>
      <c r="BB21" s="55">
        <f>BA21*AZ21</f>
        <v>43.780870524415342</v>
      </c>
      <c r="BC21" s="55">
        <f t="shared" ref="BC21:BI21" si="5">$BB21</f>
        <v>43.780870524415342</v>
      </c>
      <c r="BD21" s="55">
        <f t="shared" si="5"/>
        <v>43.780870524415342</v>
      </c>
      <c r="BE21" s="55">
        <f t="shared" si="5"/>
        <v>43.780870524415342</v>
      </c>
      <c r="BF21" s="55">
        <f t="shared" si="5"/>
        <v>43.780870524415342</v>
      </c>
      <c r="BG21" s="55">
        <f t="shared" si="5"/>
        <v>43.780870524415342</v>
      </c>
      <c r="BH21" s="55">
        <f t="shared" si="5"/>
        <v>43.780870524415342</v>
      </c>
      <c r="BI21" s="55">
        <f t="shared" si="5"/>
        <v>43.780870524415342</v>
      </c>
      <c r="BJ21" s="55">
        <f>SUM((AS21:AW21),(BC21:BI21))</f>
        <v>306.46609367090736</v>
      </c>
      <c r="BK21" s="448">
        <f>(AP21-BJ21)</f>
        <v>-306.46609367090736</v>
      </c>
      <c r="BL21" s="55">
        <f>$BB21</f>
        <v>43.780870524415342</v>
      </c>
      <c r="BM21" s="55">
        <f>$BB21</f>
        <v>43.780870524415342</v>
      </c>
      <c r="BN21" s="55">
        <f>$BB21</f>
        <v>43.780870524415342</v>
      </c>
      <c r="BO21" s="55">
        <f>$BB21</f>
        <v>43.780870524415342</v>
      </c>
      <c r="BP21" s="55">
        <f>$BB21</f>
        <v>43.780870524415342</v>
      </c>
      <c r="BQ21" s="55">
        <f>SUM(BL21:BP21)</f>
        <v>218.90435262207671</v>
      </c>
      <c r="BR21" s="55">
        <v>5237.3999999999996</v>
      </c>
      <c r="BS21" s="57">
        <v>126.408</v>
      </c>
      <c r="BT21" s="55">
        <v>118.532</v>
      </c>
      <c r="BU21" s="57">
        <f>BS21/BT21</f>
        <v>1.0664461917456889</v>
      </c>
      <c r="BV21" s="55">
        <f>BR21/G21</f>
        <v>43.644999999999996</v>
      </c>
      <c r="BW21" s="55">
        <f>BV21*BU21</f>
        <v>46.545044038740585</v>
      </c>
      <c r="BX21" s="55"/>
      <c r="BY21" s="55"/>
      <c r="BZ21" s="55"/>
      <c r="CA21" s="55">
        <v>139.65</v>
      </c>
      <c r="CB21" s="55">
        <v>139.65</v>
      </c>
      <c r="CC21" s="55">
        <v>139.65</v>
      </c>
      <c r="CD21" s="55">
        <v>139.65</v>
      </c>
      <c r="CE21" s="55">
        <f>SUM(BX21:CD21)</f>
        <v>558.6</v>
      </c>
      <c r="CF21" s="448">
        <f>BR21-CE21</f>
        <v>4678.7999999999993</v>
      </c>
      <c r="CG21" s="55">
        <v>139.65</v>
      </c>
      <c r="CH21" s="55">
        <v>139.65</v>
      </c>
      <c r="CI21" s="55">
        <v>139.65</v>
      </c>
      <c r="CJ21" s="55">
        <v>139.65</v>
      </c>
      <c r="CK21" s="55">
        <v>139.65</v>
      </c>
      <c r="CL21" s="505">
        <f t="shared" si="3"/>
        <v>698.25</v>
      </c>
      <c r="CM21" s="679">
        <f t="shared" si="4"/>
        <v>3980.5499999999993</v>
      </c>
      <c r="CN21" s="956">
        <v>132.28200000000001</v>
      </c>
      <c r="CO21" s="55">
        <v>118.532</v>
      </c>
      <c r="CP21" s="957">
        <f>CN21/CO21</f>
        <v>1.1160024297236191</v>
      </c>
      <c r="CQ21" s="511">
        <f>CM21/L21</f>
        <v>37.909999999999997</v>
      </c>
      <c r="CR21" s="511">
        <f>CQ21*CP21</f>
        <v>42.307652110822396</v>
      </c>
      <c r="CS21" s="511">
        <f>42.3076521108224+CL21</f>
        <v>740.55765211082235</v>
      </c>
      <c r="CT21" s="511">
        <v>42.31</v>
      </c>
      <c r="CU21" s="511">
        <v>42.31</v>
      </c>
      <c r="CV21" s="511">
        <v>42.31</v>
      </c>
      <c r="CW21" s="511">
        <v>42.31</v>
      </c>
      <c r="CX21" s="511">
        <v>42.31</v>
      </c>
      <c r="CY21" s="511">
        <v>42.31</v>
      </c>
      <c r="CZ21" s="511">
        <v>42.31</v>
      </c>
      <c r="DA21" s="511">
        <v>42.31</v>
      </c>
      <c r="DB21" s="511">
        <v>42.31</v>
      </c>
      <c r="DC21" s="511">
        <v>42.31</v>
      </c>
      <c r="DD21" s="511">
        <v>42.31</v>
      </c>
      <c r="DE21" s="511">
        <v>42.31</v>
      </c>
      <c r="DF21" s="511">
        <v>42.31</v>
      </c>
      <c r="DG21" s="511">
        <v>42.31</v>
      </c>
      <c r="DH21" s="511">
        <v>42.31</v>
      </c>
      <c r="DI21" s="511">
        <v>42.31</v>
      </c>
      <c r="DJ21" s="511">
        <v>42.31</v>
      </c>
      <c r="DK21" s="511">
        <f t="shared" si="1"/>
        <v>1459.8276521108214</v>
      </c>
      <c r="DL21" s="756">
        <f>CM21-DK21</f>
        <v>2520.7223478891779</v>
      </c>
    </row>
    <row r="22" spans="1:116" ht="15" x14ac:dyDescent="0.2">
      <c r="R22" s="175"/>
      <c r="V22" s="254"/>
      <c r="AB22" s="195"/>
      <c r="AH22" s="195">
        <f>SUM(AH13:AH15)</f>
        <v>0</v>
      </c>
      <c r="AI22" s="195"/>
      <c r="AJ22" s="195"/>
      <c r="AK22" s="195"/>
      <c r="AL22" s="195"/>
      <c r="AM22" s="195"/>
      <c r="AN22" s="195">
        <f>SUM(AN13:AN18)</f>
        <v>40.729999999999997</v>
      </c>
      <c r="AO22" s="195">
        <f>SUM(AO13:AO18)</f>
        <v>40.729999999999997</v>
      </c>
      <c r="AP22" s="195">
        <f>SUM(AP13:AP18)</f>
        <v>2192.2799999999997</v>
      </c>
      <c r="AS22" s="13">
        <f>SUM(AS14:AS18)</f>
        <v>46.709999999999994</v>
      </c>
      <c r="AT22" s="13">
        <f>SUM(AT14:AT18)</f>
        <v>46.709999999999994</v>
      </c>
      <c r="AU22" s="13">
        <f>SUM(AU14:AU18)</f>
        <v>46.709999999999994</v>
      </c>
      <c r="AV22" s="13">
        <f>SUM(AV15:AV18)</f>
        <v>46.709999999999994</v>
      </c>
      <c r="AW22" s="13">
        <f>SUM(AW15:AW18)</f>
        <v>46.709999999999994</v>
      </c>
      <c r="BB22" s="195"/>
      <c r="BC22" s="13">
        <f>SUM(BC15:BC18)</f>
        <v>47.90450122470444</v>
      </c>
      <c r="BD22" s="13">
        <f t="shared" ref="BD22:BN22" si="6">SUM(BD14:BD18)</f>
        <v>47.90450122470444</v>
      </c>
      <c r="BE22" s="13">
        <f t="shared" si="6"/>
        <v>47.90450122470444</v>
      </c>
      <c r="BF22" s="13">
        <f t="shared" si="6"/>
        <v>47.90450122470444</v>
      </c>
      <c r="BG22" s="13">
        <f t="shared" si="6"/>
        <v>47.90450122470444</v>
      </c>
      <c r="BH22" s="13">
        <f t="shared" si="6"/>
        <v>47.90450122470444</v>
      </c>
      <c r="BI22" s="13">
        <f t="shared" si="6"/>
        <v>47.90450122470444</v>
      </c>
      <c r="BJ22" s="13">
        <f t="shared" si="6"/>
        <v>568.8815085729309</v>
      </c>
      <c r="BK22" s="13">
        <f t="shared" si="6"/>
        <v>1623.3984914270691</v>
      </c>
      <c r="BL22" s="13">
        <f t="shared" si="6"/>
        <v>47.90450122470444</v>
      </c>
      <c r="BM22" s="13">
        <f t="shared" si="6"/>
        <v>47.90450122470444</v>
      </c>
      <c r="BN22" s="13">
        <f t="shared" si="6"/>
        <v>47.90450122470444</v>
      </c>
      <c r="BO22" s="13">
        <f>SUM(BO15:BO18)</f>
        <v>47.90450122470444</v>
      </c>
      <c r="BP22" s="13">
        <f>SUM(BP15:BP18)</f>
        <v>47.90450122470444</v>
      </c>
      <c r="BQ22" s="13">
        <f>SUM(BQ15:BQ18)</f>
        <v>239.52250612352219</v>
      </c>
      <c r="BR22" s="13">
        <f>SUM(BR15:BR21)</f>
        <v>6621.2759853035468</v>
      </c>
      <c r="BW22" s="13">
        <f>SUM(BW15:BW18)</f>
        <v>141.38160108785539</v>
      </c>
      <c r="BX22" s="13">
        <f>SUM(BX15:BX18)</f>
        <v>81.990515243071144</v>
      </c>
      <c r="BY22" s="13">
        <f>SUM(BY15:BY18)</f>
        <v>81.990515243071144</v>
      </c>
      <c r="BZ22" s="13">
        <f>SUM(BZ15:BZ18)</f>
        <v>81.990515243071144</v>
      </c>
      <c r="CA22" s="13">
        <f>SUM(CA13:CA21)</f>
        <v>221.64051524307115</v>
      </c>
      <c r="CB22" s="13">
        <f>SUM(CB13:CB21)</f>
        <v>221.64051524307115</v>
      </c>
      <c r="CC22" s="524">
        <f>SUM(CC15:CC21)</f>
        <v>221.64051524307115</v>
      </c>
      <c r="CD22" s="524">
        <f>SUM(CD14:CD18)</f>
        <v>81.990515243071144</v>
      </c>
      <c r="CE22" s="13">
        <f>SUM(CE13:CE21)</f>
        <v>1372.0561128250201</v>
      </c>
      <c r="CF22" s="13">
        <f>SUM(CF13:CF21)</f>
        <v>5249.2198724785267</v>
      </c>
      <c r="CG22" s="524">
        <f>SUM(CG14:CG18)</f>
        <v>81.990515243071144</v>
      </c>
      <c r="CH22" s="524">
        <f t="shared" ref="CH22:CK22" si="7">SUM(CH14:CH18)</f>
        <v>81.990515243071144</v>
      </c>
      <c r="CI22" s="524">
        <f t="shared" si="7"/>
        <v>81.990515243071144</v>
      </c>
      <c r="CJ22" s="524">
        <f t="shared" si="7"/>
        <v>81.990515243071144</v>
      </c>
      <c r="CK22" s="524">
        <f t="shared" si="7"/>
        <v>81.990515243071144</v>
      </c>
      <c r="CL22" s="13">
        <f>SUM(CL14:CL21)</f>
        <v>1108.2025762153557</v>
      </c>
      <c r="CM22" s="13">
        <f>SUM(CM14:CM21)</f>
        <v>4141.0172962631705</v>
      </c>
      <c r="CQ22" s="660"/>
      <c r="CT22" s="13">
        <f t="shared" ref="CT22:CY22" si="8">SUM(CT14:CT21)</f>
        <v>45.85</v>
      </c>
      <c r="CU22" s="13">
        <f t="shared" si="8"/>
        <v>45.85</v>
      </c>
      <c r="CV22" s="13">
        <f t="shared" si="8"/>
        <v>45.85</v>
      </c>
      <c r="CW22" s="13">
        <f t="shared" si="8"/>
        <v>45.47</v>
      </c>
      <c r="CX22" s="524">
        <f t="shared" si="8"/>
        <v>44.190000000000005</v>
      </c>
      <c r="CY22" s="524">
        <f t="shared" si="8"/>
        <v>44.190000000000005</v>
      </c>
      <c r="CZ22" s="524">
        <f t="shared" ref="CZ22:DA22" si="9">SUM(CZ14:CZ21)</f>
        <v>44.190000000000005</v>
      </c>
      <c r="DA22" s="524">
        <f t="shared" si="9"/>
        <v>44.190000000000005</v>
      </c>
      <c r="DB22" s="524">
        <f t="shared" ref="DB22:DC22" si="10">SUM(DB14:DB21)</f>
        <v>44.190000000000005</v>
      </c>
      <c r="DC22" s="524">
        <f t="shared" si="10"/>
        <v>44.190000000000005</v>
      </c>
      <c r="DD22" s="524">
        <f t="shared" ref="DD22:DJ22" si="11">SUM(DD14:DD21)</f>
        <v>44.190000000000005</v>
      </c>
      <c r="DE22" s="524">
        <f t="shared" ref="DE22:DI22" si="12">SUM(DE14:DE21)</f>
        <v>44.190000000000005</v>
      </c>
      <c r="DF22" s="524">
        <f t="shared" si="12"/>
        <v>44.190000000000005</v>
      </c>
      <c r="DG22" s="524">
        <f t="shared" si="12"/>
        <v>44.190000000000005</v>
      </c>
      <c r="DH22" s="524">
        <f t="shared" si="12"/>
        <v>44.190000000000005</v>
      </c>
      <c r="DI22" s="524">
        <f t="shared" si="12"/>
        <v>44.190000000000005</v>
      </c>
      <c r="DJ22" s="524">
        <f t="shared" si="11"/>
        <v>44.190000000000005</v>
      </c>
      <c r="DK22" s="13">
        <f>SUM(DK13:DK21)</f>
        <v>1501.5854382434695</v>
      </c>
      <c r="DL22" s="13">
        <f>SUM(DL13:DL21)</f>
        <v>2639.4318580197009</v>
      </c>
    </row>
    <row r="23" spans="1:116" s="104" customFormat="1" x14ac:dyDescent="0.2">
      <c r="A23" s="110" t="s">
        <v>315</v>
      </c>
      <c r="B23" s="87"/>
      <c r="C23" s="87"/>
      <c r="D23" s="88"/>
      <c r="E23" s="88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9"/>
      <c r="S23" s="89"/>
      <c r="T23" s="90"/>
      <c r="U23" s="90"/>
      <c r="W23"/>
      <c r="X23"/>
      <c r="Y23" s="77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 s="69"/>
      <c r="AX23"/>
      <c r="AY23" s="77"/>
      <c r="AZ23"/>
      <c r="BA23"/>
      <c r="BB23"/>
      <c r="BK23" s="104">
        <f>BK22-BL22-BM22</f>
        <v>1527.58948897766</v>
      </c>
      <c r="BS23"/>
      <c r="BT23" s="77"/>
      <c r="BU23"/>
      <c r="BV23"/>
      <c r="BW23"/>
      <c r="CM23" s="104">
        <f>CF22-CL22</f>
        <v>4141.0172962631714</v>
      </c>
      <c r="DL23" s="104">
        <f>CM23-DK22</f>
        <v>2639.4318580197018</v>
      </c>
    </row>
    <row r="24" spans="1:116" s="104" customFormat="1" x14ac:dyDescent="0.2">
      <c r="A24" s="349"/>
      <c r="B24"/>
      <c r="C24"/>
      <c r="D24" s="18"/>
      <c r="E24" s="18"/>
      <c r="F24"/>
      <c r="G24"/>
      <c r="H24"/>
      <c r="I24"/>
      <c r="J24"/>
      <c r="K24"/>
      <c r="L24"/>
      <c r="M24"/>
      <c r="N24"/>
      <c r="O24"/>
      <c r="P24"/>
      <c r="Q24"/>
      <c r="R24" s="19"/>
      <c r="S24" s="19"/>
      <c r="T24" s="12"/>
      <c r="U24" s="12"/>
      <c r="W24"/>
      <c r="X24"/>
      <c r="Y24" s="77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 s="69"/>
      <c r="AX24"/>
      <c r="AY24" s="77"/>
      <c r="AZ24"/>
      <c r="BA24"/>
      <c r="BB24"/>
      <c r="BS24"/>
      <c r="BT24" s="77"/>
      <c r="BU24"/>
      <c r="BV24"/>
      <c r="BW24"/>
      <c r="CF24" s="104">
        <f>BR22-CE22</f>
        <v>5249.2198724785267</v>
      </c>
    </row>
    <row r="25" spans="1:116" ht="30.75" hidden="1" customHeight="1" x14ac:dyDescent="0.2">
      <c r="A25" s="1271" t="s">
        <v>462</v>
      </c>
      <c r="B25" s="1271"/>
      <c r="C25" s="1271"/>
      <c r="D25" s="1271"/>
      <c r="E25" s="1271"/>
      <c r="F25" s="1271"/>
      <c r="G25" s="1271"/>
      <c r="H25" s="1271"/>
      <c r="I25" s="1271"/>
      <c r="J25" s="1271"/>
      <c r="K25" s="1271"/>
      <c r="L25" s="1271"/>
      <c r="M25" s="1271"/>
      <c r="N25" s="1271"/>
      <c r="O25" s="1271"/>
      <c r="P25" s="1271"/>
      <c r="Q25" s="1271"/>
      <c r="R25" s="1271"/>
      <c r="S25" s="1271"/>
      <c r="T25" s="1271"/>
      <c r="U25" s="1271"/>
      <c r="V25" s="1271"/>
      <c r="W25" s="1271"/>
      <c r="X25" s="1271"/>
      <c r="Y25" s="171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Y25" s="171"/>
      <c r="AZ25" s="170"/>
      <c r="BA25" s="170"/>
      <c r="BB25" s="170"/>
      <c r="BT25" s="171"/>
      <c r="BU25" s="170"/>
      <c r="BV25" s="170"/>
      <c r="BW25" s="170"/>
    </row>
    <row r="26" spans="1:116" hidden="1" x14ac:dyDescent="0.2">
      <c r="A26" s="1271"/>
      <c r="B26" s="1271"/>
      <c r="C26" s="1271"/>
      <c r="D26" s="1271"/>
      <c r="E26" s="1271"/>
      <c r="F26" s="1271"/>
      <c r="G26" s="1271"/>
      <c r="H26" s="1271"/>
      <c r="I26" s="1271"/>
      <c r="J26" s="1271"/>
      <c r="K26" s="1271"/>
      <c r="L26" s="1271"/>
      <c r="M26" s="1271"/>
      <c r="N26" s="1271"/>
      <c r="O26" s="1271"/>
      <c r="P26" s="1271"/>
      <c r="Q26" s="1271"/>
      <c r="R26" s="1271"/>
      <c r="S26" s="1271"/>
      <c r="T26" s="1271"/>
      <c r="U26" s="1271"/>
      <c r="V26" s="1271"/>
      <c r="W26" s="1271"/>
      <c r="X26" s="1271"/>
    </row>
    <row r="27" spans="1:116" x14ac:dyDescent="0.2">
      <c r="AA27" s="12"/>
      <c r="AO27" s="104"/>
      <c r="BA27" s="12"/>
      <c r="BV27" s="12"/>
    </row>
  </sheetData>
  <mergeCells count="39">
    <mergeCell ref="A25:X26"/>
    <mergeCell ref="R11:R12"/>
    <mergeCell ref="S11:S12"/>
    <mergeCell ref="T11:T12"/>
    <mergeCell ref="U11:U12"/>
    <mergeCell ref="V11:V12"/>
    <mergeCell ref="W11:W12"/>
    <mergeCell ref="J11:J12"/>
    <mergeCell ref="K11:K12"/>
    <mergeCell ref="L11:L12"/>
    <mergeCell ref="M11:M12"/>
    <mergeCell ref="O11:O12"/>
    <mergeCell ref="Q11:Q12"/>
    <mergeCell ref="A11:A12"/>
    <mergeCell ref="BQ11:BQ12"/>
    <mergeCell ref="BR11:BR12"/>
    <mergeCell ref="BV11:BV12"/>
    <mergeCell ref="BW11:BW12"/>
    <mergeCell ref="B11:B12"/>
    <mergeCell ref="AB11:AB12"/>
    <mergeCell ref="BB11:BB12"/>
    <mergeCell ref="D10:P10"/>
    <mergeCell ref="R10:T10"/>
    <mergeCell ref="H11:H12"/>
    <mergeCell ref="I11:I12"/>
    <mergeCell ref="AA11:AA12"/>
    <mergeCell ref="U10:BA10"/>
    <mergeCell ref="BA11:BA12"/>
    <mergeCell ref="E11:E12"/>
    <mergeCell ref="F11:F12"/>
    <mergeCell ref="G11:G12"/>
    <mergeCell ref="AQ11:AQ12"/>
    <mergeCell ref="AR11:AR12"/>
    <mergeCell ref="DL11:DL12"/>
    <mergeCell ref="CL11:CL12"/>
    <mergeCell ref="CM11:CM12"/>
    <mergeCell ref="CQ11:CQ12"/>
    <mergeCell ref="CR11:CR12"/>
    <mergeCell ref="DK11:DK12"/>
  </mergeCells>
  <printOptions horizontalCentered="1"/>
  <pageMargins left="0.19685039370078741" right="0.19685039370078741" top="0.39370078740157483" bottom="0.39370078740157483" header="0" footer="0"/>
  <pageSetup scale="45" orientation="landscape" r:id="rId1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DL25"/>
  <sheetViews>
    <sheetView topLeftCell="D1" workbookViewId="0">
      <selection activeCell="DJ23" sqref="DJ23"/>
    </sheetView>
  </sheetViews>
  <sheetFormatPr baseColWidth="10" defaultRowHeight="12.75" x14ac:dyDescent="0.2"/>
  <cols>
    <col min="1" max="1" width="15.28515625" customWidth="1"/>
    <col min="2" max="2" width="19.140625" customWidth="1"/>
    <col min="3" max="3" width="13.5703125" customWidth="1"/>
    <col min="4" max="4" width="5.5703125" customWidth="1"/>
    <col min="5" max="5" width="6.85546875" customWidth="1"/>
    <col min="6" max="6" width="10.28515625" customWidth="1"/>
    <col min="7" max="7" width="7.5703125" customWidth="1"/>
    <col min="8" max="8" width="8.140625" hidden="1" customWidth="1"/>
    <col min="9" max="10" width="9.140625" hidden="1" customWidth="1"/>
    <col min="11" max="11" width="8.7109375" hidden="1" customWidth="1"/>
    <col min="12" max="12" width="6.7109375" customWidth="1"/>
    <col min="13" max="13" width="10.140625" hidden="1" customWidth="1"/>
    <col min="14" max="14" width="9.5703125" hidden="1" customWidth="1"/>
    <col min="15" max="15" width="10.140625" hidden="1" customWidth="1"/>
    <col min="16" max="16" width="9.42578125" hidden="1" customWidth="1"/>
    <col min="17" max="17" width="17" customWidth="1"/>
    <col min="18" max="18" width="11.28515625" customWidth="1"/>
    <col min="20" max="20" width="7.5703125" customWidth="1"/>
    <col min="21" max="21" width="9.28515625" hidden="1" customWidth="1"/>
    <col min="22" max="22" width="8.140625" hidden="1" customWidth="1"/>
    <col min="23" max="23" width="8.85546875" hidden="1" customWidth="1"/>
    <col min="24" max="24" width="8.42578125" hidden="1" customWidth="1"/>
    <col min="25" max="25" width="8" hidden="1" customWidth="1"/>
    <col min="26" max="26" width="8.85546875" hidden="1" customWidth="1"/>
    <col min="27" max="27" width="10.42578125" hidden="1" customWidth="1"/>
    <col min="28" max="28" width="10" hidden="1" customWidth="1"/>
    <col min="29" max="40" width="11.42578125" hidden="1" customWidth="1"/>
    <col min="41" max="41" width="8" hidden="1" customWidth="1"/>
    <col min="42" max="42" width="9.85546875" hidden="1" customWidth="1"/>
    <col min="43" max="43" width="7.42578125" style="16" hidden="1" customWidth="1"/>
    <col min="44" max="44" width="7" style="16" hidden="1" customWidth="1"/>
    <col min="45" max="45" width="9" hidden="1" customWidth="1"/>
    <col min="46" max="46" width="10.28515625" hidden="1" customWidth="1"/>
    <col min="47" max="47" width="11.42578125" hidden="1" customWidth="1"/>
    <col min="48" max="48" width="9.85546875" hidden="1" customWidth="1"/>
    <col min="49" max="49" width="10.42578125" hidden="1" customWidth="1"/>
    <col min="50" max="50" width="8.42578125" hidden="1" customWidth="1"/>
    <col min="51" max="51" width="8" hidden="1" customWidth="1"/>
    <col min="52" max="52" width="8.85546875" hidden="1" customWidth="1"/>
    <col min="53" max="53" width="6.5703125" hidden="1" customWidth="1"/>
    <col min="54" max="54" width="6.7109375" hidden="1" customWidth="1"/>
    <col min="55" max="60" width="9" hidden="1" customWidth="1"/>
    <col min="61" max="61" width="11.42578125" hidden="1" customWidth="1"/>
    <col min="62" max="62" width="9.85546875" hidden="1" customWidth="1"/>
    <col min="63" max="63" width="9.140625" hidden="1" customWidth="1"/>
    <col min="64" max="64" width="7.7109375" hidden="1" customWidth="1"/>
    <col min="65" max="65" width="8.85546875" hidden="1" customWidth="1"/>
    <col min="66" max="67" width="11.42578125" hidden="1" customWidth="1"/>
    <col min="68" max="69" width="6.85546875" hidden="1" customWidth="1"/>
    <col min="70" max="70" width="9.28515625" hidden="1" customWidth="1"/>
    <col min="71" max="71" width="8.42578125" hidden="1" customWidth="1"/>
    <col min="72" max="72" width="8" hidden="1" customWidth="1"/>
    <col min="73" max="73" width="8.85546875" hidden="1" customWidth="1"/>
    <col min="74" max="74" width="10.42578125" hidden="1" customWidth="1"/>
    <col min="75" max="75" width="10" hidden="1" customWidth="1"/>
    <col min="76" max="81" width="9" hidden="1" customWidth="1"/>
    <col min="82" max="82" width="11.42578125" hidden="1" customWidth="1"/>
    <col min="83" max="83" width="8" hidden="1" customWidth="1"/>
    <col min="84" max="85" width="0" hidden="1" customWidth="1"/>
    <col min="86" max="89" width="11.42578125" hidden="1" customWidth="1"/>
    <col min="90" max="90" width="0" hidden="1" customWidth="1"/>
    <col min="92" max="96" width="11.42578125" customWidth="1"/>
    <col min="97" max="113" width="11.42578125" hidden="1" customWidth="1"/>
    <col min="114" max="116" width="11.42578125" customWidth="1"/>
  </cols>
  <sheetData>
    <row r="1" spans="1:116" x14ac:dyDescent="0.2">
      <c r="A1" s="637"/>
      <c r="B1" s="638" t="s">
        <v>27</v>
      </c>
      <c r="C1" s="637"/>
      <c r="D1" s="639"/>
      <c r="E1" s="639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40"/>
      <c r="S1" s="640"/>
      <c r="T1" s="637"/>
      <c r="U1" s="637"/>
      <c r="V1" s="661"/>
      <c r="W1" s="662"/>
      <c r="X1" s="662"/>
      <c r="Y1" s="663"/>
      <c r="Z1" s="662"/>
      <c r="AA1" s="662"/>
      <c r="AB1" s="662"/>
      <c r="AC1" s="662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62"/>
      <c r="AO1" s="637"/>
      <c r="AP1" s="664"/>
      <c r="AQ1" s="637"/>
      <c r="AR1" s="637"/>
      <c r="AS1" s="637"/>
      <c r="AT1" s="637"/>
      <c r="AU1" s="637"/>
      <c r="AV1" s="637"/>
      <c r="AW1" s="637"/>
      <c r="AX1" s="662"/>
      <c r="AY1" s="663"/>
      <c r="AZ1" s="662"/>
      <c r="BA1" s="662"/>
      <c r="BB1" s="662"/>
      <c r="BC1" s="637"/>
      <c r="BD1" s="637"/>
      <c r="BE1" s="637"/>
      <c r="BF1" s="637"/>
      <c r="BG1" s="637"/>
      <c r="BH1" s="637"/>
      <c r="BI1" s="637"/>
      <c r="BJ1" s="637"/>
      <c r="BK1" s="637"/>
      <c r="BL1" s="637"/>
      <c r="BM1" s="637"/>
      <c r="BN1" s="637"/>
      <c r="BO1" s="637"/>
      <c r="BP1" s="637"/>
      <c r="BQ1" s="637"/>
      <c r="BR1" s="637"/>
      <c r="BS1" s="662"/>
      <c r="BT1" s="663"/>
      <c r="BU1" s="662"/>
      <c r="BV1" s="662"/>
      <c r="BW1" s="662"/>
      <c r="BX1" s="637"/>
      <c r="BY1" s="637"/>
      <c r="BZ1" s="637"/>
      <c r="CA1" s="637"/>
      <c r="CB1" s="637"/>
      <c r="CC1" s="637"/>
      <c r="CD1" s="637"/>
      <c r="CE1" s="637"/>
      <c r="CF1" s="637"/>
    </row>
    <row r="2" spans="1:116" x14ac:dyDescent="0.2">
      <c r="A2" s="637"/>
      <c r="B2" s="638" t="s">
        <v>1273</v>
      </c>
      <c r="C2" s="637"/>
      <c r="D2" s="639"/>
      <c r="E2" s="639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40"/>
      <c r="S2" s="640"/>
      <c r="T2" s="637"/>
      <c r="U2" s="637"/>
      <c r="V2" s="661"/>
      <c r="W2" s="662"/>
      <c r="X2" s="662"/>
      <c r="Y2" s="663"/>
      <c r="Z2" s="662"/>
      <c r="AA2" s="662"/>
      <c r="AB2" s="662"/>
      <c r="AC2" s="662"/>
      <c r="AD2" s="637"/>
      <c r="AE2" s="637"/>
      <c r="AF2" s="637"/>
      <c r="AG2" s="637"/>
      <c r="AH2" s="637"/>
      <c r="AI2" s="637"/>
      <c r="AJ2" s="637"/>
      <c r="AK2" s="637"/>
      <c r="AL2" s="637"/>
      <c r="AM2" s="637"/>
      <c r="AN2" s="637"/>
      <c r="AO2" s="637"/>
      <c r="AP2" s="664"/>
      <c r="AQ2" s="637"/>
      <c r="AR2" s="637"/>
      <c r="AS2" s="637"/>
      <c r="AT2" s="637"/>
      <c r="AU2" s="637"/>
      <c r="AV2" s="637"/>
      <c r="AW2" s="637"/>
      <c r="AX2" s="662"/>
      <c r="AY2" s="663"/>
      <c r="AZ2" s="662"/>
      <c r="BA2" s="662"/>
      <c r="BB2" s="662"/>
      <c r="BC2" s="637"/>
      <c r="BD2" s="637"/>
      <c r="BE2" s="637"/>
      <c r="BF2" s="637"/>
      <c r="BG2" s="637"/>
      <c r="BH2" s="637"/>
      <c r="BI2" s="637"/>
      <c r="BJ2" s="637"/>
      <c r="BK2" s="637"/>
      <c r="BL2" s="637"/>
      <c r="BM2" s="637"/>
      <c r="BN2" s="637"/>
      <c r="BO2" s="637"/>
      <c r="BP2" s="637"/>
      <c r="BQ2" s="637"/>
      <c r="BR2" s="637"/>
      <c r="BS2" s="662"/>
      <c r="BT2" s="663"/>
      <c r="BU2" s="662"/>
      <c r="BV2" s="662"/>
      <c r="BW2" s="662"/>
      <c r="BX2" s="637"/>
      <c r="BY2" s="637"/>
      <c r="BZ2" s="637"/>
      <c r="CA2" s="637"/>
      <c r="CB2" s="637"/>
      <c r="CC2" s="637"/>
      <c r="CD2" s="637"/>
      <c r="CE2" s="637"/>
      <c r="CF2" s="637"/>
    </row>
    <row r="3" spans="1:116" x14ac:dyDescent="0.2">
      <c r="A3" s="637"/>
      <c r="B3" s="637"/>
      <c r="C3" s="638"/>
      <c r="D3" s="641"/>
      <c r="E3" s="639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38"/>
      <c r="S3" s="638"/>
      <c r="T3" s="642"/>
      <c r="U3" s="642"/>
      <c r="V3" s="665"/>
      <c r="W3" s="662"/>
      <c r="X3" s="662"/>
      <c r="Y3" s="663"/>
      <c r="Z3" s="662"/>
      <c r="AA3" s="662"/>
      <c r="AB3" s="662"/>
      <c r="AC3" s="662"/>
      <c r="AD3" s="637"/>
      <c r="AE3" s="637"/>
      <c r="AF3" s="637"/>
      <c r="AG3" s="637"/>
      <c r="AH3" s="637"/>
      <c r="AI3" s="637"/>
      <c r="AJ3" s="637"/>
      <c r="AK3" s="637"/>
      <c r="AL3" s="637"/>
      <c r="AM3" s="637"/>
      <c r="AN3" s="637"/>
      <c r="AO3" s="637"/>
      <c r="AP3" s="664"/>
      <c r="AQ3" s="637"/>
      <c r="AR3" s="637"/>
      <c r="AS3" s="637"/>
      <c r="AT3" s="637"/>
      <c r="AU3" s="637"/>
      <c r="AV3" s="637"/>
      <c r="AW3" s="637"/>
      <c r="AX3" s="662"/>
      <c r="AY3" s="663"/>
      <c r="AZ3" s="662"/>
      <c r="BA3" s="662"/>
      <c r="BB3" s="662"/>
      <c r="BC3" s="637"/>
      <c r="BD3" s="637"/>
      <c r="BE3" s="637"/>
      <c r="BF3" s="637"/>
      <c r="BG3" s="637"/>
      <c r="BH3" s="637"/>
      <c r="BI3" s="637"/>
      <c r="BJ3" s="637"/>
      <c r="BK3" s="637"/>
      <c r="BL3" s="637"/>
      <c r="BM3" s="637"/>
      <c r="BN3" s="637"/>
      <c r="BO3" s="637"/>
      <c r="BP3" s="637"/>
      <c r="BQ3" s="637"/>
      <c r="BR3" s="637"/>
      <c r="BS3" s="662"/>
      <c r="BT3" s="663"/>
      <c r="BU3" s="662"/>
      <c r="BV3" s="662"/>
      <c r="BW3" s="662"/>
      <c r="BX3" s="637"/>
      <c r="BY3" s="637"/>
      <c r="BZ3" s="637"/>
      <c r="CA3" s="637"/>
      <c r="CB3" s="637"/>
      <c r="CC3" s="637"/>
      <c r="CD3" s="637"/>
      <c r="CE3" s="637"/>
      <c r="CF3" s="637"/>
    </row>
    <row r="4" spans="1:116" x14ac:dyDescent="0.2">
      <c r="A4" s="637"/>
      <c r="B4" s="637" t="s">
        <v>309</v>
      </c>
      <c r="C4" s="638"/>
      <c r="D4" s="641"/>
      <c r="E4" s="639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38"/>
      <c r="S4" s="638"/>
      <c r="T4" s="642"/>
      <c r="U4" s="642"/>
      <c r="V4" s="665"/>
      <c r="W4" s="662"/>
      <c r="X4" s="662"/>
      <c r="Y4" s="663"/>
      <c r="Z4" s="662"/>
      <c r="AA4" s="662"/>
      <c r="AB4" s="662"/>
      <c r="AC4" s="662"/>
      <c r="AD4" s="637"/>
      <c r="AE4" s="637"/>
      <c r="AF4" s="637"/>
      <c r="AG4" s="637"/>
      <c r="AH4" s="637"/>
      <c r="AI4" s="637"/>
      <c r="AJ4" s="637"/>
      <c r="AK4" s="637"/>
      <c r="AL4" s="637"/>
      <c r="AM4" s="637"/>
      <c r="AN4" s="637"/>
      <c r="AO4" s="637"/>
      <c r="AP4" s="664"/>
      <c r="AQ4" s="637"/>
      <c r="AR4" s="637"/>
      <c r="AS4" s="637"/>
      <c r="AT4" s="637"/>
      <c r="AU4" s="637"/>
      <c r="AV4" s="637"/>
      <c r="AW4" s="637"/>
      <c r="AX4" s="662"/>
      <c r="AY4" s="663"/>
      <c r="AZ4" s="662"/>
      <c r="BA4" s="662"/>
      <c r="BB4" s="662"/>
      <c r="BC4" s="637"/>
      <c r="BD4" s="637"/>
      <c r="BE4" s="637"/>
      <c r="BF4" s="637"/>
      <c r="BG4" s="637"/>
      <c r="BH4" s="637"/>
      <c r="BI4" s="637"/>
      <c r="BJ4" s="637"/>
      <c r="BK4" s="637"/>
      <c r="BL4" s="637"/>
      <c r="BM4" s="637"/>
      <c r="BN4" s="637"/>
      <c r="BO4" s="637"/>
      <c r="BP4" s="637"/>
      <c r="BQ4" s="637"/>
      <c r="BR4" s="637"/>
      <c r="BS4" s="662"/>
      <c r="BT4" s="663"/>
      <c r="BU4" s="662"/>
      <c r="BV4" s="662"/>
      <c r="BW4" s="662"/>
      <c r="BX4" s="637"/>
      <c r="BY4" s="637"/>
      <c r="BZ4" s="637"/>
      <c r="CA4" s="637"/>
      <c r="CB4" s="637"/>
      <c r="CC4" s="637"/>
      <c r="CD4" s="637"/>
      <c r="CE4" s="637"/>
      <c r="CF4" s="637"/>
    </row>
    <row r="5" spans="1:116" x14ac:dyDescent="0.2">
      <c r="A5" s="637"/>
      <c r="B5" s="642" t="s">
        <v>720</v>
      </c>
      <c r="C5" s="637"/>
      <c r="D5" s="639"/>
      <c r="E5" s="639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40"/>
      <c r="S5" s="640"/>
      <c r="T5" s="637"/>
      <c r="U5" s="637"/>
      <c r="V5" s="661"/>
      <c r="W5" s="662"/>
      <c r="X5" s="662"/>
      <c r="Y5" s="663"/>
      <c r="Z5" s="662"/>
      <c r="AA5" s="662"/>
      <c r="AB5" s="662"/>
      <c r="AC5" s="662"/>
      <c r="AD5" s="637"/>
      <c r="AE5" s="637"/>
      <c r="AF5" s="637"/>
      <c r="AG5" s="637"/>
      <c r="AH5" s="637"/>
      <c r="AI5" s="637"/>
      <c r="AJ5" s="637"/>
      <c r="AK5" s="637"/>
      <c r="AL5" s="637"/>
      <c r="AM5" s="637"/>
      <c r="AN5" s="637"/>
      <c r="AO5" s="637"/>
      <c r="AP5" s="664"/>
      <c r="AQ5" s="637"/>
      <c r="AR5" s="637"/>
      <c r="AS5" s="637"/>
      <c r="AT5" s="637"/>
      <c r="AU5" s="637"/>
      <c r="AV5" s="637"/>
      <c r="AW5" s="637"/>
      <c r="AX5" s="662"/>
      <c r="AY5" s="663"/>
      <c r="AZ5" s="662"/>
      <c r="BA5" s="662"/>
      <c r="BB5" s="662"/>
      <c r="BC5" s="637"/>
      <c r="BD5" s="637"/>
      <c r="BE5" s="637"/>
      <c r="BF5" s="637"/>
      <c r="BG5" s="637"/>
      <c r="BH5" s="637"/>
      <c r="BI5" s="637"/>
      <c r="BJ5" s="637"/>
      <c r="BK5" s="637"/>
      <c r="BL5" s="637"/>
      <c r="BM5" s="637"/>
      <c r="BN5" s="637"/>
      <c r="BO5" s="637"/>
      <c r="BP5" s="637"/>
      <c r="BQ5" s="637"/>
      <c r="BR5" s="637"/>
      <c r="BS5" s="662"/>
      <c r="BT5" s="663"/>
      <c r="BU5" s="662"/>
      <c r="BV5" s="662"/>
      <c r="BW5" s="662"/>
      <c r="BX5" s="637"/>
      <c r="BY5" s="637"/>
      <c r="BZ5" s="637"/>
      <c r="CA5" s="637"/>
      <c r="CB5" s="637"/>
      <c r="CC5" s="637"/>
      <c r="CD5" s="637"/>
      <c r="CE5" s="637"/>
      <c r="CF5" s="637"/>
    </row>
    <row r="6" spans="1:116" x14ac:dyDescent="0.2">
      <c r="A6" s="637"/>
      <c r="B6" s="637" t="s">
        <v>1272</v>
      </c>
      <c r="C6" s="637"/>
      <c r="D6" s="639"/>
      <c r="E6" s="639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40"/>
      <c r="S6" s="640"/>
      <c r="T6" s="637"/>
      <c r="U6" s="637"/>
      <c r="V6" s="661"/>
      <c r="W6" s="662"/>
      <c r="X6" s="662"/>
      <c r="Y6" s="663"/>
      <c r="Z6" s="662"/>
      <c r="AA6" s="662"/>
      <c r="AB6" s="662"/>
      <c r="AC6" s="662"/>
      <c r="AD6" s="637"/>
      <c r="AE6" s="637"/>
      <c r="AF6" s="637"/>
      <c r="AG6" s="637"/>
      <c r="AH6" s="637"/>
      <c r="AI6" s="637"/>
      <c r="AJ6" s="637"/>
      <c r="AK6" s="637"/>
      <c r="AL6" s="637"/>
      <c r="AM6" s="637"/>
      <c r="AN6" s="637"/>
      <c r="AO6" s="637"/>
      <c r="AP6" s="664"/>
      <c r="AQ6" s="637"/>
      <c r="AR6" s="637"/>
      <c r="AS6" s="637"/>
      <c r="AT6" s="637"/>
      <c r="AU6" s="637"/>
      <c r="AV6" s="637"/>
      <c r="AW6" s="637"/>
      <c r="AX6" s="662"/>
      <c r="AY6" s="663"/>
      <c r="AZ6" s="662"/>
      <c r="BA6" s="662"/>
      <c r="BB6" s="662"/>
      <c r="BC6" s="637"/>
      <c r="BD6" s="637"/>
      <c r="BE6" s="637"/>
      <c r="BF6" s="637"/>
      <c r="BG6" s="637"/>
      <c r="BH6" s="637"/>
      <c r="BI6" s="637"/>
      <c r="BJ6" s="637"/>
      <c r="BK6" s="637"/>
      <c r="BL6" s="637"/>
      <c r="BM6" s="637"/>
      <c r="BN6" s="637"/>
      <c r="BO6" s="637"/>
      <c r="BP6" s="637"/>
      <c r="BQ6" s="637"/>
      <c r="BR6" s="637"/>
      <c r="BS6" s="662"/>
      <c r="BT6" s="663"/>
      <c r="BU6" s="662"/>
      <c r="BV6" s="662"/>
      <c r="BW6" s="662"/>
      <c r="BX6" s="637"/>
      <c r="BY6" s="637"/>
      <c r="BZ6" s="637"/>
      <c r="CA6" s="637"/>
      <c r="CB6" s="637"/>
      <c r="CC6" s="637"/>
      <c r="CD6" s="637"/>
      <c r="CE6" s="637"/>
      <c r="CF6" s="637"/>
    </row>
    <row r="7" spans="1:116" x14ac:dyDescent="0.2">
      <c r="A7" s="637"/>
      <c r="B7" s="637"/>
      <c r="C7" s="637"/>
      <c r="D7" s="639"/>
      <c r="E7" s="639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40"/>
      <c r="S7" s="640"/>
      <c r="T7" s="637"/>
      <c r="U7" s="637"/>
      <c r="V7" s="661"/>
      <c r="W7" s="662"/>
      <c r="X7" s="662"/>
      <c r="Y7" s="663"/>
      <c r="Z7" s="662"/>
      <c r="AA7" s="662"/>
      <c r="AB7" s="662"/>
      <c r="AC7" s="662"/>
      <c r="AD7" s="637"/>
      <c r="AE7" s="637"/>
      <c r="AF7" s="637"/>
      <c r="AG7" s="637"/>
      <c r="AH7" s="637"/>
      <c r="AI7" s="637"/>
      <c r="AJ7" s="637"/>
      <c r="AK7" s="637"/>
      <c r="AL7" s="637"/>
      <c r="AM7" s="637"/>
      <c r="AN7" s="637"/>
      <c r="AO7" s="637"/>
      <c r="AP7" s="664"/>
      <c r="AQ7" s="637"/>
      <c r="AR7" s="637"/>
      <c r="AS7" s="637"/>
      <c r="AT7" s="637"/>
      <c r="AU7" s="637"/>
      <c r="AV7" s="637"/>
      <c r="AW7" s="637"/>
      <c r="AX7" s="662"/>
      <c r="AY7" s="663"/>
      <c r="AZ7" s="662"/>
      <c r="BA7" s="662"/>
      <c r="BB7" s="662"/>
      <c r="BC7" s="637"/>
      <c r="BD7" s="637"/>
      <c r="BE7" s="637"/>
      <c r="BF7" s="637"/>
      <c r="BG7" s="637"/>
      <c r="BH7" s="637"/>
      <c r="BI7" s="637"/>
      <c r="BJ7" s="637"/>
      <c r="BK7" s="637"/>
      <c r="BL7" s="637"/>
      <c r="BM7" s="637"/>
      <c r="BN7" s="637"/>
      <c r="BO7" s="637"/>
      <c r="BP7" s="637"/>
      <c r="BQ7" s="637"/>
      <c r="BR7" s="637"/>
      <c r="BS7" s="662"/>
      <c r="BT7" s="663"/>
      <c r="BU7" s="662"/>
      <c r="BV7" s="662"/>
      <c r="BW7" s="662"/>
      <c r="BX7" s="637"/>
      <c r="BY7" s="637"/>
      <c r="BZ7" s="637"/>
      <c r="CA7" s="637"/>
      <c r="CB7" s="637"/>
      <c r="CC7" s="637"/>
      <c r="CD7" s="637"/>
      <c r="CE7" s="637"/>
      <c r="CF7" s="637"/>
    </row>
    <row r="8" spans="1:116" x14ac:dyDescent="0.2">
      <c r="A8" s="16"/>
      <c r="B8" s="16"/>
      <c r="C8" s="16"/>
      <c r="D8" s="38"/>
      <c r="E8" s="38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37"/>
      <c r="S8" s="37"/>
      <c r="T8" s="35"/>
      <c r="U8" s="35"/>
      <c r="V8" s="103"/>
      <c r="W8" s="39"/>
      <c r="X8" s="39"/>
      <c r="Y8" s="76"/>
      <c r="Z8" s="39"/>
      <c r="AA8" s="39"/>
      <c r="AB8" s="39"/>
      <c r="AC8" s="39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68"/>
      <c r="AX8" s="39"/>
      <c r="AY8" s="76"/>
      <c r="AZ8" s="39"/>
      <c r="BA8" s="39"/>
      <c r="BB8" s="39"/>
      <c r="BS8" s="39"/>
      <c r="BT8" s="76"/>
      <c r="BU8" s="39"/>
      <c r="BV8" s="39"/>
      <c r="BW8" s="39"/>
    </row>
    <row r="9" spans="1:116" x14ac:dyDescent="0.2">
      <c r="A9" s="16"/>
      <c r="B9" s="16"/>
      <c r="C9" s="16"/>
      <c r="D9" s="38"/>
      <c r="E9" s="38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37"/>
      <c r="S9" s="37"/>
      <c r="T9" s="35"/>
      <c r="U9" s="35"/>
      <c r="V9" s="103"/>
      <c r="W9" s="39"/>
      <c r="X9" s="39"/>
      <c r="Y9" s="76"/>
      <c r="Z9" s="39"/>
      <c r="AA9" s="39"/>
      <c r="AB9" s="39"/>
      <c r="AC9" s="39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68"/>
      <c r="AX9" s="39"/>
      <c r="AY9" s="76"/>
      <c r="AZ9" s="39"/>
      <c r="BA9" s="39"/>
      <c r="BB9" s="39"/>
      <c r="BS9" s="39"/>
      <c r="BT9" s="76"/>
      <c r="BU9" s="39"/>
      <c r="BV9" s="39"/>
      <c r="BW9" s="39"/>
    </row>
    <row r="10" spans="1:116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1275" t="s">
        <v>450</v>
      </c>
      <c r="V10" s="1275"/>
      <c r="W10" s="1275"/>
      <c r="X10" s="1275"/>
      <c r="Y10" s="1275"/>
      <c r="Z10" s="1275"/>
      <c r="AA10" s="1275"/>
      <c r="AB10" s="1275"/>
      <c r="AC10" s="1275"/>
      <c r="AD10" s="1275"/>
      <c r="AE10" s="1275"/>
      <c r="AF10" s="1275"/>
      <c r="AG10" s="1275"/>
      <c r="AH10" s="1275"/>
      <c r="AI10" s="1275"/>
      <c r="AJ10" s="1275"/>
      <c r="AK10" s="1275"/>
      <c r="AL10" s="1275"/>
      <c r="AM10" s="1275"/>
      <c r="AN10" s="1275"/>
      <c r="AO10" s="1275"/>
      <c r="AP10" s="1275"/>
      <c r="AQ10" s="1275"/>
      <c r="AR10" s="1275"/>
      <c r="AS10" s="1275"/>
      <c r="AT10" s="1275"/>
      <c r="AU10" s="1275"/>
      <c r="AV10" s="1275"/>
      <c r="AW10" s="1275"/>
      <c r="AX10" s="1275"/>
      <c r="AY10" s="1275"/>
      <c r="AZ10" s="1275"/>
      <c r="BA10" s="1275"/>
    </row>
    <row r="11" spans="1:116" ht="57.75" x14ac:dyDescent="0.25">
      <c r="A11" s="1261" t="s">
        <v>57</v>
      </c>
      <c r="B11" s="1261" t="s">
        <v>0</v>
      </c>
      <c r="C11" s="321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526</v>
      </c>
      <c r="J11" s="1254" t="s">
        <v>525</v>
      </c>
      <c r="K11" s="1254" t="s">
        <v>534</v>
      </c>
      <c r="L11" s="1254" t="s">
        <v>493</v>
      </c>
      <c r="M11" s="1254" t="s">
        <v>535</v>
      </c>
      <c r="N11" s="319" t="s">
        <v>529</v>
      </c>
      <c r="O11" s="1254" t="s">
        <v>492</v>
      </c>
      <c r="P11" s="320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1245" t="s">
        <v>447</v>
      </c>
      <c r="V11" s="1268" t="s">
        <v>452</v>
      </c>
      <c r="W11" s="1245" t="s">
        <v>439</v>
      </c>
      <c r="X11" s="158" t="s">
        <v>15</v>
      </c>
      <c r="Y11" s="159" t="s">
        <v>15</v>
      </c>
      <c r="Z11" s="158" t="s">
        <v>16</v>
      </c>
      <c r="AA11" s="1245" t="s">
        <v>527</v>
      </c>
      <c r="AB11" s="1245" t="s">
        <v>536</v>
      </c>
      <c r="AC11" s="158" t="s">
        <v>3</v>
      </c>
      <c r="AD11" s="158" t="s">
        <v>4</v>
      </c>
      <c r="AE11" s="158" t="s">
        <v>5</v>
      </c>
      <c r="AF11" s="158" t="s">
        <v>6</v>
      </c>
      <c r="AG11" s="158" t="s">
        <v>7</v>
      </c>
      <c r="AH11" s="158" t="s">
        <v>8</v>
      </c>
      <c r="AI11" s="158" t="s">
        <v>9</v>
      </c>
      <c r="AJ11" s="158" t="s">
        <v>10</v>
      </c>
      <c r="AK11" s="158" t="s">
        <v>11</v>
      </c>
      <c r="AL11" s="158" t="s">
        <v>12</v>
      </c>
      <c r="AM11" s="158" t="s">
        <v>13</v>
      </c>
      <c r="AN11" s="158" t="s">
        <v>14</v>
      </c>
      <c r="AO11" s="196" t="s">
        <v>531</v>
      </c>
      <c r="AP11" s="160" t="s">
        <v>63</v>
      </c>
      <c r="AQ11" s="1245" t="s">
        <v>976</v>
      </c>
      <c r="AR11" s="1245" t="s">
        <v>536</v>
      </c>
      <c r="AS11" s="158" t="s">
        <v>3</v>
      </c>
      <c r="AT11" s="158" t="s">
        <v>4</v>
      </c>
      <c r="AU11" s="158" t="s">
        <v>5</v>
      </c>
      <c r="AV11" s="158" t="s">
        <v>6</v>
      </c>
      <c r="AW11" s="158" t="s">
        <v>7</v>
      </c>
      <c r="AX11" s="158" t="s">
        <v>15</v>
      </c>
      <c r="AY11" s="159" t="s">
        <v>15</v>
      </c>
      <c r="AZ11" s="158" t="s">
        <v>16</v>
      </c>
      <c r="BA11" s="1245" t="s">
        <v>1059</v>
      </c>
      <c r="BB11" s="1245" t="s">
        <v>536</v>
      </c>
      <c r="BC11" s="158" t="s">
        <v>8</v>
      </c>
      <c r="BD11" s="158" t="s">
        <v>9</v>
      </c>
      <c r="BE11" s="158" t="s">
        <v>10</v>
      </c>
      <c r="BF11" s="158" t="s">
        <v>11</v>
      </c>
      <c r="BG11" s="158" t="s">
        <v>12</v>
      </c>
      <c r="BH11" s="158" t="s">
        <v>13</v>
      </c>
      <c r="BI11" s="158" t="s">
        <v>14</v>
      </c>
      <c r="BJ11" s="196" t="s">
        <v>989</v>
      </c>
      <c r="BK11" s="160" t="s">
        <v>63</v>
      </c>
      <c r="BL11" s="158" t="s">
        <v>3</v>
      </c>
      <c r="BM11" s="158" t="s">
        <v>4</v>
      </c>
      <c r="BN11" s="158" t="s">
        <v>5</v>
      </c>
      <c r="BO11" s="158" t="s">
        <v>6</v>
      </c>
      <c r="BP11" s="158" t="s">
        <v>7</v>
      </c>
      <c r="BQ11" s="1247" t="s">
        <v>1150</v>
      </c>
      <c r="BR11" s="1247" t="s">
        <v>1157</v>
      </c>
      <c r="BS11" s="158" t="s">
        <v>15</v>
      </c>
      <c r="BT11" s="159" t="s">
        <v>15</v>
      </c>
      <c r="BU11" s="158" t="s">
        <v>16</v>
      </c>
      <c r="BV11" s="1245" t="s">
        <v>1004</v>
      </c>
      <c r="BW11" s="1245" t="s">
        <v>536</v>
      </c>
      <c r="BX11" s="158" t="s">
        <v>8</v>
      </c>
      <c r="BY11" s="158" t="s">
        <v>9</v>
      </c>
      <c r="BZ11" s="158" t="s">
        <v>10</v>
      </c>
      <c r="CA11" s="158" t="s">
        <v>11</v>
      </c>
      <c r="CB11" s="158" t="s">
        <v>12</v>
      </c>
      <c r="CC11" s="158" t="s">
        <v>13</v>
      </c>
      <c r="CD11" s="158" t="s">
        <v>14</v>
      </c>
      <c r="CE11" s="196" t="s">
        <v>1158</v>
      </c>
      <c r="CF11" s="160" t="s">
        <v>63</v>
      </c>
      <c r="CG11" s="158" t="s">
        <v>3</v>
      </c>
      <c r="CH11" s="158" t="s">
        <v>4</v>
      </c>
      <c r="CI11" s="158" t="s">
        <v>5</v>
      </c>
      <c r="CJ11" s="158" t="s">
        <v>6</v>
      </c>
      <c r="CK11" s="158" t="s">
        <v>7</v>
      </c>
      <c r="CL11" s="1247" t="s">
        <v>1252</v>
      </c>
      <c r="CM11" s="1247" t="s">
        <v>1253</v>
      </c>
      <c r="CN11" s="158" t="s">
        <v>15</v>
      </c>
      <c r="CO11" s="159" t="s">
        <v>15</v>
      </c>
      <c r="CP11" s="158" t="s">
        <v>16</v>
      </c>
      <c r="CQ11" s="1245" t="s">
        <v>1254</v>
      </c>
      <c r="CR11" s="1245" t="s">
        <v>536</v>
      </c>
      <c r="CS11" s="158" t="s">
        <v>8</v>
      </c>
      <c r="CT11" s="158" t="s">
        <v>9</v>
      </c>
      <c r="CU11" s="158" t="s">
        <v>10</v>
      </c>
      <c r="CV11" s="158" t="s">
        <v>11</v>
      </c>
      <c r="CW11" s="158" t="s">
        <v>12</v>
      </c>
      <c r="CX11" s="158" t="s">
        <v>13</v>
      </c>
      <c r="CY11" s="158" t="s">
        <v>14</v>
      </c>
      <c r="CZ11" s="158" t="s">
        <v>3</v>
      </c>
      <c r="DA11" s="158" t="s">
        <v>4</v>
      </c>
      <c r="DB11" s="158" t="s">
        <v>5</v>
      </c>
      <c r="DC11" s="158" t="s">
        <v>6</v>
      </c>
      <c r="DD11" s="158" t="s">
        <v>7</v>
      </c>
      <c r="DE11" s="158" t="s">
        <v>8</v>
      </c>
      <c r="DF11" s="158" t="s">
        <v>9</v>
      </c>
      <c r="DG11" s="158" t="s">
        <v>10</v>
      </c>
      <c r="DH11" s="158" t="s">
        <v>11</v>
      </c>
      <c r="DI11" s="158" t="s">
        <v>12</v>
      </c>
      <c r="DJ11" s="158" t="s">
        <v>13</v>
      </c>
      <c r="DK11" s="1247" t="s">
        <v>1274</v>
      </c>
      <c r="DL11" s="1247" t="s">
        <v>1263</v>
      </c>
    </row>
    <row r="12" spans="1:116" ht="25.5" x14ac:dyDescent="0.25">
      <c r="A12" s="1262"/>
      <c r="B12" s="1262"/>
      <c r="C12" s="161" t="s">
        <v>695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1267"/>
      <c r="V12" s="1269">
        <v>41639</v>
      </c>
      <c r="W12" s="1246"/>
      <c r="X12" s="162" t="s">
        <v>20</v>
      </c>
      <c r="Y12" s="163" t="s">
        <v>21</v>
      </c>
      <c r="Z12" s="162" t="s">
        <v>22</v>
      </c>
      <c r="AA12" s="1246"/>
      <c r="AB12" s="1246"/>
      <c r="AC12" s="162">
        <v>2015</v>
      </c>
      <c r="AD12" s="162">
        <v>2015</v>
      </c>
      <c r="AE12" s="162">
        <v>2015</v>
      </c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 t="s">
        <v>64</v>
      </c>
      <c r="AQ12" s="1246"/>
      <c r="AR12" s="1246"/>
      <c r="AS12" s="162">
        <v>2016</v>
      </c>
      <c r="AT12" s="162">
        <v>2016</v>
      </c>
      <c r="AU12" s="162">
        <v>2016</v>
      </c>
      <c r="AV12" s="162">
        <v>2016</v>
      </c>
      <c r="AW12" s="162">
        <v>2016</v>
      </c>
      <c r="AX12" s="162" t="s">
        <v>20</v>
      </c>
      <c r="AY12" s="163" t="s">
        <v>21</v>
      </c>
      <c r="AZ12" s="162" t="s">
        <v>22</v>
      </c>
      <c r="BA12" s="1246"/>
      <c r="BB12" s="1246"/>
      <c r="BC12" s="162">
        <v>2016</v>
      </c>
      <c r="BD12" s="162">
        <v>2016</v>
      </c>
      <c r="BE12" s="162">
        <v>2016</v>
      </c>
      <c r="BF12" s="162">
        <v>2016</v>
      </c>
      <c r="BG12" s="162">
        <v>2016</v>
      </c>
      <c r="BH12" s="162">
        <v>2016</v>
      </c>
      <c r="BI12" s="162">
        <v>2016</v>
      </c>
      <c r="BJ12" s="162">
        <v>2016</v>
      </c>
      <c r="BK12" s="162" t="s">
        <v>64</v>
      </c>
      <c r="BL12" s="162">
        <v>2017</v>
      </c>
      <c r="BM12" s="162">
        <v>2017</v>
      </c>
      <c r="BN12" s="162">
        <v>2017</v>
      </c>
      <c r="BO12" s="162">
        <v>2017</v>
      </c>
      <c r="BP12" s="162">
        <v>2017</v>
      </c>
      <c r="BQ12" s="1248"/>
      <c r="BR12" s="1248"/>
      <c r="BS12" s="162" t="s">
        <v>20</v>
      </c>
      <c r="BT12" s="163" t="s">
        <v>21</v>
      </c>
      <c r="BU12" s="162" t="s">
        <v>22</v>
      </c>
      <c r="BV12" s="1246"/>
      <c r="BW12" s="1246"/>
      <c r="BX12" s="162">
        <v>2017</v>
      </c>
      <c r="BY12" s="162">
        <v>2017</v>
      </c>
      <c r="BZ12" s="162">
        <v>2017</v>
      </c>
      <c r="CA12" s="162">
        <v>2017</v>
      </c>
      <c r="CB12" s="162">
        <v>2017</v>
      </c>
      <c r="CC12" s="162">
        <v>2017</v>
      </c>
      <c r="CD12" s="162">
        <v>2017</v>
      </c>
      <c r="CE12" s="162">
        <v>2017</v>
      </c>
      <c r="CF12" s="162" t="s">
        <v>64</v>
      </c>
      <c r="CG12" s="162">
        <v>2018</v>
      </c>
      <c r="CH12" s="162">
        <v>2018</v>
      </c>
      <c r="CI12" s="162">
        <v>2018</v>
      </c>
      <c r="CJ12" s="162">
        <v>2018</v>
      </c>
      <c r="CK12" s="162">
        <v>2018</v>
      </c>
      <c r="CL12" s="1248"/>
      <c r="CM12" s="1248"/>
      <c r="CN12" s="162" t="s">
        <v>20</v>
      </c>
      <c r="CO12" s="163" t="s">
        <v>21</v>
      </c>
      <c r="CP12" s="162" t="s">
        <v>22</v>
      </c>
      <c r="CQ12" s="1246"/>
      <c r="CR12" s="1246"/>
      <c r="CS12" s="162">
        <v>2018</v>
      </c>
      <c r="CT12" s="162">
        <v>2018</v>
      </c>
      <c r="CU12" s="162">
        <v>2018</v>
      </c>
      <c r="CV12" s="162">
        <v>2018</v>
      </c>
      <c r="CW12" s="162">
        <v>2018</v>
      </c>
      <c r="CX12" s="162">
        <v>2018</v>
      </c>
      <c r="CY12" s="162">
        <v>2018</v>
      </c>
      <c r="CZ12" s="162">
        <v>2019</v>
      </c>
      <c r="DA12" s="162">
        <v>2019</v>
      </c>
      <c r="DB12" s="162">
        <v>2019</v>
      </c>
      <c r="DC12" s="162">
        <v>2019</v>
      </c>
      <c r="DD12" s="162">
        <v>2019</v>
      </c>
      <c r="DE12" s="162">
        <v>2019</v>
      </c>
      <c r="DF12" s="162">
        <v>2019</v>
      </c>
      <c r="DG12" s="162">
        <v>2019</v>
      </c>
      <c r="DH12" s="162">
        <v>2019</v>
      </c>
      <c r="DI12" s="162">
        <v>2019</v>
      </c>
      <c r="DJ12" s="162">
        <v>2019</v>
      </c>
      <c r="DK12" s="1248"/>
      <c r="DL12" s="1248"/>
    </row>
    <row r="13" spans="1:116" s="16" customFormat="1" x14ac:dyDescent="0.2">
      <c r="A13" s="120" t="s">
        <v>71</v>
      </c>
      <c r="B13" s="120"/>
      <c r="C13" s="45"/>
      <c r="D13" s="27"/>
      <c r="E13" s="25"/>
      <c r="F13" s="46"/>
      <c r="G13" s="17"/>
      <c r="H13" s="145"/>
      <c r="I13" s="165"/>
      <c r="J13" s="48"/>
      <c r="K13" s="165"/>
      <c r="L13" s="48"/>
      <c r="M13" s="165"/>
      <c r="N13" s="48"/>
      <c r="O13" s="165"/>
      <c r="P13" s="48"/>
      <c r="Q13" s="48"/>
      <c r="R13" s="20"/>
      <c r="S13" s="20"/>
      <c r="T13" s="14"/>
      <c r="U13" s="14"/>
      <c r="V13" s="108"/>
      <c r="W13" s="66"/>
      <c r="X13" s="66"/>
      <c r="Y13" s="169"/>
      <c r="Z13" s="57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72"/>
      <c r="AQ13" s="55"/>
      <c r="AR13" s="55"/>
      <c r="AS13" s="55"/>
      <c r="AT13" s="55"/>
      <c r="AU13" s="55"/>
      <c r="AV13" s="55"/>
      <c r="AW13" s="55"/>
      <c r="AX13" s="66"/>
      <c r="AY13" s="169"/>
      <c r="AZ13" s="57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66"/>
      <c r="BT13" s="169"/>
      <c r="BU13" s="57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05"/>
      <c r="CI13" s="505"/>
      <c r="CJ13" s="505"/>
      <c r="CK13" s="505"/>
      <c r="CL13" s="505"/>
      <c r="CM13" s="50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</row>
    <row r="14" spans="1:116" s="16" customFormat="1" x14ac:dyDescent="0.2">
      <c r="A14" s="120" t="s">
        <v>76</v>
      </c>
      <c r="B14" s="28"/>
      <c r="C14" s="45"/>
      <c r="D14" s="4"/>
      <c r="E14" s="25"/>
      <c r="F14" s="46"/>
      <c r="G14" s="17"/>
      <c r="H14" s="145"/>
      <c r="I14" s="165"/>
      <c r="J14" s="48"/>
      <c r="K14" s="165"/>
      <c r="L14" s="48"/>
      <c r="M14" s="165"/>
      <c r="N14" s="48"/>
      <c r="O14" s="165"/>
      <c r="P14" s="48"/>
      <c r="Q14" s="48"/>
      <c r="R14" s="20"/>
      <c r="S14" s="20"/>
      <c r="T14" s="14"/>
      <c r="U14" s="14"/>
      <c r="V14" s="108"/>
      <c r="W14" s="66"/>
      <c r="X14" s="66"/>
      <c r="Y14" s="169"/>
      <c r="Z14" s="57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72"/>
      <c r="AQ14" s="55"/>
      <c r="AR14" s="55"/>
      <c r="AS14" s="55"/>
      <c r="AT14" s="55"/>
      <c r="AU14" s="55"/>
      <c r="AV14" s="55"/>
      <c r="AW14" s="55"/>
      <c r="AX14" s="66"/>
      <c r="AY14" s="169"/>
      <c r="AZ14" s="57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66"/>
      <c r="BT14" s="169"/>
      <c r="BU14" s="57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05"/>
      <c r="CM14" s="50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</row>
    <row r="15" spans="1:116" s="35" customFormat="1" x14ac:dyDescent="0.2">
      <c r="A15" s="100" t="s">
        <v>734</v>
      </c>
      <c r="B15" s="100" t="s">
        <v>738</v>
      </c>
      <c r="C15" s="100" t="s">
        <v>735</v>
      </c>
      <c r="D15" s="8">
        <v>10</v>
      </c>
      <c r="E15" s="130">
        <v>0.1</v>
      </c>
      <c r="F15" s="119">
        <v>43281</v>
      </c>
      <c r="G15" s="125">
        <v>120</v>
      </c>
      <c r="H15" s="146">
        <f>100/G15</f>
        <v>0.83333333333333337</v>
      </c>
      <c r="I15" s="1167">
        <f>H15*J15</f>
        <v>25.833333333333336</v>
      </c>
      <c r="J15" s="125">
        <f>(YEAR(F15)-YEAR(S15))*12+MONTH(F15)-MONTH(S15)</f>
        <v>31</v>
      </c>
      <c r="K15" s="1167">
        <f>L15*H15</f>
        <v>74.166666666666671</v>
      </c>
      <c r="L15" s="125">
        <f>G15-J15</f>
        <v>89</v>
      </c>
      <c r="M15" s="1167">
        <f>N15*H15</f>
        <v>0.83333333333333337</v>
      </c>
      <c r="N15" s="125">
        <v>1</v>
      </c>
      <c r="O15" s="1167">
        <f>P15*H15</f>
        <v>73.333333333333343</v>
      </c>
      <c r="P15" s="125">
        <f>L15-N15</f>
        <v>88</v>
      </c>
      <c r="Q15" s="119">
        <f>DATE(YEAR(S15),MONTH(S15)+G15,DAY(S15))</f>
        <v>45986</v>
      </c>
      <c r="R15" s="119" t="s">
        <v>736</v>
      </c>
      <c r="S15" s="119">
        <v>42333</v>
      </c>
      <c r="T15" s="134">
        <v>1543.16</v>
      </c>
      <c r="U15" s="134">
        <v>0</v>
      </c>
      <c r="V15" s="7">
        <v>0</v>
      </c>
      <c r="W15" s="1167">
        <v>0</v>
      </c>
      <c r="X15" s="64">
        <v>115.958</v>
      </c>
      <c r="Y15" s="1168">
        <v>118.051</v>
      </c>
      <c r="Z15" s="64">
        <f>X15/Y15</f>
        <v>0.98227037466857536</v>
      </c>
      <c r="AA15" s="62">
        <f>H15*T15/100</f>
        <v>12.859666666666667</v>
      </c>
      <c r="AB15" s="62">
        <f>AA15*Z15</f>
        <v>12.631669594779657</v>
      </c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>
        <f>AB15</f>
        <v>12.631669594779657</v>
      </c>
      <c r="AO15" s="62">
        <f>SUM(AC15:AN15)+V15</f>
        <v>12.631669594779657</v>
      </c>
      <c r="AP15" s="1169">
        <f>T15-AO15</f>
        <v>1530.5283304052205</v>
      </c>
      <c r="AQ15" s="62"/>
      <c r="AR15" s="62"/>
      <c r="AS15" s="62">
        <f>$AN15</f>
        <v>12.631669594779657</v>
      </c>
      <c r="AT15" s="62">
        <f>$AN15</f>
        <v>12.631669594779657</v>
      </c>
      <c r="AU15" s="62">
        <f>$AN15</f>
        <v>12.631669594779657</v>
      </c>
      <c r="AV15" s="62">
        <f>$AN15</f>
        <v>12.631669594779657</v>
      </c>
      <c r="AW15" s="62">
        <f>$AN15</f>
        <v>12.631669594779657</v>
      </c>
      <c r="AX15" s="64">
        <v>118.901</v>
      </c>
      <c r="AY15" s="1168">
        <v>118.051</v>
      </c>
      <c r="AZ15" s="64">
        <f>AX15/AY15</f>
        <v>1.0072002778460156</v>
      </c>
      <c r="BA15" s="62">
        <f>T15/(D15*12)</f>
        <v>12.859666666666667</v>
      </c>
      <c r="BB15" s="62">
        <f>BA15*AZ15</f>
        <v>12.952259839673813</v>
      </c>
      <c r="BC15" s="62">
        <f t="shared" ref="BC15:BI15" si="0">$BB15</f>
        <v>12.952259839673813</v>
      </c>
      <c r="BD15" s="62">
        <f t="shared" si="0"/>
        <v>12.952259839673813</v>
      </c>
      <c r="BE15" s="62">
        <f t="shared" si="0"/>
        <v>12.952259839673813</v>
      </c>
      <c r="BF15" s="62">
        <f t="shared" si="0"/>
        <v>12.952259839673813</v>
      </c>
      <c r="BG15" s="62">
        <f t="shared" si="0"/>
        <v>12.952259839673813</v>
      </c>
      <c r="BH15" s="62">
        <f t="shared" si="0"/>
        <v>12.952259839673813</v>
      </c>
      <c r="BI15" s="62">
        <f t="shared" si="0"/>
        <v>12.952259839673813</v>
      </c>
      <c r="BJ15" s="62">
        <f>SUM((AS15:AW15),(BC15:BI15))</f>
        <v>153.82416685161499</v>
      </c>
      <c r="BK15" s="927">
        <f>(AP15-BJ15)</f>
        <v>1376.7041635536054</v>
      </c>
      <c r="BL15" s="62">
        <f>$AN15</f>
        <v>12.631669594779657</v>
      </c>
      <c r="BM15" s="62">
        <f>$AN15</f>
        <v>12.631669594779657</v>
      </c>
      <c r="BN15" s="62">
        <f>$AN15</f>
        <v>12.631669594779657</v>
      </c>
      <c r="BO15" s="62">
        <f>$AN15</f>
        <v>12.631669594779657</v>
      </c>
      <c r="BP15" s="62">
        <f>$AN15</f>
        <v>12.631669594779657</v>
      </c>
      <c r="BQ15" s="62">
        <f>SUM(BL15:BP15)</f>
        <v>63.158347973898287</v>
      </c>
      <c r="BR15" s="62">
        <f>BK15-BQ15</f>
        <v>1313.5458155797071</v>
      </c>
      <c r="BS15" s="64">
        <v>126.408</v>
      </c>
      <c r="BT15" s="1168">
        <v>118.051</v>
      </c>
      <c r="BU15" s="64">
        <f>BS15/BT15</f>
        <v>1.0707914375990037</v>
      </c>
      <c r="BV15" s="62">
        <f>BK15/L15</f>
        <v>15.468586107343882</v>
      </c>
      <c r="BW15" s="62">
        <f>BV15*BU15</f>
        <v>16.563629555506733</v>
      </c>
      <c r="BX15" s="62">
        <v>14.6</v>
      </c>
      <c r="BY15" s="62">
        <v>14.6</v>
      </c>
      <c r="BZ15" s="62">
        <v>14.6</v>
      </c>
      <c r="CA15" s="62">
        <v>14.6</v>
      </c>
      <c r="CB15" s="62">
        <v>14.6</v>
      </c>
      <c r="CC15" s="62">
        <v>14.6</v>
      </c>
      <c r="CD15" s="62">
        <v>14.6</v>
      </c>
      <c r="CE15" s="62">
        <f>SUM(BX15:CD15)</f>
        <v>102.19999999999999</v>
      </c>
      <c r="CF15" s="927">
        <f>BR15-CE15</f>
        <v>1211.3458155797071</v>
      </c>
      <c r="CG15" s="62">
        <v>14.6</v>
      </c>
      <c r="CH15" s="62">
        <v>14.6</v>
      </c>
      <c r="CI15" s="62">
        <v>14.6</v>
      </c>
      <c r="CJ15" s="62">
        <v>14.6</v>
      </c>
      <c r="CK15" s="62">
        <v>14.6</v>
      </c>
      <c r="CL15" s="1170">
        <f>SUM(CG15:CK15)</f>
        <v>73</v>
      </c>
      <c r="CM15" s="679">
        <f>CF15-CL15</f>
        <v>1138.3458155797071</v>
      </c>
      <c r="CN15" s="1171">
        <v>132.28200000000001</v>
      </c>
      <c r="CO15" s="1168">
        <v>118.051</v>
      </c>
      <c r="CP15" s="1168">
        <f>CN15/CO15</f>
        <v>1.1205495929725289</v>
      </c>
      <c r="CQ15" s="510">
        <f>CM15/L15</f>
        <v>12.790402422243899</v>
      </c>
      <c r="CR15" s="510">
        <f>CQ15*CP15</f>
        <v>14.332280228200249</v>
      </c>
      <c r="CS15" s="510">
        <v>14.332280228200249</v>
      </c>
      <c r="CT15" s="510">
        <v>14.332280228200249</v>
      </c>
      <c r="CU15" s="510">
        <v>14.332280228200249</v>
      </c>
      <c r="CV15" s="510">
        <v>14.332280228200249</v>
      </c>
      <c r="CW15" s="510">
        <v>14.332280228200249</v>
      </c>
      <c r="CX15" s="510">
        <v>14.332280228200249</v>
      </c>
      <c r="CY15" s="510">
        <v>14.332280228200249</v>
      </c>
      <c r="CZ15" s="510">
        <v>14.332280228200249</v>
      </c>
      <c r="DA15" s="510">
        <v>14.332280228200249</v>
      </c>
      <c r="DB15" s="510">
        <v>14.332280228200249</v>
      </c>
      <c r="DC15" s="510">
        <v>14.332280228200249</v>
      </c>
      <c r="DD15" s="510">
        <v>14.332280228200249</v>
      </c>
      <c r="DE15" s="510">
        <v>14.332280228200249</v>
      </c>
      <c r="DF15" s="510">
        <v>14.332280228200249</v>
      </c>
      <c r="DG15" s="510">
        <v>14.332280228200249</v>
      </c>
      <c r="DH15" s="510">
        <v>14.332280228200249</v>
      </c>
      <c r="DI15" s="510">
        <v>14.332280228200249</v>
      </c>
      <c r="DJ15" s="510">
        <v>14.332280228200249</v>
      </c>
      <c r="DK15" s="510">
        <f>SUM(CS15:DJ15)</f>
        <v>257.98104410760459</v>
      </c>
      <c r="DL15" s="756">
        <f>CM15-DK15</f>
        <v>880.36477147210246</v>
      </c>
    </row>
    <row r="16" spans="1:116" s="16" customFormat="1" x14ac:dyDescent="0.2">
      <c r="A16" s="100" t="s">
        <v>1013</v>
      </c>
      <c r="B16" s="100" t="s">
        <v>1014</v>
      </c>
      <c r="C16" s="45" t="s">
        <v>720</v>
      </c>
      <c r="D16" s="58">
        <v>10</v>
      </c>
      <c r="E16" s="53">
        <v>0.1</v>
      </c>
      <c r="F16" s="46">
        <v>43281</v>
      </c>
      <c r="G16" s="48">
        <v>120</v>
      </c>
      <c r="H16" s="145">
        <f>100/G16</f>
        <v>0.83333333333333337</v>
      </c>
      <c r="I16" s="165">
        <f>H16*J16</f>
        <v>23.333333333333336</v>
      </c>
      <c r="J16" s="48">
        <f>(YEAR(F16)-YEAR(S16))*12+MONTH(F16)-MONTH(S16)</f>
        <v>28</v>
      </c>
      <c r="K16" s="165">
        <f>L16*H16</f>
        <v>76.666666666666671</v>
      </c>
      <c r="L16" s="48">
        <f>G16-J16</f>
        <v>92</v>
      </c>
      <c r="M16" s="165">
        <f>N16*H16</f>
        <v>0.83333333333333337</v>
      </c>
      <c r="N16" s="48">
        <v>1</v>
      </c>
      <c r="O16" s="165">
        <f>P16*H16</f>
        <v>75.833333333333343</v>
      </c>
      <c r="P16" s="48">
        <f>L16-N16</f>
        <v>91</v>
      </c>
      <c r="Q16" s="46">
        <f>DATE(YEAR(S16),MONTH(S16)+G16,DAY(S16))</f>
        <v>46069</v>
      </c>
      <c r="R16" s="48">
        <v>440</v>
      </c>
      <c r="S16" s="46">
        <v>42416</v>
      </c>
      <c r="T16" s="47">
        <v>550</v>
      </c>
      <c r="U16" s="47"/>
      <c r="V16" s="106"/>
      <c r="W16" s="165"/>
      <c r="X16" s="374">
        <v>118.901</v>
      </c>
      <c r="Y16" s="168">
        <v>108.208</v>
      </c>
      <c r="Z16" s="57">
        <f>X16/Y16</f>
        <v>1.0988189412982403</v>
      </c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72">
        <f>T16-AO16</f>
        <v>550</v>
      </c>
      <c r="AQ16" s="55"/>
      <c r="AR16" s="55"/>
      <c r="AS16" s="55"/>
      <c r="AT16" s="55"/>
      <c r="AU16" s="55"/>
      <c r="AV16" s="55"/>
      <c r="AW16" s="55"/>
      <c r="AX16" s="374">
        <v>118.901</v>
      </c>
      <c r="AY16" s="168">
        <v>108.208</v>
      </c>
      <c r="AZ16" s="57">
        <f>AX16/AY16</f>
        <v>1.0988189412982403</v>
      </c>
      <c r="BA16" s="55">
        <f>T16/(D16*12)</f>
        <v>4.583333333333333</v>
      </c>
      <c r="BB16" s="55">
        <f>BA16*AZ16</f>
        <v>5.0362534809502675</v>
      </c>
      <c r="BC16" s="55"/>
      <c r="BD16" s="55">
        <f>BB16*5</f>
        <v>25.181267404751338</v>
      </c>
      <c r="BE16" s="55">
        <f>$BB16</f>
        <v>5.0362534809502675</v>
      </c>
      <c r="BF16" s="55">
        <f>$BB16</f>
        <v>5.0362534809502675</v>
      </c>
      <c r="BG16" s="55">
        <f>$BB16</f>
        <v>5.0362534809502675</v>
      </c>
      <c r="BH16" s="55">
        <f>$BB16</f>
        <v>5.0362534809502675</v>
      </c>
      <c r="BI16" s="55">
        <f>$BB16</f>
        <v>5.0362534809502675</v>
      </c>
      <c r="BJ16" s="55">
        <f>SUM((AS16:AW16),(BC16:BI16))</f>
        <v>50.362534809502669</v>
      </c>
      <c r="BK16" s="448">
        <f>(AP16-BJ16)</f>
        <v>499.63746519049732</v>
      </c>
      <c r="BL16" s="55">
        <v>5.04</v>
      </c>
      <c r="BM16" s="55">
        <v>5.04</v>
      </c>
      <c r="BN16" s="55">
        <v>5.04</v>
      </c>
      <c r="BO16" s="55">
        <v>5.04</v>
      </c>
      <c r="BP16" s="55">
        <v>5.04</v>
      </c>
      <c r="BQ16" s="55">
        <f>SUM(BL16:BP16)</f>
        <v>25.2</v>
      </c>
      <c r="BR16" s="55">
        <f>BK16-BQ16</f>
        <v>474.43746519049733</v>
      </c>
      <c r="BS16" s="57">
        <v>126.408</v>
      </c>
      <c r="BT16" s="168">
        <v>108.208</v>
      </c>
      <c r="BU16" s="57">
        <f>BS16/BT16</f>
        <v>1.1681945882005027</v>
      </c>
      <c r="BV16" s="55">
        <f>BK16/L16</f>
        <v>5.4308420129401886</v>
      </c>
      <c r="BW16" s="55">
        <f>BV16*BU16</f>
        <v>6.3442802488886532</v>
      </c>
      <c r="BX16" s="55">
        <v>5.61</v>
      </c>
      <c r="BY16" s="55">
        <v>5.61</v>
      </c>
      <c r="BZ16" s="55">
        <v>5.61</v>
      </c>
      <c r="CA16" s="55">
        <v>5.61</v>
      </c>
      <c r="CB16" s="55">
        <v>5.61</v>
      </c>
      <c r="CC16" s="55">
        <v>5.61</v>
      </c>
      <c r="CD16" s="55">
        <v>5.61</v>
      </c>
      <c r="CE16" s="55">
        <f>SUM(BX16:CD16)+BQ16</f>
        <v>64.47</v>
      </c>
      <c r="CF16" s="448">
        <f>BR16-CE16</f>
        <v>409.96746519049736</v>
      </c>
      <c r="CG16" s="55">
        <v>5.61</v>
      </c>
      <c r="CH16" s="55">
        <v>5.61</v>
      </c>
      <c r="CI16" s="55">
        <v>5.61</v>
      </c>
      <c r="CJ16" s="55">
        <v>5.61</v>
      </c>
      <c r="CK16" s="55">
        <v>5.61</v>
      </c>
      <c r="CL16" s="505">
        <f>SUM(CG16:CK16)</f>
        <v>28.05</v>
      </c>
      <c r="CM16" s="679">
        <f>CF16-CL16</f>
        <v>381.91746519049735</v>
      </c>
      <c r="CN16" s="956">
        <v>132.28200000000001</v>
      </c>
      <c r="CO16" s="168">
        <v>108.208</v>
      </c>
      <c r="CP16" s="168">
        <f>CN16/CO16</f>
        <v>1.2224789294691707</v>
      </c>
      <c r="CQ16" s="511">
        <f>CM16/L16</f>
        <v>4.1512767955488838</v>
      </c>
      <c r="CR16" s="511">
        <f>CQ16*CP16</f>
        <v>5.0748484129528091</v>
      </c>
      <c r="CS16" s="511">
        <v>5.0748484129528091</v>
      </c>
      <c r="CT16" s="511">
        <v>5.0748484129528091</v>
      </c>
      <c r="CU16" s="511">
        <v>5.0748484129528091</v>
      </c>
      <c r="CV16" s="511">
        <v>5.0748484129528091</v>
      </c>
      <c r="CW16" s="511">
        <v>5.0748484129528091</v>
      </c>
      <c r="CX16" s="511">
        <v>5.0748484129528091</v>
      </c>
      <c r="CY16" s="511">
        <v>5.0748484129528091</v>
      </c>
      <c r="CZ16" s="511">
        <v>5.0748484129528091</v>
      </c>
      <c r="DA16" s="511">
        <v>5.0748484129528091</v>
      </c>
      <c r="DB16" s="511">
        <v>5.0748484129528091</v>
      </c>
      <c r="DC16" s="511">
        <v>5.0748484129528091</v>
      </c>
      <c r="DD16" s="511">
        <v>5.0748484129528091</v>
      </c>
      <c r="DE16" s="511">
        <v>5.0748484129528091</v>
      </c>
      <c r="DF16" s="511">
        <v>5.0748484129528091</v>
      </c>
      <c r="DG16" s="511">
        <v>5.0748484129528091</v>
      </c>
      <c r="DH16" s="511">
        <v>5.0748484129528091</v>
      </c>
      <c r="DI16" s="511">
        <v>5.0748484129528091</v>
      </c>
      <c r="DJ16" s="511">
        <v>5.0748484129528091</v>
      </c>
      <c r="DK16" s="511">
        <f t="shared" ref="DK16:DK19" si="1">SUM(CS16:DJ16)</f>
        <v>91.347271433150553</v>
      </c>
      <c r="DL16" s="756">
        <f>CM16-DK16</f>
        <v>290.57019375734683</v>
      </c>
    </row>
    <row r="17" spans="1:116" x14ac:dyDescent="0.2">
      <c r="A17" s="120" t="s">
        <v>65</v>
      </c>
      <c r="B17" s="120"/>
      <c r="C17" s="45"/>
      <c r="D17" s="27"/>
      <c r="E17" s="25"/>
      <c r="F17" s="46"/>
      <c r="G17" s="17"/>
      <c r="H17" s="145"/>
      <c r="I17" s="48"/>
      <c r="J17" s="48"/>
      <c r="K17" s="48"/>
      <c r="L17" s="48"/>
      <c r="M17" s="48"/>
      <c r="N17" s="48"/>
      <c r="O17" s="48"/>
      <c r="P17" s="48"/>
      <c r="Q17" s="48"/>
      <c r="R17" s="20"/>
      <c r="S17" s="20"/>
      <c r="T17" s="14"/>
      <c r="U17" s="66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72"/>
      <c r="AL17" s="72"/>
      <c r="AM17" s="72"/>
      <c r="AN17" s="72"/>
      <c r="AO17" s="72"/>
      <c r="AP17" s="72"/>
      <c r="AQ17" s="55"/>
      <c r="AR17" s="55"/>
      <c r="AS17" s="55"/>
      <c r="AT17" s="55"/>
      <c r="AU17" s="55"/>
      <c r="AV17" s="55"/>
      <c r="AW17" s="55"/>
      <c r="AX17" s="55"/>
      <c r="AY17" s="55"/>
      <c r="AZ17" s="57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448"/>
      <c r="BL17" s="55"/>
      <c r="BM17" s="55"/>
      <c r="BN17" s="55"/>
      <c r="BO17" s="55"/>
      <c r="BP17" s="55"/>
      <c r="BQ17" s="55"/>
      <c r="BR17" s="55"/>
      <c r="BS17" s="55"/>
      <c r="BT17" s="55"/>
      <c r="BU17" s="57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448"/>
      <c r="CG17" s="55"/>
      <c r="CH17" s="55"/>
      <c r="CI17" s="55"/>
      <c r="CJ17" s="55"/>
      <c r="CK17" s="55"/>
      <c r="CL17" s="505"/>
      <c r="CM17" s="679"/>
      <c r="CN17" s="623"/>
      <c r="CO17" s="55"/>
      <c r="CP17" s="55"/>
      <c r="CQ17" s="511"/>
      <c r="CR17" s="511"/>
      <c r="CS17" s="511"/>
      <c r="CT17" s="511"/>
      <c r="CU17" s="511"/>
      <c r="CV17" s="511"/>
      <c r="CW17" s="511"/>
      <c r="CX17" s="511"/>
      <c r="CY17" s="511"/>
      <c r="CZ17" s="511"/>
      <c r="DA17" s="511"/>
      <c r="DB17" s="511"/>
      <c r="DC17" s="511"/>
      <c r="DD17" s="511"/>
      <c r="DE17" s="511"/>
      <c r="DF17" s="511"/>
      <c r="DG17" s="511"/>
      <c r="DH17" s="511"/>
      <c r="DI17" s="511"/>
      <c r="DJ17" s="511"/>
      <c r="DK17" s="511">
        <f t="shared" si="1"/>
        <v>0</v>
      </c>
      <c r="DL17" s="511"/>
    </row>
    <row r="18" spans="1:116" x14ac:dyDescent="0.2">
      <c r="A18" s="120" t="s">
        <v>109</v>
      </c>
      <c r="B18" s="100"/>
      <c r="C18" s="45"/>
      <c r="D18" s="4"/>
      <c r="E18" s="25"/>
      <c r="F18" s="17"/>
      <c r="G18" s="17"/>
      <c r="H18" s="188"/>
      <c r="I18" s="17"/>
      <c r="J18" s="17"/>
      <c r="K18" s="17"/>
      <c r="L18" s="17"/>
      <c r="M18" s="17"/>
      <c r="N18" s="17"/>
      <c r="O18" s="17"/>
      <c r="P18" s="17"/>
      <c r="Q18" s="17"/>
      <c r="R18" s="20"/>
      <c r="S18" s="20"/>
      <c r="T18" s="14"/>
      <c r="U18" s="66"/>
      <c r="V18" s="65"/>
      <c r="W18" s="65"/>
      <c r="X18" s="6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72"/>
      <c r="AL18" s="72"/>
      <c r="AM18" s="72"/>
      <c r="AN18" s="72"/>
      <c r="AO18" s="72"/>
      <c r="AP18" s="72"/>
      <c r="AQ18" s="55"/>
      <c r="AR18" s="55"/>
      <c r="AS18" s="55"/>
      <c r="AT18" s="55"/>
      <c r="AU18" s="55"/>
      <c r="AV18" s="55"/>
      <c r="AW18" s="55"/>
      <c r="AX18" s="65"/>
      <c r="AY18" s="55"/>
      <c r="AZ18" s="57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448"/>
      <c r="BL18" s="55"/>
      <c r="BM18" s="55"/>
      <c r="BN18" s="55"/>
      <c r="BO18" s="55"/>
      <c r="BP18" s="55"/>
      <c r="BQ18" s="55"/>
      <c r="BR18" s="55"/>
      <c r="BS18" s="65"/>
      <c r="BT18" s="55"/>
      <c r="BU18" s="57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448"/>
      <c r="CG18" s="55"/>
      <c r="CH18" s="55"/>
      <c r="CI18" s="55"/>
      <c r="CJ18" s="55"/>
      <c r="CK18" s="55"/>
      <c r="CL18" s="505"/>
      <c r="CM18" s="681"/>
      <c r="CN18" s="656"/>
      <c r="CO18" s="55"/>
      <c r="CP18" s="55"/>
      <c r="CQ18" s="511"/>
      <c r="CR18" s="511"/>
      <c r="CS18" s="511"/>
      <c r="CT18" s="511"/>
      <c r="CU18" s="511"/>
      <c r="CV18" s="511"/>
      <c r="CW18" s="511"/>
      <c r="CX18" s="511"/>
      <c r="CY18" s="511"/>
      <c r="CZ18" s="511"/>
      <c r="DA18" s="511"/>
      <c r="DB18" s="511"/>
      <c r="DC18" s="511"/>
      <c r="DD18" s="511"/>
      <c r="DE18" s="511"/>
      <c r="DF18" s="511"/>
      <c r="DG18" s="511"/>
      <c r="DH18" s="511"/>
      <c r="DI18" s="511"/>
      <c r="DJ18" s="511"/>
      <c r="DK18" s="511">
        <f t="shared" si="1"/>
        <v>0</v>
      </c>
      <c r="DL18" s="511">
        <f>CT18-DK18</f>
        <v>0</v>
      </c>
    </row>
    <row r="19" spans="1:116" x14ac:dyDescent="0.2">
      <c r="A19" s="328" t="s">
        <v>721</v>
      </c>
      <c r="B19" s="328" t="s">
        <v>708</v>
      </c>
      <c r="C19" s="45" t="s">
        <v>720</v>
      </c>
      <c r="D19" s="58">
        <v>10</v>
      </c>
      <c r="E19" s="53">
        <v>0.1</v>
      </c>
      <c r="F19" s="46">
        <v>43281</v>
      </c>
      <c r="G19" s="48">
        <v>120</v>
      </c>
      <c r="H19" s="145">
        <f>100/G19</f>
        <v>0.83333333333333337</v>
      </c>
      <c r="I19" s="165">
        <f>H19*J19</f>
        <v>25</v>
      </c>
      <c r="J19" s="48">
        <f>(YEAR(F19)-YEAR(S19))*12+MONTH(F19)-MONTH(S19)</f>
        <v>30</v>
      </c>
      <c r="K19" s="165">
        <f>L19*H19</f>
        <v>75</v>
      </c>
      <c r="L19" s="48">
        <f>G19-J19</f>
        <v>90</v>
      </c>
      <c r="M19" s="165">
        <f>N19*H19</f>
        <v>0.83333333333333337</v>
      </c>
      <c r="N19" s="48">
        <v>1</v>
      </c>
      <c r="O19" s="165">
        <f>P19*H19</f>
        <v>74.166666666666671</v>
      </c>
      <c r="P19" s="48">
        <f>L19-N19</f>
        <v>89</v>
      </c>
      <c r="Q19" s="46">
        <f>DATE(YEAR(S19),MONTH(S19)+G19,DAY(S19))</f>
        <v>45997</v>
      </c>
      <c r="R19" s="48">
        <v>3337</v>
      </c>
      <c r="S19" s="46">
        <v>42344</v>
      </c>
      <c r="T19" s="47">
        <v>734</v>
      </c>
      <c r="U19" s="57">
        <v>0</v>
      </c>
      <c r="V19" s="55">
        <v>0</v>
      </c>
      <c r="W19" s="55">
        <v>0</v>
      </c>
      <c r="X19" s="57">
        <v>115.958</v>
      </c>
      <c r="Y19" s="55">
        <v>118.532</v>
      </c>
      <c r="Z19" s="55">
        <f>X19/Y19</f>
        <v>0.97828434515573859</v>
      </c>
      <c r="AA19" s="55">
        <f>T19*H19/100</f>
        <v>6.1166666666666671</v>
      </c>
      <c r="AB19" s="55">
        <f>AA19*Z19</f>
        <v>5.9838392445359352</v>
      </c>
      <c r="AC19" s="55"/>
      <c r="AD19" s="55"/>
      <c r="AE19" s="55"/>
      <c r="AF19" s="55"/>
      <c r="AG19" s="55"/>
      <c r="AH19" s="55"/>
      <c r="AI19" s="55"/>
      <c r="AJ19" s="55"/>
      <c r="AK19" s="72"/>
      <c r="AL19" s="72">
        <v>0</v>
      </c>
      <c r="AM19" s="72">
        <v>0</v>
      </c>
      <c r="AN19" s="55">
        <v>0</v>
      </c>
      <c r="AO19" s="55"/>
      <c r="AP19" s="72">
        <f>T19</f>
        <v>734</v>
      </c>
      <c r="AQ19" s="55"/>
      <c r="AR19" s="55"/>
      <c r="AS19" s="55">
        <f>5.98</f>
        <v>5.98</v>
      </c>
      <c r="AT19" s="55">
        <f>5.98</f>
        <v>5.98</v>
      </c>
      <c r="AU19" s="55">
        <f>5.98</f>
        <v>5.98</v>
      </c>
      <c r="AV19" s="55">
        <f>5.98</f>
        <v>5.98</v>
      </c>
      <c r="AW19" s="55">
        <f>5.98</f>
        <v>5.98</v>
      </c>
      <c r="AX19" s="57">
        <v>118.901</v>
      </c>
      <c r="AY19" s="55">
        <v>118.532</v>
      </c>
      <c r="AZ19" s="57">
        <f>AX19/AY19</f>
        <v>1.0031130833867647</v>
      </c>
      <c r="BA19" s="55">
        <f>T19/(D19*12)</f>
        <v>6.1166666666666663</v>
      </c>
      <c r="BB19" s="55">
        <f>BA19*AZ19</f>
        <v>6.1357083600490441</v>
      </c>
      <c r="BC19" s="55">
        <f t="shared" ref="BC19:BI19" si="2">$BB19</f>
        <v>6.1357083600490441</v>
      </c>
      <c r="BD19" s="55">
        <f t="shared" si="2"/>
        <v>6.1357083600490441</v>
      </c>
      <c r="BE19" s="55">
        <f t="shared" si="2"/>
        <v>6.1357083600490441</v>
      </c>
      <c r="BF19" s="55">
        <f t="shared" si="2"/>
        <v>6.1357083600490441</v>
      </c>
      <c r="BG19" s="55">
        <f t="shared" si="2"/>
        <v>6.1357083600490441</v>
      </c>
      <c r="BH19" s="55">
        <f t="shared" si="2"/>
        <v>6.1357083600490441</v>
      </c>
      <c r="BI19" s="55">
        <f t="shared" si="2"/>
        <v>6.1357083600490441</v>
      </c>
      <c r="BJ19" s="55">
        <f>SUM((AS19:AW19),(BC19:BI19))</f>
        <v>72.849958520343307</v>
      </c>
      <c r="BK19" s="448">
        <f>(AP19-BJ19)</f>
        <v>661.15004147965669</v>
      </c>
      <c r="BL19" s="55">
        <f>5.98</f>
        <v>5.98</v>
      </c>
      <c r="BM19" s="55">
        <f>5.98</f>
        <v>5.98</v>
      </c>
      <c r="BN19" s="55">
        <f>5.98</f>
        <v>5.98</v>
      </c>
      <c r="BO19" s="55">
        <f>5.98</f>
        <v>5.98</v>
      </c>
      <c r="BP19" s="55">
        <f>5.98</f>
        <v>5.98</v>
      </c>
      <c r="BQ19" s="55">
        <f>SUM(BL19:BP19)</f>
        <v>29.900000000000002</v>
      </c>
      <c r="BR19" s="55">
        <f>BK19-BQ19</f>
        <v>631.25004147965672</v>
      </c>
      <c r="BS19" s="57">
        <v>126.408</v>
      </c>
      <c r="BT19" s="55">
        <v>118.532</v>
      </c>
      <c r="BU19" s="57">
        <f>BS19/BT19</f>
        <v>1.0664461917456889</v>
      </c>
      <c r="BV19" s="55">
        <f>BK19/L19</f>
        <v>7.3461115719961851</v>
      </c>
      <c r="BW19" s="55">
        <f>BV19*BU19</f>
        <v>7.8342327100942679</v>
      </c>
      <c r="BX19" s="55">
        <v>6.91</v>
      </c>
      <c r="BY19" s="55">
        <v>6.91</v>
      </c>
      <c r="BZ19" s="55">
        <v>6.91</v>
      </c>
      <c r="CA19" s="55">
        <v>6.91</v>
      </c>
      <c r="CB19" s="55">
        <v>6.91</v>
      </c>
      <c r="CC19" s="55">
        <v>6.91</v>
      </c>
      <c r="CD19" s="55">
        <v>6.91</v>
      </c>
      <c r="CE19" s="55">
        <f>SUM((BL19:BP19),(BX19:CD19))</f>
        <v>78.269999999999982</v>
      </c>
      <c r="CF19" s="448">
        <f>BR19-CE19</f>
        <v>552.98004147965673</v>
      </c>
      <c r="CG19" s="55">
        <v>6.91</v>
      </c>
      <c r="CH19" s="55">
        <v>6.91</v>
      </c>
      <c r="CI19" s="55">
        <v>6.91</v>
      </c>
      <c r="CJ19" s="55">
        <v>6.91</v>
      </c>
      <c r="CK19" s="55">
        <v>6.91</v>
      </c>
      <c r="CL19" s="505">
        <f>SUM(CG19:CK19)</f>
        <v>34.549999999999997</v>
      </c>
      <c r="CM19" s="679">
        <f>CF19-CL19</f>
        <v>518.43004147965678</v>
      </c>
      <c r="CN19" s="956">
        <v>132.28200000000001</v>
      </c>
      <c r="CO19" s="55">
        <v>118.532</v>
      </c>
      <c r="CP19" s="168">
        <f>CN19/CO19</f>
        <v>1.1160024297236191</v>
      </c>
      <c r="CQ19" s="511">
        <f>CM19/L19</f>
        <v>5.7603337942184085</v>
      </c>
      <c r="CR19" s="511">
        <f>CQ19*CP19</f>
        <v>6.4285465103668171</v>
      </c>
      <c r="CS19" s="511">
        <v>6.4285465103668171</v>
      </c>
      <c r="CT19" s="511">
        <v>6.4285465103668171</v>
      </c>
      <c r="CU19" s="511">
        <v>6.4285465103668171</v>
      </c>
      <c r="CV19" s="511">
        <v>6.4285465103668171</v>
      </c>
      <c r="CW19" s="511">
        <v>6.4285465103668171</v>
      </c>
      <c r="CX19" s="511">
        <v>6.4285465103668171</v>
      </c>
      <c r="CY19" s="511">
        <v>6.4285465103668171</v>
      </c>
      <c r="CZ19" s="511">
        <v>6.4285465103668171</v>
      </c>
      <c r="DA19" s="511">
        <v>6.4285465103668171</v>
      </c>
      <c r="DB19" s="511">
        <v>6.4285465103668171</v>
      </c>
      <c r="DC19" s="511">
        <v>6.4285465103668171</v>
      </c>
      <c r="DD19" s="511">
        <v>6.4285465103668171</v>
      </c>
      <c r="DE19" s="511">
        <v>6.4285465103668171</v>
      </c>
      <c r="DF19" s="511">
        <v>6.4285465103668171</v>
      </c>
      <c r="DG19" s="511">
        <v>6.4285465103668171</v>
      </c>
      <c r="DH19" s="511">
        <v>6.4285465103668171</v>
      </c>
      <c r="DI19" s="511">
        <v>6.4285465103668171</v>
      </c>
      <c r="DJ19" s="511">
        <v>6.4285465103668171</v>
      </c>
      <c r="DK19" s="511">
        <f t="shared" si="1"/>
        <v>115.71383718660267</v>
      </c>
      <c r="DL19" s="756">
        <f>CM19-DK19</f>
        <v>402.71620429305409</v>
      </c>
    </row>
    <row r="20" spans="1:116" ht="15" x14ac:dyDescent="0.2">
      <c r="D20" s="18"/>
      <c r="E20" s="18"/>
      <c r="R20" s="175"/>
      <c r="S20" s="19"/>
      <c r="T20" s="12"/>
      <c r="U20" s="12"/>
      <c r="V20" s="254"/>
      <c r="Y20" s="77"/>
      <c r="AB20" s="195"/>
      <c r="AH20" s="195" t="e">
        <f>SUM(#REF!)</f>
        <v>#REF!</v>
      </c>
      <c r="AI20" s="195"/>
      <c r="AJ20" s="195"/>
      <c r="AK20" s="195"/>
      <c r="AL20" s="195"/>
      <c r="AM20" s="195"/>
      <c r="AN20" s="195">
        <f>SUM(AN15:AN19)</f>
        <v>12.631669594779657</v>
      </c>
      <c r="AO20" s="195">
        <f>SUM(AO15:AO19)</f>
        <v>12.631669594779657</v>
      </c>
      <c r="AP20" s="195">
        <f>SUM(AP15:AP19)</f>
        <v>2814.5283304052205</v>
      </c>
      <c r="AS20" s="13">
        <f>SUM(AS14:AS19)</f>
        <v>18.611669594779656</v>
      </c>
      <c r="AT20" s="13">
        <f>SUM(AT14:AT19)</f>
        <v>18.611669594779656</v>
      </c>
      <c r="AU20" s="13">
        <f>SUM(AU14:AU19)</f>
        <v>18.611669594779656</v>
      </c>
      <c r="AV20" s="13">
        <f>SUM(AV15:AV19)</f>
        <v>18.611669594779656</v>
      </c>
      <c r="AW20" s="13">
        <f>SUM(AW15:AW19)</f>
        <v>18.611669594779656</v>
      </c>
      <c r="AY20" s="77"/>
      <c r="BB20" s="195"/>
      <c r="BC20" s="13">
        <f>SUM(BC15:BC19)</f>
        <v>19.087968199722859</v>
      </c>
      <c r="BD20" s="13">
        <f t="shared" ref="BD20:BO20" si="3">SUM(BD14:BD19)</f>
        <v>44.269235604474197</v>
      </c>
      <c r="BE20" s="13">
        <f t="shared" si="3"/>
        <v>24.124221680673124</v>
      </c>
      <c r="BF20" s="13">
        <f t="shared" si="3"/>
        <v>24.124221680673124</v>
      </c>
      <c r="BG20" s="13">
        <f t="shared" si="3"/>
        <v>24.124221680673124</v>
      </c>
      <c r="BH20" s="13">
        <f t="shared" si="3"/>
        <v>24.124221680673124</v>
      </c>
      <c r="BI20" s="13">
        <f t="shared" si="3"/>
        <v>24.124221680673124</v>
      </c>
      <c r="BJ20" s="13">
        <f t="shared" si="3"/>
        <v>277.036660181461</v>
      </c>
      <c r="BK20" s="13">
        <f t="shared" si="3"/>
        <v>2537.4916702237597</v>
      </c>
      <c r="BL20" s="13">
        <f t="shared" si="3"/>
        <v>23.651669594779658</v>
      </c>
      <c r="BM20" s="13">
        <f t="shared" si="3"/>
        <v>23.651669594779658</v>
      </c>
      <c r="BN20" s="13">
        <f t="shared" si="3"/>
        <v>23.651669594779658</v>
      </c>
      <c r="BO20" s="13">
        <f t="shared" si="3"/>
        <v>23.651669594779658</v>
      </c>
      <c r="BP20" s="13">
        <f>SUM(BP15:BP19)</f>
        <v>23.651669594779658</v>
      </c>
      <c r="BQ20" s="13"/>
      <c r="BR20" s="13">
        <f>SUM(BR14:BR19)</f>
        <v>2419.233322249861</v>
      </c>
      <c r="BT20" s="77"/>
      <c r="BW20" s="195">
        <f>SUM(BW13:BW19)</f>
        <v>30.742142514489657</v>
      </c>
      <c r="BX20" s="13">
        <f t="shared" ref="BX20:CE20" si="4">SUM(BX15:BX19)</f>
        <v>27.12</v>
      </c>
      <c r="BY20" s="13">
        <f t="shared" si="4"/>
        <v>27.12</v>
      </c>
      <c r="BZ20" s="13">
        <f t="shared" si="4"/>
        <v>27.12</v>
      </c>
      <c r="CA20" s="13">
        <f>SUM(CA13:CA19)</f>
        <v>27.12</v>
      </c>
      <c r="CB20" s="13">
        <f>SUM(CB13:CB19)</f>
        <v>27.12</v>
      </c>
      <c r="CC20" s="524">
        <f t="shared" si="4"/>
        <v>27.12</v>
      </c>
      <c r="CD20" s="524">
        <f t="shared" si="4"/>
        <v>27.12</v>
      </c>
      <c r="CE20" s="13">
        <f t="shared" si="4"/>
        <v>244.93999999999997</v>
      </c>
      <c r="CF20" s="13">
        <f>SUM(CF14:CF19)</f>
        <v>2174.2933222498614</v>
      </c>
      <c r="CG20" s="524">
        <f>SUM(CG15:CG19)</f>
        <v>27.12</v>
      </c>
      <c r="CH20" s="524">
        <f>SUM(CH15:CH19)</f>
        <v>27.12</v>
      </c>
      <c r="CI20" s="524">
        <f>SUM(CI15:CI19)</f>
        <v>27.12</v>
      </c>
      <c r="CJ20" s="524">
        <f>SUM(CJ15:CJ19)</f>
        <v>27.12</v>
      </c>
      <c r="CK20" s="524">
        <f>SUM(CK15:CK19)</f>
        <v>27.12</v>
      </c>
      <c r="CL20" s="13">
        <f t="shared" ref="CL20:CY20" si="5">SUM(CL14:CL19)</f>
        <v>135.6</v>
      </c>
      <c r="CM20" s="13">
        <f t="shared" si="5"/>
        <v>2038.693322249861</v>
      </c>
      <c r="CN20" s="13">
        <f t="shared" si="5"/>
        <v>396.846</v>
      </c>
      <c r="CO20" s="13">
        <f t="shared" si="5"/>
        <v>344.791</v>
      </c>
      <c r="CP20" s="13">
        <f t="shared" si="5"/>
        <v>3.4590309521653184</v>
      </c>
      <c r="CQ20" s="13">
        <f t="shared" si="5"/>
        <v>22.702013012011189</v>
      </c>
      <c r="CR20" s="13">
        <f t="shared" si="5"/>
        <v>25.835675151519876</v>
      </c>
      <c r="CS20" s="13">
        <f t="shared" si="5"/>
        <v>25.835675151519876</v>
      </c>
      <c r="CT20" s="13">
        <f t="shared" si="5"/>
        <v>25.835675151519876</v>
      </c>
      <c r="CU20" s="13">
        <f t="shared" si="5"/>
        <v>25.835675151519876</v>
      </c>
      <c r="CV20" s="13">
        <f t="shared" si="5"/>
        <v>25.835675151519876</v>
      </c>
      <c r="CW20" s="13">
        <f t="shared" si="5"/>
        <v>25.835675151519876</v>
      </c>
      <c r="CX20" s="524">
        <f t="shared" si="5"/>
        <v>25.835675151519876</v>
      </c>
      <c r="CY20" s="13">
        <f t="shared" si="5"/>
        <v>25.835675151519876</v>
      </c>
      <c r="CZ20" s="13">
        <f t="shared" ref="CZ20:DA20" si="6">SUM(CZ14:CZ19)</f>
        <v>25.835675151519876</v>
      </c>
      <c r="DA20" s="13">
        <f t="shared" si="6"/>
        <v>25.835675151519876</v>
      </c>
      <c r="DB20" s="13">
        <f t="shared" ref="DB20:DC20" si="7">SUM(DB14:DB19)</f>
        <v>25.835675151519876</v>
      </c>
      <c r="DC20" s="13">
        <f t="shared" si="7"/>
        <v>25.835675151519876</v>
      </c>
      <c r="DD20" s="13">
        <f t="shared" ref="DD20:DJ20" si="8">SUM(DD14:DD19)</f>
        <v>25.835675151519876</v>
      </c>
      <c r="DE20" s="13">
        <f t="shared" ref="DE20:DI20" si="9">SUM(DE14:DE19)</f>
        <v>25.835675151519876</v>
      </c>
      <c r="DF20" s="13">
        <f t="shared" si="9"/>
        <v>25.835675151519876</v>
      </c>
      <c r="DG20" s="13">
        <f t="shared" si="9"/>
        <v>25.835675151519876</v>
      </c>
      <c r="DH20" s="13">
        <f t="shared" si="9"/>
        <v>25.835675151519876</v>
      </c>
      <c r="DI20" s="13">
        <f t="shared" si="9"/>
        <v>25.835675151519876</v>
      </c>
      <c r="DJ20" s="13">
        <f t="shared" si="8"/>
        <v>25.835675151519876</v>
      </c>
      <c r="DK20" s="13">
        <f>SUM(DK13:DK19)</f>
        <v>465.04215272735786</v>
      </c>
      <c r="DL20" s="13">
        <f>SUM(DL13:DL19)</f>
        <v>1573.6511695225033</v>
      </c>
    </row>
    <row r="21" spans="1:116" x14ac:dyDescent="0.2">
      <c r="A21" s="110" t="s">
        <v>315</v>
      </c>
      <c r="B21" s="87"/>
      <c r="C21" s="87"/>
      <c r="D21" s="88"/>
      <c r="E21" s="88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9"/>
      <c r="S21" s="89"/>
      <c r="T21" s="90"/>
      <c r="U21" s="90"/>
      <c r="V21" s="104"/>
      <c r="Y21" s="77"/>
      <c r="AP21" s="69"/>
      <c r="AY21" s="77"/>
      <c r="BK21" s="13">
        <f>BK20-BL20-BM20</f>
        <v>2490.1883310342</v>
      </c>
      <c r="BT21" s="77"/>
      <c r="CM21" s="13">
        <f>CF20-CL20</f>
        <v>2038.6933222498615</v>
      </c>
      <c r="DL21" s="289">
        <f>CM21-DK20</f>
        <v>1573.6511695225036</v>
      </c>
    </row>
    <row r="22" spans="1:116" x14ac:dyDescent="0.2">
      <c r="A22" s="10"/>
      <c r="D22" s="18"/>
      <c r="E22" s="18"/>
      <c r="R22" s="19"/>
      <c r="S22" s="19"/>
      <c r="T22" s="12"/>
      <c r="U22" s="12"/>
      <c r="V22" s="104"/>
      <c r="Y22" s="77"/>
      <c r="AP22" s="69"/>
      <c r="AY22" s="77"/>
      <c r="BT22" s="77"/>
    </row>
    <row r="23" spans="1:116" x14ac:dyDescent="0.2">
      <c r="A23" s="1249"/>
      <c r="B23" s="1249"/>
      <c r="C23" s="1249"/>
      <c r="D23" s="1249"/>
      <c r="E23" s="1249"/>
      <c r="F23" s="1249"/>
      <c r="G23" s="1249"/>
      <c r="H23" s="1249"/>
      <c r="I23" s="1249"/>
      <c r="J23" s="1249"/>
      <c r="K23" s="1249"/>
      <c r="L23" s="1249"/>
      <c r="M23" s="1249"/>
      <c r="N23" s="1249"/>
      <c r="O23" s="1249"/>
      <c r="P23" s="1249"/>
      <c r="Q23" s="1249"/>
      <c r="R23" s="1249"/>
      <c r="S23" s="1249"/>
      <c r="T23" s="1249"/>
      <c r="U23" s="1249"/>
      <c r="V23" s="1249"/>
      <c r="W23" s="1249"/>
      <c r="X23" s="1249"/>
      <c r="Y23" s="171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Y23" s="171"/>
      <c r="AZ23" s="170"/>
      <c r="BA23" s="170"/>
      <c r="BB23" s="170"/>
      <c r="BT23" s="171"/>
      <c r="BU23" s="170"/>
      <c r="BV23" s="170"/>
      <c r="BW23" s="170"/>
      <c r="CF23" s="13">
        <f>BR20-CE20</f>
        <v>2174.2933222498609</v>
      </c>
    </row>
    <row r="24" spans="1:116" x14ac:dyDescent="0.2">
      <c r="A24" s="1249"/>
      <c r="B24" s="1249"/>
      <c r="C24" s="1249"/>
      <c r="D24" s="1249"/>
      <c r="E24" s="1249"/>
      <c r="F24" s="1249"/>
      <c r="G24" s="1249"/>
      <c r="H24" s="1249"/>
      <c r="I24" s="1249"/>
      <c r="J24" s="1249"/>
      <c r="K24" s="1249"/>
      <c r="L24" s="1249"/>
      <c r="M24" s="1249"/>
      <c r="N24" s="1249"/>
      <c r="O24" s="1249"/>
      <c r="P24" s="1249"/>
      <c r="Q24" s="1249"/>
      <c r="R24" s="1249"/>
      <c r="S24" s="1249"/>
      <c r="T24" s="1249"/>
      <c r="U24" s="1249"/>
      <c r="V24" s="1249"/>
      <c r="W24" s="1249"/>
      <c r="X24" s="1249"/>
      <c r="Y24" s="77"/>
      <c r="AP24" s="69"/>
      <c r="AY24" s="77"/>
      <c r="BT24" s="77"/>
    </row>
    <row r="25" spans="1:116" x14ac:dyDescent="0.2">
      <c r="D25" s="18"/>
      <c r="E25" s="18"/>
      <c r="R25" s="19"/>
      <c r="S25" s="19"/>
      <c r="T25" s="12"/>
      <c r="U25" s="12"/>
      <c r="V25" s="104"/>
      <c r="Y25" s="77"/>
      <c r="AA25" s="12"/>
      <c r="AO25" s="104"/>
      <c r="AP25" s="69"/>
      <c r="AY25" s="77"/>
      <c r="BA25" s="12"/>
      <c r="BT25" s="77"/>
      <c r="BV25" s="12"/>
    </row>
  </sheetData>
  <mergeCells count="39">
    <mergeCell ref="BA11:BA12"/>
    <mergeCell ref="BB11:BB12"/>
    <mergeCell ref="D10:P10"/>
    <mergeCell ref="R10:T10"/>
    <mergeCell ref="H11:H12"/>
    <mergeCell ref="I11:I12"/>
    <mergeCell ref="AA11:AA12"/>
    <mergeCell ref="AB11:AB12"/>
    <mergeCell ref="AQ11:AQ12"/>
    <mergeCell ref="AR11:AR12"/>
    <mergeCell ref="U10:BA10"/>
    <mergeCell ref="Q11:Q12"/>
    <mergeCell ref="A11:A12"/>
    <mergeCell ref="B11:B12"/>
    <mergeCell ref="E11:E12"/>
    <mergeCell ref="F11:F12"/>
    <mergeCell ref="G11:G12"/>
    <mergeCell ref="BQ11:BQ12"/>
    <mergeCell ref="BR11:BR12"/>
    <mergeCell ref="BV11:BV12"/>
    <mergeCell ref="BW11:BW12"/>
    <mergeCell ref="A23:X24"/>
    <mergeCell ref="R11:R12"/>
    <mergeCell ref="S11:S12"/>
    <mergeCell ref="T11:T12"/>
    <mergeCell ref="U11:U12"/>
    <mergeCell ref="V11:V12"/>
    <mergeCell ref="W11:W12"/>
    <mergeCell ref="J11:J12"/>
    <mergeCell ref="K11:K12"/>
    <mergeCell ref="L11:L12"/>
    <mergeCell ref="M11:M12"/>
    <mergeCell ref="O11:O12"/>
    <mergeCell ref="DL11:DL12"/>
    <mergeCell ref="CL11:CL12"/>
    <mergeCell ref="CM11:CM12"/>
    <mergeCell ref="CQ11:CQ12"/>
    <mergeCell ref="CR11:CR12"/>
    <mergeCell ref="DK11:DK12"/>
  </mergeCells>
  <pageMargins left="0.19685039370078741" right="0.19685039370078741" top="0.59055118110236227" bottom="0.39370078740157483" header="0.31496062992125984" footer="0.31496062992125984"/>
  <pageSetup scale="45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EP83"/>
  <sheetViews>
    <sheetView topLeftCell="C42" zoomScaleNormal="100" workbookViewId="0">
      <selection activeCell="EN77" sqref="EN77"/>
    </sheetView>
  </sheetViews>
  <sheetFormatPr baseColWidth="10" defaultRowHeight="12.75" x14ac:dyDescent="0.2"/>
  <cols>
    <col min="1" max="1" width="18.42578125" customWidth="1"/>
    <col min="2" max="2" width="26.140625" customWidth="1"/>
    <col min="3" max="3" width="13" customWidth="1"/>
    <col min="4" max="4" width="6.28515625" style="18" hidden="1" customWidth="1"/>
    <col min="5" max="5" width="7.42578125" style="18" hidden="1" customWidth="1"/>
    <col min="6" max="6" width="9.7109375" hidden="1" customWidth="1"/>
    <col min="7" max="7" width="6.85546875" hidden="1" customWidth="1"/>
    <col min="8" max="9" width="8.5703125" hidden="1" customWidth="1"/>
    <col min="10" max="10" width="7.42578125" hidden="1" customWidth="1"/>
    <col min="11" max="11" width="8.5703125" hidden="1" customWidth="1"/>
    <col min="12" max="12" width="7.5703125" hidden="1" customWidth="1"/>
    <col min="13" max="14" width="8.5703125" hidden="1" customWidth="1"/>
    <col min="15" max="15" width="8.42578125" hidden="1" customWidth="1"/>
    <col min="16" max="16" width="8.5703125" hidden="1" customWidth="1"/>
    <col min="17" max="17" width="11" hidden="1" customWidth="1"/>
    <col min="18" max="18" width="13.42578125" style="19" hidden="1" customWidth="1"/>
    <col min="19" max="19" width="9.5703125" style="19" hidden="1" customWidth="1"/>
    <col min="20" max="21" width="8.42578125" style="12" hidden="1" customWidth="1"/>
    <col min="22" max="22" width="6.85546875" style="104" hidden="1" customWidth="1"/>
    <col min="23" max="23" width="8.7109375" hidden="1" customWidth="1"/>
    <col min="24" max="24" width="8" hidden="1" customWidth="1"/>
    <col min="25" max="25" width="8" style="77" hidden="1" customWidth="1"/>
    <col min="26" max="26" width="6.5703125" hidden="1" customWidth="1"/>
    <col min="27" max="27" width="7.140625" hidden="1" customWidth="1"/>
    <col min="28" max="28" width="7.42578125" hidden="1" customWidth="1"/>
    <col min="29" max="33" width="7.7109375" hidden="1" customWidth="1"/>
    <col min="34" max="34" width="11.28515625" hidden="1" customWidth="1"/>
    <col min="35" max="36" width="7.7109375" hidden="1" customWidth="1"/>
    <col min="37" max="37" width="9.140625" hidden="1" customWidth="1"/>
    <col min="38" max="39" width="7.7109375" hidden="1" customWidth="1"/>
    <col min="40" max="40" width="9.140625" hidden="1" customWidth="1"/>
    <col min="41" max="41" width="8" hidden="1" customWidth="1"/>
    <col min="42" max="42" width="8.7109375" style="69" hidden="1" customWidth="1"/>
    <col min="43" max="43" width="7.7109375" style="69" hidden="1" customWidth="1"/>
    <col min="44" max="44" width="7.28515625" style="69" hidden="1" customWidth="1"/>
    <col min="45" max="45" width="8.42578125" style="16" hidden="1" customWidth="1"/>
    <col min="46" max="46" width="10" style="16" hidden="1" customWidth="1"/>
    <col min="47" max="47" width="11.42578125" style="16" hidden="1" customWidth="1"/>
    <col min="48" max="48" width="11.42578125" hidden="1" customWidth="1"/>
    <col min="49" max="49" width="10.42578125" hidden="1" customWidth="1"/>
    <col min="50" max="50" width="8" hidden="1" customWidth="1"/>
    <col min="51" max="51" width="8" style="77" hidden="1" customWidth="1"/>
    <col min="52" max="52" width="6.5703125" hidden="1" customWidth="1"/>
    <col min="53" max="53" width="7.85546875" hidden="1" customWidth="1"/>
    <col min="54" max="54" width="9.85546875" hidden="1" customWidth="1"/>
    <col min="55" max="61" width="9" hidden="1" customWidth="1"/>
    <col min="62" max="62" width="9.5703125" hidden="1" customWidth="1"/>
    <col min="63" max="63" width="10.42578125" style="436" hidden="1" customWidth="1"/>
    <col min="64" max="64" width="8.42578125" style="16" hidden="1" customWidth="1"/>
    <col min="65" max="65" width="10" style="16" hidden="1" customWidth="1"/>
    <col min="66" max="66" width="11.42578125" style="16" hidden="1" customWidth="1"/>
    <col min="67" max="67" width="11.42578125" hidden="1" customWidth="1"/>
    <col min="68" max="68" width="10.42578125" hidden="1" customWidth="1"/>
    <col min="69" max="69" width="8" hidden="1" customWidth="1"/>
    <col min="70" max="70" width="8" style="77" hidden="1" customWidth="1"/>
    <col min="71" max="71" width="6.5703125" hidden="1" customWidth="1"/>
    <col min="72" max="72" width="7.85546875" hidden="1" customWidth="1"/>
    <col min="73" max="73" width="7.5703125" hidden="1" customWidth="1"/>
    <col min="74" max="80" width="9" hidden="1" customWidth="1"/>
    <col min="81" max="81" width="9.28515625" hidden="1" customWidth="1"/>
    <col min="82" max="82" width="11.28515625" style="436" hidden="1" customWidth="1"/>
    <col min="83" max="83" width="6.28515625" style="18" customWidth="1"/>
    <col min="84" max="84" width="7.42578125" style="18" customWidth="1"/>
    <col min="85" max="85" width="9.7109375" customWidth="1"/>
    <col min="86" max="86" width="6.85546875" customWidth="1"/>
    <col min="87" max="88" width="8.5703125" hidden="1" customWidth="1"/>
    <col min="89" max="89" width="7.42578125" hidden="1" customWidth="1"/>
    <col min="90" max="90" width="8.5703125" hidden="1" customWidth="1"/>
    <col min="91" max="91" width="7.5703125" customWidth="1"/>
    <col min="92" max="93" width="8.5703125" hidden="1" customWidth="1"/>
    <col min="94" max="94" width="8.42578125" hidden="1" customWidth="1"/>
    <col min="95" max="95" width="8.5703125" hidden="1" customWidth="1"/>
    <col min="96" max="96" width="11" customWidth="1"/>
    <col min="97" max="97" width="13.42578125" style="19" customWidth="1"/>
    <col min="98" max="98" width="9.5703125" style="19" customWidth="1"/>
    <col min="99" max="99" width="8.42578125" style="12" customWidth="1"/>
    <col min="100" max="100" width="11.28515625" style="436" hidden="1" customWidth="1"/>
    <col min="101" max="101" width="8" hidden="1" customWidth="1"/>
    <col min="102" max="102" width="8" style="77" hidden="1" customWidth="1"/>
    <col min="103" max="103" width="6.5703125" hidden="1" customWidth="1"/>
    <col min="104" max="104" width="12.140625" hidden="1" customWidth="1"/>
    <col min="105" max="105" width="9.85546875" hidden="1" customWidth="1"/>
    <col min="106" max="106" width="11.28515625" hidden="1" customWidth="1"/>
    <col min="107" max="113" width="9" hidden="1" customWidth="1"/>
    <col min="114" max="114" width="10.42578125" style="436" hidden="1" customWidth="1"/>
    <col min="115" max="120" width="11.42578125" hidden="1" customWidth="1"/>
    <col min="122" max="126" width="11.42578125" customWidth="1"/>
    <col min="127" max="143" width="11.42578125" hidden="1" customWidth="1"/>
    <col min="144" max="146" width="11.42578125" customWidth="1"/>
  </cols>
  <sheetData>
    <row r="1" spans="1:146" x14ac:dyDescent="0.2">
      <c r="A1" s="548"/>
      <c r="B1" s="549" t="s">
        <v>27</v>
      </c>
      <c r="C1" s="548"/>
      <c r="D1" s="550"/>
      <c r="E1" s="550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51"/>
      <c r="S1" s="551"/>
      <c r="T1" s="548"/>
      <c r="U1" s="548"/>
      <c r="V1" s="552"/>
      <c r="W1" s="553"/>
      <c r="X1" s="553"/>
      <c r="Y1" s="554"/>
      <c r="Z1" s="553"/>
      <c r="AA1" s="553"/>
      <c r="AB1" s="553"/>
      <c r="AC1" s="553"/>
      <c r="AD1" s="548"/>
      <c r="AE1" s="548"/>
      <c r="AF1" s="548"/>
      <c r="AG1" s="548"/>
      <c r="AH1" s="548"/>
      <c r="AI1" s="548"/>
      <c r="AJ1" s="548"/>
      <c r="AK1" s="548"/>
      <c r="AL1" s="548"/>
      <c r="AM1" s="548"/>
      <c r="AN1" s="553" t="s">
        <v>310</v>
      </c>
      <c r="AO1" s="548"/>
      <c r="AP1" s="555"/>
      <c r="AQ1" s="555"/>
      <c r="AR1" s="555"/>
      <c r="AS1" s="562"/>
      <c r="AT1" s="562"/>
      <c r="AU1" s="562"/>
      <c r="AV1" s="562"/>
      <c r="AW1" s="562"/>
      <c r="AX1" s="553"/>
      <c r="AY1" s="554"/>
      <c r="AZ1" s="553"/>
      <c r="BA1" s="553"/>
      <c r="BB1" s="553"/>
      <c r="BQ1" s="94"/>
      <c r="BR1" s="95"/>
      <c r="BS1" s="94"/>
      <c r="BT1" s="94"/>
      <c r="BU1" s="94"/>
      <c r="CE1" s="550"/>
      <c r="CF1" s="550"/>
      <c r="CG1" s="548"/>
      <c r="CH1" s="548"/>
      <c r="CI1" s="548"/>
      <c r="CJ1" s="548"/>
      <c r="CK1" s="548"/>
      <c r="CL1" s="548"/>
      <c r="CM1" s="548"/>
      <c r="CN1" s="548"/>
      <c r="CO1" s="548"/>
      <c r="CP1" s="548"/>
      <c r="CQ1" s="548"/>
      <c r="CR1" s="548"/>
      <c r="CS1" s="551"/>
      <c r="CT1" s="551"/>
      <c r="CU1" s="548"/>
      <c r="CW1" s="541"/>
      <c r="CX1" s="542"/>
      <c r="CY1" s="541"/>
      <c r="CZ1" s="541"/>
      <c r="DA1" s="541"/>
      <c r="DB1" s="16"/>
      <c r="DC1" s="16"/>
      <c r="DD1" s="16"/>
    </row>
    <row r="2" spans="1:146" x14ac:dyDescent="0.2">
      <c r="A2" s="548"/>
      <c r="B2" s="549" t="s">
        <v>1273</v>
      </c>
      <c r="C2" s="548"/>
      <c r="D2" s="550"/>
      <c r="E2" s="550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51"/>
      <c r="S2" s="551"/>
      <c r="T2" s="548"/>
      <c r="U2" s="548"/>
      <c r="V2" s="552"/>
      <c r="W2" s="553"/>
      <c r="X2" s="553"/>
      <c r="Y2" s="554"/>
      <c r="Z2" s="553"/>
      <c r="AA2" s="553"/>
      <c r="AB2" s="553"/>
      <c r="AC2" s="553"/>
      <c r="AD2" s="548"/>
      <c r="AE2" s="548"/>
      <c r="AF2" s="548"/>
      <c r="AG2" s="548"/>
      <c r="AH2" s="548"/>
      <c r="AI2" s="548"/>
      <c r="AJ2" s="548"/>
      <c r="AK2" s="548"/>
      <c r="AL2" s="548"/>
      <c r="AM2" s="548"/>
      <c r="AN2" s="548"/>
      <c r="AO2" s="548"/>
      <c r="AP2" s="555"/>
      <c r="AQ2" s="555"/>
      <c r="AR2" s="555"/>
      <c r="AS2" s="562"/>
      <c r="AT2" s="562"/>
      <c r="AU2" s="562"/>
      <c r="AV2" s="562"/>
      <c r="AW2" s="562"/>
      <c r="AX2" s="553"/>
      <c r="AY2" s="554"/>
      <c r="AZ2" s="553"/>
      <c r="BA2" s="553"/>
      <c r="BB2" s="553"/>
      <c r="BQ2" s="94"/>
      <c r="BR2" s="95"/>
      <c r="BS2" s="94"/>
      <c r="BT2" s="94"/>
      <c r="BU2" s="94"/>
      <c r="CE2" s="550"/>
      <c r="CF2" s="550"/>
      <c r="CG2" s="548"/>
      <c r="CH2" s="548"/>
      <c r="CI2" s="548"/>
      <c r="CJ2" s="548"/>
      <c r="CK2" s="548"/>
      <c r="CL2" s="548"/>
      <c r="CM2" s="548"/>
      <c r="CN2" s="548"/>
      <c r="CO2" s="548"/>
      <c r="CP2" s="548"/>
      <c r="CQ2" s="548"/>
      <c r="CR2" s="548"/>
      <c r="CS2" s="551"/>
      <c r="CT2" s="551"/>
      <c r="CU2" s="548"/>
      <c r="CW2" s="541"/>
      <c r="CX2" s="542"/>
      <c r="CY2" s="541"/>
      <c r="CZ2" s="541"/>
      <c r="DA2" s="541"/>
      <c r="DB2" s="16"/>
      <c r="DC2" s="16"/>
      <c r="DD2" s="16"/>
    </row>
    <row r="3" spans="1:146" x14ac:dyDescent="0.2">
      <c r="A3" s="548"/>
      <c r="B3" s="556"/>
      <c r="C3" s="557"/>
      <c r="D3" s="558"/>
      <c r="E3" s="550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7"/>
      <c r="S3" s="557"/>
      <c r="T3" s="559"/>
      <c r="U3" s="559"/>
      <c r="V3" s="560"/>
      <c r="W3" s="553"/>
      <c r="X3" s="553"/>
      <c r="Y3" s="554"/>
      <c r="Z3" s="553"/>
      <c r="AA3" s="553"/>
      <c r="AB3" s="553"/>
      <c r="AC3" s="553"/>
      <c r="AD3" s="548"/>
      <c r="AE3" s="548"/>
      <c r="AF3" s="548"/>
      <c r="AG3" s="548"/>
      <c r="AH3" s="548"/>
      <c r="AI3" s="548"/>
      <c r="AJ3" s="548"/>
      <c r="AK3" s="548"/>
      <c r="AL3" s="548"/>
      <c r="AM3" s="548"/>
      <c r="AN3" s="548"/>
      <c r="AO3" s="548"/>
      <c r="AP3" s="555"/>
      <c r="AQ3" s="555"/>
      <c r="AR3" s="555"/>
      <c r="AS3" s="562"/>
      <c r="AT3" s="562"/>
      <c r="AU3" s="562"/>
      <c r="AV3" s="562"/>
      <c r="AW3" s="562"/>
      <c r="AX3" s="553"/>
      <c r="AY3" s="554"/>
      <c r="AZ3" s="553"/>
      <c r="BA3" s="553"/>
      <c r="BB3" s="553"/>
      <c r="BQ3" s="94"/>
      <c r="BR3" s="95"/>
      <c r="BS3" s="94"/>
      <c r="BT3" s="94"/>
      <c r="BU3" s="94"/>
      <c r="CE3" s="558"/>
      <c r="CF3" s="550"/>
      <c r="CG3" s="559"/>
      <c r="CH3" s="559"/>
      <c r="CI3" s="559"/>
      <c r="CJ3" s="559"/>
      <c r="CK3" s="559"/>
      <c r="CL3" s="559"/>
      <c r="CM3" s="559"/>
      <c r="CN3" s="559"/>
      <c r="CO3" s="559"/>
      <c r="CP3" s="559"/>
      <c r="CQ3" s="559"/>
      <c r="CR3" s="559"/>
      <c r="CS3" s="557"/>
      <c r="CT3" s="557"/>
      <c r="CU3" s="559"/>
      <c r="CW3" s="541"/>
      <c r="CX3" s="542"/>
      <c r="CY3" s="541"/>
      <c r="CZ3" s="541"/>
      <c r="DA3" s="541"/>
      <c r="DB3" s="16"/>
      <c r="DC3" s="16"/>
      <c r="DD3" s="16"/>
    </row>
    <row r="4" spans="1:146" x14ac:dyDescent="0.2">
      <c r="A4" s="548"/>
      <c r="B4" s="556" t="s">
        <v>309</v>
      </c>
      <c r="C4" s="557"/>
      <c r="D4" s="558"/>
      <c r="E4" s="550"/>
      <c r="F4" s="559"/>
      <c r="G4" s="559"/>
      <c r="H4" s="559"/>
      <c r="I4" s="559"/>
      <c r="J4" s="559"/>
      <c r="K4" s="559"/>
      <c r="L4" s="559"/>
      <c r="M4" s="559"/>
      <c r="N4" s="559"/>
      <c r="O4" s="559"/>
      <c r="P4" s="559"/>
      <c r="Q4" s="559"/>
      <c r="R4" s="557"/>
      <c r="S4" s="557"/>
      <c r="T4" s="559"/>
      <c r="U4" s="559"/>
      <c r="V4" s="560"/>
      <c r="W4" s="553"/>
      <c r="X4" s="553"/>
      <c r="Y4" s="554"/>
      <c r="Z4" s="553"/>
      <c r="AA4" s="553"/>
      <c r="AB4" s="553"/>
      <c r="AC4" s="553"/>
      <c r="AD4" s="548"/>
      <c r="AE4" s="548"/>
      <c r="AF4" s="548"/>
      <c r="AG4" s="548"/>
      <c r="AH4" s="548"/>
      <c r="AI4" s="548"/>
      <c r="AJ4" s="548"/>
      <c r="AK4" s="548"/>
      <c r="AL4" s="548"/>
      <c r="AM4" s="548"/>
      <c r="AN4" s="548"/>
      <c r="AO4" s="548"/>
      <c r="AP4" s="555"/>
      <c r="AQ4" s="555"/>
      <c r="AR4" s="555"/>
      <c r="AS4" s="562"/>
      <c r="AT4" s="562"/>
      <c r="AU4" s="562"/>
      <c r="AV4" s="562"/>
      <c r="AW4" s="562"/>
      <c r="AX4" s="553"/>
      <c r="AY4" s="554"/>
      <c r="AZ4" s="553"/>
      <c r="BA4" s="553"/>
      <c r="BB4" s="553"/>
      <c r="BQ4" s="94"/>
      <c r="BR4" s="95"/>
      <c r="BS4" s="94"/>
      <c r="BT4" s="94"/>
      <c r="BU4" s="94"/>
      <c r="CE4" s="558"/>
      <c r="CF4" s="550"/>
      <c r="CG4" s="559"/>
      <c r="CH4" s="559"/>
      <c r="CI4" s="559"/>
      <c r="CJ4" s="559"/>
      <c r="CK4" s="559"/>
      <c r="CL4" s="559"/>
      <c r="CM4" s="559"/>
      <c r="CN4" s="559"/>
      <c r="CO4" s="559"/>
      <c r="CP4" s="559"/>
      <c r="CQ4" s="559"/>
      <c r="CR4" s="559"/>
      <c r="CS4" s="557"/>
      <c r="CT4" s="557"/>
      <c r="CU4" s="559"/>
      <c r="CW4" s="541"/>
      <c r="CX4" s="542"/>
      <c r="CY4" s="541"/>
      <c r="CZ4" s="541"/>
      <c r="DA4" s="541"/>
      <c r="DB4" s="16"/>
      <c r="DC4" s="16"/>
      <c r="DD4" s="16"/>
    </row>
    <row r="5" spans="1:146" x14ac:dyDescent="0.2">
      <c r="A5" s="548"/>
      <c r="B5" s="561" t="s">
        <v>494</v>
      </c>
      <c r="C5" s="548"/>
      <c r="D5" s="550"/>
      <c r="E5" s="550"/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  <c r="Q5" s="548"/>
      <c r="R5" s="551"/>
      <c r="S5" s="551"/>
      <c r="T5" s="548"/>
      <c r="U5" s="548"/>
      <c r="V5" s="552"/>
      <c r="W5" s="553"/>
      <c r="X5" s="553"/>
      <c r="Y5" s="554"/>
      <c r="Z5" s="553"/>
      <c r="AA5" s="553"/>
      <c r="AB5" s="553"/>
      <c r="AC5" s="553"/>
      <c r="AD5" s="548"/>
      <c r="AE5" s="548"/>
      <c r="AF5" s="548"/>
      <c r="AG5" s="548"/>
      <c r="AH5" s="548"/>
      <c r="AI5" s="548"/>
      <c r="AJ5" s="548"/>
      <c r="AK5" s="548"/>
      <c r="AL5" s="548"/>
      <c r="AM5" s="548"/>
      <c r="AN5" s="548"/>
      <c r="AO5" s="548"/>
      <c r="AP5" s="555"/>
      <c r="AQ5" s="555"/>
      <c r="AR5" s="555"/>
      <c r="AS5" s="562"/>
      <c r="AT5" s="562"/>
      <c r="AU5" s="562"/>
      <c r="AV5" s="562"/>
      <c r="AW5" s="562"/>
      <c r="AX5" s="553"/>
      <c r="AY5" s="554"/>
      <c r="AZ5" s="553"/>
      <c r="BA5" s="553"/>
      <c r="BB5" s="553"/>
      <c r="BQ5" s="94"/>
      <c r="BR5" s="95"/>
      <c r="BS5" s="94"/>
      <c r="BT5" s="94"/>
      <c r="BU5" s="94"/>
      <c r="CE5" s="550"/>
      <c r="CF5" s="550"/>
      <c r="CG5" s="548"/>
      <c r="CH5" s="548"/>
      <c r="CI5" s="548"/>
      <c r="CJ5" s="548"/>
      <c r="CK5" s="548"/>
      <c r="CL5" s="548"/>
      <c r="CM5" s="548"/>
      <c r="CN5" s="548"/>
      <c r="CO5" s="548"/>
      <c r="CP5" s="548"/>
      <c r="CQ5" s="548"/>
      <c r="CR5" s="548"/>
      <c r="CS5" s="551"/>
      <c r="CT5" s="551"/>
      <c r="CU5" s="548"/>
      <c r="CW5" s="541"/>
      <c r="CX5" s="542"/>
      <c r="CY5" s="541"/>
      <c r="CZ5" s="541"/>
      <c r="DA5" s="541"/>
      <c r="DB5" s="16"/>
      <c r="DC5" s="16"/>
      <c r="DD5" s="16"/>
    </row>
    <row r="6" spans="1:146" x14ac:dyDescent="0.2">
      <c r="A6" s="548"/>
      <c r="B6" s="556" t="s">
        <v>1272</v>
      </c>
      <c r="C6" s="548"/>
      <c r="D6" s="550"/>
      <c r="E6" s="550"/>
      <c r="F6" s="548"/>
      <c r="G6" s="548"/>
      <c r="H6" s="548"/>
      <c r="I6" s="548"/>
      <c r="J6" s="548"/>
      <c r="K6" s="548"/>
      <c r="L6" s="548"/>
      <c r="M6" s="548"/>
      <c r="N6" s="548"/>
      <c r="O6" s="548"/>
      <c r="P6" s="548"/>
      <c r="Q6" s="548"/>
      <c r="R6" s="551"/>
      <c r="S6" s="551"/>
      <c r="T6" s="548"/>
      <c r="U6" s="548"/>
      <c r="V6" s="552"/>
      <c r="W6" s="553"/>
      <c r="X6" s="553"/>
      <c r="Y6" s="554"/>
      <c r="Z6" s="553"/>
      <c r="AA6" s="553"/>
      <c r="AB6" s="553"/>
      <c r="AC6" s="553"/>
      <c r="AD6" s="548"/>
      <c r="AE6" s="548"/>
      <c r="AF6" s="548"/>
      <c r="AG6" s="548"/>
      <c r="AH6" s="548"/>
      <c r="AI6" s="548"/>
      <c r="AJ6" s="548"/>
      <c r="AK6" s="548"/>
      <c r="AL6" s="548"/>
      <c r="AM6" s="548"/>
      <c r="AN6" s="548"/>
      <c r="AO6" s="548"/>
      <c r="AP6" s="555"/>
      <c r="AQ6" s="555"/>
      <c r="AR6" s="555"/>
      <c r="AS6" s="562"/>
      <c r="AT6" s="562"/>
      <c r="AU6" s="562"/>
      <c r="AV6" s="562"/>
      <c r="AW6" s="562"/>
      <c r="AX6" s="553"/>
      <c r="AY6" s="554"/>
      <c r="AZ6" s="553"/>
      <c r="BA6" s="553"/>
      <c r="BB6" s="553"/>
      <c r="BQ6" s="94"/>
      <c r="BR6" s="95"/>
      <c r="BS6" s="94"/>
      <c r="BT6" s="94"/>
      <c r="BU6" s="94"/>
      <c r="CE6" s="550"/>
      <c r="CF6" s="550"/>
      <c r="CG6" s="548"/>
      <c r="CH6" s="548"/>
      <c r="CI6" s="548"/>
      <c r="CJ6" s="548"/>
      <c r="CK6" s="548"/>
      <c r="CL6" s="548"/>
      <c r="CM6" s="548"/>
      <c r="CN6" s="548"/>
      <c r="CO6" s="548"/>
      <c r="CP6" s="548"/>
      <c r="CQ6" s="548"/>
      <c r="CR6" s="548"/>
      <c r="CS6" s="551"/>
      <c r="CT6" s="551"/>
      <c r="CU6" s="548"/>
      <c r="CW6" s="541"/>
      <c r="CX6" s="542"/>
      <c r="CY6" s="541"/>
      <c r="CZ6" s="541"/>
      <c r="DA6" s="541"/>
      <c r="DB6" s="16"/>
      <c r="DC6" s="16"/>
      <c r="DD6" s="16"/>
    </row>
    <row r="7" spans="1:146" x14ac:dyDescent="0.2">
      <c r="A7" s="548"/>
      <c r="B7" s="548"/>
      <c r="C7" s="548"/>
      <c r="D7" s="550"/>
      <c r="E7" s="550"/>
      <c r="F7" s="548"/>
      <c r="G7" s="548"/>
      <c r="H7" s="548"/>
      <c r="I7" s="548"/>
      <c r="J7" s="548"/>
      <c r="K7" s="548"/>
      <c r="L7" s="548"/>
      <c r="M7" s="548"/>
      <c r="N7" s="548"/>
      <c r="O7" s="548"/>
      <c r="P7" s="548"/>
      <c r="Q7" s="548"/>
      <c r="R7" s="551"/>
      <c r="S7" s="708"/>
      <c r="T7" s="548"/>
      <c r="U7" s="548"/>
      <c r="V7" s="552"/>
      <c r="W7" s="553"/>
      <c r="X7" s="553"/>
      <c r="Y7" s="554"/>
      <c r="Z7" s="553"/>
      <c r="AA7" s="553"/>
      <c r="AB7" s="553"/>
      <c r="AC7" s="553"/>
      <c r="AD7" s="548"/>
      <c r="AE7" s="548"/>
      <c r="AF7" s="548"/>
      <c r="AG7" s="548"/>
      <c r="AH7" s="548"/>
      <c r="AI7" s="548"/>
      <c r="AJ7" s="548"/>
      <c r="AK7" s="548"/>
      <c r="AL7" s="548"/>
      <c r="AM7" s="548"/>
      <c r="AN7" s="548"/>
      <c r="AO7" s="548"/>
      <c r="AP7" s="555"/>
      <c r="AQ7" s="555"/>
      <c r="AR7" s="555"/>
      <c r="AS7" s="562"/>
      <c r="AT7" s="562"/>
      <c r="AU7" s="562"/>
      <c r="AV7" s="562"/>
      <c r="AW7" s="562"/>
      <c r="AX7" s="553"/>
      <c r="AY7" s="554"/>
      <c r="AZ7" s="553"/>
      <c r="BA7" s="553"/>
      <c r="BB7" s="553"/>
      <c r="BQ7" s="94"/>
      <c r="BR7" s="95"/>
      <c r="BS7" s="94"/>
      <c r="BT7" s="94"/>
      <c r="BU7" s="94"/>
      <c r="CE7" s="550"/>
      <c r="CF7" s="550"/>
      <c r="CG7" s="548"/>
      <c r="CH7" s="548"/>
      <c r="CI7" s="548"/>
      <c r="CJ7" s="548"/>
      <c r="CK7" s="548"/>
      <c r="CL7" s="548"/>
      <c r="CM7" s="548"/>
      <c r="CN7" s="548"/>
      <c r="CO7" s="548"/>
      <c r="CP7" s="548"/>
      <c r="CQ7" s="548"/>
      <c r="CR7" s="548"/>
      <c r="CS7" s="551"/>
      <c r="CT7" s="708"/>
      <c r="CU7" s="548"/>
      <c r="CW7" s="541"/>
      <c r="CX7" s="542"/>
      <c r="CY7" s="541"/>
      <c r="CZ7" s="541"/>
      <c r="DA7" s="541"/>
      <c r="DB7" s="16"/>
      <c r="DC7" s="16"/>
      <c r="DD7" s="16"/>
    </row>
    <row r="8" spans="1:146" s="16" customFormat="1" x14ac:dyDescent="0.2">
      <c r="D8" s="38"/>
      <c r="E8" s="38"/>
      <c r="R8" s="37"/>
      <c r="S8" s="37"/>
      <c r="T8" s="35"/>
      <c r="U8" s="35"/>
      <c r="V8" s="103"/>
      <c r="W8" s="39"/>
      <c r="X8" s="39"/>
      <c r="Y8" s="76"/>
      <c r="Z8" s="39"/>
      <c r="AA8" s="39"/>
      <c r="AB8" s="39"/>
      <c r="AC8" s="39"/>
      <c r="AP8" s="68"/>
      <c r="AQ8" s="68"/>
      <c r="AR8" s="68"/>
      <c r="AX8" s="39"/>
      <c r="AY8" s="76"/>
      <c r="AZ8" s="39"/>
      <c r="BA8" s="39"/>
      <c r="BB8" s="39"/>
      <c r="BK8" s="437"/>
      <c r="BQ8" s="39"/>
      <c r="BR8" s="76"/>
      <c r="BS8" s="39"/>
      <c r="BT8" s="39"/>
      <c r="BU8" s="39"/>
      <c r="CD8" s="437"/>
      <c r="CE8" s="38"/>
      <c r="CF8" s="38"/>
      <c r="CS8" s="37"/>
      <c r="CT8" s="37"/>
      <c r="CU8" s="35"/>
      <c r="CV8" s="437"/>
      <c r="CW8" s="39"/>
      <c r="CX8" s="76"/>
      <c r="CY8" s="39"/>
      <c r="CZ8" s="39"/>
      <c r="DA8" s="39"/>
      <c r="DJ8" s="437"/>
    </row>
    <row r="9" spans="1:146" s="16" customFormat="1" ht="20.25" customHeight="1" x14ac:dyDescent="0.2">
      <c r="D9" s="38"/>
      <c r="E9" s="38"/>
      <c r="R9" s="37"/>
      <c r="S9" s="37"/>
      <c r="T9" s="35"/>
      <c r="U9" s="35"/>
      <c r="V9" s="103"/>
      <c r="W9" s="39"/>
      <c r="X9" s="39"/>
      <c r="Y9" s="76"/>
      <c r="Z9" s="39"/>
      <c r="AA9" s="39"/>
      <c r="AB9" s="39"/>
      <c r="AC9" s="39"/>
      <c r="AP9" s="68"/>
      <c r="AQ9" s="68"/>
      <c r="AR9" s="68"/>
      <c r="AX9" s="39"/>
      <c r="AY9" s="76"/>
      <c r="AZ9" s="39"/>
      <c r="BA9" s="39"/>
      <c r="BB9" s="39"/>
      <c r="BK9" s="437"/>
      <c r="BQ9" s="39"/>
      <c r="BR9" s="76"/>
      <c r="BS9" s="39"/>
      <c r="BT9" s="39"/>
      <c r="BU9" s="39"/>
      <c r="CD9" s="437"/>
      <c r="CE9" s="38"/>
      <c r="CF9" s="38"/>
      <c r="CS9" s="37"/>
      <c r="CT9" s="37"/>
      <c r="CU9" s="35"/>
      <c r="CV9" s="437"/>
      <c r="CW9" s="39"/>
      <c r="CX9" s="76"/>
      <c r="CY9" s="39"/>
      <c r="CZ9" s="39"/>
      <c r="DA9" s="39"/>
      <c r="DJ9" s="437"/>
    </row>
    <row r="10" spans="1:146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87"/>
      <c r="R10" s="1259" t="s">
        <v>448</v>
      </c>
      <c r="S10" s="1259"/>
      <c r="T10" s="1259"/>
      <c r="U10" s="1260" t="s">
        <v>450</v>
      </c>
      <c r="V10" s="1260"/>
      <c r="W10" s="1260"/>
      <c r="X10" s="1260"/>
      <c r="Y10" s="1260"/>
      <c r="Z10" s="1260"/>
      <c r="AA10" s="1260"/>
      <c r="AB10" s="1260"/>
      <c r="AC10" s="1260"/>
      <c r="AD10" s="1260"/>
      <c r="AE10" s="1260"/>
      <c r="AF10" s="1260"/>
      <c r="AG10" s="1260"/>
      <c r="AH10" s="1260"/>
      <c r="AI10" s="1260"/>
      <c r="AJ10" s="1260"/>
      <c r="AK10" s="1260"/>
      <c r="AL10" s="1260"/>
      <c r="AM10" s="1260"/>
      <c r="AN10" s="1260"/>
      <c r="AO10" s="1260"/>
      <c r="AP10" s="1260"/>
      <c r="AQ10" s="422"/>
      <c r="AR10" s="422"/>
      <c r="AY10"/>
      <c r="BR10"/>
      <c r="CE10" s="1258" t="s">
        <v>532</v>
      </c>
      <c r="CF10" s="1258"/>
      <c r="CG10" s="1258"/>
      <c r="CH10" s="1258"/>
      <c r="CI10" s="1258"/>
      <c r="CJ10" s="1258"/>
      <c r="CK10" s="1258"/>
      <c r="CL10" s="1258"/>
      <c r="CM10" s="1258"/>
      <c r="CN10" s="1258"/>
      <c r="CO10" s="1258"/>
      <c r="CP10" s="1258"/>
      <c r="CQ10" s="1258"/>
      <c r="CR10" s="191"/>
      <c r="CS10" s="1259" t="s">
        <v>448</v>
      </c>
      <c r="CT10" s="1259"/>
      <c r="CU10" s="1259"/>
      <c r="CX10"/>
    </row>
    <row r="11" spans="1:146" ht="54" customHeight="1" x14ac:dyDescent="0.25">
      <c r="A11" s="1261" t="s">
        <v>57</v>
      </c>
      <c r="B11" s="1261" t="s">
        <v>0</v>
      </c>
      <c r="C11" s="157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526</v>
      </c>
      <c r="J11" s="1254" t="s">
        <v>525</v>
      </c>
      <c r="K11" s="1254" t="s">
        <v>534</v>
      </c>
      <c r="L11" s="1254" t="s">
        <v>493</v>
      </c>
      <c r="M11" s="1254" t="s">
        <v>535</v>
      </c>
      <c r="N11" s="186" t="s">
        <v>529</v>
      </c>
      <c r="O11" s="1254" t="s">
        <v>492</v>
      </c>
      <c r="P11" s="192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1245" t="s">
        <v>447</v>
      </c>
      <c r="V11" s="1268" t="s">
        <v>452</v>
      </c>
      <c r="W11" s="1245" t="s">
        <v>439</v>
      </c>
      <c r="X11" s="158" t="s">
        <v>15</v>
      </c>
      <c r="Y11" s="159" t="s">
        <v>15</v>
      </c>
      <c r="Z11" s="158" t="s">
        <v>16</v>
      </c>
      <c r="AA11" s="1245" t="s">
        <v>527</v>
      </c>
      <c r="AB11" s="1245" t="s">
        <v>536</v>
      </c>
      <c r="AC11" s="158" t="s">
        <v>3</v>
      </c>
      <c r="AD11" s="158" t="s">
        <v>4</v>
      </c>
      <c r="AE11" s="158" t="s">
        <v>5</v>
      </c>
      <c r="AF11" s="158" t="s">
        <v>6</v>
      </c>
      <c r="AG11" s="158" t="s">
        <v>7</v>
      </c>
      <c r="AH11" s="158" t="s">
        <v>8</v>
      </c>
      <c r="AI11" s="158" t="s">
        <v>9</v>
      </c>
      <c r="AJ11" s="158" t="s">
        <v>10</v>
      </c>
      <c r="AK11" s="158" t="s">
        <v>11</v>
      </c>
      <c r="AL11" s="158" t="s">
        <v>12</v>
      </c>
      <c r="AM11" s="158" t="s">
        <v>13</v>
      </c>
      <c r="AN11" s="158" t="s">
        <v>14</v>
      </c>
      <c r="AO11" s="196" t="s">
        <v>531</v>
      </c>
      <c r="AP11" s="196" t="s">
        <v>63</v>
      </c>
      <c r="AQ11" s="1245" t="s">
        <v>976</v>
      </c>
      <c r="AR11" s="1245" t="s">
        <v>536</v>
      </c>
      <c r="AS11" s="158" t="s">
        <v>3</v>
      </c>
      <c r="AT11" s="158" t="s">
        <v>4</v>
      </c>
      <c r="AU11" s="158" t="s">
        <v>5</v>
      </c>
      <c r="AV11" s="158" t="s">
        <v>6</v>
      </c>
      <c r="AW11" s="158" t="s">
        <v>7</v>
      </c>
      <c r="AX11" s="158" t="s">
        <v>15</v>
      </c>
      <c r="AY11" s="159" t="s">
        <v>15</v>
      </c>
      <c r="AZ11" s="158" t="s">
        <v>16</v>
      </c>
      <c r="BA11" s="1245" t="s">
        <v>1059</v>
      </c>
      <c r="BB11" s="1245" t="s">
        <v>536</v>
      </c>
      <c r="BC11" s="158" t="s">
        <v>8</v>
      </c>
      <c r="BD11" s="158" t="s">
        <v>9</v>
      </c>
      <c r="BE11" s="158" t="s">
        <v>10</v>
      </c>
      <c r="BF11" s="158" t="s">
        <v>11</v>
      </c>
      <c r="BG11" s="158" t="s">
        <v>12</v>
      </c>
      <c r="BH11" s="158" t="s">
        <v>13</v>
      </c>
      <c r="BI11" s="158" t="s">
        <v>14</v>
      </c>
      <c r="BJ11" s="196" t="s">
        <v>1042</v>
      </c>
      <c r="BK11" s="196" t="s">
        <v>63</v>
      </c>
      <c r="BL11" s="158" t="s">
        <v>3</v>
      </c>
      <c r="BM11" s="158" t="s">
        <v>4</v>
      </c>
      <c r="BN11" s="158" t="s">
        <v>5</v>
      </c>
      <c r="BO11" s="158" t="s">
        <v>6</v>
      </c>
      <c r="BP11" s="158" t="s">
        <v>7</v>
      </c>
      <c r="BQ11" s="158" t="s">
        <v>15</v>
      </c>
      <c r="BR11" s="159" t="s">
        <v>15</v>
      </c>
      <c r="BS11" s="158" t="s">
        <v>16</v>
      </c>
      <c r="BT11" s="1245" t="s">
        <v>1059</v>
      </c>
      <c r="BU11" s="1245" t="s">
        <v>536</v>
      </c>
      <c r="BV11" s="158" t="s">
        <v>8</v>
      </c>
      <c r="BW11" s="158" t="s">
        <v>9</v>
      </c>
      <c r="BX11" s="158" t="s">
        <v>10</v>
      </c>
      <c r="BY11" s="158" t="s">
        <v>11</v>
      </c>
      <c r="BZ11" s="158" t="s">
        <v>12</v>
      </c>
      <c r="CA11" s="158" t="s">
        <v>13</v>
      </c>
      <c r="CB11" s="158" t="s">
        <v>14</v>
      </c>
      <c r="CC11" s="196" t="s">
        <v>1136</v>
      </c>
      <c r="CD11" s="1247" t="s">
        <v>1137</v>
      </c>
      <c r="CE11" s="166" t="s">
        <v>306</v>
      </c>
      <c r="CF11" s="1263" t="s">
        <v>55</v>
      </c>
      <c r="CG11" s="1254" t="s">
        <v>564</v>
      </c>
      <c r="CH11" s="1254" t="s">
        <v>446</v>
      </c>
      <c r="CI11" s="1254" t="s">
        <v>533</v>
      </c>
      <c r="CJ11" s="1254" t="s">
        <v>1126</v>
      </c>
      <c r="CK11" s="1254" t="s">
        <v>1135</v>
      </c>
      <c r="CL11" s="1254" t="s">
        <v>534</v>
      </c>
      <c r="CM11" s="1254" t="s">
        <v>493</v>
      </c>
      <c r="CN11" s="1254" t="s">
        <v>1148</v>
      </c>
      <c r="CO11" s="721" t="s">
        <v>529</v>
      </c>
      <c r="CP11" s="1254" t="s">
        <v>492</v>
      </c>
      <c r="CQ11" s="722" t="s">
        <v>530</v>
      </c>
      <c r="CR11" s="1256" t="s">
        <v>528</v>
      </c>
      <c r="CS11" s="1250" t="s">
        <v>437</v>
      </c>
      <c r="CT11" s="1250" t="s">
        <v>56</v>
      </c>
      <c r="CU11" s="1252" t="s">
        <v>449</v>
      </c>
      <c r="CV11" s="1247" t="s">
        <v>1134</v>
      </c>
      <c r="CW11" s="158" t="s">
        <v>15</v>
      </c>
      <c r="CX11" s="159" t="s">
        <v>15</v>
      </c>
      <c r="CY11" s="158" t="s">
        <v>16</v>
      </c>
      <c r="CZ11" s="1245" t="s">
        <v>1124</v>
      </c>
      <c r="DA11" s="1245" t="s">
        <v>536</v>
      </c>
      <c r="DB11" s="158" t="s">
        <v>8</v>
      </c>
      <c r="DC11" s="158" t="s">
        <v>9</v>
      </c>
      <c r="DD11" s="158" t="s">
        <v>10</v>
      </c>
      <c r="DE11" s="158" t="s">
        <v>11</v>
      </c>
      <c r="DF11" s="158" t="s">
        <v>12</v>
      </c>
      <c r="DG11" s="158" t="s">
        <v>13</v>
      </c>
      <c r="DH11" s="158" t="s">
        <v>14</v>
      </c>
      <c r="DI11" s="1247" t="s">
        <v>1138</v>
      </c>
      <c r="DJ11" s="718" t="s">
        <v>63</v>
      </c>
      <c r="DK11" s="158" t="s">
        <v>3</v>
      </c>
      <c r="DL11" s="158" t="s">
        <v>4</v>
      </c>
      <c r="DM11" s="158" t="s">
        <v>5</v>
      </c>
      <c r="DN11" s="158" t="s">
        <v>6</v>
      </c>
      <c r="DO11" s="158" t="s">
        <v>7</v>
      </c>
      <c r="DP11" s="1247" t="s">
        <v>1252</v>
      </c>
      <c r="DQ11" s="1247" t="s">
        <v>1253</v>
      </c>
      <c r="DR11" s="158" t="s">
        <v>15</v>
      </c>
      <c r="DS11" s="159" t="s">
        <v>15</v>
      </c>
      <c r="DT11" s="158" t="s">
        <v>16</v>
      </c>
      <c r="DU11" s="1245" t="s">
        <v>1262</v>
      </c>
      <c r="DV11" s="1245" t="s">
        <v>536</v>
      </c>
      <c r="DW11" s="158" t="s">
        <v>8</v>
      </c>
      <c r="DX11" s="158" t="s">
        <v>9</v>
      </c>
      <c r="DY11" s="158" t="s">
        <v>10</v>
      </c>
      <c r="DZ11" s="158" t="s">
        <v>11</v>
      </c>
      <c r="EA11" s="158" t="s">
        <v>12</v>
      </c>
      <c r="EB11" s="158" t="s">
        <v>13</v>
      </c>
      <c r="EC11" s="158" t="s">
        <v>14</v>
      </c>
      <c r="ED11" s="158" t="s">
        <v>3</v>
      </c>
      <c r="EE11" s="158" t="s">
        <v>4</v>
      </c>
      <c r="EF11" s="158" t="s">
        <v>5</v>
      </c>
      <c r="EG11" s="158" t="s">
        <v>6</v>
      </c>
      <c r="EH11" s="158" t="s">
        <v>7</v>
      </c>
      <c r="EI11" s="158" t="s">
        <v>8</v>
      </c>
      <c r="EJ11" s="158" t="s">
        <v>9</v>
      </c>
      <c r="EK11" s="158" t="s">
        <v>10</v>
      </c>
      <c r="EL11" s="158" t="s">
        <v>11</v>
      </c>
      <c r="EM11" s="158" t="s">
        <v>12</v>
      </c>
      <c r="EN11" s="158" t="s">
        <v>13</v>
      </c>
      <c r="EO11" s="1247" t="s">
        <v>1274</v>
      </c>
      <c r="EP11" s="1247" t="s">
        <v>1263</v>
      </c>
    </row>
    <row r="12" spans="1:146" ht="32.25" customHeight="1" x14ac:dyDescent="0.25">
      <c r="A12" s="1262"/>
      <c r="B12" s="1262"/>
      <c r="C12" s="161" t="s">
        <v>494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1267"/>
      <c r="V12" s="1269">
        <v>41639</v>
      </c>
      <c r="W12" s="1246"/>
      <c r="X12" s="162" t="s">
        <v>20</v>
      </c>
      <c r="Y12" s="163" t="s">
        <v>21</v>
      </c>
      <c r="Z12" s="162" t="s">
        <v>22</v>
      </c>
      <c r="AA12" s="1246"/>
      <c r="AB12" s="1246"/>
      <c r="AC12" s="162">
        <v>2015</v>
      </c>
      <c r="AD12" s="162">
        <v>2015</v>
      </c>
      <c r="AE12" s="162">
        <v>2015</v>
      </c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 t="s">
        <v>64</v>
      </c>
      <c r="AQ12" s="1265"/>
      <c r="AR12" s="1265"/>
      <c r="AS12" s="430">
        <v>2016</v>
      </c>
      <c r="AT12" s="430">
        <v>2016</v>
      </c>
      <c r="AU12" s="430">
        <v>2016</v>
      </c>
      <c r="AV12" s="430">
        <v>2016</v>
      </c>
      <c r="AW12" s="430">
        <v>2016</v>
      </c>
      <c r="AX12" s="162" t="s">
        <v>20</v>
      </c>
      <c r="AY12" s="163" t="s">
        <v>21</v>
      </c>
      <c r="AZ12" s="162" t="s">
        <v>22</v>
      </c>
      <c r="BA12" s="1246"/>
      <c r="BB12" s="1246"/>
      <c r="BC12" s="430">
        <v>2016</v>
      </c>
      <c r="BD12" s="430">
        <v>2016</v>
      </c>
      <c r="BE12" s="430">
        <v>2016</v>
      </c>
      <c r="BF12" s="430">
        <v>2016</v>
      </c>
      <c r="BG12" s="430">
        <v>2016</v>
      </c>
      <c r="BH12" s="430">
        <v>2016</v>
      </c>
      <c r="BI12" s="430">
        <v>2016</v>
      </c>
      <c r="BJ12" s="162">
        <v>2016</v>
      </c>
      <c r="BK12" s="162" t="s">
        <v>64</v>
      </c>
      <c r="BL12" s="430">
        <v>2017</v>
      </c>
      <c r="BM12" s="430">
        <v>2017</v>
      </c>
      <c r="BN12" s="430">
        <v>2017</v>
      </c>
      <c r="BO12" s="430">
        <v>2017</v>
      </c>
      <c r="BP12" s="430">
        <v>2017</v>
      </c>
      <c r="BQ12" s="162" t="s">
        <v>20</v>
      </c>
      <c r="BR12" s="163" t="s">
        <v>21</v>
      </c>
      <c r="BS12" s="162" t="s">
        <v>22</v>
      </c>
      <c r="BT12" s="1246"/>
      <c r="BU12" s="1246"/>
      <c r="BV12" s="430">
        <v>2016</v>
      </c>
      <c r="BW12" s="430">
        <v>2016</v>
      </c>
      <c r="BX12" s="430">
        <v>2016</v>
      </c>
      <c r="BY12" s="430">
        <v>2016</v>
      </c>
      <c r="BZ12" s="430">
        <v>2016</v>
      </c>
      <c r="CA12" s="430">
        <v>2016</v>
      </c>
      <c r="CB12" s="430">
        <v>2016</v>
      </c>
      <c r="CC12" s="162">
        <v>2017</v>
      </c>
      <c r="CD12" s="1248"/>
      <c r="CE12" s="167"/>
      <c r="CF12" s="1264"/>
      <c r="CG12" s="1255"/>
      <c r="CH12" s="1255"/>
      <c r="CI12" s="1255"/>
      <c r="CJ12" s="1255"/>
      <c r="CK12" s="1255"/>
      <c r="CL12" s="1255"/>
      <c r="CM12" s="1255"/>
      <c r="CN12" s="1255"/>
      <c r="CO12" s="194"/>
      <c r="CP12" s="1255"/>
      <c r="CQ12" s="194">
        <v>43281</v>
      </c>
      <c r="CR12" s="1257"/>
      <c r="CS12" s="1251" t="s">
        <v>18</v>
      </c>
      <c r="CT12" s="1251" t="s">
        <v>18</v>
      </c>
      <c r="CU12" s="1253"/>
      <c r="CV12" s="1248"/>
      <c r="CW12" s="162" t="s">
        <v>20</v>
      </c>
      <c r="CX12" s="163" t="s">
        <v>21</v>
      </c>
      <c r="CY12" s="162" t="s">
        <v>22</v>
      </c>
      <c r="CZ12" s="1246"/>
      <c r="DA12" s="1246"/>
      <c r="DB12" s="430">
        <v>2017</v>
      </c>
      <c r="DC12" s="430">
        <v>2017</v>
      </c>
      <c r="DD12" s="430">
        <v>2017</v>
      </c>
      <c r="DE12" s="430">
        <v>2017</v>
      </c>
      <c r="DF12" s="430">
        <v>2017</v>
      </c>
      <c r="DG12" s="430">
        <v>2017</v>
      </c>
      <c r="DH12" s="430">
        <v>2017</v>
      </c>
      <c r="DI12" s="1248"/>
      <c r="DJ12" s="162" t="s">
        <v>64</v>
      </c>
      <c r="DK12" s="162">
        <v>2018</v>
      </c>
      <c r="DL12" s="162">
        <v>2018</v>
      </c>
      <c r="DM12" s="162">
        <v>2018</v>
      </c>
      <c r="DN12" s="162">
        <v>2018</v>
      </c>
      <c r="DO12" s="162">
        <v>2018</v>
      </c>
      <c r="DP12" s="1248"/>
      <c r="DQ12" s="1248"/>
      <c r="DR12" s="162" t="s">
        <v>20</v>
      </c>
      <c r="DS12" s="163" t="s">
        <v>21</v>
      </c>
      <c r="DT12" s="162" t="s">
        <v>22</v>
      </c>
      <c r="DU12" s="1246"/>
      <c r="DV12" s="1246"/>
      <c r="DW12" s="162">
        <v>2018</v>
      </c>
      <c r="DX12" s="162">
        <v>2018</v>
      </c>
      <c r="DY12" s="162">
        <v>2018</v>
      </c>
      <c r="DZ12" s="162">
        <v>2018</v>
      </c>
      <c r="EA12" s="162">
        <v>2018</v>
      </c>
      <c r="EB12" s="162">
        <v>2018</v>
      </c>
      <c r="EC12" s="162">
        <v>2018</v>
      </c>
      <c r="ED12" s="162">
        <v>2019</v>
      </c>
      <c r="EE12" s="162">
        <v>2019</v>
      </c>
      <c r="EF12" s="162">
        <v>2019</v>
      </c>
      <c r="EG12" s="162">
        <v>2019</v>
      </c>
      <c r="EH12" s="162">
        <v>2019</v>
      </c>
      <c r="EI12" s="162">
        <v>2019</v>
      </c>
      <c r="EJ12" s="162">
        <v>2019</v>
      </c>
      <c r="EK12" s="162">
        <v>2019</v>
      </c>
      <c r="EL12" s="162">
        <v>2019</v>
      </c>
      <c r="EM12" s="162">
        <v>2019</v>
      </c>
      <c r="EN12" s="162">
        <v>2019</v>
      </c>
      <c r="EO12" s="1248"/>
      <c r="EP12" s="1248"/>
    </row>
    <row r="13" spans="1:146" s="16" customFormat="1" x14ac:dyDescent="0.2">
      <c r="A13" s="120" t="s">
        <v>65</v>
      </c>
      <c r="B13" s="120"/>
      <c r="C13" s="120"/>
      <c r="D13" s="74"/>
      <c r="E13" s="25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20"/>
      <c r="S13" s="20"/>
      <c r="T13" s="14"/>
      <c r="U13" s="14"/>
      <c r="V13" s="108"/>
      <c r="W13" s="66"/>
      <c r="X13" s="66"/>
      <c r="Y13" s="81"/>
      <c r="Z13" s="66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73"/>
      <c r="AQ13" s="73"/>
      <c r="AR13" s="73"/>
      <c r="AS13" s="32"/>
      <c r="AT13" s="32"/>
      <c r="AU13" s="32"/>
      <c r="AV13" s="32"/>
      <c r="AW13" s="32"/>
      <c r="AX13" s="66"/>
      <c r="AY13" s="81"/>
      <c r="AZ13" s="66"/>
      <c r="BA13" s="65"/>
      <c r="BB13" s="65"/>
      <c r="BC13" s="32"/>
      <c r="BD13" s="32"/>
      <c r="BE13" s="32"/>
      <c r="BF13" s="32"/>
      <c r="BG13" s="32"/>
      <c r="BH13" s="32"/>
      <c r="BI13" s="32"/>
      <c r="BJ13" s="32"/>
      <c r="BK13" s="438"/>
      <c r="BL13" s="32"/>
      <c r="BM13" s="32"/>
      <c r="BN13" s="32"/>
      <c r="BO13" s="32"/>
      <c r="BP13" s="32"/>
      <c r="BQ13" s="66"/>
      <c r="BR13" s="81"/>
      <c r="BS13" s="66"/>
      <c r="BT13" s="65"/>
      <c r="BU13" s="65"/>
      <c r="BV13" s="32"/>
      <c r="BW13" s="32"/>
      <c r="BX13" s="32"/>
      <c r="BY13" s="32"/>
      <c r="BZ13" s="32"/>
      <c r="CA13" s="32"/>
      <c r="CB13" s="32"/>
      <c r="CC13" s="32"/>
      <c r="CD13" s="438"/>
      <c r="CE13" s="74"/>
      <c r="CF13" s="25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20"/>
      <c r="CT13" s="20"/>
      <c r="CU13" s="14"/>
      <c r="CV13" s="764"/>
      <c r="CW13" s="257"/>
      <c r="CX13" s="757"/>
      <c r="CY13" s="257"/>
      <c r="CZ13" s="758"/>
      <c r="DA13" s="758"/>
      <c r="DB13" s="725"/>
      <c r="DC13" s="725"/>
      <c r="DD13" s="725"/>
      <c r="DE13" s="725"/>
      <c r="DF13" s="725"/>
      <c r="DG13" s="725"/>
      <c r="DH13" s="725"/>
      <c r="DI13" s="725"/>
      <c r="DJ13" s="764"/>
      <c r="DK13" s="355"/>
      <c r="DL13" s="355"/>
      <c r="DM13" s="355"/>
      <c r="DN13" s="3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</row>
    <row r="14" spans="1:146" s="16" customFormat="1" x14ac:dyDescent="0.2">
      <c r="A14" s="120" t="s">
        <v>66</v>
      </c>
      <c r="B14" s="172"/>
      <c r="C14" s="120"/>
      <c r="D14" s="4"/>
      <c r="E14" s="25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563"/>
      <c r="S14" s="20"/>
      <c r="T14" s="14"/>
      <c r="U14" s="14"/>
      <c r="V14" s="108"/>
      <c r="W14" s="66"/>
      <c r="X14" s="66"/>
      <c r="Y14" s="112"/>
      <c r="Z14" s="66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73"/>
      <c r="AQ14" s="73"/>
      <c r="AR14" s="73"/>
      <c r="AS14" s="32"/>
      <c r="AT14" s="32"/>
      <c r="AU14" s="32"/>
      <c r="AV14" s="32"/>
      <c r="AW14" s="32"/>
      <c r="AX14" s="66"/>
      <c r="AY14" s="112"/>
      <c r="AZ14" s="66"/>
      <c r="BA14" s="65"/>
      <c r="BB14" s="65"/>
      <c r="BC14" s="32"/>
      <c r="BD14" s="32"/>
      <c r="BE14" s="32"/>
      <c r="BF14" s="32"/>
      <c r="BG14" s="32"/>
      <c r="BH14" s="32"/>
      <c r="BI14" s="32"/>
      <c r="BJ14" s="32"/>
      <c r="BK14" s="438"/>
      <c r="BL14" s="32"/>
      <c r="BM14" s="32"/>
      <c r="BN14" s="32"/>
      <c r="BO14" s="32"/>
      <c r="BP14" s="32"/>
      <c r="BQ14" s="66"/>
      <c r="BR14" s="112"/>
      <c r="BS14" s="66"/>
      <c r="BT14" s="65"/>
      <c r="BU14" s="65"/>
      <c r="BV14" s="32"/>
      <c r="BW14" s="32"/>
      <c r="BX14" s="32"/>
      <c r="BY14" s="32"/>
      <c r="BZ14" s="32"/>
      <c r="CA14" s="32"/>
      <c r="CB14" s="32"/>
      <c r="CC14" s="32"/>
      <c r="CD14" s="438"/>
      <c r="CE14" s="4"/>
      <c r="CF14" s="25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563"/>
      <c r="CT14" s="20"/>
      <c r="CU14" s="14"/>
      <c r="CV14" s="764"/>
      <c r="CW14" s="257"/>
      <c r="CX14" s="759"/>
      <c r="CY14" s="257"/>
      <c r="CZ14" s="758"/>
      <c r="DA14" s="758"/>
      <c r="DB14" s="725"/>
      <c r="DC14" s="725"/>
      <c r="DD14" s="725"/>
      <c r="DE14" s="725"/>
      <c r="DF14" s="725"/>
      <c r="DG14" s="725"/>
      <c r="DH14" s="725"/>
      <c r="DI14" s="725"/>
      <c r="DJ14" s="764"/>
      <c r="DK14" s="355"/>
      <c r="DL14" s="355"/>
      <c r="DM14" s="355"/>
      <c r="DN14" s="355"/>
      <c r="DO14" s="3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</row>
    <row r="15" spans="1:146" s="16" customFormat="1" x14ac:dyDescent="0.2">
      <c r="A15" s="45" t="s">
        <v>67</v>
      </c>
      <c r="B15" s="45" t="s">
        <v>463</v>
      </c>
      <c r="C15" s="45" t="s">
        <v>311</v>
      </c>
      <c r="D15" s="58">
        <v>3</v>
      </c>
      <c r="E15" s="49">
        <v>0.33329999999999999</v>
      </c>
      <c r="F15" s="46">
        <v>42185</v>
      </c>
      <c r="G15" s="48">
        <v>36</v>
      </c>
      <c r="H15" s="145">
        <f t="shared" ref="H15:H20" si="0">100/G15</f>
        <v>2.7777777777777777</v>
      </c>
      <c r="I15" s="165">
        <f t="shared" ref="I15:I20" si="1">H15*J15</f>
        <v>75</v>
      </c>
      <c r="J15" s="48">
        <f t="shared" ref="J15:J20" si="2">(YEAR(F15)-YEAR(S15))*12+MONTH(F15)-MONTH(S15)</f>
        <v>27</v>
      </c>
      <c r="K15" s="165">
        <f t="shared" ref="K15:K20" si="3">L15*H15</f>
        <v>25</v>
      </c>
      <c r="L15" s="48">
        <f t="shared" ref="L15:L20" si="4">G15-J15</f>
        <v>9</v>
      </c>
      <c r="M15" s="165">
        <f t="shared" ref="M15:M20" si="5">N15*H15</f>
        <v>19.444444444444443</v>
      </c>
      <c r="N15" s="48">
        <v>7</v>
      </c>
      <c r="O15" s="165">
        <f>P15*H15</f>
        <v>5.5555555555555554</v>
      </c>
      <c r="P15" s="48">
        <f t="shared" ref="O15:P19" si="6">L15-N15</f>
        <v>2</v>
      </c>
      <c r="Q15" s="46">
        <v>42428</v>
      </c>
      <c r="R15" s="564" t="s">
        <v>487</v>
      </c>
      <c r="S15" s="46">
        <v>41359</v>
      </c>
      <c r="T15" s="47">
        <v>8352</v>
      </c>
      <c r="U15" s="47">
        <v>2320.5700000000002</v>
      </c>
      <c r="V15" s="106">
        <v>1159.9000000000001</v>
      </c>
      <c r="W15" s="165">
        <v>0</v>
      </c>
      <c r="X15" s="57">
        <v>115.958</v>
      </c>
      <c r="Y15" s="80">
        <v>109.002</v>
      </c>
      <c r="Z15" s="57">
        <f t="shared" ref="Z15:Z20" si="7">X15/Y15</f>
        <v>1.0638153428377461</v>
      </c>
      <c r="AA15" s="55">
        <f>U15*M15/100/K15*100/7</f>
        <v>257.84111111111105</v>
      </c>
      <c r="AB15" s="55">
        <f>AA15*Z15</f>
        <v>274.29533001433202</v>
      </c>
      <c r="AC15" s="55"/>
      <c r="AD15" s="55"/>
      <c r="AE15" s="55"/>
      <c r="AF15" s="55"/>
      <c r="AG15" s="55"/>
      <c r="AH15" s="55">
        <f>AB15</f>
        <v>274.29533001433202</v>
      </c>
      <c r="AI15" s="55">
        <v>274.29533001433202</v>
      </c>
      <c r="AJ15" s="55">
        <v>274.29533001433202</v>
      </c>
      <c r="AK15" s="55">
        <v>274.29533001433202</v>
      </c>
      <c r="AL15" s="55">
        <v>274.29533001433202</v>
      </c>
      <c r="AM15" s="55">
        <v>274.29533001433202</v>
      </c>
      <c r="AN15" s="55">
        <v>274.29533001433202</v>
      </c>
      <c r="AO15" s="55">
        <f t="shared" ref="AO15:AO20" si="8">SUM(AC15:AN15)</f>
        <v>1920.067310100324</v>
      </c>
      <c r="AP15" s="72">
        <f>U15-AO15</f>
        <v>400.50268989967617</v>
      </c>
      <c r="AQ15" s="72"/>
      <c r="AR15" s="72"/>
      <c r="AS15" s="431">
        <f>$AN15</f>
        <v>274.29533001433202</v>
      </c>
      <c r="AT15" s="431">
        <v>125.21</v>
      </c>
      <c r="AU15" s="431"/>
      <c r="AV15" s="431"/>
      <c r="AW15" s="431"/>
      <c r="AX15" s="57">
        <v>118.901</v>
      </c>
      <c r="AY15" s="80">
        <v>109.002</v>
      </c>
      <c r="AZ15" s="57">
        <f t="shared" ref="AZ15:AZ20" si="9">AX15/AY15</f>
        <v>1.090814847433992</v>
      </c>
      <c r="BA15" s="55">
        <f>T15/(D15*12)</f>
        <v>232</v>
      </c>
      <c r="BB15" s="55"/>
      <c r="BC15" s="429"/>
      <c r="BD15" s="32"/>
      <c r="BE15" s="32"/>
      <c r="BF15" s="32"/>
      <c r="BG15" s="32"/>
      <c r="BH15" s="32"/>
      <c r="BI15" s="32"/>
      <c r="BJ15" s="431">
        <f t="shared" ref="BJ15:BJ20" si="10">SUM((AS15:AW15),(BC15:BI15))</f>
        <v>399.505330014332</v>
      </c>
      <c r="BK15" s="442">
        <f t="shared" ref="BK15:BK20" si="11">(AP15-BJ15)</f>
        <v>0.9973598853441672</v>
      </c>
      <c r="BL15" s="32"/>
      <c r="BM15" s="32"/>
      <c r="BN15" s="431"/>
      <c r="BO15" s="431"/>
      <c r="BP15" s="431"/>
      <c r="BQ15" s="57">
        <v>118.901</v>
      </c>
      <c r="BR15" s="80">
        <v>109.002</v>
      </c>
      <c r="BS15" s="57">
        <f t="shared" ref="BS15:BS20" si="12">BQ15/BR15</f>
        <v>1.090814847433992</v>
      </c>
      <c r="BT15" s="55"/>
      <c r="BU15" s="55"/>
      <c r="BV15" s="429"/>
      <c r="BW15" s="32"/>
      <c r="BX15" s="32"/>
      <c r="BY15" s="32"/>
      <c r="BZ15" s="32"/>
      <c r="CA15" s="32"/>
      <c r="CB15" s="32"/>
      <c r="CC15" s="431">
        <f t="shared" ref="CC15:CC20" si="13">SUM((BL15:BP15),(BV15:CB15))</f>
        <v>0</v>
      </c>
      <c r="CD15" s="442">
        <f>(BK15-CC15)</f>
        <v>0.9973598853441672</v>
      </c>
      <c r="CE15" s="58">
        <v>3</v>
      </c>
      <c r="CF15" s="49">
        <v>0.33329999999999999</v>
      </c>
      <c r="CG15" s="46">
        <v>43281</v>
      </c>
      <c r="CH15" s="48">
        <v>36</v>
      </c>
      <c r="CI15" s="145">
        <f t="shared" ref="CI15:CI20" si="14">CU15/CH15/100</f>
        <v>2.3199999999999998</v>
      </c>
      <c r="CJ15" s="165">
        <f t="shared" ref="CJ15:CJ20" si="15">CI15*CK15</f>
        <v>146.16</v>
      </c>
      <c r="CK15" s="48">
        <f>(YEAR(CG15)-YEAR(CT15))*12+MONTH(CG15)-MONTH(CT15)</f>
        <v>63</v>
      </c>
      <c r="CL15" s="165">
        <f t="shared" ref="CL15:CL20" si="16">CM15*CI15</f>
        <v>-62.639999999999993</v>
      </c>
      <c r="CM15" s="48">
        <f>CH15-CK15</f>
        <v>-27</v>
      </c>
      <c r="CN15" s="165">
        <f t="shared" ref="CN15:CN20" si="17">CO15*CI15</f>
        <v>-62.639999999999993</v>
      </c>
      <c r="CO15" s="48">
        <f t="shared" ref="CO15:CO20" si="18">CH15-CK15</f>
        <v>-27</v>
      </c>
      <c r="CP15" s="165">
        <f>CQ15*CI15</f>
        <v>0</v>
      </c>
      <c r="CQ15" s="48">
        <f>CM15-CO15</f>
        <v>0</v>
      </c>
      <c r="CR15" s="462">
        <f t="shared" ref="CR15:CR20" si="19">DATE(YEAR(CT15),MONTH(CT15)+CH15,DAY(CT15))</f>
        <v>42455</v>
      </c>
      <c r="CS15" s="564" t="s">
        <v>487</v>
      </c>
      <c r="CT15" s="46">
        <v>41359</v>
      </c>
      <c r="CU15" s="47">
        <v>8352</v>
      </c>
      <c r="CV15" s="764">
        <v>0.9973598853441672</v>
      </c>
      <c r="CW15" s="258">
        <v>126.408</v>
      </c>
      <c r="CX15" s="258">
        <v>109.002</v>
      </c>
      <c r="CY15" s="258">
        <f t="shared" ref="CY15:CY20" si="20">CW15/CX15</f>
        <v>1.1596851433918645</v>
      </c>
      <c r="CZ15" s="56">
        <v>0</v>
      </c>
      <c r="DA15" s="56">
        <v>0</v>
      </c>
      <c r="DB15" s="725">
        <v>0</v>
      </c>
      <c r="DC15" s="725">
        <v>0</v>
      </c>
      <c r="DD15" s="725">
        <v>0</v>
      </c>
      <c r="DE15" s="725">
        <v>0</v>
      </c>
      <c r="DF15" s="725">
        <v>0</v>
      </c>
      <c r="DG15" s="725">
        <v>0</v>
      </c>
      <c r="DH15" s="725">
        <v>0</v>
      </c>
      <c r="DI15" s="725">
        <f t="shared" ref="DI15:DI20" si="21">SUM(DB15:DH15)</f>
        <v>0</v>
      </c>
      <c r="DJ15" s="764">
        <f t="shared" ref="DJ15:DJ20" si="22">CV15-DI15</f>
        <v>0.9973598853441672</v>
      </c>
      <c r="DK15" s="725">
        <v>0</v>
      </c>
      <c r="DL15" s="725">
        <v>0</v>
      </c>
      <c r="DM15" s="725">
        <v>0</v>
      </c>
      <c r="DN15" s="725">
        <v>0</v>
      </c>
      <c r="DO15" s="725">
        <v>0</v>
      </c>
      <c r="DP15" s="511">
        <f t="shared" ref="DP15:DP20" si="23">SUM(DK15:DO15)</f>
        <v>0</v>
      </c>
      <c r="DQ15" s="960">
        <f t="shared" ref="DQ15:DQ20" si="24">DJ15-DP15</f>
        <v>0.9973598853441672</v>
      </c>
      <c r="DR15" s="656">
        <v>132.28200000000001</v>
      </c>
      <c r="DS15" s="1002">
        <v>109.002</v>
      </c>
      <c r="DT15" s="656">
        <f>DR15/DS15</f>
        <v>1.2135740628612322</v>
      </c>
      <c r="DU15" s="511">
        <v>0</v>
      </c>
      <c r="DV15" s="511">
        <v>0</v>
      </c>
      <c r="DW15" s="511">
        <v>0</v>
      </c>
      <c r="DX15" s="511"/>
      <c r="DY15" s="511"/>
      <c r="DZ15" s="511"/>
      <c r="EA15" s="511"/>
      <c r="EB15" s="511"/>
      <c r="EC15" s="511"/>
      <c r="ED15" s="511"/>
      <c r="EE15" s="511"/>
      <c r="EF15" s="511"/>
      <c r="EG15" s="511"/>
      <c r="EH15" s="511"/>
      <c r="EI15" s="511"/>
      <c r="EJ15" s="511"/>
      <c r="EK15" s="511"/>
      <c r="EL15" s="511"/>
      <c r="EM15" s="511"/>
      <c r="EN15" s="511"/>
      <c r="EO15" s="511">
        <f>SUM(DW15:EN15)</f>
        <v>0</v>
      </c>
      <c r="EP15" s="756">
        <f t="shared" ref="EP15:EP20" si="25">DQ15-EO15</f>
        <v>0.9973598853441672</v>
      </c>
    </row>
    <row r="16" spans="1:146" s="16" customFormat="1" x14ac:dyDescent="0.2">
      <c r="A16" s="45" t="s">
        <v>67</v>
      </c>
      <c r="B16" s="45" t="s">
        <v>464</v>
      </c>
      <c r="C16" s="45" t="s">
        <v>311</v>
      </c>
      <c r="D16" s="58">
        <v>3</v>
      </c>
      <c r="E16" s="49">
        <v>0.33329999999999999</v>
      </c>
      <c r="F16" s="46">
        <v>42185</v>
      </c>
      <c r="G16" s="48">
        <v>36</v>
      </c>
      <c r="H16" s="145">
        <f t="shared" si="0"/>
        <v>2.7777777777777777</v>
      </c>
      <c r="I16" s="165">
        <f t="shared" si="1"/>
        <v>116.66666666666666</v>
      </c>
      <c r="J16" s="48">
        <f t="shared" si="2"/>
        <v>42</v>
      </c>
      <c r="K16" s="165">
        <f t="shared" si="3"/>
        <v>-16.666666666666664</v>
      </c>
      <c r="L16" s="48">
        <f t="shared" si="4"/>
        <v>-6</v>
      </c>
      <c r="M16" s="165">
        <f t="shared" si="5"/>
        <v>19.444444444444443</v>
      </c>
      <c r="N16" s="48">
        <v>7</v>
      </c>
      <c r="O16" s="165">
        <f t="shared" si="6"/>
        <v>-36.111111111111107</v>
      </c>
      <c r="P16" s="48">
        <f t="shared" si="6"/>
        <v>-13</v>
      </c>
      <c r="Q16" s="48"/>
      <c r="R16" s="565" t="s">
        <v>488</v>
      </c>
      <c r="S16" s="46">
        <v>40896</v>
      </c>
      <c r="T16" s="47">
        <v>9205.98</v>
      </c>
      <c r="U16" s="14">
        <v>1</v>
      </c>
      <c r="V16" s="106">
        <v>0</v>
      </c>
      <c r="W16" s="66"/>
      <c r="X16" s="57">
        <v>115.958</v>
      </c>
      <c r="Y16" s="80">
        <v>103.551</v>
      </c>
      <c r="Z16" s="57">
        <f t="shared" si="7"/>
        <v>1.119815356684146</v>
      </c>
      <c r="AA16" s="55">
        <v>0</v>
      </c>
      <c r="AB16" s="55"/>
      <c r="AC16" s="55"/>
      <c r="AD16" s="55"/>
      <c r="AE16" s="55"/>
      <c r="AF16" s="55"/>
      <c r="AG16" s="55"/>
      <c r="AH16" s="55">
        <f>AB16</f>
        <v>0</v>
      </c>
      <c r="AI16" s="55">
        <v>0</v>
      </c>
      <c r="AJ16" s="55">
        <v>0</v>
      </c>
      <c r="AK16" s="55">
        <v>0</v>
      </c>
      <c r="AL16" s="55">
        <v>0</v>
      </c>
      <c r="AM16" s="55">
        <v>0</v>
      </c>
      <c r="AN16" s="55">
        <v>0</v>
      </c>
      <c r="AO16" s="55">
        <f t="shared" si="8"/>
        <v>0</v>
      </c>
      <c r="AP16" s="72">
        <v>1</v>
      </c>
      <c r="AQ16" s="72"/>
      <c r="AR16" s="72"/>
      <c r="AS16" s="431">
        <f t="shared" ref="AS16:AW20" si="26">$AN16</f>
        <v>0</v>
      </c>
      <c r="AT16" s="431">
        <f t="shared" si="26"/>
        <v>0</v>
      </c>
      <c r="AU16" s="431">
        <f t="shared" si="26"/>
        <v>0</v>
      </c>
      <c r="AV16" s="431">
        <f t="shared" si="26"/>
        <v>0</v>
      </c>
      <c r="AW16" s="431">
        <f t="shared" si="26"/>
        <v>0</v>
      </c>
      <c r="AX16" s="57">
        <v>118.901</v>
      </c>
      <c r="AY16" s="80">
        <v>103.551</v>
      </c>
      <c r="AZ16" s="57">
        <f t="shared" si="9"/>
        <v>1.1482361348514258</v>
      </c>
      <c r="BA16" s="55">
        <f t="shared" ref="BA16:BA74" si="27">T16/(D16*12)</f>
        <v>255.72166666666666</v>
      </c>
      <c r="BB16" s="55"/>
      <c r="BC16" s="32"/>
      <c r="BD16" s="32"/>
      <c r="BE16" s="32"/>
      <c r="BF16" s="32"/>
      <c r="BG16" s="32"/>
      <c r="BH16" s="32"/>
      <c r="BI16" s="32"/>
      <c r="BJ16" s="431">
        <f t="shared" si="10"/>
        <v>0</v>
      </c>
      <c r="BK16" s="442">
        <f t="shared" si="11"/>
        <v>1</v>
      </c>
      <c r="BL16" s="32"/>
      <c r="BM16" s="32"/>
      <c r="BN16" s="431"/>
      <c r="BO16" s="431"/>
      <c r="BP16" s="431"/>
      <c r="BQ16" s="57">
        <v>118.901</v>
      </c>
      <c r="BR16" s="80">
        <v>103.551</v>
      </c>
      <c r="BS16" s="57">
        <f t="shared" si="12"/>
        <v>1.1482361348514258</v>
      </c>
      <c r="BT16" s="55"/>
      <c r="BU16" s="55"/>
      <c r="BV16" s="32"/>
      <c r="BW16" s="32"/>
      <c r="BX16" s="32"/>
      <c r="BY16" s="32"/>
      <c r="BZ16" s="32"/>
      <c r="CA16" s="32"/>
      <c r="CB16" s="32"/>
      <c r="CC16" s="431">
        <f t="shared" si="13"/>
        <v>0</v>
      </c>
      <c r="CD16" s="442">
        <f t="shared" ref="CD16:CD74" si="28">(BK16-CC16)</f>
        <v>1</v>
      </c>
      <c r="CE16" s="58">
        <v>3</v>
      </c>
      <c r="CF16" s="49">
        <v>0.33329999999999999</v>
      </c>
      <c r="CG16" s="46">
        <v>43281</v>
      </c>
      <c r="CH16" s="48">
        <v>36</v>
      </c>
      <c r="CI16" s="145">
        <f t="shared" si="14"/>
        <v>2.5572166666666667</v>
      </c>
      <c r="CJ16" s="165">
        <f t="shared" si="15"/>
        <v>199.46289999999999</v>
      </c>
      <c r="CK16" s="48">
        <f t="shared" ref="CK16:CK20" si="29">(YEAR(CG16)-YEAR(CT16))*12+MONTH(CG16)-MONTH(CT16)</f>
        <v>78</v>
      </c>
      <c r="CL16" s="165">
        <f t="shared" si="16"/>
        <v>-107.40309999999999</v>
      </c>
      <c r="CM16" s="48">
        <f t="shared" ref="CM16:CM20" si="30">CH16-CK16</f>
        <v>-42</v>
      </c>
      <c r="CN16" s="165">
        <f t="shared" si="17"/>
        <v>-107.40309999999999</v>
      </c>
      <c r="CO16" s="48">
        <f t="shared" si="18"/>
        <v>-42</v>
      </c>
      <c r="CP16" s="165">
        <f>CL16-CN16</f>
        <v>0</v>
      </c>
      <c r="CQ16" s="48">
        <f>CM16-CO16</f>
        <v>0</v>
      </c>
      <c r="CR16" s="462">
        <f t="shared" si="19"/>
        <v>41992</v>
      </c>
      <c r="CS16" s="565" t="s">
        <v>488</v>
      </c>
      <c r="CT16" s="46">
        <v>40896</v>
      </c>
      <c r="CU16" s="47">
        <v>9205.98</v>
      </c>
      <c r="CV16" s="764">
        <v>1</v>
      </c>
      <c r="CW16" s="258">
        <v>126.408</v>
      </c>
      <c r="CX16" s="258">
        <v>103.551</v>
      </c>
      <c r="CY16" s="258">
        <f t="shared" si="20"/>
        <v>1.2207318133093839</v>
      </c>
      <c r="CZ16" s="56">
        <v>0</v>
      </c>
      <c r="DA16" s="56">
        <v>0</v>
      </c>
      <c r="DB16" s="725">
        <v>0</v>
      </c>
      <c r="DC16" s="725">
        <v>0</v>
      </c>
      <c r="DD16" s="725">
        <v>0</v>
      </c>
      <c r="DE16" s="725">
        <v>0</v>
      </c>
      <c r="DF16" s="725">
        <v>0</v>
      </c>
      <c r="DG16" s="725">
        <v>0</v>
      </c>
      <c r="DH16" s="725">
        <v>0</v>
      </c>
      <c r="DI16" s="725">
        <f t="shared" si="21"/>
        <v>0</v>
      </c>
      <c r="DJ16" s="764">
        <f t="shared" si="22"/>
        <v>1</v>
      </c>
      <c r="DK16" s="725">
        <v>0</v>
      </c>
      <c r="DL16" s="725">
        <v>0</v>
      </c>
      <c r="DM16" s="725">
        <v>0</v>
      </c>
      <c r="DN16" s="725">
        <v>0</v>
      </c>
      <c r="DO16" s="725">
        <v>0</v>
      </c>
      <c r="DP16" s="511">
        <f t="shared" si="23"/>
        <v>0</v>
      </c>
      <c r="DQ16" s="960">
        <f t="shared" si="24"/>
        <v>1</v>
      </c>
      <c r="DR16" s="656">
        <v>132.28200000000001</v>
      </c>
      <c r="DS16" s="1002">
        <v>103.551</v>
      </c>
      <c r="DT16" s="656">
        <f>DR16/DS16</f>
        <v>1.2774574847176754</v>
      </c>
      <c r="DU16" s="511">
        <v>0</v>
      </c>
      <c r="DV16" s="511">
        <v>0</v>
      </c>
      <c r="DW16" s="511">
        <v>0</v>
      </c>
      <c r="DX16" s="511"/>
      <c r="DY16" s="511"/>
      <c r="DZ16" s="511"/>
      <c r="EA16" s="511"/>
      <c r="EB16" s="511"/>
      <c r="EC16" s="511"/>
      <c r="ED16" s="511"/>
      <c r="EE16" s="511"/>
      <c r="EF16" s="511"/>
      <c r="EG16" s="511"/>
      <c r="EH16" s="511"/>
      <c r="EI16" s="511"/>
      <c r="EJ16" s="511"/>
      <c r="EK16" s="511"/>
      <c r="EL16" s="511"/>
      <c r="EM16" s="511"/>
      <c r="EN16" s="511"/>
      <c r="EO16" s="511">
        <f t="shared" ref="EO16:EO74" si="31">SUM(DW16:EN16)</f>
        <v>0</v>
      </c>
      <c r="EP16" s="756">
        <f t="shared" si="25"/>
        <v>1</v>
      </c>
    </row>
    <row r="17" spans="1:146" s="16" customFormat="1" x14ac:dyDescent="0.2">
      <c r="A17" s="100" t="s">
        <v>67</v>
      </c>
      <c r="B17" s="100" t="s">
        <v>465</v>
      </c>
      <c r="C17" s="100" t="s">
        <v>308</v>
      </c>
      <c r="D17" s="58">
        <v>3</v>
      </c>
      <c r="E17" s="127">
        <v>0.33329999999999999</v>
      </c>
      <c r="F17" s="46">
        <v>42185</v>
      </c>
      <c r="G17" s="48">
        <v>36</v>
      </c>
      <c r="H17" s="145">
        <f t="shared" si="0"/>
        <v>2.7777777777777777</v>
      </c>
      <c r="I17" s="165">
        <f t="shared" si="1"/>
        <v>108.33333333333333</v>
      </c>
      <c r="J17" s="48">
        <f t="shared" si="2"/>
        <v>39</v>
      </c>
      <c r="K17" s="165">
        <f t="shared" si="3"/>
        <v>-8.3333333333333321</v>
      </c>
      <c r="L17" s="48">
        <f t="shared" si="4"/>
        <v>-3</v>
      </c>
      <c r="M17" s="165">
        <f t="shared" si="5"/>
        <v>19.444444444444443</v>
      </c>
      <c r="N17" s="48">
        <v>7</v>
      </c>
      <c r="O17" s="165">
        <f>K17-M17</f>
        <v>-27.777777777777775</v>
      </c>
      <c r="P17" s="48">
        <f t="shared" si="6"/>
        <v>-10</v>
      </c>
      <c r="Q17" s="48"/>
      <c r="R17" s="565" t="s">
        <v>489</v>
      </c>
      <c r="S17" s="119">
        <v>40988</v>
      </c>
      <c r="T17" s="134">
        <v>9615.18</v>
      </c>
      <c r="U17" s="14">
        <v>1</v>
      </c>
      <c r="V17" s="106">
        <v>802.16</v>
      </c>
      <c r="W17" s="66"/>
      <c r="X17" s="57">
        <v>115.958</v>
      </c>
      <c r="Y17" s="80">
        <v>104.556</v>
      </c>
      <c r="Z17" s="57">
        <f t="shared" si="7"/>
        <v>1.1090516087072957</v>
      </c>
      <c r="AA17" s="55">
        <v>0</v>
      </c>
      <c r="AB17" s="55"/>
      <c r="AC17" s="55"/>
      <c r="AD17" s="55"/>
      <c r="AE17" s="55"/>
      <c r="AF17" s="55"/>
      <c r="AG17" s="55"/>
      <c r="AH17" s="55">
        <f>AB17</f>
        <v>0</v>
      </c>
      <c r="AI17" s="55">
        <v>0</v>
      </c>
      <c r="AJ17" s="55">
        <v>0</v>
      </c>
      <c r="AK17" s="55">
        <v>0</v>
      </c>
      <c r="AL17" s="55">
        <v>0</v>
      </c>
      <c r="AM17" s="55">
        <v>0</v>
      </c>
      <c r="AN17" s="55">
        <v>0</v>
      </c>
      <c r="AO17" s="55">
        <f t="shared" si="8"/>
        <v>0</v>
      </c>
      <c r="AP17" s="72">
        <v>1</v>
      </c>
      <c r="AQ17" s="72"/>
      <c r="AR17" s="72"/>
      <c r="AS17" s="431">
        <f t="shared" si="26"/>
        <v>0</v>
      </c>
      <c r="AT17" s="431">
        <f t="shared" si="26"/>
        <v>0</v>
      </c>
      <c r="AU17" s="431">
        <f t="shared" si="26"/>
        <v>0</v>
      </c>
      <c r="AV17" s="431">
        <f t="shared" si="26"/>
        <v>0</v>
      </c>
      <c r="AW17" s="431">
        <f t="shared" si="26"/>
        <v>0</v>
      </c>
      <c r="AX17" s="57">
        <v>118.901</v>
      </c>
      <c r="AY17" s="80">
        <v>104.556</v>
      </c>
      <c r="AZ17" s="57">
        <f t="shared" si="9"/>
        <v>1.1371992042541796</v>
      </c>
      <c r="BA17" s="55">
        <f t="shared" si="27"/>
        <v>267.08833333333337</v>
      </c>
      <c r="BB17" s="55"/>
      <c r="BC17" s="32"/>
      <c r="BD17" s="32"/>
      <c r="BE17" s="32"/>
      <c r="BF17" s="32"/>
      <c r="BG17" s="32"/>
      <c r="BH17" s="32"/>
      <c r="BI17" s="32"/>
      <c r="BJ17" s="431">
        <f t="shared" si="10"/>
        <v>0</v>
      </c>
      <c r="BK17" s="442">
        <f t="shared" si="11"/>
        <v>1</v>
      </c>
      <c r="BL17" s="32"/>
      <c r="BM17" s="32"/>
      <c r="BN17" s="431"/>
      <c r="BO17" s="431"/>
      <c r="BP17" s="431"/>
      <c r="BQ17" s="57">
        <v>118.901</v>
      </c>
      <c r="BR17" s="80">
        <v>104.556</v>
      </c>
      <c r="BS17" s="57">
        <f t="shared" si="12"/>
        <v>1.1371992042541796</v>
      </c>
      <c r="BT17" s="55"/>
      <c r="BU17" s="55"/>
      <c r="BV17" s="32"/>
      <c r="BW17" s="32"/>
      <c r="BX17" s="32"/>
      <c r="BY17" s="32"/>
      <c r="BZ17" s="32"/>
      <c r="CA17" s="32"/>
      <c r="CB17" s="32"/>
      <c r="CC17" s="431">
        <f t="shared" si="13"/>
        <v>0</v>
      </c>
      <c r="CD17" s="442">
        <f t="shared" si="28"/>
        <v>1</v>
      </c>
      <c r="CE17" s="58">
        <v>3</v>
      </c>
      <c r="CF17" s="127">
        <v>0.33329999999999999</v>
      </c>
      <c r="CG17" s="46">
        <v>43281</v>
      </c>
      <c r="CH17" s="48">
        <v>36</v>
      </c>
      <c r="CI17" s="145">
        <f t="shared" si="14"/>
        <v>2.6708833333333337</v>
      </c>
      <c r="CJ17" s="165">
        <f t="shared" si="15"/>
        <v>200.31625000000003</v>
      </c>
      <c r="CK17" s="48">
        <f t="shared" si="29"/>
        <v>75</v>
      </c>
      <c r="CL17" s="165">
        <f t="shared" si="16"/>
        <v>-104.16445000000002</v>
      </c>
      <c r="CM17" s="48">
        <f t="shared" si="30"/>
        <v>-39</v>
      </c>
      <c r="CN17" s="165">
        <f t="shared" si="17"/>
        <v>-104.16445000000002</v>
      </c>
      <c r="CO17" s="48">
        <f t="shared" si="18"/>
        <v>-39</v>
      </c>
      <c r="CP17" s="165">
        <f>CL17-CN17</f>
        <v>0</v>
      </c>
      <c r="CQ17" s="48">
        <f>CM17-CO17</f>
        <v>0</v>
      </c>
      <c r="CR17" s="462">
        <f t="shared" si="19"/>
        <v>42083</v>
      </c>
      <c r="CS17" s="565" t="s">
        <v>489</v>
      </c>
      <c r="CT17" s="119">
        <v>40988</v>
      </c>
      <c r="CU17" s="134">
        <v>9615.18</v>
      </c>
      <c r="CV17" s="764">
        <v>1</v>
      </c>
      <c r="CW17" s="258">
        <v>126.408</v>
      </c>
      <c r="CX17" s="258">
        <v>104.556</v>
      </c>
      <c r="CY17" s="258">
        <f t="shared" si="20"/>
        <v>1.2089980488924597</v>
      </c>
      <c r="CZ17" s="56">
        <v>0</v>
      </c>
      <c r="DA17" s="56">
        <v>0</v>
      </c>
      <c r="DB17" s="725">
        <v>0</v>
      </c>
      <c r="DC17" s="725">
        <v>0</v>
      </c>
      <c r="DD17" s="725">
        <v>0</v>
      </c>
      <c r="DE17" s="725">
        <v>0</v>
      </c>
      <c r="DF17" s="725">
        <v>0</v>
      </c>
      <c r="DG17" s="725">
        <v>0</v>
      </c>
      <c r="DH17" s="725">
        <v>0</v>
      </c>
      <c r="DI17" s="725">
        <f t="shared" si="21"/>
        <v>0</v>
      </c>
      <c r="DJ17" s="764">
        <f t="shared" si="22"/>
        <v>1</v>
      </c>
      <c r="DK17" s="725">
        <v>0</v>
      </c>
      <c r="DL17" s="725">
        <v>0</v>
      </c>
      <c r="DM17" s="725">
        <v>0</v>
      </c>
      <c r="DN17" s="725">
        <v>0</v>
      </c>
      <c r="DO17" s="725">
        <v>0</v>
      </c>
      <c r="DP17" s="511">
        <f t="shared" si="23"/>
        <v>0</v>
      </c>
      <c r="DQ17" s="960">
        <f t="shared" si="24"/>
        <v>1</v>
      </c>
      <c r="DR17" s="656">
        <v>132.28200000000001</v>
      </c>
      <c r="DS17" s="1002">
        <v>104.556</v>
      </c>
      <c r="DT17" s="621"/>
      <c r="DU17" s="511">
        <v>0</v>
      </c>
      <c r="DV17" s="511">
        <v>0</v>
      </c>
      <c r="DW17" s="511">
        <v>0</v>
      </c>
      <c r="DX17" s="511"/>
      <c r="DY17" s="511"/>
      <c r="DZ17" s="511"/>
      <c r="EA17" s="511"/>
      <c r="EB17" s="511"/>
      <c r="EC17" s="511"/>
      <c r="ED17" s="511"/>
      <c r="EE17" s="511"/>
      <c r="EF17" s="511"/>
      <c r="EG17" s="511"/>
      <c r="EH17" s="511"/>
      <c r="EI17" s="511"/>
      <c r="EJ17" s="511"/>
      <c r="EK17" s="511"/>
      <c r="EL17" s="511"/>
      <c r="EM17" s="511"/>
      <c r="EN17" s="511"/>
      <c r="EO17" s="511">
        <f t="shared" si="31"/>
        <v>0</v>
      </c>
      <c r="EP17" s="756">
        <f t="shared" si="25"/>
        <v>1</v>
      </c>
    </row>
    <row r="18" spans="1:146" s="16" customFormat="1" x14ac:dyDescent="0.2">
      <c r="A18" s="100" t="s">
        <v>67</v>
      </c>
      <c r="B18" s="100" t="s">
        <v>465</v>
      </c>
      <c r="C18" s="100" t="s">
        <v>312</v>
      </c>
      <c r="D18" s="58">
        <v>3</v>
      </c>
      <c r="E18" s="127">
        <v>0.33329999999999999</v>
      </c>
      <c r="F18" s="46">
        <v>42185</v>
      </c>
      <c r="G18" s="48">
        <v>36</v>
      </c>
      <c r="H18" s="145">
        <f t="shared" si="0"/>
        <v>2.7777777777777777</v>
      </c>
      <c r="I18" s="165">
        <f t="shared" si="1"/>
        <v>105.55555555555556</v>
      </c>
      <c r="J18" s="48">
        <f t="shared" si="2"/>
        <v>38</v>
      </c>
      <c r="K18" s="165">
        <f t="shared" si="3"/>
        <v>-5.5555555555555554</v>
      </c>
      <c r="L18" s="48">
        <f t="shared" si="4"/>
        <v>-2</v>
      </c>
      <c r="M18" s="165">
        <f t="shared" si="5"/>
        <v>19.444444444444443</v>
      </c>
      <c r="N18" s="48">
        <v>7</v>
      </c>
      <c r="O18" s="165">
        <f t="shared" si="6"/>
        <v>-25</v>
      </c>
      <c r="P18" s="48">
        <f t="shared" si="6"/>
        <v>-9</v>
      </c>
      <c r="Q18" s="48"/>
      <c r="R18" s="564" t="s">
        <v>490</v>
      </c>
      <c r="S18" s="119">
        <v>41000</v>
      </c>
      <c r="T18" s="134">
        <v>8999.01</v>
      </c>
      <c r="U18" s="14">
        <v>1</v>
      </c>
      <c r="V18" s="106">
        <v>1000.67</v>
      </c>
      <c r="W18" s="165">
        <v>0</v>
      </c>
      <c r="X18" s="57">
        <v>115.958</v>
      </c>
      <c r="Y18" s="80">
        <v>104.22799999999999</v>
      </c>
      <c r="Z18" s="57">
        <f t="shared" si="7"/>
        <v>1.1125417354261811</v>
      </c>
      <c r="AA18" s="55">
        <v>0</v>
      </c>
      <c r="AB18" s="55"/>
      <c r="AC18" s="55"/>
      <c r="AD18" s="55"/>
      <c r="AE18" s="55"/>
      <c r="AF18" s="55"/>
      <c r="AG18" s="55"/>
      <c r="AH18" s="55">
        <f>AB18</f>
        <v>0</v>
      </c>
      <c r="AI18" s="55">
        <v>0</v>
      </c>
      <c r="AJ18" s="55">
        <v>0</v>
      </c>
      <c r="AK18" s="55">
        <v>0</v>
      </c>
      <c r="AL18" s="55">
        <v>0</v>
      </c>
      <c r="AM18" s="55">
        <v>0</v>
      </c>
      <c r="AN18" s="55">
        <v>0</v>
      </c>
      <c r="AO18" s="55">
        <f t="shared" si="8"/>
        <v>0</v>
      </c>
      <c r="AP18" s="72">
        <v>1</v>
      </c>
      <c r="AQ18" s="72"/>
      <c r="AR18" s="72"/>
      <c r="AS18" s="431">
        <f t="shared" si="26"/>
        <v>0</v>
      </c>
      <c r="AT18" s="431">
        <f t="shared" si="26"/>
        <v>0</v>
      </c>
      <c r="AU18" s="431">
        <f t="shared" si="26"/>
        <v>0</v>
      </c>
      <c r="AV18" s="431">
        <f t="shared" si="26"/>
        <v>0</v>
      </c>
      <c r="AW18" s="431">
        <f t="shared" si="26"/>
        <v>0</v>
      </c>
      <c r="AX18" s="57">
        <v>118.901</v>
      </c>
      <c r="AY18" s="80">
        <v>104.22799999999999</v>
      </c>
      <c r="AZ18" s="57">
        <f t="shared" si="9"/>
        <v>1.1407779099666118</v>
      </c>
      <c r="BA18" s="55">
        <f t="shared" si="27"/>
        <v>249.9725</v>
      </c>
      <c r="BB18" s="55"/>
      <c r="BC18" s="32"/>
      <c r="BD18" s="32"/>
      <c r="BE18" s="32"/>
      <c r="BF18" s="32"/>
      <c r="BG18" s="32"/>
      <c r="BH18" s="32"/>
      <c r="BI18" s="32"/>
      <c r="BJ18" s="431">
        <f t="shared" si="10"/>
        <v>0</v>
      </c>
      <c r="BK18" s="442">
        <f t="shared" si="11"/>
        <v>1</v>
      </c>
      <c r="BL18" s="32"/>
      <c r="BM18" s="32"/>
      <c r="BN18" s="431"/>
      <c r="BO18" s="431"/>
      <c r="BP18" s="431"/>
      <c r="BQ18" s="57">
        <v>118.901</v>
      </c>
      <c r="BR18" s="80">
        <v>104.22799999999999</v>
      </c>
      <c r="BS18" s="57">
        <f t="shared" si="12"/>
        <v>1.1407779099666118</v>
      </c>
      <c r="BT18" s="55"/>
      <c r="BU18" s="55"/>
      <c r="BV18" s="32"/>
      <c r="BW18" s="32"/>
      <c r="BX18" s="32"/>
      <c r="BY18" s="32"/>
      <c r="BZ18" s="32"/>
      <c r="CA18" s="32"/>
      <c r="CB18" s="32"/>
      <c r="CC18" s="431">
        <f t="shared" si="13"/>
        <v>0</v>
      </c>
      <c r="CD18" s="442">
        <f t="shared" si="28"/>
        <v>1</v>
      </c>
      <c r="CE18" s="58">
        <v>3</v>
      </c>
      <c r="CF18" s="127">
        <v>0.33329999999999999</v>
      </c>
      <c r="CG18" s="46">
        <v>43281</v>
      </c>
      <c r="CH18" s="48">
        <v>36</v>
      </c>
      <c r="CI18" s="145">
        <f t="shared" si="14"/>
        <v>2.4997249999999998</v>
      </c>
      <c r="CJ18" s="165">
        <f t="shared" si="15"/>
        <v>184.97964999999999</v>
      </c>
      <c r="CK18" s="48">
        <f t="shared" si="29"/>
        <v>74</v>
      </c>
      <c r="CL18" s="165">
        <f t="shared" si="16"/>
        <v>-94.989549999999994</v>
      </c>
      <c r="CM18" s="48">
        <f t="shared" si="30"/>
        <v>-38</v>
      </c>
      <c r="CN18" s="165">
        <f t="shared" si="17"/>
        <v>-94.989549999999994</v>
      </c>
      <c r="CO18" s="48">
        <f t="shared" si="18"/>
        <v>-38</v>
      </c>
      <c r="CP18" s="165">
        <f>CL18-CN18</f>
        <v>0</v>
      </c>
      <c r="CQ18" s="48">
        <f>CM18-CO18</f>
        <v>0</v>
      </c>
      <c r="CR18" s="462">
        <f t="shared" si="19"/>
        <v>42095</v>
      </c>
      <c r="CS18" s="564" t="s">
        <v>490</v>
      </c>
      <c r="CT18" s="119">
        <v>41000</v>
      </c>
      <c r="CU18" s="134">
        <v>8999.01</v>
      </c>
      <c r="CV18" s="764">
        <v>1</v>
      </c>
      <c r="CW18" s="258">
        <v>126.408</v>
      </c>
      <c r="CX18" s="258">
        <v>104.22799999999999</v>
      </c>
      <c r="CY18" s="258">
        <f t="shared" si="20"/>
        <v>1.2128027017691985</v>
      </c>
      <c r="CZ18" s="56">
        <v>0</v>
      </c>
      <c r="DA18" s="56">
        <v>0</v>
      </c>
      <c r="DB18" s="725">
        <v>0</v>
      </c>
      <c r="DC18" s="725">
        <v>0</v>
      </c>
      <c r="DD18" s="725">
        <v>0</v>
      </c>
      <c r="DE18" s="725">
        <v>0</v>
      </c>
      <c r="DF18" s="725">
        <v>0</v>
      </c>
      <c r="DG18" s="725">
        <v>0</v>
      </c>
      <c r="DH18" s="725">
        <v>0</v>
      </c>
      <c r="DI18" s="725">
        <f t="shared" si="21"/>
        <v>0</v>
      </c>
      <c r="DJ18" s="764">
        <f t="shared" si="22"/>
        <v>1</v>
      </c>
      <c r="DK18" s="725">
        <v>0</v>
      </c>
      <c r="DL18" s="725">
        <v>0</v>
      </c>
      <c r="DM18" s="725">
        <v>0</v>
      </c>
      <c r="DN18" s="725">
        <v>0</v>
      </c>
      <c r="DO18" s="725">
        <v>0</v>
      </c>
      <c r="DP18" s="511">
        <f t="shared" si="23"/>
        <v>0</v>
      </c>
      <c r="DQ18" s="960">
        <f t="shared" si="24"/>
        <v>1</v>
      </c>
      <c r="DR18" s="656">
        <v>132.28200000000001</v>
      </c>
      <c r="DS18" s="1002">
        <v>104.22799999999999</v>
      </c>
      <c r="DT18" s="621"/>
      <c r="DU18" s="511">
        <v>0</v>
      </c>
      <c r="DV18" s="511">
        <v>0</v>
      </c>
      <c r="DW18" s="511">
        <v>0</v>
      </c>
      <c r="DX18" s="511"/>
      <c r="DY18" s="511"/>
      <c r="DZ18" s="511"/>
      <c r="EA18" s="511"/>
      <c r="EB18" s="511"/>
      <c r="EC18" s="511"/>
      <c r="ED18" s="511"/>
      <c r="EE18" s="511"/>
      <c r="EF18" s="511"/>
      <c r="EG18" s="511"/>
      <c r="EH18" s="511"/>
      <c r="EI18" s="511"/>
      <c r="EJ18" s="511"/>
      <c r="EK18" s="511"/>
      <c r="EL18" s="511"/>
      <c r="EM18" s="511"/>
      <c r="EN18" s="511"/>
      <c r="EO18" s="511">
        <f t="shared" si="31"/>
        <v>0</v>
      </c>
      <c r="EP18" s="756">
        <f t="shared" si="25"/>
        <v>1</v>
      </c>
    </row>
    <row r="19" spans="1:146" s="16" customFormat="1" x14ac:dyDescent="0.2">
      <c r="A19" s="100" t="s">
        <v>431</v>
      </c>
      <c r="B19" s="100" t="s">
        <v>430</v>
      </c>
      <c r="C19" s="100" t="s">
        <v>312</v>
      </c>
      <c r="D19" s="58">
        <v>3</v>
      </c>
      <c r="E19" s="127">
        <v>0.33329999999999999</v>
      </c>
      <c r="F19" s="46">
        <v>42185</v>
      </c>
      <c r="G19" s="48">
        <v>36</v>
      </c>
      <c r="H19" s="145">
        <f t="shared" si="0"/>
        <v>2.7777777777777777</v>
      </c>
      <c r="I19" s="165">
        <f t="shared" si="1"/>
        <v>11.111111111111111</v>
      </c>
      <c r="J19" s="48">
        <f t="shared" si="2"/>
        <v>4</v>
      </c>
      <c r="K19" s="165">
        <f t="shared" si="3"/>
        <v>88.888888888888886</v>
      </c>
      <c r="L19" s="48">
        <f t="shared" si="4"/>
        <v>32</v>
      </c>
      <c r="M19" s="165">
        <f t="shared" si="5"/>
        <v>19.444444444444443</v>
      </c>
      <c r="N19" s="48">
        <v>7</v>
      </c>
      <c r="O19" s="165">
        <f t="shared" si="6"/>
        <v>69.444444444444443</v>
      </c>
      <c r="P19" s="48">
        <f t="shared" si="6"/>
        <v>25</v>
      </c>
      <c r="Q19" s="48"/>
      <c r="R19" s="564" t="s">
        <v>491</v>
      </c>
      <c r="S19" s="119">
        <v>42058</v>
      </c>
      <c r="T19" s="134">
        <v>208.8</v>
      </c>
      <c r="U19" s="47">
        <v>208.8</v>
      </c>
      <c r="V19" s="106">
        <v>0</v>
      </c>
      <c r="W19" s="165">
        <v>0</v>
      </c>
      <c r="X19" s="57">
        <v>115.958</v>
      </c>
      <c r="Y19" s="80">
        <v>104.22799999999999</v>
      </c>
      <c r="Z19" s="57">
        <f t="shared" si="7"/>
        <v>1.1125417354261811</v>
      </c>
      <c r="AA19" s="55">
        <f>U19*M19/100/K19*100/7</f>
        <v>6.5250000000000004</v>
      </c>
      <c r="AB19" s="55">
        <f>AA19*Z19</f>
        <v>7.2593348236558315</v>
      </c>
      <c r="AC19" s="55"/>
      <c r="AD19" s="55"/>
      <c r="AE19" s="55"/>
      <c r="AF19" s="55"/>
      <c r="AG19" s="55"/>
      <c r="AH19" s="55">
        <f>AB19</f>
        <v>7.2593348236558315</v>
      </c>
      <c r="AI19" s="55">
        <v>7.2593348236558315</v>
      </c>
      <c r="AJ19" s="55">
        <v>7.2593348236558315</v>
      </c>
      <c r="AK19" s="55">
        <v>7.2593348236558315</v>
      </c>
      <c r="AL19" s="55">
        <v>7.2593348236558315</v>
      </c>
      <c r="AM19" s="55">
        <v>7.2593348236558315</v>
      </c>
      <c r="AN19" s="55">
        <v>7.2593348236558315</v>
      </c>
      <c r="AO19" s="55">
        <f t="shared" si="8"/>
        <v>50.815343765590825</v>
      </c>
      <c r="AP19" s="72">
        <f>U19-AO19</f>
        <v>157.98465623440919</v>
      </c>
      <c r="AQ19" s="72"/>
      <c r="AR19" s="72"/>
      <c r="AS19" s="431">
        <f t="shared" si="26"/>
        <v>7.2593348236558315</v>
      </c>
      <c r="AT19" s="431">
        <f t="shared" si="26"/>
        <v>7.2593348236558315</v>
      </c>
      <c r="AU19" s="431">
        <f t="shared" si="26"/>
        <v>7.2593348236558315</v>
      </c>
      <c r="AV19" s="431">
        <f t="shared" si="26"/>
        <v>7.2593348236558315</v>
      </c>
      <c r="AW19" s="431">
        <f t="shared" si="26"/>
        <v>7.2593348236558315</v>
      </c>
      <c r="AX19" s="57">
        <v>118.901</v>
      </c>
      <c r="AY19" s="80">
        <v>104.22799999999999</v>
      </c>
      <c r="AZ19" s="57">
        <f t="shared" si="9"/>
        <v>1.1407779099666118</v>
      </c>
      <c r="BA19" s="55">
        <f t="shared" si="27"/>
        <v>5.8000000000000007</v>
      </c>
      <c r="BB19" s="55">
        <f>BA19*AZ19</f>
        <v>6.6165118778063494</v>
      </c>
      <c r="BC19" s="429">
        <f>$BB19</f>
        <v>6.6165118778063494</v>
      </c>
      <c r="BD19" s="429">
        <f>$BB19</f>
        <v>6.6165118778063494</v>
      </c>
      <c r="BE19" s="429">
        <f>$BB19</f>
        <v>6.6165118778063494</v>
      </c>
      <c r="BF19" s="429">
        <f>$BB19</f>
        <v>6.6165118778063494</v>
      </c>
      <c r="BG19" s="32">
        <v>6.62</v>
      </c>
      <c r="BH19" s="32">
        <v>6.62</v>
      </c>
      <c r="BI19" s="32">
        <v>6.62</v>
      </c>
      <c r="BJ19" s="431">
        <f t="shared" si="10"/>
        <v>82.622721629504554</v>
      </c>
      <c r="BK19" s="439">
        <f t="shared" si="11"/>
        <v>75.361934604904633</v>
      </c>
      <c r="BL19" s="32">
        <v>6.62</v>
      </c>
      <c r="BM19" s="32">
        <v>6.62</v>
      </c>
      <c r="BN19" s="32">
        <v>6.62</v>
      </c>
      <c r="BO19" s="32">
        <v>6.62</v>
      </c>
      <c r="BP19" s="32">
        <v>6.62</v>
      </c>
      <c r="BQ19" s="57">
        <v>118.901</v>
      </c>
      <c r="BR19" s="80">
        <v>104.22799999999999</v>
      </c>
      <c r="BS19" s="57">
        <f t="shared" si="12"/>
        <v>1.1407779099666118</v>
      </c>
      <c r="BT19" s="55"/>
      <c r="BU19" s="55"/>
      <c r="BV19" s="429"/>
      <c r="BW19" s="429"/>
      <c r="BX19" s="429"/>
      <c r="BY19" s="429"/>
      <c r="BZ19" s="32"/>
      <c r="CA19" s="32"/>
      <c r="CB19" s="32"/>
      <c r="CC19" s="431">
        <f t="shared" si="13"/>
        <v>33.1</v>
      </c>
      <c r="CD19" s="442">
        <f t="shared" si="28"/>
        <v>42.261934604904631</v>
      </c>
      <c r="CE19" s="58">
        <v>3</v>
      </c>
      <c r="CF19" s="127">
        <v>0.33329999999999999</v>
      </c>
      <c r="CG19" s="46">
        <v>43281</v>
      </c>
      <c r="CH19" s="48">
        <v>36</v>
      </c>
      <c r="CI19" s="145">
        <f t="shared" si="14"/>
        <v>5.800000000000001E-2</v>
      </c>
      <c r="CJ19" s="165">
        <f t="shared" si="15"/>
        <v>2.3200000000000003</v>
      </c>
      <c r="CK19" s="48">
        <f t="shared" si="29"/>
        <v>40</v>
      </c>
      <c r="CL19" s="165">
        <f t="shared" si="16"/>
        <v>-0.23200000000000004</v>
      </c>
      <c r="CM19" s="48">
        <f t="shared" si="30"/>
        <v>-4</v>
      </c>
      <c r="CN19" s="165">
        <f t="shared" si="17"/>
        <v>-0.23200000000000004</v>
      </c>
      <c r="CO19" s="48">
        <f t="shared" si="18"/>
        <v>-4</v>
      </c>
      <c r="CP19" s="165">
        <f>CL19-CN19</f>
        <v>0</v>
      </c>
      <c r="CQ19" s="48">
        <f>CH19-CK19</f>
        <v>-4</v>
      </c>
      <c r="CR19" s="462">
        <f t="shared" si="19"/>
        <v>43154</v>
      </c>
      <c r="CS19" s="564" t="s">
        <v>491</v>
      </c>
      <c r="CT19" s="119">
        <v>42058</v>
      </c>
      <c r="CU19" s="134">
        <v>208.8</v>
      </c>
      <c r="CV19" s="764">
        <v>42.261934604904631</v>
      </c>
      <c r="CW19" s="258">
        <v>126.408</v>
      </c>
      <c r="CX19" s="258">
        <v>104.22799999999999</v>
      </c>
      <c r="CY19" s="258">
        <f t="shared" si="20"/>
        <v>1.2128027017691985</v>
      </c>
      <c r="CZ19" s="56">
        <f>CV19/CM19</f>
        <v>-10.565483651226158</v>
      </c>
      <c r="DA19" s="56">
        <f>CZ19*CY19</f>
        <v>-12.813847117705381</v>
      </c>
      <c r="DB19" s="725">
        <v>6.4069235588526903</v>
      </c>
      <c r="DC19" s="725">
        <v>6.4069235588526903</v>
      </c>
      <c r="DD19" s="725">
        <v>6.4069235588526903</v>
      </c>
      <c r="DE19" s="725">
        <v>6.4069235588526903</v>
      </c>
      <c r="DF19" s="725">
        <v>6.4069235588526903</v>
      </c>
      <c r="DG19" s="725">
        <v>6.4069235588526903</v>
      </c>
      <c r="DH19" s="725">
        <v>2.82</v>
      </c>
      <c r="DI19" s="725">
        <f t="shared" si="21"/>
        <v>41.261541353116144</v>
      </c>
      <c r="DJ19" s="764">
        <f t="shared" si="22"/>
        <v>1.0003932517884877</v>
      </c>
      <c r="DK19" s="725">
        <v>0</v>
      </c>
      <c r="DL19" s="725">
        <v>0</v>
      </c>
      <c r="DM19" s="725">
        <v>0</v>
      </c>
      <c r="DN19" s="725">
        <v>0</v>
      </c>
      <c r="DO19" s="725">
        <v>0</v>
      </c>
      <c r="DP19" s="511">
        <f t="shared" si="23"/>
        <v>0</v>
      </c>
      <c r="DQ19" s="960">
        <f t="shared" si="24"/>
        <v>1.0003932517884877</v>
      </c>
      <c r="DR19" s="656">
        <v>132.28200000000001</v>
      </c>
      <c r="DS19" s="1002">
        <v>104.22799999999999</v>
      </c>
      <c r="DT19" s="656">
        <f>DR19/DS19</f>
        <v>1.269159918639905</v>
      </c>
      <c r="DU19" s="511">
        <v>0</v>
      </c>
      <c r="DV19" s="511">
        <f>DU19*DT19</f>
        <v>0</v>
      </c>
      <c r="DW19" s="511">
        <v>0</v>
      </c>
      <c r="DX19" s="511">
        <v>0</v>
      </c>
      <c r="DY19" s="511">
        <v>0</v>
      </c>
      <c r="DZ19" s="511">
        <v>0</v>
      </c>
      <c r="EA19" s="511">
        <v>0</v>
      </c>
      <c r="EB19" s="511">
        <v>0</v>
      </c>
      <c r="EC19" s="511">
        <v>0</v>
      </c>
      <c r="ED19" s="511">
        <v>0</v>
      </c>
      <c r="EE19" s="511">
        <v>0</v>
      </c>
      <c r="EF19" s="511">
        <v>0</v>
      </c>
      <c r="EG19" s="511">
        <v>0</v>
      </c>
      <c r="EH19" s="511">
        <v>0</v>
      </c>
      <c r="EI19" s="511">
        <v>0</v>
      </c>
      <c r="EJ19" s="511">
        <v>0</v>
      </c>
      <c r="EK19" s="511">
        <v>0</v>
      </c>
      <c r="EL19" s="511">
        <v>0</v>
      </c>
      <c r="EM19" s="511">
        <v>0</v>
      </c>
      <c r="EN19" s="511">
        <v>0</v>
      </c>
      <c r="EO19" s="511">
        <f t="shared" si="31"/>
        <v>0</v>
      </c>
      <c r="EP19" s="756">
        <f t="shared" si="25"/>
        <v>1.0003932517884877</v>
      </c>
    </row>
    <row r="20" spans="1:146" s="16" customFormat="1" x14ac:dyDescent="0.2">
      <c r="A20" s="100" t="s">
        <v>67</v>
      </c>
      <c r="B20" s="100" t="s">
        <v>670</v>
      </c>
      <c r="C20" s="100" t="s">
        <v>311</v>
      </c>
      <c r="D20" s="58">
        <v>3</v>
      </c>
      <c r="E20" s="127">
        <v>0.33329999999999999</v>
      </c>
      <c r="F20" s="46">
        <v>42217</v>
      </c>
      <c r="G20" s="48">
        <v>37</v>
      </c>
      <c r="H20" s="145">
        <f t="shared" si="0"/>
        <v>2.7027027027027026</v>
      </c>
      <c r="I20" s="165">
        <f t="shared" si="1"/>
        <v>0</v>
      </c>
      <c r="J20" s="48">
        <f t="shared" si="2"/>
        <v>0</v>
      </c>
      <c r="K20" s="165">
        <f t="shared" si="3"/>
        <v>100</v>
      </c>
      <c r="L20" s="48">
        <f t="shared" si="4"/>
        <v>37</v>
      </c>
      <c r="M20" s="165">
        <f t="shared" si="5"/>
        <v>10.810810810810811</v>
      </c>
      <c r="N20" s="48">
        <v>4</v>
      </c>
      <c r="O20" s="165">
        <f>K20-M20</f>
        <v>89.189189189189193</v>
      </c>
      <c r="P20" s="48">
        <f>L20-N20</f>
        <v>33</v>
      </c>
      <c r="Q20" s="48"/>
      <c r="R20" s="564" t="s">
        <v>671</v>
      </c>
      <c r="S20" s="119">
        <v>42227</v>
      </c>
      <c r="T20" s="134">
        <v>16263.66</v>
      </c>
      <c r="U20" s="47">
        <v>0</v>
      </c>
      <c r="V20" s="106">
        <v>0</v>
      </c>
      <c r="W20" s="165">
        <v>0</v>
      </c>
      <c r="X20" s="57">
        <v>115.958</v>
      </c>
      <c r="Y20" s="80">
        <v>116.373</v>
      </c>
      <c r="Z20" s="57">
        <f t="shared" si="7"/>
        <v>0.99643388071116146</v>
      </c>
      <c r="AA20" s="55">
        <f>T20*M20/100/K20*100/7</f>
        <v>251.17621621621615</v>
      </c>
      <c r="AB20" s="55">
        <f>AA20*Z20</f>
        <v>250.28049186667002</v>
      </c>
      <c r="AC20" s="55"/>
      <c r="AD20" s="55"/>
      <c r="AE20" s="55"/>
      <c r="AF20" s="55"/>
      <c r="AG20" s="55"/>
      <c r="AH20" s="55">
        <v>0</v>
      </c>
      <c r="AI20" s="55">
        <v>0</v>
      </c>
      <c r="AJ20" s="55">
        <v>0</v>
      </c>
      <c r="AK20" s="55">
        <f>250.28</f>
        <v>250.28</v>
      </c>
      <c r="AL20" s="55">
        <f>250.28</f>
        <v>250.28</v>
      </c>
      <c r="AM20" s="55">
        <f>250.28</f>
        <v>250.28</v>
      </c>
      <c r="AN20" s="55">
        <f>250.28</f>
        <v>250.28</v>
      </c>
      <c r="AO20" s="55">
        <f t="shared" si="8"/>
        <v>1001.12</v>
      </c>
      <c r="AP20" s="72">
        <f>T20-AO20</f>
        <v>15262.539999999999</v>
      </c>
      <c r="AQ20" s="72"/>
      <c r="AR20" s="72"/>
      <c r="AS20" s="431">
        <f t="shared" si="26"/>
        <v>250.28</v>
      </c>
      <c r="AT20" s="431">
        <f t="shared" si="26"/>
        <v>250.28</v>
      </c>
      <c r="AU20" s="431">
        <f t="shared" si="26"/>
        <v>250.28</v>
      </c>
      <c r="AV20" s="431">
        <f t="shared" si="26"/>
        <v>250.28</v>
      </c>
      <c r="AW20" s="431">
        <f t="shared" si="26"/>
        <v>250.28</v>
      </c>
      <c r="AX20" s="57">
        <v>118.901</v>
      </c>
      <c r="AY20" s="80">
        <v>116.373</v>
      </c>
      <c r="AZ20" s="57">
        <f t="shared" si="9"/>
        <v>1.0217232519570689</v>
      </c>
      <c r="BA20" s="55">
        <f t="shared" si="27"/>
        <v>451.76833333333332</v>
      </c>
      <c r="BB20" s="55">
        <f>BA20*AZ20</f>
        <v>461.58221066455843</v>
      </c>
      <c r="BC20" s="429">
        <f t="shared" ref="BC20:BF70" si="32">$BB20</f>
        <v>461.58221066455843</v>
      </c>
      <c r="BD20" s="429">
        <f t="shared" si="32"/>
        <v>461.58221066455843</v>
      </c>
      <c r="BE20" s="429">
        <f t="shared" si="32"/>
        <v>461.58221066455843</v>
      </c>
      <c r="BF20" s="429">
        <f t="shared" si="32"/>
        <v>461.58221066455843</v>
      </c>
      <c r="BG20" s="32">
        <v>461.58</v>
      </c>
      <c r="BH20" s="32">
        <v>461.58</v>
      </c>
      <c r="BI20" s="32">
        <v>461.58</v>
      </c>
      <c r="BJ20" s="431">
        <f t="shared" si="10"/>
        <v>4482.4688426582334</v>
      </c>
      <c r="BK20" s="439">
        <f t="shared" si="11"/>
        <v>10780.071157341765</v>
      </c>
      <c r="BL20" s="32">
        <v>461.58</v>
      </c>
      <c r="BM20" s="32">
        <v>461.58</v>
      </c>
      <c r="BN20" s="32">
        <v>461.58</v>
      </c>
      <c r="BO20" s="32">
        <v>461.58</v>
      </c>
      <c r="BP20" s="32">
        <v>461.58</v>
      </c>
      <c r="BQ20" s="57">
        <v>118.901</v>
      </c>
      <c r="BR20" s="80">
        <v>116.373</v>
      </c>
      <c r="BS20" s="57">
        <f t="shared" si="12"/>
        <v>1.0217232519570689</v>
      </c>
      <c r="BT20" s="55"/>
      <c r="BU20" s="55"/>
      <c r="BV20" s="429"/>
      <c r="BW20" s="429"/>
      <c r="BX20" s="429"/>
      <c r="BY20" s="429"/>
      <c r="BZ20" s="32"/>
      <c r="CA20" s="32"/>
      <c r="CB20" s="32"/>
      <c r="CC20" s="431">
        <f t="shared" si="13"/>
        <v>2307.9</v>
      </c>
      <c r="CD20" s="442">
        <f t="shared" si="28"/>
        <v>8472.1711573417651</v>
      </c>
      <c r="CE20" s="58">
        <v>3</v>
      </c>
      <c r="CF20" s="127">
        <v>0.33329999999999999</v>
      </c>
      <c r="CG20" s="46">
        <v>43281</v>
      </c>
      <c r="CH20" s="48">
        <v>36</v>
      </c>
      <c r="CI20" s="145">
        <f t="shared" si="14"/>
        <v>4.5176833333333333</v>
      </c>
      <c r="CJ20" s="165">
        <f t="shared" si="15"/>
        <v>153.60123333333334</v>
      </c>
      <c r="CK20" s="48">
        <f t="shared" si="29"/>
        <v>34</v>
      </c>
      <c r="CL20" s="165">
        <f t="shared" si="16"/>
        <v>9.0353666666666665</v>
      </c>
      <c r="CM20" s="48">
        <f t="shared" si="30"/>
        <v>2</v>
      </c>
      <c r="CN20" s="165">
        <f t="shared" si="17"/>
        <v>9.0353666666666665</v>
      </c>
      <c r="CO20" s="48">
        <f t="shared" si="18"/>
        <v>2</v>
      </c>
      <c r="CP20" s="165">
        <f>CL20-CN20</f>
        <v>0</v>
      </c>
      <c r="CQ20" s="48">
        <f>CH20-CK20</f>
        <v>2</v>
      </c>
      <c r="CR20" s="462">
        <f t="shared" si="19"/>
        <v>43323</v>
      </c>
      <c r="CS20" s="564" t="s">
        <v>671</v>
      </c>
      <c r="CT20" s="119">
        <v>42227</v>
      </c>
      <c r="CU20" s="134">
        <v>16263.66</v>
      </c>
      <c r="CV20" s="764">
        <v>8472.1711573417651</v>
      </c>
      <c r="CW20" s="258">
        <v>126.408</v>
      </c>
      <c r="CX20" s="258">
        <v>116.373</v>
      </c>
      <c r="CY20" s="258">
        <f t="shared" si="20"/>
        <v>1.0862313423216725</v>
      </c>
      <c r="CZ20" s="56">
        <v>613.52</v>
      </c>
      <c r="DA20" s="56">
        <f>CZ20*CY20</f>
        <v>666.42465314119249</v>
      </c>
      <c r="DB20" s="725">
        <v>613.51585657455348</v>
      </c>
      <c r="DC20" s="725">
        <v>613.51585657455348</v>
      </c>
      <c r="DD20" s="725">
        <v>613.51585657455348</v>
      </c>
      <c r="DE20" s="725">
        <v>613.51585657455348</v>
      </c>
      <c r="DF20" s="725">
        <v>613.51585657455348</v>
      </c>
      <c r="DG20" s="725">
        <v>613.51585657455348</v>
      </c>
      <c r="DH20" s="725">
        <v>613.51585657455348</v>
      </c>
      <c r="DI20" s="725">
        <f t="shared" si="21"/>
        <v>4294.6109960218737</v>
      </c>
      <c r="DJ20" s="764">
        <f t="shared" si="22"/>
        <v>4177.5601613198914</v>
      </c>
      <c r="DK20" s="725">
        <v>613.51585657455348</v>
      </c>
      <c r="DL20" s="725">
        <v>613.51585657455348</v>
      </c>
      <c r="DM20" s="725">
        <v>613.51585657455348</v>
      </c>
      <c r="DN20" s="725">
        <v>613.51585657455348</v>
      </c>
      <c r="DO20" s="725">
        <v>613.51585657455348</v>
      </c>
      <c r="DP20" s="511">
        <f t="shared" si="23"/>
        <v>3067.5792828727672</v>
      </c>
      <c r="DQ20" s="960">
        <f t="shared" si="24"/>
        <v>1109.9808784471243</v>
      </c>
      <c r="DR20" s="656">
        <v>132.28200000000001</v>
      </c>
      <c r="DS20" s="1002">
        <v>116.373</v>
      </c>
      <c r="DT20" s="656">
        <f>DR20/DS20</f>
        <v>1.1367069681111599</v>
      </c>
      <c r="DU20" s="511">
        <f>DQ20/CO20</f>
        <v>554.99043922356213</v>
      </c>
      <c r="DV20" s="511">
        <f>DU20*DT20</f>
        <v>630.86149950049628</v>
      </c>
      <c r="DW20" s="511">
        <v>630.86149950049628</v>
      </c>
      <c r="DX20" s="511">
        <v>478.12</v>
      </c>
      <c r="DY20" s="511">
        <v>0</v>
      </c>
      <c r="DZ20" s="511">
        <v>0</v>
      </c>
      <c r="EA20" s="511">
        <v>0</v>
      </c>
      <c r="EB20" s="511">
        <v>0</v>
      </c>
      <c r="EC20" s="511">
        <v>0</v>
      </c>
      <c r="ED20" s="511">
        <v>0</v>
      </c>
      <c r="EE20" s="511">
        <v>0</v>
      </c>
      <c r="EF20" s="511">
        <v>0</v>
      </c>
      <c r="EG20" s="511">
        <v>0</v>
      </c>
      <c r="EH20" s="511">
        <v>0</v>
      </c>
      <c r="EI20" s="511">
        <v>0</v>
      </c>
      <c r="EJ20" s="511">
        <v>0</v>
      </c>
      <c r="EK20" s="511">
        <v>0</v>
      </c>
      <c r="EL20" s="511">
        <v>0</v>
      </c>
      <c r="EM20" s="511">
        <v>0</v>
      </c>
      <c r="EN20" s="511">
        <v>0</v>
      </c>
      <c r="EO20" s="511">
        <f t="shared" si="31"/>
        <v>1108.9814995004963</v>
      </c>
      <c r="EP20" s="756">
        <f t="shared" si="25"/>
        <v>0.99937894662798499</v>
      </c>
    </row>
    <row r="21" spans="1:146" s="16" customFormat="1" x14ac:dyDescent="0.2">
      <c r="A21" s="120" t="s">
        <v>268</v>
      </c>
      <c r="B21" s="120"/>
      <c r="C21" s="120"/>
      <c r="D21" s="131"/>
      <c r="E21" s="111"/>
      <c r="F21" s="46"/>
      <c r="G21" s="48"/>
      <c r="H21" s="145"/>
      <c r="I21" s="48"/>
      <c r="J21" s="48"/>
      <c r="K21" s="48"/>
      <c r="L21" s="48"/>
      <c r="M21" s="48"/>
      <c r="N21" s="48"/>
      <c r="O21" s="48"/>
      <c r="P21" s="48"/>
      <c r="Q21" s="48"/>
      <c r="R21" s="564"/>
      <c r="S21" s="132"/>
      <c r="T21" s="133"/>
      <c r="U21" s="47"/>
      <c r="V21" s="106"/>
      <c r="W21" s="165"/>
      <c r="X21" s="57"/>
      <c r="Y21" s="81"/>
      <c r="Z21" s="57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72"/>
      <c r="AQ21" s="72"/>
      <c r="AR21" s="72"/>
      <c r="AS21" s="32"/>
      <c r="AT21" s="32"/>
      <c r="AU21" s="32"/>
      <c r="AV21" s="32"/>
      <c r="AW21" s="32"/>
      <c r="AX21" s="57"/>
      <c r="AY21" s="81"/>
      <c r="AZ21" s="57"/>
      <c r="BA21" s="55"/>
      <c r="BB21" s="55"/>
      <c r="BC21" s="429"/>
      <c r="BD21" s="32"/>
      <c r="BE21" s="32"/>
      <c r="BF21" s="32"/>
      <c r="BG21" s="32"/>
      <c r="BH21" s="32"/>
      <c r="BI21" s="32"/>
      <c r="BJ21" s="431"/>
      <c r="BK21" s="439"/>
      <c r="BL21" s="32"/>
      <c r="BM21" s="32"/>
      <c r="BN21" s="32"/>
      <c r="BO21" s="32"/>
      <c r="BP21" s="32"/>
      <c r="BQ21" s="57"/>
      <c r="BR21" s="81"/>
      <c r="BS21" s="57"/>
      <c r="BT21" s="55"/>
      <c r="BU21" s="55"/>
      <c r="BV21" s="429"/>
      <c r="BW21" s="32"/>
      <c r="BX21" s="32"/>
      <c r="BY21" s="32"/>
      <c r="BZ21" s="32"/>
      <c r="CA21" s="32"/>
      <c r="CB21" s="32"/>
      <c r="CC21" s="431"/>
      <c r="CD21" s="442"/>
      <c r="CE21" s="131"/>
      <c r="CF21" s="111"/>
      <c r="CG21" s="46"/>
      <c r="CH21" s="48"/>
      <c r="CI21" s="145"/>
      <c r="CJ21" s="48"/>
      <c r="CK21" s="48"/>
      <c r="CL21" s="48"/>
      <c r="CM21" s="48"/>
      <c r="CN21" s="48"/>
      <c r="CO21" s="48"/>
      <c r="CP21" s="48"/>
      <c r="CQ21" s="48"/>
      <c r="CR21" s="48"/>
      <c r="CS21" s="564"/>
      <c r="CT21" s="132"/>
      <c r="CU21" s="133"/>
      <c r="CV21" s="764"/>
      <c r="CW21" s="258"/>
      <c r="CX21" s="757"/>
      <c r="CY21" s="258"/>
      <c r="CZ21" s="56"/>
      <c r="DA21" s="56"/>
      <c r="DB21" s="725"/>
      <c r="DC21" s="725"/>
      <c r="DD21" s="725"/>
      <c r="DE21" s="725"/>
      <c r="DF21" s="725"/>
      <c r="DG21" s="725"/>
      <c r="DH21" s="725"/>
      <c r="DI21" s="725"/>
      <c r="DJ21" s="764"/>
      <c r="DK21" s="725"/>
      <c r="DL21" s="725"/>
      <c r="DM21" s="725"/>
      <c r="DN21" s="725"/>
      <c r="DO21" s="725"/>
      <c r="DP21" s="511"/>
      <c r="DQ21" s="960"/>
      <c r="DR21" s="953"/>
      <c r="DS21" s="1032"/>
      <c r="DT21" s="656"/>
      <c r="DU21" s="511"/>
      <c r="DV21" s="511"/>
      <c r="DW21" s="511"/>
      <c r="DX21" s="511"/>
      <c r="DY21" s="511"/>
      <c r="DZ21" s="511"/>
      <c r="EA21" s="511"/>
      <c r="EB21" s="511"/>
      <c r="EC21" s="511"/>
      <c r="ED21" s="511"/>
      <c r="EE21" s="511"/>
      <c r="EF21" s="511"/>
      <c r="EG21" s="511"/>
      <c r="EH21" s="511"/>
      <c r="EI21" s="511"/>
      <c r="EJ21" s="511"/>
      <c r="EK21" s="511"/>
      <c r="EL21" s="511"/>
      <c r="EM21" s="511"/>
      <c r="EN21" s="511"/>
      <c r="EO21" s="511">
        <f t="shared" si="31"/>
        <v>0</v>
      </c>
      <c r="EP21" s="756"/>
    </row>
    <row r="22" spans="1:146" s="16" customFormat="1" x14ac:dyDescent="0.2">
      <c r="A22" s="120" t="s">
        <v>269</v>
      </c>
      <c r="B22" s="124"/>
      <c r="C22" s="124"/>
      <c r="D22" s="111"/>
      <c r="E22" s="111"/>
      <c r="F22" s="46"/>
      <c r="G22" s="48"/>
      <c r="H22" s="145"/>
      <c r="I22" s="48"/>
      <c r="J22" s="48"/>
      <c r="K22" s="48"/>
      <c r="L22" s="48"/>
      <c r="M22" s="48"/>
      <c r="N22" s="48"/>
      <c r="O22" s="48"/>
      <c r="P22" s="48"/>
      <c r="Q22" s="48"/>
      <c r="R22" s="564"/>
      <c r="S22" s="119"/>
      <c r="T22" s="134"/>
      <c r="U22" s="47"/>
      <c r="V22" s="106"/>
      <c r="W22" s="165"/>
      <c r="X22" s="57"/>
      <c r="Y22" s="82"/>
      <c r="Z22" s="57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72"/>
      <c r="AQ22" s="72"/>
      <c r="AR22" s="72"/>
      <c r="AS22" s="32"/>
      <c r="AT22" s="32"/>
      <c r="AU22" s="32"/>
      <c r="AV22" s="32"/>
      <c r="AW22" s="32"/>
      <c r="AX22" s="57"/>
      <c r="AY22" s="82"/>
      <c r="AZ22" s="57"/>
      <c r="BA22" s="55"/>
      <c r="BB22" s="55"/>
      <c r="BC22" s="429"/>
      <c r="BD22" s="32"/>
      <c r="BE22" s="32"/>
      <c r="BF22" s="32"/>
      <c r="BG22" s="32"/>
      <c r="BH22" s="32"/>
      <c r="BI22" s="32"/>
      <c r="BJ22" s="431"/>
      <c r="BK22" s="439"/>
      <c r="BL22" s="32"/>
      <c r="BM22" s="32"/>
      <c r="BN22" s="32"/>
      <c r="BO22" s="32"/>
      <c r="BP22" s="32"/>
      <c r="BQ22" s="57"/>
      <c r="BR22" s="82"/>
      <c r="BS22" s="57"/>
      <c r="BT22" s="55"/>
      <c r="BU22" s="55"/>
      <c r="BV22" s="429"/>
      <c r="BW22" s="32"/>
      <c r="BX22" s="32"/>
      <c r="BY22" s="32"/>
      <c r="BZ22" s="32"/>
      <c r="CA22" s="32"/>
      <c r="CB22" s="32"/>
      <c r="CC22" s="431"/>
      <c r="CD22" s="442"/>
      <c r="CE22" s="111"/>
      <c r="CF22" s="111"/>
      <c r="CG22" s="46"/>
      <c r="CH22" s="48"/>
      <c r="CI22" s="145"/>
      <c r="CJ22" s="48"/>
      <c r="CK22" s="48"/>
      <c r="CL22" s="48"/>
      <c r="CM22" s="48"/>
      <c r="CN22" s="48"/>
      <c r="CO22" s="48"/>
      <c r="CP22" s="48"/>
      <c r="CQ22" s="48"/>
      <c r="CR22" s="48"/>
      <c r="CS22" s="564"/>
      <c r="CT22" s="119"/>
      <c r="CU22" s="134"/>
      <c r="CV22" s="764"/>
      <c r="CW22" s="258"/>
      <c r="CX22" s="129"/>
      <c r="CY22" s="258"/>
      <c r="CZ22" s="56"/>
      <c r="DA22" s="56"/>
      <c r="DB22" s="725"/>
      <c r="DC22" s="725"/>
      <c r="DD22" s="725"/>
      <c r="DE22" s="725"/>
      <c r="DF22" s="725"/>
      <c r="DG22" s="725"/>
      <c r="DH22" s="725"/>
      <c r="DI22" s="725"/>
      <c r="DJ22" s="764"/>
      <c r="DK22" s="725"/>
      <c r="DL22" s="725"/>
      <c r="DM22" s="725"/>
      <c r="DN22" s="725"/>
      <c r="DO22" s="725"/>
      <c r="DP22" s="511"/>
      <c r="DQ22" s="960"/>
      <c r="DR22" s="953"/>
      <c r="DS22" s="1033"/>
      <c r="DT22" s="656"/>
      <c r="DU22" s="511"/>
      <c r="DV22" s="511"/>
      <c r="DW22" s="511"/>
      <c r="DX22" s="511"/>
      <c r="DY22" s="511"/>
      <c r="DZ22" s="511"/>
      <c r="EA22" s="511"/>
      <c r="EB22" s="511"/>
      <c r="EC22" s="511"/>
      <c r="ED22" s="511"/>
      <c r="EE22" s="511"/>
      <c r="EF22" s="511"/>
      <c r="EG22" s="511"/>
      <c r="EH22" s="511"/>
      <c r="EI22" s="511"/>
      <c r="EJ22" s="511"/>
      <c r="EK22" s="511"/>
      <c r="EL22" s="511"/>
      <c r="EM22" s="511"/>
      <c r="EN22" s="511"/>
      <c r="EO22" s="511">
        <f t="shared" si="31"/>
        <v>0</v>
      </c>
      <c r="EP22" s="756"/>
    </row>
    <row r="23" spans="1:146" s="16" customFormat="1" x14ac:dyDescent="0.2">
      <c r="A23" s="100" t="s">
        <v>270</v>
      </c>
      <c r="B23" s="45" t="s">
        <v>466</v>
      </c>
      <c r="C23" s="45" t="s">
        <v>311</v>
      </c>
      <c r="D23" s="58">
        <v>3</v>
      </c>
      <c r="E23" s="49">
        <v>0.33329999999999999</v>
      </c>
      <c r="F23" s="46">
        <v>42185</v>
      </c>
      <c r="G23" s="48">
        <v>36</v>
      </c>
      <c r="H23" s="145">
        <f>100/G23</f>
        <v>2.7777777777777777</v>
      </c>
      <c r="I23" s="165">
        <f>H23*J23</f>
        <v>80.555555555555557</v>
      </c>
      <c r="J23" s="48">
        <f>(YEAR(F23)-YEAR(S23))*12+MONTH(F23)-MONTH(S23)</f>
        <v>29</v>
      </c>
      <c r="K23" s="165">
        <f>L23*H23</f>
        <v>19.444444444444443</v>
      </c>
      <c r="L23" s="48">
        <f>G23-J23</f>
        <v>7</v>
      </c>
      <c r="M23" s="165">
        <f>N23*H23</f>
        <v>19.444444444444443</v>
      </c>
      <c r="N23" s="48">
        <v>7</v>
      </c>
      <c r="O23" s="165">
        <f>K23-M23</f>
        <v>0</v>
      </c>
      <c r="P23" s="48">
        <f>L23-N23</f>
        <v>0</v>
      </c>
      <c r="Q23" s="48">
        <f>M23-O23</f>
        <v>19.444444444444443</v>
      </c>
      <c r="R23" s="564" t="s">
        <v>495</v>
      </c>
      <c r="S23" s="46">
        <v>41277</v>
      </c>
      <c r="T23" s="47">
        <v>899</v>
      </c>
      <c r="U23" s="47">
        <v>174.87</v>
      </c>
      <c r="V23" s="106">
        <v>124.85</v>
      </c>
      <c r="W23" s="165">
        <v>0</v>
      </c>
      <c r="X23" s="57">
        <v>115.958</v>
      </c>
      <c r="Y23" s="80">
        <v>107.678</v>
      </c>
      <c r="Z23" s="57">
        <f>X23/Y23</f>
        <v>1.0768959304593324</v>
      </c>
      <c r="AA23" s="55">
        <f>U23*M23/100/K23*100/7</f>
        <v>24.981428571428573</v>
      </c>
      <c r="AB23" s="55">
        <f>AA23*Z23</f>
        <v>26.902398765631926</v>
      </c>
      <c r="AC23" s="55"/>
      <c r="AD23" s="55"/>
      <c r="AE23" s="55"/>
      <c r="AF23" s="55"/>
      <c r="AG23" s="55"/>
      <c r="AH23" s="55">
        <f>AB23</f>
        <v>26.902398765631926</v>
      </c>
      <c r="AI23" s="55">
        <v>26.902398765631926</v>
      </c>
      <c r="AJ23" s="55">
        <v>26.902398765631926</v>
      </c>
      <c r="AK23" s="55">
        <v>26.902398765631926</v>
      </c>
      <c r="AL23" s="55">
        <v>26.902398765631926</v>
      </c>
      <c r="AM23" s="55">
        <v>26.902398765631926</v>
      </c>
      <c r="AN23" s="55">
        <v>12.46</v>
      </c>
      <c r="AO23" s="55">
        <f>SUM(AC23:AN23)</f>
        <v>173.87439259379155</v>
      </c>
      <c r="AP23" s="72">
        <f>U23-AO23</f>
        <v>0.99560740620844967</v>
      </c>
      <c r="AQ23" s="72"/>
      <c r="AR23" s="72"/>
      <c r="AS23" s="32"/>
      <c r="AT23" s="32"/>
      <c r="AU23" s="32"/>
      <c r="AV23" s="32"/>
      <c r="AW23" s="32"/>
      <c r="AX23" s="57">
        <v>118.901</v>
      </c>
      <c r="AY23" s="80">
        <v>107.678</v>
      </c>
      <c r="AZ23" s="57">
        <f>AX23/AY23</f>
        <v>1.1042274187856387</v>
      </c>
      <c r="BA23" s="55">
        <f t="shared" si="27"/>
        <v>24.972222222222221</v>
      </c>
      <c r="BB23" s="55">
        <f>BA23*AZ23</f>
        <v>27.575012485785809</v>
      </c>
      <c r="BC23" s="429"/>
      <c r="BD23" s="32"/>
      <c r="BE23" s="32"/>
      <c r="BF23" s="32"/>
      <c r="BG23" s="32"/>
      <c r="BH23" s="32"/>
      <c r="BI23" s="32"/>
      <c r="BJ23" s="431">
        <f>SUM((AS23:AW23),(BC23:BI23))</f>
        <v>0</v>
      </c>
      <c r="BK23" s="439">
        <f t="shared" ref="BK23:BK74" si="33">(AP23-BJ23)</f>
        <v>0.99560740620844967</v>
      </c>
      <c r="BL23" s="32"/>
      <c r="BM23" s="32"/>
      <c r="BN23" s="32"/>
      <c r="BO23" s="32"/>
      <c r="BP23" s="32"/>
      <c r="BQ23" s="57">
        <v>118.901</v>
      </c>
      <c r="BR23" s="80">
        <v>107.678</v>
      </c>
      <c r="BS23" s="57">
        <f>BQ23/BR23</f>
        <v>1.1042274187856387</v>
      </c>
      <c r="BT23" s="55"/>
      <c r="BU23" s="55"/>
      <c r="BV23" s="429"/>
      <c r="BW23" s="32"/>
      <c r="BX23" s="32"/>
      <c r="BY23" s="32"/>
      <c r="BZ23" s="32"/>
      <c r="CA23" s="32"/>
      <c r="CB23" s="32"/>
      <c r="CC23" s="431">
        <f>SUM((BL23:BP23),(BV23:CB23))</f>
        <v>0</v>
      </c>
      <c r="CD23" s="442">
        <f t="shared" si="28"/>
        <v>0.99560740620844967</v>
      </c>
      <c r="CE23" s="58">
        <v>3</v>
      </c>
      <c r="CF23" s="49">
        <v>0.33329999999999999</v>
      </c>
      <c r="CG23" s="46">
        <v>43281</v>
      </c>
      <c r="CH23" s="48">
        <v>36</v>
      </c>
      <c r="CI23" s="145">
        <f>CU23/CH23/100</f>
        <v>0.24972222222222221</v>
      </c>
      <c r="CJ23" s="165">
        <f>CI23*CK23</f>
        <v>16.231944444444444</v>
      </c>
      <c r="CK23" s="48">
        <f>(YEAR(CG23)-YEAR(CT23))*12+MONTH(CG23)-MONTH(CT23)</f>
        <v>65</v>
      </c>
      <c r="CL23" s="165">
        <f>CM23*CI23</f>
        <v>-7.2419444444444441</v>
      </c>
      <c r="CM23" s="48">
        <f>CH23-CK23</f>
        <v>-29</v>
      </c>
      <c r="CN23" s="165">
        <f>CO23*CI23</f>
        <v>-7.2419444444444441</v>
      </c>
      <c r="CO23" s="48">
        <f>CH23-CK23</f>
        <v>-29</v>
      </c>
      <c r="CP23" s="165">
        <f>CL23-CN23</f>
        <v>0</v>
      </c>
      <c r="CQ23" s="48">
        <f>CH23-CK23</f>
        <v>-29</v>
      </c>
      <c r="CR23" s="462">
        <f>DATE(YEAR(CT23),MONTH(CT23)+CH23,DAY(CT23))</f>
        <v>42372</v>
      </c>
      <c r="CS23" s="564" t="s">
        <v>495</v>
      </c>
      <c r="CT23" s="46">
        <v>41277</v>
      </c>
      <c r="CU23" s="47">
        <v>899</v>
      </c>
      <c r="CV23" s="764">
        <v>0.99560740620844967</v>
      </c>
      <c r="CW23" s="258">
        <v>126.408</v>
      </c>
      <c r="CX23" s="258">
        <v>107.678</v>
      </c>
      <c r="CY23" s="258">
        <f>CW23/CX23</f>
        <v>1.1739445383458089</v>
      </c>
      <c r="CZ23" s="56">
        <v>0</v>
      </c>
      <c r="DA23" s="56">
        <f>CZ23*CY23</f>
        <v>0</v>
      </c>
      <c r="DB23" s="725">
        <v>0</v>
      </c>
      <c r="DC23" s="725">
        <v>0</v>
      </c>
      <c r="DD23" s="725">
        <v>0</v>
      </c>
      <c r="DE23" s="725">
        <v>0</v>
      </c>
      <c r="DF23" s="725">
        <v>0</v>
      </c>
      <c r="DG23" s="725">
        <v>0</v>
      </c>
      <c r="DH23" s="725">
        <v>0</v>
      </c>
      <c r="DI23" s="725">
        <f>SUM(DB23:DH23)</f>
        <v>0</v>
      </c>
      <c r="DJ23" s="764">
        <f>CV23-DI23</f>
        <v>0.99560740620844967</v>
      </c>
      <c r="DK23" s="725">
        <v>0</v>
      </c>
      <c r="DL23" s="725">
        <v>0</v>
      </c>
      <c r="DM23" s="725">
        <v>0</v>
      </c>
      <c r="DN23" s="725">
        <v>0</v>
      </c>
      <c r="DO23" s="725">
        <v>0</v>
      </c>
      <c r="DP23" s="511">
        <f>SUM(DK23:DO23)</f>
        <v>0</v>
      </c>
      <c r="DQ23" s="960">
        <f>DJ23-DP23</f>
        <v>0.99560740620844967</v>
      </c>
      <c r="DR23" s="656">
        <v>132.28200000000001</v>
      </c>
      <c r="DS23" s="1002">
        <v>107.678</v>
      </c>
      <c r="DT23" s="656">
        <f>DR23/DS23</f>
        <v>1.2284960716209441</v>
      </c>
      <c r="DU23" s="511">
        <v>0</v>
      </c>
      <c r="DV23" s="511">
        <f>DU23*DT23</f>
        <v>0</v>
      </c>
      <c r="DW23" s="511">
        <v>0</v>
      </c>
      <c r="DX23" s="511">
        <v>0</v>
      </c>
      <c r="DY23" s="511">
        <v>0</v>
      </c>
      <c r="DZ23" s="511">
        <v>0</v>
      </c>
      <c r="EA23" s="511">
        <v>0</v>
      </c>
      <c r="EB23" s="511">
        <v>0</v>
      </c>
      <c r="EC23" s="511">
        <v>0</v>
      </c>
      <c r="ED23" s="511">
        <v>0</v>
      </c>
      <c r="EE23" s="511">
        <v>0</v>
      </c>
      <c r="EF23" s="511">
        <v>0</v>
      </c>
      <c r="EG23" s="511">
        <v>0</v>
      </c>
      <c r="EH23" s="511">
        <v>0</v>
      </c>
      <c r="EI23" s="511">
        <v>0</v>
      </c>
      <c r="EJ23" s="511">
        <v>0</v>
      </c>
      <c r="EK23" s="511">
        <v>0</v>
      </c>
      <c r="EL23" s="511">
        <v>0</v>
      </c>
      <c r="EM23" s="511">
        <v>0</v>
      </c>
      <c r="EN23" s="511">
        <v>0</v>
      </c>
      <c r="EO23" s="511">
        <f t="shared" si="31"/>
        <v>0</v>
      </c>
      <c r="EP23" s="756">
        <f>DQ23-EO23</f>
        <v>0.99560740620844967</v>
      </c>
    </row>
    <row r="24" spans="1:146" s="16" customFormat="1" x14ac:dyDescent="0.2">
      <c r="A24" s="120" t="s">
        <v>71</v>
      </c>
      <c r="B24" s="120"/>
      <c r="C24" s="120"/>
      <c r="D24" s="131"/>
      <c r="E24" s="6"/>
      <c r="F24" s="46"/>
      <c r="G24" s="48"/>
      <c r="H24" s="145"/>
      <c r="I24" s="48"/>
      <c r="J24" s="48"/>
      <c r="K24" s="48"/>
      <c r="L24" s="48"/>
      <c r="M24" s="48"/>
      <c r="N24" s="48"/>
      <c r="O24" s="48"/>
      <c r="P24" s="48"/>
      <c r="Q24" s="48"/>
      <c r="R24" s="564"/>
      <c r="S24" s="132"/>
      <c r="T24" s="133"/>
      <c r="U24" s="47"/>
      <c r="V24" s="106"/>
      <c r="W24" s="165"/>
      <c r="X24" s="57"/>
      <c r="Y24" s="81"/>
      <c r="Z24" s="57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72"/>
      <c r="AQ24" s="72"/>
      <c r="AR24" s="72"/>
      <c r="AS24" s="32"/>
      <c r="AT24" s="32"/>
      <c r="AU24" s="32"/>
      <c r="AV24" s="32"/>
      <c r="AW24" s="32"/>
      <c r="AX24" s="57"/>
      <c r="AY24" s="81"/>
      <c r="AZ24" s="57"/>
      <c r="BA24" s="55"/>
      <c r="BB24" s="55"/>
      <c r="BC24" s="429"/>
      <c r="BD24" s="32"/>
      <c r="BE24" s="32"/>
      <c r="BF24" s="32"/>
      <c r="BG24" s="32"/>
      <c r="BH24" s="32"/>
      <c r="BI24" s="32"/>
      <c r="BJ24" s="431"/>
      <c r="BK24" s="439"/>
      <c r="BL24" s="32"/>
      <c r="BM24" s="32"/>
      <c r="BN24" s="32"/>
      <c r="BO24" s="32"/>
      <c r="BP24" s="32"/>
      <c r="BQ24" s="57"/>
      <c r="BR24" s="81"/>
      <c r="BS24" s="57"/>
      <c r="BT24" s="55"/>
      <c r="BU24" s="55"/>
      <c r="BV24" s="429"/>
      <c r="BW24" s="32"/>
      <c r="BX24" s="32"/>
      <c r="BY24" s="32"/>
      <c r="BZ24" s="32"/>
      <c r="CA24" s="32"/>
      <c r="CB24" s="32"/>
      <c r="CC24" s="431"/>
      <c r="CD24" s="442"/>
      <c r="CE24" s="131"/>
      <c r="CF24" s="6"/>
      <c r="CG24" s="46"/>
      <c r="CH24" s="48"/>
      <c r="CI24" s="145"/>
      <c r="CJ24" s="48"/>
      <c r="CK24" s="48"/>
      <c r="CL24" s="48"/>
      <c r="CM24" s="48"/>
      <c r="CN24" s="48"/>
      <c r="CO24" s="48"/>
      <c r="CP24" s="48"/>
      <c r="CQ24" s="48"/>
      <c r="CR24" s="48"/>
      <c r="CS24" s="564"/>
      <c r="CT24" s="132"/>
      <c r="CU24" s="133"/>
      <c r="CV24" s="764"/>
      <c r="CW24" s="258"/>
      <c r="CX24" s="757"/>
      <c r="CY24" s="258"/>
      <c r="CZ24" s="56"/>
      <c r="DA24" s="56"/>
      <c r="DB24" s="725"/>
      <c r="DC24" s="725"/>
      <c r="DD24" s="725"/>
      <c r="DE24" s="725"/>
      <c r="DF24" s="725"/>
      <c r="DG24" s="725"/>
      <c r="DH24" s="725"/>
      <c r="DI24" s="725"/>
      <c r="DJ24" s="764"/>
      <c r="DK24" s="725"/>
      <c r="DL24" s="725"/>
      <c r="DM24" s="725"/>
      <c r="DN24" s="725"/>
      <c r="DO24" s="725"/>
      <c r="DP24" s="511"/>
      <c r="DQ24" s="960"/>
      <c r="DR24" s="656"/>
      <c r="DS24" s="1032"/>
      <c r="DT24" s="656"/>
      <c r="DU24" s="511"/>
      <c r="DV24" s="511"/>
      <c r="DW24" s="511"/>
      <c r="DX24" s="511"/>
      <c r="DY24" s="511"/>
      <c r="DZ24" s="511"/>
      <c r="EA24" s="511"/>
      <c r="EB24" s="511"/>
      <c r="EC24" s="511"/>
      <c r="ED24" s="511"/>
      <c r="EE24" s="511"/>
      <c r="EF24" s="511"/>
      <c r="EG24" s="511"/>
      <c r="EH24" s="511"/>
      <c r="EI24" s="511"/>
      <c r="EJ24" s="511"/>
      <c r="EK24" s="511"/>
      <c r="EL24" s="511"/>
      <c r="EM24" s="511"/>
      <c r="EN24" s="511"/>
      <c r="EO24" s="511">
        <f t="shared" si="31"/>
        <v>0</v>
      </c>
      <c r="EP24" s="756"/>
    </row>
    <row r="25" spans="1:146" s="16" customFormat="1" x14ac:dyDescent="0.2">
      <c r="A25" s="120" t="s">
        <v>76</v>
      </c>
      <c r="B25" s="28"/>
      <c r="C25" s="28"/>
      <c r="D25" s="75"/>
      <c r="E25" s="111"/>
      <c r="F25" s="17"/>
      <c r="G25" s="17"/>
      <c r="H25" s="188"/>
      <c r="I25" s="17"/>
      <c r="J25" s="17"/>
      <c r="K25" s="17"/>
      <c r="L25" s="17"/>
      <c r="M25" s="17"/>
      <c r="N25" s="17"/>
      <c r="O25" s="17"/>
      <c r="P25" s="17"/>
      <c r="Q25" s="17"/>
      <c r="R25" s="563"/>
      <c r="S25" s="132"/>
      <c r="T25" s="133"/>
      <c r="U25" s="14"/>
      <c r="V25" s="106"/>
      <c r="W25" s="66"/>
      <c r="X25" s="66"/>
      <c r="Y25" s="81"/>
      <c r="Z25" s="66"/>
      <c r="AA25" s="65"/>
      <c r="AB25" s="65"/>
      <c r="AC25" s="6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72"/>
      <c r="AQ25" s="72"/>
      <c r="AR25" s="72"/>
      <c r="AS25" s="32"/>
      <c r="AT25" s="32"/>
      <c r="AU25" s="32"/>
      <c r="AV25" s="32"/>
      <c r="AW25" s="32"/>
      <c r="AX25" s="66"/>
      <c r="AY25" s="81"/>
      <c r="AZ25" s="66"/>
      <c r="BA25" s="55"/>
      <c r="BB25" s="65"/>
      <c r="BC25" s="429"/>
      <c r="BD25" s="32"/>
      <c r="BE25" s="32"/>
      <c r="BF25" s="32"/>
      <c r="BG25" s="32"/>
      <c r="BH25" s="32"/>
      <c r="BI25" s="32"/>
      <c r="BJ25" s="431"/>
      <c r="BK25" s="439"/>
      <c r="BL25" s="32"/>
      <c r="BM25" s="32"/>
      <c r="BN25" s="32"/>
      <c r="BO25" s="32"/>
      <c r="BP25" s="32"/>
      <c r="BQ25" s="66"/>
      <c r="BR25" s="81"/>
      <c r="BS25" s="66"/>
      <c r="BT25" s="55"/>
      <c r="BU25" s="65"/>
      <c r="BV25" s="429"/>
      <c r="BW25" s="32"/>
      <c r="BX25" s="32"/>
      <c r="BY25" s="32"/>
      <c r="BZ25" s="32"/>
      <c r="CA25" s="32"/>
      <c r="CB25" s="32"/>
      <c r="CC25" s="431"/>
      <c r="CD25" s="442"/>
      <c r="CE25" s="75"/>
      <c r="CF25" s="111"/>
      <c r="CG25" s="17"/>
      <c r="CH25" s="17"/>
      <c r="CI25" s="188"/>
      <c r="CJ25" s="17"/>
      <c r="CK25" s="17"/>
      <c r="CL25" s="17"/>
      <c r="CM25" s="17"/>
      <c r="CN25" s="17"/>
      <c r="CO25" s="17"/>
      <c r="CP25" s="17"/>
      <c r="CQ25" s="17"/>
      <c r="CR25" s="17"/>
      <c r="CS25" s="563"/>
      <c r="CT25" s="132"/>
      <c r="CU25" s="133"/>
      <c r="CV25" s="764"/>
      <c r="CW25" s="257"/>
      <c r="CX25" s="757"/>
      <c r="CY25" s="257"/>
      <c r="CZ25" s="56"/>
      <c r="DA25" s="758"/>
      <c r="DB25" s="725"/>
      <c r="DC25" s="725"/>
      <c r="DD25" s="725"/>
      <c r="DE25" s="725"/>
      <c r="DF25" s="725"/>
      <c r="DG25" s="725"/>
      <c r="DH25" s="725"/>
      <c r="DI25" s="725"/>
      <c r="DJ25" s="764"/>
      <c r="DK25" s="725"/>
      <c r="DL25" s="725"/>
      <c r="DM25" s="725"/>
      <c r="DN25" s="725"/>
      <c r="DO25" s="725"/>
      <c r="DP25" s="511"/>
      <c r="DQ25" s="960"/>
      <c r="DR25" s="656"/>
      <c r="DS25" s="1032"/>
      <c r="DT25" s="656"/>
      <c r="DU25" s="511"/>
      <c r="DV25" s="511"/>
      <c r="DW25" s="511"/>
      <c r="DX25" s="511"/>
      <c r="DY25" s="511"/>
      <c r="DZ25" s="511"/>
      <c r="EA25" s="511"/>
      <c r="EB25" s="511"/>
      <c r="EC25" s="511"/>
      <c r="ED25" s="511"/>
      <c r="EE25" s="511"/>
      <c r="EF25" s="511"/>
      <c r="EG25" s="511"/>
      <c r="EH25" s="511"/>
      <c r="EI25" s="511"/>
      <c r="EJ25" s="511"/>
      <c r="EK25" s="511"/>
      <c r="EL25" s="511"/>
      <c r="EM25" s="511"/>
      <c r="EN25" s="511"/>
      <c r="EO25" s="511">
        <f t="shared" si="31"/>
        <v>0</v>
      </c>
      <c r="EP25" s="756"/>
    </row>
    <row r="26" spans="1:146" s="16" customFormat="1" x14ac:dyDescent="0.2">
      <c r="A26" s="100" t="s">
        <v>68</v>
      </c>
      <c r="B26" s="100" t="s">
        <v>40</v>
      </c>
      <c r="C26" s="100" t="s">
        <v>311</v>
      </c>
      <c r="D26" s="58">
        <v>10</v>
      </c>
      <c r="E26" s="130">
        <v>0.1</v>
      </c>
      <c r="F26" s="46">
        <v>42185</v>
      </c>
      <c r="G26" s="17">
        <v>120</v>
      </c>
      <c r="H26" s="145">
        <f>100/G26</f>
        <v>0.83333333333333337</v>
      </c>
      <c r="I26" s="165">
        <f>H26*J26</f>
        <v>25.833333333333336</v>
      </c>
      <c r="J26" s="48">
        <f>(YEAR(F26)-YEAR(S26))*12+MONTH(F26)-MONTH(S26)</f>
        <v>31</v>
      </c>
      <c r="K26" s="165">
        <f>L26*H26</f>
        <v>74.166666666666671</v>
      </c>
      <c r="L26" s="48">
        <f>G26-J26</f>
        <v>89</v>
      </c>
      <c r="M26" s="165">
        <f>N26*H26</f>
        <v>5.8333333333333339</v>
      </c>
      <c r="N26" s="48">
        <v>7</v>
      </c>
      <c r="O26" s="165">
        <f>K26-M26</f>
        <v>68.333333333333343</v>
      </c>
      <c r="P26" s="48">
        <f>L26-N26</f>
        <v>82</v>
      </c>
      <c r="Q26" s="48">
        <f>M26-O26</f>
        <v>-62.500000000000007</v>
      </c>
      <c r="R26" s="566">
        <v>464</v>
      </c>
      <c r="S26" s="119">
        <v>41236</v>
      </c>
      <c r="T26" s="134">
        <v>2146</v>
      </c>
      <c r="U26" s="14">
        <v>1609.54</v>
      </c>
      <c r="V26" s="106">
        <v>89.4</v>
      </c>
      <c r="W26" s="66"/>
      <c r="X26" s="57">
        <v>115.958</v>
      </c>
      <c r="Y26" s="80">
        <v>107</v>
      </c>
      <c r="Z26" s="57">
        <f>X26/Y26</f>
        <v>1.0837196261682243</v>
      </c>
      <c r="AA26" s="55">
        <f>U26*M26/100/K26*100/7</f>
        <v>18.084719101123593</v>
      </c>
      <c r="AB26" s="55">
        <f>AA26*Z26</f>
        <v>19.598765023627006</v>
      </c>
      <c r="AC26" s="55"/>
      <c r="AD26" s="55"/>
      <c r="AE26" s="55"/>
      <c r="AF26" s="55"/>
      <c r="AG26" s="55"/>
      <c r="AH26" s="55">
        <f>AB26</f>
        <v>19.598765023627006</v>
      </c>
      <c r="AI26" s="55">
        <v>19.598765023627006</v>
      </c>
      <c r="AJ26" s="55">
        <v>19.598765023627006</v>
      </c>
      <c r="AK26" s="55">
        <v>19.598765023627006</v>
      </c>
      <c r="AL26" s="55">
        <v>19.598765023627006</v>
      </c>
      <c r="AM26" s="55">
        <v>19.598765023627006</v>
      </c>
      <c r="AN26" s="55">
        <v>19.598765023627006</v>
      </c>
      <c r="AO26" s="55">
        <f>SUM(AC26:AN26)</f>
        <v>137.19135516538904</v>
      </c>
      <c r="AP26" s="72">
        <f>U26-AO26</f>
        <v>1472.3486448346109</v>
      </c>
      <c r="AQ26" s="72"/>
      <c r="AR26" s="72"/>
      <c r="AS26" s="429">
        <f>$AN26</f>
        <v>19.598765023627006</v>
      </c>
      <c r="AT26" s="429">
        <f>$AN26</f>
        <v>19.598765023627006</v>
      </c>
      <c r="AU26" s="429">
        <f>$AN26</f>
        <v>19.598765023627006</v>
      </c>
      <c r="AV26" s="429">
        <f>$AN26</f>
        <v>19.598765023627006</v>
      </c>
      <c r="AW26" s="429">
        <f>$AN26</f>
        <v>19.598765023627006</v>
      </c>
      <c r="AX26" s="57">
        <v>118.901</v>
      </c>
      <c r="AY26" s="80">
        <v>107</v>
      </c>
      <c r="AZ26" s="57">
        <f>AX26/AY26</f>
        <v>1.1112242990654204</v>
      </c>
      <c r="BA26" s="55">
        <f t="shared" si="27"/>
        <v>17.883333333333333</v>
      </c>
      <c r="BB26" s="55">
        <f>BA26*AZ26</f>
        <v>19.8723945482866</v>
      </c>
      <c r="BC26" s="429">
        <f t="shared" si="32"/>
        <v>19.8723945482866</v>
      </c>
      <c r="BD26" s="429">
        <f t="shared" si="32"/>
        <v>19.8723945482866</v>
      </c>
      <c r="BE26" s="429">
        <f t="shared" si="32"/>
        <v>19.8723945482866</v>
      </c>
      <c r="BF26" s="429">
        <f t="shared" si="32"/>
        <v>19.8723945482866</v>
      </c>
      <c r="BG26" s="32">
        <v>19.87</v>
      </c>
      <c r="BH26" s="32">
        <v>19.87</v>
      </c>
      <c r="BI26" s="32">
        <v>19.87</v>
      </c>
      <c r="BJ26" s="431">
        <f>SUM((AS26:AW26),(BC26:BI26))</f>
        <v>237.09340331128143</v>
      </c>
      <c r="BK26" s="439">
        <f t="shared" si="33"/>
        <v>1235.2552415233295</v>
      </c>
      <c r="BL26" s="32">
        <v>19.87</v>
      </c>
      <c r="BM26" s="32">
        <v>19.87</v>
      </c>
      <c r="BN26" s="32">
        <v>19.87</v>
      </c>
      <c r="BO26" s="32">
        <v>19.87</v>
      </c>
      <c r="BP26" s="32">
        <v>19.87</v>
      </c>
      <c r="BQ26" s="57">
        <v>118.901</v>
      </c>
      <c r="BR26" s="80">
        <v>107</v>
      </c>
      <c r="BS26" s="57">
        <f>BQ26/BR26</f>
        <v>1.1112242990654204</v>
      </c>
      <c r="BT26" s="55"/>
      <c r="BU26" s="55"/>
      <c r="BV26" s="429"/>
      <c r="BW26" s="429"/>
      <c r="BX26" s="429"/>
      <c r="BY26" s="429"/>
      <c r="BZ26" s="32"/>
      <c r="CA26" s="32"/>
      <c r="CB26" s="32"/>
      <c r="CC26" s="431">
        <f>SUM((BL26:BP26),(BV26:CB26))</f>
        <v>99.350000000000009</v>
      </c>
      <c r="CD26" s="442">
        <f t="shared" si="28"/>
        <v>1135.9052415233296</v>
      </c>
      <c r="CE26" s="58">
        <v>10</v>
      </c>
      <c r="CF26" s="130">
        <v>0.1</v>
      </c>
      <c r="CG26" s="46">
        <v>43281</v>
      </c>
      <c r="CH26" s="17">
        <v>120</v>
      </c>
      <c r="CI26" s="145">
        <f>CU26/CH26/100</f>
        <v>0.17883333333333332</v>
      </c>
      <c r="CJ26" s="165">
        <f>CI26*CK26</f>
        <v>11.981833333333332</v>
      </c>
      <c r="CK26" s="48">
        <f>(YEAR(CG26)-YEAR(CT26))*12+MONTH(CG26)-MONTH(CT26)</f>
        <v>67</v>
      </c>
      <c r="CL26" s="165">
        <f>CM26*CI26</f>
        <v>9.4781666666666666</v>
      </c>
      <c r="CM26" s="48">
        <f>CH26-CK26</f>
        <v>53</v>
      </c>
      <c r="CN26" s="165">
        <f>CO26*CI26</f>
        <v>9.4781666666666666</v>
      </c>
      <c r="CO26" s="48">
        <f>CH26-CK26</f>
        <v>53</v>
      </c>
      <c r="CP26" s="165">
        <f>CL26-CN26</f>
        <v>0</v>
      </c>
      <c r="CQ26" s="48">
        <f>CH26-CK26</f>
        <v>53</v>
      </c>
      <c r="CR26" s="462">
        <f>DATE(YEAR(CT26),MONTH(CT26)+CH26,DAY(CT26))</f>
        <v>44888</v>
      </c>
      <c r="CS26" s="566">
        <v>464</v>
      </c>
      <c r="CT26" s="119">
        <v>41236</v>
      </c>
      <c r="CU26" s="134">
        <v>2146</v>
      </c>
      <c r="CV26" s="764">
        <v>1135.9052415233296</v>
      </c>
      <c r="CW26" s="258">
        <v>126.408</v>
      </c>
      <c r="CX26" s="258">
        <v>107</v>
      </c>
      <c r="CY26" s="258">
        <f>CW26/CX26</f>
        <v>1.1813831775700934</v>
      </c>
      <c r="CZ26" s="56">
        <f>CV26/CM26</f>
        <v>21.432174368364709</v>
      </c>
      <c r="DA26" s="56">
        <f>CZ26*CY26</f>
        <v>25.319610257535007</v>
      </c>
      <c r="DB26" s="725">
        <v>20.645220671528545</v>
      </c>
      <c r="DC26" s="725">
        <v>20.645220671528545</v>
      </c>
      <c r="DD26" s="725">
        <v>20.645220671528545</v>
      </c>
      <c r="DE26" s="725">
        <v>20.645220671528545</v>
      </c>
      <c r="DF26" s="725">
        <v>20.645220671528545</v>
      </c>
      <c r="DG26" s="725">
        <v>20.645220671528545</v>
      </c>
      <c r="DH26" s="725">
        <v>20.645220671528545</v>
      </c>
      <c r="DI26" s="725">
        <f>SUM(DB26:DH26)</f>
        <v>144.51654470069982</v>
      </c>
      <c r="DJ26" s="764">
        <f>CV26-DI26</f>
        <v>991.38869682262975</v>
      </c>
      <c r="DK26" s="725">
        <v>20.645220671528545</v>
      </c>
      <c r="DL26" s="725">
        <v>20.645220671528545</v>
      </c>
      <c r="DM26" s="725">
        <v>20.645220671528545</v>
      </c>
      <c r="DN26" s="725">
        <v>20.645220671528545</v>
      </c>
      <c r="DO26" s="725">
        <v>20.645220671528545</v>
      </c>
      <c r="DP26" s="511">
        <f>SUM(DK26:DO26)</f>
        <v>103.22610335764273</v>
      </c>
      <c r="DQ26" s="960">
        <f>DJ26-DP26</f>
        <v>888.16259346498703</v>
      </c>
      <c r="DR26" s="656">
        <v>132.28200000000001</v>
      </c>
      <c r="DS26" s="1002">
        <v>107</v>
      </c>
      <c r="DT26" s="656">
        <f>DR26/DS26</f>
        <v>1.2362803738317758</v>
      </c>
      <c r="DU26" s="511">
        <f>DQ26/CO26</f>
        <v>16.757784782358247</v>
      </c>
      <c r="DV26" s="511">
        <f>DU26*DT26</f>
        <v>20.717320435326297</v>
      </c>
      <c r="DW26" s="511">
        <v>20.717320435326297</v>
      </c>
      <c r="DX26" s="511">
        <v>20.717320435326297</v>
      </c>
      <c r="DY26" s="511">
        <v>20.717320435326297</v>
      </c>
      <c r="DZ26" s="511">
        <v>20.717320435326297</v>
      </c>
      <c r="EA26" s="511">
        <v>20.717320435326297</v>
      </c>
      <c r="EB26" s="511">
        <v>20.717320435326297</v>
      </c>
      <c r="EC26" s="511">
        <v>20.717320435326297</v>
      </c>
      <c r="ED26" s="511">
        <v>20.717320435326297</v>
      </c>
      <c r="EE26" s="511">
        <v>20.717320435326297</v>
      </c>
      <c r="EF26" s="511">
        <v>20.717320435326297</v>
      </c>
      <c r="EG26" s="511">
        <v>20.717320435326297</v>
      </c>
      <c r="EH26" s="511">
        <v>20.717320435326297</v>
      </c>
      <c r="EI26" s="511">
        <v>20.717320435326297</v>
      </c>
      <c r="EJ26" s="511">
        <v>20.717320435326297</v>
      </c>
      <c r="EK26" s="511">
        <v>20.717320435326297</v>
      </c>
      <c r="EL26" s="511">
        <v>20.717320435326297</v>
      </c>
      <c r="EM26" s="511">
        <v>20.717320435326297</v>
      </c>
      <c r="EN26" s="511">
        <v>20.717320435326297</v>
      </c>
      <c r="EO26" s="511">
        <f t="shared" si="31"/>
        <v>372.91176783587338</v>
      </c>
      <c r="EP26" s="756">
        <f>DQ26-EO26</f>
        <v>515.25082562911371</v>
      </c>
    </row>
    <row r="27" spans="1:146" s="16" customFormat="1" x14ac:dyDescent="0.2">
      <c r="A27" s="120" t="s">
        <v>71</v>
      </c>
      <c r="B27" s="120"/>
      <c r="C27" s="120"/>
      <c r="D27" s="131"/>
      <c r="E27" s="130"/>
      <c r="F27" s="46"/>
      <c r="G27" s="48"/>
      <c r="H27" s="145"/>
      <c r="I27" s="48"/>
      <c r="J27" s="48"/>
      <c r="K27" s="48"/>
      <c r="L27" s="48"/>
      <c r="M27" s="48"/>
      <c r="N27" s="48"/>
      <c r="O27" s="48"/>
      <c r="P27" s="48"/>
      <c r="Q27" s="48"/>
      <c r="R27" s="564"/>
      <c r="S27" s="119"/>
      <c r="T27" s="134"/>
      <c r="U27" s="47"/>
      <c r="V27" s="106"/>
      <c r="W27" s="165">
        <v>0</v>
      </c>
      <c r="X27" s="57"/>
      <c r="Y27" s="83"/>
      <c r="Z27" s="57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72"/>
      <c r="AQ27" s="72"/>
      <c r="AR27" s="72"/>
      <c r="AS27" s="429">
        <f t="shared" ref="AS27:AW46" si="34">$AN27</f>
        <v>0</v>
      </c>
      <c r="AT27" s="429">
        <f t="shared" si="34"/>
        <v>0</v>
      </c>
      <c r="AU27" s="429">
        <f t="shared" si="34"/>
        <v>0</v>
      </c>
      <c r="AV27" s="429">
        <f t="shared" si="34"/>
        <v>0</v>
      </c>
      <c r="AW27" s="429">
        <f t="shared" si="34"/>
        <v>0</v>
      </c>
      <c r="AX27" s="57"/>
      <c r="AY27" s="83"/>
      <c r="AZ27" s="57"/>
      <c r="BA27" s="55"/>
      <c r="BB27" s="55"/>
      <c r="BC27" s="429"/>
      <c r="BD27" s="32"/>
      <c r="BE27" s="32"/>
      <c r="BF27" s="32"/>
      <c r="BG27" s="32"/>
      <c r="BH27" s="32"/>
      <c r="BI27" s="32"/>
      <c r="BJ27" s="431"/>
      <c r="BK27" s="439"/>
      <c r="BL27" s="32"/>
      <c r="BM27" s="32"/>
      <c r="BN27" s="32"/>
      <c r="BO27" s="32"/>
      <c r="BP27" s="32"/>
      <c r="BQ27" s="57"/>
      <c r="BR27" s="83"/>
      <c r="BS27" s="57"/>
      <c r="BT27" s="55"/>
      <c r="BU27" s="55"/>
      <c r="BV27" s="429"/>
      <c r="BW27" s="32"/>
      <c r="BX27" s="32"/>
      <c r="BY27" s="32"/>
      <c r="BZ27" s="32"/>
      <c r="CA27" s="32"/>
      <c r="CB27" s="32"/>
      <c r="CC27" s="431"/>
      <c r="CD27" s="442"/>
      <c r="CE27" s="131"/>
      <c r="CF27" s="130"/>
      <c r="CG27" s="46"/>
      <c r="CH27" s="48"/>
      <c r="CI27" s="145"/>
      <c r="CJ27" s="48"/>
      <c r="CK27" s="48"/>
      <c r="CL27" s="48"/>
      <c r="CM27" s="48"/>
      <c r="CN27" s="48"/>
      <c r="CO27" s="48"/>
      <c r="CP27" s="48"/>
      <c r="CQ27" s="48"/>
      <c r="CR27" s="48"/>
      <c r="CS27" s="564"/>
      <c r="CT27" s="119"/>
      <c r="CU27" s="134"/>
      <c r="CV27" s="764"/>
      <c r="CW27" s="258"/>
      <c r="CX27" s="257"/>
      <c r="CY27" s="258"/>
      <c r="CZ27" s="56"/>
      <c r="DA27" s="56"/>
      <c r="DB27" s="725"/>
      <c r="DC27" s="725"/>
      <c r="DD27" s="725"/>
      <c r="DE27" s="725"/>
      <c r="DF27" s="725"/>
      <c r="DG27" s="725"/>
      <c r="DH27" s="725"/>
      <c r="DI27" s="725"/>
      <c r="DJ27" s="764"/>
      <c r="DK27" s="725"/>
      <c r="DL27" s="725"/>
      <c r="DM27" s="725"/>
      <c r="DN27" s="725"/>
      <c r="DO27" s="725"/>
      <c r="DP27" s="511"/>
      <c r="DQ27" s="960"/>
      <c r="DR27" s="656"/>
      <c r="DS27" s="1034"/>
      <c r="DT27" s="656"/>
      <c r="DU27" s="511"/>
      <c r="DV27" s="511"/>
      <c r="DW27" s="511"/>
      <c r="DX27" s="511"/>
      <c r="DY27" s="511"/>
      <c r="DZ27" s="511"/>
      <c r="EA27" s="511"/>
      <c r="EB27" s="511"/>
      <c r="EC27" s="511"/>
      <c r="ED27" s="511"/>
      <c r="EE27" s="511"/>
      <c r="EF27" s="511"/>
      <c r="EG27" s="511"/>
      <c r="EH27" s="511"/>
      <c r="EI27" s="511"/>
      <c r="EJ27" s="511"/>
      <c r="EK27" s="511"/>
      <c r="EL27" s="511"/>
      <c r="EM27" s="511"/>
      <c r="EN27" s="511"/>
      <c r="EO27" s="511">
        <f t="shared" si="31"/>
        <v>0</v>
      </c>
      <c r="EP27" s="756"/>
    </row>
    <row r="28" spans="1:146" s="16" customFormat="1" x14ac:dyDescent="0.2">
      <c r="A28" s="120" t="s">
        <v>77</v>
      </c>
      <c r="B28" s="100"/>
      <c r="C28" s="100"/>
      <c r="D28" s="8"/>
      <c r="E28" s="130"/>
      <c r="F28" s="17"/>
      <c r="G28" s="17"/>
      <c r="H28" s="188"/>
      <c r="I28" s="17"/>
      <c r="J28" s="17"/>
      <c r="K28" s="17"/>
      <c r="L28" s="17"/>
      <c r="M28" s="17"/>
      <c r="N28" s="17"/>
      <c r="O28" s="17"/>
      <c r="P28" s="17"/>
      <c r="Q28" s="17"/>
      <c r="R28" s="563"/>
      <c r="S28" s="119"/>
      <c r="T28" s="134"/>
      <c r="U28" s="14"/>
      <c r="V28" s="106"/>
      <c r="W28" s="66"/>
      <c r="X28" s="66"/>
      <c r="Y28" s="83"/>
      <c r="Z28" s="66"/>
      <c r="AA28" s="65"/>
      <c r="AB28" s="65"/>
      <c r="AC28" s="6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72"/>
      <c r="AQ28" s="72"/>
      <c r="AR28" s="72"/>
      <c r="AS28" s="429">
        <f t="shared" si="34"/>
        <v>0</v>
      </c>
      <c r="AT28" s="429">
        <f t="shared" si="34"/>
        <v>0</v>
      </c>
      <c r="AU28" s="429">
        <f t="shared" si="34"/>
        <v>0</v>
      </c>
      <c r="AV28" s="429">
        <f t="shared" si="34"/>
        <v>0</v>
      </c>
      <c r="AW28" s="429">
        <f t="shared" si="34"/>
        <v>0</v>
      </c>
      <c r="AX28" s="66"/>
      <c r="AY28" s="83"/>
      <c r="AZ28" s="66"/>
      <c r="BA28" s="55"/>
      <c r="BB28" s="65"/>
      <c r="BC28" s="429"/>
      <c r="BD28" s="32"/>
      <c r="BE28" s="32"/>
      <c r="BF28" s="32"/>
      <c r="BG28" s="32"/>
      <c r="BH28" s="32"/>
      <c r="BI28" s="32"/>
      <c r="BJ28" s="431"/>
      <c r="BK28" s="439"/>
      <c r="BL28" s="32"/>
      <c r="BM28" s="32"/>
      <c r="BN28" s="32"/>
      <c r="BO28" s="32"/>
      <c r="BP28" s="32"/>
      <c r="BQ28" s="66"/>
      <c r="BR28" s="83"/>
      <c r="BS28" s="66"/>
      <c r="BT28" s="55"/>
      <c r="BU28" s="65"/>
      <c r="BV28" s="429"/>
      <c r="BW28" s="32"/>
      <c r="BX28" s="32"/>
      <c r="BY28" s="32"/>
      <c r="BZ28" s="32"/>
      <c r="CA28" s="32"/>
      <c r="CB28" s="32"/>
      <c r="CC28" s="431"/>
      <c r="CD28" s="442"/>
      <c r="CE28" s="8"/>
      <c r="CF28" s="130"/>
      <c r="CG28" s="17"/>
      <c r="CH28" s="17"/>
      <c r="CI28" s="188"/>
      <c r="CJ28" s="17"/>
      <c r="CK28" s="17"/>
      <c r="CL28" s="17"/>
      <c r="CM28" s="17"/>
      <c r="CN28" s="17"/>
      <c r="CO28" s="17"/>
      <c r="CP28" s="17"/>
      <c r="CQ28" s="17"/>
      <c r="CR28" s="17"/>
      <c r="CS28" s="563"/>
      <c r="CT28" s="119"/>
      <c r="CU28" s="134"/>
      <c r="CV28" s="764"/>
      <c r="CW28" s="257"/>
      <c r="CX28" s="257"/>
      <c r="CY28" s="257"/>
      <c r="CZ28" s="56"/>
      <c r="DA28" s="758"/>
      <c r="DB28" s="725"/>
      <c r="DC28" s="725"/>
      <c r="DD28" s="725"/>
      <c r="DE28" s="725"/>
      <c r="DF28" s="725"/>
      <c r="DG28" s="725"/>
      <c r="DH28" s="725"/>
      <c r="DI28" s="725"/>
      <c r="DJ28" s="764"/>
      <c r="DK28" s="725"/>
      <c r="DL28" s="725"/>
      <c r="DM28" s="725"/>
      <c r="DN28" s="725"/>
      <c r="DO28" s="725"/>
      <c r="DP28" s="511"/>
      <c r="DQ28" s="960"/>
      <c r="DR28" s="656"/>
      <c r="DS28" s="1034"/>
      <c r="DT28" s="656"/>
      <c r="DU28" s="511"/>
      <c r="DV28" s="511"/>
      <c r="DW28" s="511"/>
      <c r="DX28" s="511"/>
      <c r="DY28" s="511"/>
      <c r="DZ28" s="511"/>
      <c r="EA28" s="511"/>
      <c r="EB28" s="511"/>
      <c r="EC28" s="511"/>
      <c r="ED28" s="511"/>
      <c r="EE28" s="511"/>
      <c r="EF28" s="511"/>
      <c r="EG28" s="511"/>
      <c r="EH28" s="511"/>
      <c r="EI28" s="511"/>
      <c r="EJ28" s="511"/>
      <c r="EK28" s="511"/>
      <c r="EL28" s="511"/>
      <c r="EM28" s="511"/>
      <c r="EN28" s="511"/>
      <c r="EO28" s="511">
        <f t="shared" si="31"/>
        <v>0</v>
      </c>
      <c r="EP28" s="756"/>
    </row>
    <row r="29" spans="1:146" s="16" customFormat="1" x14ac:dyDescent="0.2">
      <c r="A29" s="100" t="s">
        <v>102</v>
      </c>
      <c r="B29" s="100" t="s">
        <v>467</v>
      </c>
      <c r="C29" s="100" t="s">
        <v>468</v>
      </c>
      <c r="D29" s="58">
        <v>10</v>
      </c>
      <c r="E29" s="130">
        <v>0.1</v>
      </c>
      <c r="F29" s="46">
        <v>42185</v>
      </c>
      <c r="G29" s="17">
        <v>120</v>
      </c>
      <c r="H29" s="145">
        <f>100/G29</f>
        <v>0.83333333333333337</v>
      </c>
      <c r="I29" s="165">
        <f>H29*J29</f>
        <v>71.666666666666671</v>
      </c>
      <c r="J29" s="48">
        <f>(YEAR(F29)-YEAR(S29))*12+MONTH(F29)-MONTH(S29)</f>
        <v>86</v>
      </c>
      <c r="K29" s="165">
        <f>L29*H29</f>
        <v>28.333333333333336</v>
      </c>
      <c r="L29" s="48">
        <f>G29-J29</f>
        <v>34</v>
      </c>
      <c r="M29" s="165">
        <f>N29*H29</f>
        <v>5.8333333333333339</v>
      </c>
      <c r="N29" s="48">
        <v>7</v>
      </c>
      <c r="O29" s="165">
        <f t="shared" ref="O29:Q31" si="35">K29-M29</f>
        <v>22.5</v>
      </c>
      <c r="P29" s="48">
        <f t="shared" si="35"/>
        <v>27</v>
      </c>
      <c r="Q29" s="48">
        <f t="shared" si="35"/>
        <v>-16.666666666666664</v>
      </c>
      <c r="R29" s="566">
        <v>259</v>
      </c>
      <c r="S29" s="119">
        <v>39561</v>
      </c>
      <c r="T29" s="134">
        <v>4370</v>
      </c>
      <c r="U29" s="14">
        <v>1274.55</v>
      </c>
      <c r="V29" s="106">
        <v>182.1</v>
      </c>
      <c r="W29" s="66"/>
      <c r="X29" s="57">
        <v>115.958</v>
      </c>
      <c r="Y29" s="80">
        <v>127.72799999999999</v>
      </c>
      <c r="Z29" s="57">
        <f>X29/Y29</f>
        <v>0.90785105849931103</v>
      </c>
      <c r="AA29" s="55">
        <f>U29*M29/100/K29*100/7</f>
        <v>37.486764705882358</v>
      </c>
      <c r="AB29" s="55">
        <f>AA29*Z29</f>
        <v>34.032399017949913</v>
      </c>
      <c r="AC29" s="55"/>
      <c r="AD29" s="55"/>
      <c r="AE29" s="55"/>
      <c r="AF29" s="55"/>
      <c r="AG29" s="55"/>
      <c r="AH29" s="55">
        <f>AB29</f>
        <v>34.032399017949913</v>
      </c>
      <c r="AI29" s="55">
        <v>34.032399017949913</v>
      </c>
      <c r="AJ29" s="55">
        <v>34.032399017949913</v>
      </c>
      <c r="AK29" s="55">
        <v>34.032399017949913</v>
      </c>
      <c r="AL29" s="55">
        <v>34.032399017949913</v>
      </c>
      <c r="AM29" s="55">
        <v>34.032399017949913</v>
      </c>
      <c r="AN29" s="55">
        <v>34.032399017949913</v>
      </c>
      <c r="AO29" s="55">
        <f>SUM(AC29:AN29)</f>
        <v>238.22679312564935</v>
      </c>
      <c r="AP29" s="72">
        <f>U29-AO29</f>
        <v>1036.3232068743505</v>
      </c>
      <c r="AQ29" s="72"/>
      <c r="AR29" s="72"/>
      <c r="AS29" s="429">
        <f t="shared" si="34"/>
        <v>34.032399017949913</v>
      </c>
      <c r="AT29" s="429">
        <f t="shared" si="34"/>
        <v>34.032399017949913</v>
      </c>
      <c r="AU29" s="429">
        <f t="shared" si="34"/>
        <v>34.032399017949913</v>
      </c>
      <c r="AV29" s="429">
        <f t="shared" si="34"/>
        <v>34.032399017949913</v>
      </c>
      <c r="AW29" s="429">
        <f t="shared" si="34"/>
        <v>34.032399017949913</v>
      </c>
      <c r="AX29" s="57">
        <v>118.901</v>
      </c>
      <c r="AY29" s="80">
        <v>127.72799999999999</v>
      </c>
      <c r="AZ29" s="57">
        <f>AX29/AY29</f>
        <v>0.93089220844294129</v>
      </c>
      <c r="BA29" s="55">
        <f t="shared" si="27"/>
        <v>36.416666666666664</v>
      </c>
      <c r="BB29" s="55">
        <f>BA29*AZ29</f>
        <v>33.899991257463775</v>
      </c>
      <c r="BC29" s="429">
        <f t="shared" si="32"/>
        <v>33.899991257463775</v>
      </c>
      <c r="BD29" s="429">
        <f t="shared" si="32"/>
        <v>33.899991257463775</v>
      </c>
      <c r="BE29" s="429">
        <f t="shared" si="32"/>
        <v>33.899991257463775</v>
      </c>
      <c r="BF29" s="429">
        <f t="shared" si="32"/>
        <v>33.899991257463775</v>
      </c>
      <c r="BG29" s="32">
        <v>33.9</v>
      </c>
      <c r="BH29" s="32">
        <v>33.9</v>
      </c>
      <c r="BI29" s="32">
        <v>33.9</v>
      </c>
      <c r="BJ29" s="431">
        <f>SUM((AS29:AW29),(BC29:BI29))</f>
        <v>407.46196011960461</v>
      </c>
      <c r="BK29" s="439">
        <f t="shared" si="33"/>
        <v>628.86124675474593</v>
      </c>
      <c r="BL29" s="32">
        <v>33.9</v>
      </c>
      <c r="BM29" s="32">
        <v>33.9</v>
      </c>
      <c r="BN29" s="32">
        <v>33.9</v>
      </c>
      <c r="BO29" s="32">
        <v>33.9</v>
      </c>
      <c r="BP29" s="32">
        <v>33.9</v>
      </c>
      <c r="BQ29" s="57">
        <v>118.901</v>
      </c>
      <c r="BR29" s="80">
        <v>127.72799999999999</v>
      </c>
      <c r="BS29" s="57">
        <f>BQ29/BR29</f>
        <v>0.93089220844294129</v>
      </c>
      <c r="BT29" s="55"/>
      <c r="BU29" s="55"/>
      <c r="BV29" s="429"/>
      <c r="BW29" s="429"/>
      <c r="BX29" s="429"/>
      <c r="BY29" s="429"/>
      <c r="BZ29" s="32"/>
      <c r="CA29" s="32"/>
      <c r="CB29" s="32"/>
      <c r="CC29" s="431">
        <f>SUM((BL29:BP29),(BV29:CB29))</f>
        <v>169.5</v>
      </c>
      <c r="CD29" s="442">
        <f t="shared" si="28"/>
        <v>459.36124675474593</v>
      </c>
      <c r="CE29" s="58">
        <v>10</v>
      </c>
      <c r="CF29" s="130">
        <v>0.1</v>
      </c>
      <c r="CG29" s="46">
        <v>43281</v>
      </c>
      <c r="CH29" s="17">
        <v>120</v>
      </c>
      <c r="CI29" s="145">
        <f>CU29/CH29/100</f>
        <v>0.36416666666666664</v>
      </c>
      <c r="CJ29" s="165">
        <f>CI29*CK29</f>
        <v>44.428333333333327</v>
      </c>
      <c r="CK29" s="48">
        <f>(YEAR(CG29)-YEAR(CT29))*12+MONTH(CG29)-MONTH(CT29)</f>
        <v>122</v>
      </c>
      <c r="CL29" s="165">
        <f>CM29*CI29</f>
        <v>-0.72833333333333328</v>
      </c>
      <c r="CM29" s="48">
        <f>CH29-CK29</f>
        <v>-2</v>
      </c>
      <c r="CN29" s="165">
        <f>CO29*CI29</f>
        <v>-0.72833333333333328</v>
      </c>
      <c r="CO29" s="48">
        <f>CH29-CK29</f>
        <v>-2</v>
      </c>
      <c r="CP29" s="165">
        <f>CL29-CN29</f>
        <v>0</v>
      </c>
      <c r="CQ29" s="48">
        <f>CH29-CK29</f>
        <v>-2</v>
      </c>
      <c r="CR29" s="462">
        <f>DATE(YEAR(CT29),MONTH(CT29)+CH29,DAY(CT29))</f>
        <v>43213</v>
      </c>
      <c r="CS29" s="566">
        <v>259</v>
      </c>
      <c r="CT29" s="119">
        <v>39561</v>
      </c>
      <c r="CU29" s="134">
        <v>4370</v>
      </c>
      <c r="CV29" s="764">
        <v>459.36124675474593</v>
      </c>
      <c r="CW29" s="258">
        <v>126.408</v>
      </c>
      <c r="CX29" s="258">
        <v>127.72799999999999</v>
      </c>
      <c r="CY29" s="258">
        <f>CW29/CX29</f>
        <v>0.9896655392709508</v>
      </c>
      <c r="CZ29" s="56">
        <f>CV29/CM29</f>
        <v>-229.68062337737297</v>
      </c>
      <c r="DA29" s="56">
        <f>CZ29*CY29</f>
        <v>-227.30699799485598</v>
      </c>
      <c r="DB29" s="725">
        <v>45.461399598971198</v>
      </c>
      <c r="DC29" s="725">
        <v>45.461399598971198</v>
      </c>
      <c r="DD29" s="725">
        <v>45.461399598971198</v>
      </c>
      <c r="DE29" s="725">
        <v>45.461399598971198</v>
      </c>
      <c r="DF29" s="725">
        <v>45.461399598971198</v>
      </c>
      <c r="DG29" s="725">
        <v>45.461399598971198</v>
      </c>
      <c r="DH29" s="725">
        <v>45.461399598971198</v>
      </c>
      <c r="DI29" s="725">
        <f>SUM(DB29:DH29)</f>
        <v>318.22979719279834</v>
      </c>
      <c r="DJ29" s="764">
        <f>CV29-DI29</f>
        <v>141.13144956194759</v>
      </c>
      <c r="DK29" s="725">
        <v>45.461399598971198</v>
      </c>
      <c r="DL29" s="725">
        <v>45.461399598971198</v>
      </c>
      <c r="DM29" s="725">
        <v>45.461399598971198</v>
      </c>
      <c r="DN29" s="725">
        <v>3.75</v>
      </c>
      <c r="DO29" s="725">
        <v>0</v>
      </c>
      <c r="DP29" s="511">
        <f>SUM(DK29:DO29)</f>
        <v>140.13419879691361</v>
      </c>
      <c r="DQ29" s="960">
        <f>DJ29-DP29</f>
        <v>0.99725076503398213</v>
      </c>
      <c r="DR29" s="656">
        <v>132.28200000000001</v>
      </c>
      <c r="DS29" s="1002">
        <v>127.72799999999999</v>
      </c>
      <c r="DT29" s="656"/>
      <c r="DU29" s="511">
        <v>0</v>
      </c>
      <c r="DV29" s="511">
        <f>DU29*DT29</f>
        <v>0</v>
      </c>
      <c r="DW29" s="511">
        <v>0</v>
      </c>
      <c r="DX29" s="511">
        <v>0</v>
      </c>
      <c r="DY29" s="511"/>
      <c r="DZ29" s="511"/>
      <c r="EA29" s="511"/>
      <c r="EB29" s="511">
        <v>0</v>
      </c>
      <c r="EC29" s="511">
        <v>0</v>
      </c>
      <c r="ED29" s="511">
        <v>0</v>
      </c>
      <c r="EE29" s="511">
        <v>0</v>
      </c>
      <c r="EF29" s="511">
        <v>0</v>
      </c>
      <c r="EG29" s="511">
        <v>0</v>
      </c>
      <c r="EH29" s="511">
        <v>0</v>
      </c>
      <c r="EI29" s="511">
        <v>0</v>
      </c>
      <c r="EJ29" s="511">
        <v>0</v>
      </c>
      <c r="EK29" s="511">
        <v>0</v>
      </c>
      <c r="EL29" s="511">
        <v>0</v>
      </c>
      <c r="EM29" s="511">
        <v>0</v>
      </c>
      <c r="EN29" s="511">
        <v>0</v>
      </c>
      <c r="EO29" s="511">
        <f t="shared" si="31"/>
        <v>0</v>
      </c>
      <c r="EP29" s="756">
        <f>DQ29-EO29</f>
        <v>0.99725076503398213</v>
      </c>
    </row>
    <row r="30" spans="1:146" s="16" customFormat="1" x14ac:dyDescent="0.2">
      <c r="A30" s="100" t="s">
        <v>72</v>
      </c>
      <c r="B30" s="100" t="s">
        <v>469</v>
      </c>
      <c r="C30" s="100" t="s">
        <v>311</v>
      </c>
      <c r="D30" s="58">
        <v>10</v>
      </c>
      <c r="E30" s="130">
        <v>0.1</v>
      </c>
      <c r="F30" s="46">
        <v>42185</v>
      </c>
      <c r="G30" s="48">
        <v>120</v>
      </c>
      <c r="H30" s="145">
        <f>100/G30</f>
        <v>0.83333333333333337</v>
      </c>
      <c r="I30" s="165">
        <f>H30*J30</f>
        <v>11.666666666666668</v>
      </c>
      <c r="J30" s="48">
        <f>(YEAR(F30)-YEAR(S30))*12+MONTH(F30)-MONTH(S30)</f>
        <v>14</v>
      </c>
      <c r="K30" s="165">
        <f>L30*H30</f>
        <v>88.333333333333343</v>
      </c>
      <c r="L30" s="48">
        <f>G30-J30</f>
        <v>106</v>
      </c>
      <c r="M30" s="165">
        <f>N30*H30</f>
        <v>5.8333333333333339</v>
      </c>
      <c r="N30" s="48">
        <v>7</v>
      </c>
      <c r="O30" s="165">
        <f t="shared" si="35"/>
        <v>82.500000000000014</v>
      </c>
      <c r="P30" s="48">
        <f t="shared" si="35"/>
        <v>99</v>
      </c>
      <c r="Q30" s="48">
        <f t="shared" si="35"/>
        <v>-76.666666666666686</v>
      </c>
      <c r="R30" s="564" t="s">
        <v>496</v>
      </c>
      <c r="S30" s="119">
        <v>41751</v>
      </c>
      <c r="T30" s="134">
        <v>4116.63</v>
      </c>
      <c r="U30" s="47">
        <v>3636.3</v>
      </c>
      <c r="V30" s="106">
        <v>171.55</v>
      </c>
      <c r="W30" s="165">
        <v>0</v>
      </c>
      <c r="X30" s="57">
        <v>115.958</v>
      </c>
      <c r="Y30" s="80">
        <v>112.88800000000001</v>
      </c>
      <c r="Z30" s="57">
        <f>X30/Y30</f>
        <v>1.0271950960243781</v>
      </c>
      <c r="AA30" s="55">
        <f>U30*M30/100/K30*100/7</f>
        <v>34.304716981132074</v>
      </c>
      <c r="AB30" s="55">
        <f>AA30*Z30</f>
        <v>35.237637053523073</v>
      </c>
      <c r="AC30" s="55"/>
      <c r="AD30" s="55"/>
      <c r="AE30" s="55"/>
      <c r="AF30" s="55"/>
      <c r="AG30" s="55"/>
      <c r="AH30" s="55">
        <f>AB30</f>
        <v>35.237637053523073</v>
      </c>
      <c r="AI30" s="55">
        <v>35.237637053523073</v>
      </c>
      <c r="AJ30" s="55">
        <v>35.237637053523073</v>
      </c>
      <c r="AK30" s="55">
        <v>35.237637053523073</v>
      </c>
      <c r="AL30" s="55">
        <v>35.237637053523073</v>
      </c>
      <c r="AM30" s="55">
        <v>35.237637053523073</v>
      </c>
      <c r="AN30" s="55">
        <v>35.237637053523073</v>
      </c>
      <c r="AO30" s="55">
        <f>SUM(AC30:AN30)</f>
        <v>246.66345937466156</v>
      </c>
      <c r="AP30" s="72">
        <f>U30-AO30</f>
        <v>3389.6365406253385</v>
      </c>
      <c r="AQ30" s="72"/>
      <c r="AR30" s="72"/>
      <c r="AS30" s="429">
        <f t="shared" si="34"/>
        <v>35.237637053523073</v>
      </c>
      <c r="AT30" s="429">
        <f t="shared" si="34"/>
        <v>35.237637053523073</v>
      </c>
      <c r="AU30" s="429">
        <f t="shared" si="34"/>
        <v>35.237637053523073</v>
      </c>
      <c r="AV30" s="429">
        <f t="shared" si="34"/>
        <v>35.237637053523073</v>
      </c>
      <c r="AW30" s="429">
        <f t="shared" si="34"/>
        <v>35.237637053523073</v>
      </c>
      <c r="AX30" s="57">
        <v>118.901</v>
      </c>
      <c r="AY30" s="80">
        <v>112.88800000000001</v>
      </c>
      <c r="AZ30" s="57">
        <f>AX30/AY30</f>
        <v>1.0532651831904187</v>
      </c>
      <c r="BA30" s="55">
        <f t="shared" si="27"/>
        <v>34.305250000000001</v>
      </c>
      <c r="BB30" s="55">
        <f>BA30*AZ30</f>
        <v>36.132525425643117</v>
      </c>
      <c r="BC30" s="429">
        <f t="shared" si="32"/>
        <v>36.132525425643117</v>
      </c>
      <c r="BD30" s="429">
        <f t="shared" si="32"/>
        <v>36.132525425643117</v>
      </c>
      <c r="BE30" s="429">
        <f t="shared" si="32"/>
        <v>36.132525425643117</v>
      </c>
      <c r="BF30" s="429">
        <f t="shared" si="32"/>
        <v>36.132525425643117</v>
      </c>
      <c r="BG30" s="32">
        <v>36.130000000000003</v>
      </c>
      <c r="BH30" s="32">
        <v>36.130000000000003</v>
      </c>
      <c r="BI30" s="32">
        <v>36.130000000000003</v>
      </c>
      <c r="BJ30" s="431">
        <f>SUM((AS30:AW30),(BC30:BI30))</f>
        <v>429.10828697018781</v>
      </c>
      <c r="BK30" s="439">
        <f t="shared" si="33"/>
        <v>2960.5282536551508</v>
      </c>
      <c r="BL30" s="32">
        <v>36.130000000000003</v>
      </c>
      <c r="BM30" s="32">
        <v>36.130000000000003</v>
      </c>
      <c r="BN30" s="32">
        <v>36.130000000000003</v>
      </c>
      <c r="BO30" s="32">
        <v>36.130000000000003</v>
      </c>
      <c r="BP30" s="32">
        <v>36.130000000000003</v>
      </c>
      <c r="BQ30" s="57">
        <v>118.901</v>
      </c>
      <c r="BR30" s="80">
        <v>112.88800000000001</v>
      </c>
      <c r="BS30" s="57">
        <f>BQ30/BR30</f>
        <v>1.0532651831904187</v>
      </c>
      <c r="BT30" s="55"/>
      <c r="BU30" s="55"/>
      <c r="BV30" s="429"/>
      <c r="BW30" s="429"/>
      <c r="BX30" s="429"/>
      <c r="BY30" s="429"/>
      <c r="BZ30" s="32"/>
      <c r="CA30" s="32"/>
      <c r="CB30" s="32"/>
      <c r="CC30" s="431">
        <f>SUM((BL30:BP30),(BV30:CB30))</f>
        <v>180.65</v>
      </c>
      <c r="CD30" s="442">
        <f t="shared" si="28"/>
        <v>2779.8782536551507</v>
      </c>
      <c r="CE30" s="58">
        <v>10</v>
      </c>
      <c r="CF30" s="130">
        <v>0.1</v>
      </c>
      <c r="CG30" s="46">
        <v>43281</v>
      </c>
      <c r="CH30" s="48">
        <v>120</v>
      </c>
      <c r="CI30" s="145">
        <f>CU30/CH30/100</f>
        <v>0.34305249999999998</v>
      </c>
      <c r="CJ30" s="165">
        <f>CI30*CK30</f>
        <v>17.152625</v>
      </c>
      <c r="CK30" s="48">
        <f>(YEAR(CG30)-YEAR(CT30))*12+MONTH(CG30)-MONTH(CT30)</f>
        <v>50</v>
      </c>
      <c r="CL30" s="165">
        <f>CM30*CI30</f>
        <v>24.013674999999999</v>
      </c>
      <c r="CM30" s="48">
        <f>CH30-CK30</f>
        <v>70</v>
      </c>
      <c r="CN30" s="165">
        <f>CO30*CI30</f>
        <v>24.013674999999999</v>
      </c>
      <c r="CO30" s="48">
        <f>CH30-CK30</f>
        <v>70</v>
      </c>
      <c r="CP30" s="165">
        <f>CL30-CN30</f>
        <v>0</v>
      </c>
      <c r="CQ30" s="48">
        <f>CH30-CK30</f>
        <v>70</v>
      </c>
      <c r="CR30" s="462">
        <f>DATE(YEAR(CT30),MONTH(CT30)+CH30,DAY(CT30))</f>
        <v>45404</v>
      </c>
      <c r="CS30" s="564" t="s">
        <v>496</v>
      </c>
      <c r="CT30" s="119">
        <v>41751</v>
      </c>
      <c r="CU30" s="134">
        <v>4116.63</v>
      </c>
      <c r="CV30" s="764">
        <v>2779.8782536551507</v>
      </c>
      <c r="CW30" s="258">
        <v>126.408</v>
      </c>
      <c r="CX30" s="258">
        <v>112.88800000000001</v>
      </c>
      <c r="CY30" s="258">
        <f>CW30/CX30</f>
        <v>1.1197647225568705</v>
      </c>
      <c r="CZ30" s="56">
        <f>CV30/CM30</f>
        <v>39.712546480787864</v>
      </c>
      <c r="DA30" s="56">
        <f>CZ30*CY30</f>
        <v>44.468708592086251</v>
      </c>
      <c r="DB30" s="725">
        <v>37.96109270056143</v>
      </c>
      <c r="DC30" s="725">
        <v>37.96109270056143</v>
      </c>
      <c r="DD30" s="725">
        <v>37.96109270056143</v>
      </c>
      <c r="DE30" s="725">
        <v>37.96109270056143</v>
      </c>
      <c r="DF30" s="725">
        <v>37.96109270056143</v>
      </c>
      <c r="DG30" s="725">
        <v>37.96109270056143</v>
      </c>
      <c r="DH30" s="725">
        <v>37.96109270056143</v>
      </c>
      <c r="DI30" s="725">
        <f>SUM(DB30:DH30)</f>
        <v>265.72764890393</v>
      </c>
      <c r="DJ30" s="764">
        <f>CV30-DI30</f>
        <v>2514.1506047512207</v>
      </c>
      <c r="DK30" s="725">
        <v>37.96109270056143</v>
      </c>
      <c r="DL30" s="725">
        <v>37.96109270056143</v>
      </c>
      <c r="DM30" s="725">
        <v>37.96109270056143</v>
      </c>
      <c r="DN30" s="725">
        <v>37.96109270056143</v>
      </c>
      <c r="DO30" s="725">
        <v>37.96109270056143</v>
      </c>
      <c r="DP30" s="511">
        <f>SUM(DK30:DO30)</f>
        <v>189.80546350280716</v>
      </c>
      <c r="DQ30" s="960">
        <f>DJ30-DP30</f>
        <v>2324.3451412484137</v>
      </c>
      <c r="DR30" s="656">
        <v>132.28200000000001</v>
      </c>
      <c r="DS30" s="1002">
        <v>112.88800000000001</v>
      </c>
      <c r="DT30" s="656">
        <f>DR30/DS30</f>
        <v>1.1717985968393452</v>
      </c>
      <c r="DU30" s="511">
        <f>DQ30/CO30</f>
        <v>33.20493058926305</v>
      </c>
      <c r="DV30" s="511">
        <f>DU30*DT30</f>
        <v>38.90949107264629</v>
      </c>
      <c r="DW30" s="511">
        <v>0</v>
      </c>
      <c r="DX30" s="511">
        <v>77.819999999999993</v>
      </c>
      <c r="DY30" s="511">
        <v>38.909999999999997</v>
      </c>
      <c r="DZ30" s="511">
        <v>38.909999999999997</v>
      </c>
      <c r="EA30" s="511">
        <v>38.909999999999997</v>
      </c>
      <c r="EB30" s="511">
        <v>38.909999999999997</v>
      </c>
      <c r="EC30" s="511">
        <v>38.909999999999997</v>
      </c>
      <c r="ED30" s="511">
        <v>38.909999999999997</v>
      </c>
      <c r="EE30" s="511">
        <v>38.909999999999997</v>
      </c>
      <c r="EF30" s="511">
        <v>38.909999999999997</v>
      </c>
      <c r="EG30" s="511">
        <v>38.909999999999997</v>
      </c>
      <c r="EH30" s="511">
        <v>38.909999999999997</v>
      </c>
      <c r="EI30" s="511">
        <v>38.909999999999997</v>
      </c>
      <c r="EJ30" s="511">
        <v>38.909999999999997</v>
      </c>
      <c r="EK30" s="511">
        <v>38.909999999999997</v>
      </c>
      <c r="EL30" s="511">
        <v>38.909999999999997</v>
      </c>
      <c r="EM30" s="511">
        <v>38.909999999999997</v>
      </c>
      <c r="EN30" s="511">
        <v>38.909999999999997</v>
      </c>
      <c r="EO30" s="511">
        <f t="shared" si="31"/>
        <v>700.37999999999965</v>
      </c>
      <c r="EP30" s="756">
        <f>DQ30-EO30</f>
        <v>1623.9651412484141</v>
      </c>
    </row>
    <row r="31" spans="1:146" s="16" customFormat="1" x14ac:dyDescent="0.2">
      <c r="A31" s="100" t="s">
        <v>321</v>
      </c>
      <c r="B31" s="100" t="s">
        <v>470</v>
      </c>
      <c r="C31" s="100" t="s">
        <v>312</v>
      </c>
      <c r="D31" s="58">
        <v>10</v>
      </c>
      <c r="E31" s="130">
        <v>0.1</v>
      </c>
      <c r="F31" s="46">
        <v>42185</v>
      </c>
      <c r="G31" s="17">
        <v>120</v>
      </c>
      <c r="H31" s="145">
        <f>100/G31</f>
        <v>0.83333333333333337</v>
      </c>
      <c r="I31" s="165">
        <f>H31*J31</f>
        <v>11.666666666666668</v>
      </c>
      <c r="J31" s="48">
        <f>(YEAR(F31)-YEAR(S31))*12+MONTH(F31)-MONTH(S31)</f>
        <v>14</v>
      </c>
      <c r="K31" s="165">
        <f>L31*H31</f>
        <v>88.333333333333343</v>
      </c>
      <c r="L31" s="48">
        <f>G31-J31</f>
        <v>106</v>
      </c>
      <c r="M31" s="165">
        <f>N31*H31</f>
        <v>5.8333333333333339</v>
      </c>
      <c r="N31" s="48">
        <v>7</v>
      </c>
      <c r="O31" s="165">
        <f t="shared" si="35"/>
        <v>82.500000000000014</v>
      </c>
      <c r="P31" s="48">
        <f t="shared" si="35"/>
        <v>99</v>
      </c>
      <c r="Q31" s="48">
        <f t="shared" si="35"/>
        <v>-76.666666666666686</v>
      </c>
      <c r="R31" s="565" t="s">
        <v>497</v>
      </c>
      <c r="S31" s="119">
        <v>41751</v>
      </c>
      <c r="T31" s="134">
        <v>926</v>
      </c>
      <c r="U31" s="14">
        <v>817.93</v>
      </c>
      <c r="V31" s="106">
        <v>38.6</v>
      </c>
      <c r="W31" s="66"/>
      <c r="X31" s="57">
        <v>115.958</v>
      </c>
      <c r="Y31" s="80">
        <v>112.88800000000001</v>
      </c>
      <c r="Z31" s="57">
        <f>X31/Y31</f>
        <v>1.0271950960243781</v>
      </c>
      <c r="AA31" s="55">
        <f>U31*M31/100/K31*100/7</f>
        <v>7.716320754716981</v>
      </c>
      <c r="AB31" s="55">
        <f>AA31*Z31</f>
        <v>7.9261668385964112</v>
      </c>
      <c r="AC31" s="55"/>
      <c r="AD31" s="55"/>
      <c r="AE31" s="55"/>
      <c r="AF31" s="55"/>
      <c r="AG31" s="55"/>
      <c r="AH31" s="55">
        <f>AB31</f>
        <v>7.9261668385964112</v>
      </c>
      <c r="AI31" s="55">
        <v>7.9261668385964112</v>
      </c>
      <c r="AJ31" s="55">
        <v>7.9261668385964112</v>
      </c>
      <c r="AK31" s="55">
        <v>7.9261668385964112</v>
      </c>
      <c r="AL31" s="55">
        <v>7.9261668385964112</v>
      </c>
      <c r="AM31" s="55">
        <v>7.9261668385964112</v>
      </c>
      <c r="AN31" s="55">
        <v>7.9261668385964112</v>
      </c>
      <c r="AO31" s="55">
        <f>SUM(AC31:AN31)</f>
        <v>55.483167870174874</v>
      </c>
      <c r="AP31" s="72">
        <f>U31-AO31</f>
        <v>762.44683212982511</v>
      </c>
      <c r="AQ31" s="72"/>
      <c r="AR31" s="72"/>
      <c r="AS31" s="429">
        <f t="shared" si="34"/>
        <v>7.9261668385964112</v>
      </c>
      <c r="AT31" s="429">
        <f t="shared" si="34"/>
        <v>7.9261668385964112</v>
      </c>
      <c r="AU31" s="429">
        <f t="shared" si="34"/>
        <v>7.9261668385964112</v>
      </c>
      <c r="AV31" s="429">
        <f t="shared" si="34"/>
        <v>7.9261668385964112</v>
      </c>
      <c r="AW31" s="429">
        <f t="shared" si="34"/>
        <v>7.9261668385964112</v>
      </c>
      <c r="AX31" s="57">
        <v>118.901</v>
      </c>
      <c r="AY31" s="80">
        <v>112.88800000000001</v>
      </c>
      <c r="AZ31" s="57">
        <f>AX31/AY31</f>
        <v>1.0532651831904187</v>
      </c>
      <c r="BA31" s="55">
        <f t="shared" si="27"/>
        <v>7.7166666666666668</v>
      </c>
      <c r="BB31" s="55">
        <f>BA31*AZ31</f>
        <v>8.1276963302860654</v>
      </c>
      <c r="BC31" s="429">
        <f t="shared" si="32"/>
        <v>8.1276963302860654</v>
      </c>
      <c r="BD31" s="429">
        <f t="shared" si="32"/>
        <v>8.1276963302860654</v>
      </c>
      <c r="BE31" s="429">
        <f t="shared" si="32"/>
        <v>8.1276963302860654</v>
      </c>
      <c r="BF31" s="429">
        <f t="shared" si="32"/>
        <v>8.1276963302860654</v>
      </c>
      <c r="BG31" s="32">
        <v>8.1300000000000008</v>
      </c>
      <c r="BH31" s="32">
        <v>8.1300000000000008</v>
      </c>
      <c r="BI31" s="32">
        <v>8.1300000000000008</v>
      </c>
      <c r="BJ31" s="431">
        <f>SUM((AS31:AW31),(BC31:BI31))</f>
        <v>96.531619514126305</v>
      </c>
      <c r="BK31" s="439">
        <f t="shared" si="33"/>
        <v>665.91521261569881</v>
      </c>
      <c r="BL31" s="32">
        <v>8.1300000000000008</v>
      </c>
      <c r="BM31" s="32">
        <v>8.1300000000000008</v>
      </c>
      <c r="BN31" s="32">
        <v>8.1300000000000008</v>
      </c>
      <c r="BO31" s="32">
        <v>8.1300000000000008</v>
      </c>
      <c r="BP31" s="32">
        <v>8.1300000000000008</v>
      </c>
      <c r="BQ31" s="57">
        <v>118.901</v>
      </c>
      <c r="BR31" s="80">
        <v>112.88800000000001</v>
      </c>
      <c r="BS31" s="57">
        <f>BQ31/BR31</f>
        <v>1.0532651831904187</v>
      </c>
      <c r="BT31" s="55"/>
      <c r="BU31" s="55"/>
      <c r="BV31" s="429"/>
      <c r="BW31" s="429"/>
      <c r="BX31" s="429"/>
      <c r="BY31" s="429"/>
      <c r="BZ31" s="32"/>
      <c r="CA31" s="32"/>
      <c r="CB31" s="32"/>
      <c r="CC31" s="431">
        <f>SUM((BL31:BP31),(BV31:CB31))</f>
        <v>40.650000000000006</v>
      </c>
      <c r="CD31" s="442">
        <f t="shared" si="28"/>
        <v>625.26521261569883</v>
      </c>
      <c r="CE31" s="58">
        <v>10</v>
      </c>
      <c r="CF31" s="130">
        <v>0.1</v>
      </c>
      <c r="CG31" s="46">
        <v>43281</v>
      </c>
      <c r="CH31" s="17">
        <v>120</v>
      </c>
      <c r="CI31" s="145">
        <f>CU31/CH31/100</f>
        <v>7.7166666666666661E-2</v>
      </c>
      <c r="CJ31" s="165">
        <f>CI31*CK31</f>
        <v>3.8583333333333329</v>
      </c>
      <c r="CK31" s="48">
        <f>(YEAR(CG31)-YEAR(CT31))*12+MONTH(CG31)-MONTH(CT31)</f>
        <v>50</v>
      </c>
      <c r="CL31" s="165">
        <f>CM31*CI31</f>
        <v>5.4016666666666664</v>
      </c>
      <c r="CM31" s="48">
        <f>CH31-CK31</f>
        <v>70</v>
      </c>
      <c r="CN31" s="165">
        <f>CO31*CI31</f>
        <v>5.4016666666666664</v>
      </c>
      <c r="CO31" s="48">
        <f>CH31-CK31</f>
        <v>70</v>
      </c>
      <c r="CP31" s="165">
        <f>CL31-CN31</f>
        <v>0</v>
      </c>
      <c r="CQ31" s="48">
        <f>CH31-CK31</f>
        <v>70</v>
      </c>
      <c r="CR31" s="462">
        <f>DATE(YEAR(CT31),MONTH(CT31)+CH31,DAY(CT31))</f>
        <v>45404</v>
      </c>
      <c r="CS31" s="565" t="s">
        <v>497</v>
      </c>
      <c r="CT31" s="119">
        <v>41751</v>
      </c>
      <c r="CU31" s="134">
        <v>926</v>
      </c>
      <c r="CV31" s="764">
        <v>625.26521261569883</v>
      </c>
      <c r="CW31" s="258">
        <v>126.408</v>
      </c>
      <c r="CX31" s="258">
        <v>112.88800000000001</v>
      </c>
      <c r="CY31" s="258">
        <f>CW31/CX31</f>
        <v>1.1197647225568705</v>
      </c>
      <c r="CZ31" s="56">
        <f>CV31/CM31</f>
        <v>8.9323601802242685</v>
      </c>
      <c r="DA31" s="56">
        <f>CZ31*CY31</f>
        <v>10.002141818986866</v>
      </c>
      <c r="DB31" s="725">
        <v>8.5384137479156177</v>
      </c>
      <c r="DC31" s="725">
        <v>8.5384137479156177</v>
      </c>
      <c r="DD31" s="725">
        <v>8.5384137479156177</v>
      </c>
      <c r="DE31" s="725">
        <v>8.5384137479156177</v>
      </c>
      <c r="DF31" s="725">
        <v>8.5384137479156177</v>
      </c>
      <c r="DG31" s="725">
        <v>8.5384137479156177</v>
      </c>
      <c r="DH31" s="725">
        <v>8.5384137479156177</v>
      </c>
      <c r="DI31" s="725">
        <f>SUM(DB31:DH31)</f>
        <v>59.768896235409329</v>
      </c>
      <c r="DJ31" s="764">
        <f>CV31-DI31</f>
        <v>565.4963163802895</v>
      </c>
      <c r="DK31" s="725">
        <v>8.5384137479156177</v>
      </c>
      <c r="DL31" s="725">
        <v>8.5384137479156177</v>
      </c>
      <c r="DM31" s="725">
        <v>8.5384137479156177</v>
      </c>
      <c r="DN31" s="725">
        <v>8.5384137479156177</v>
      </c>
      <c r="DO31" s="725">
        <v>8.5384137479156177</v>
      </c>
      <c r="DP31" s="511">
        <f>SUM(DK31:DO31)</f>
        <v>42.69206873957809</v>
      </c>
      <c r="DQ31" s="960">
        <f>DJ31-DP31</f>
        <v>522.80424764071142</v>
      </c>
      <c r="DR31" s="656">
        <v>132.28200000000001</v>
      </c>
      <c r="DS31" s="1002">
        <v>112.88800000000001</v>
      </c>
      <c r="DT31" s="656">
        <f>DR31/DS31</f>
        <v>1.1717985968393452</v>
      </c>
      <c r="DU31" s="511">
        <f>DQ31/CO31</f>
        <v>7.4686321091530203</v>
      </c>
      <c r="DV31" s="511">
        <f>DU31*DT31</f>
        <v>8.7517326258147889</v>
      </c>
      <c r="DW31" s="511">
        <v>8.7517326258147889</v>
      </c>
      <c r="DX31" s="511">
        <v>8.7517326258147889</v>
      </c>
      <c r="DY31" s="511">
        <v>8.7517326258147889</v>
      </c>
      <c r="DZ31" s="511">
        <v>8.7517326258147889</v>
      </c>
      <c r="EA31" s="511">
        <v>8.7517326258147889</v>
      </c>
      <c r="EB31" s="511">
        <v>8.7517326258147889</v>
      </c>
      <c r="EC31" s="511">
        <v>8.7517326258147889</v>
      </c>
      <c r="ED31" s="511">
        <v>8.7517326258147889</v>
      </c>
      <c r="EE31" s="511">
        <v>8.7517326258147889</v>
      </c>
      <c r="EF31" s="511">
        <v>8.7517326258147889</v>
      </c>
      <c r="EG31" s="511">
        <v>8.7517326258147889</v>
      </c>
      <c r="EH31" s="511">
        <v>8.7517326258147889</v>
      </c>
      <c r="EI31" s="511">
        <v>8.7517326258147889</v>
      </c>
      <c r="EJ31" s="511">
        <v>8.7517326258147889</v>
      </c>
      <c r="EK31" s="511">
        <v>8.7517326258147889</v>
      </c>
      <c r="EL31" s="511">
        <v>8.7517326258147889</v>
      </c>
      <c r="EM31" s="511">
        <v>8.7517326258147889</v>
      </c>
      <c r="EN31" s="511">
        <v>8.7517326258147889</v>
      </c>
      <c r="EO31" s="511">
        <f t="shared" si="31"/>
        <v>157.53118726466613</v>
      </c>
      <c r="EP31" s="756">
        <f>DQ31-EO31</f>
        <v>365.27306037604529</v>
      </c>
    </row>
    <row r="32" spans="1:146" s="16" customFormat="1" x14ac:dyDescent="0.2">
      <c r="A32" s="120" t="s">
        <v>65</v>
      </c>
      <c r="B32" s="120"/>
      <c r="C32" s="120"/>
      <c r="D32" s="131"/>
      <c r="E32" s="130"/>
      <c r="F32" s="17"/>
      <c r="G32" s="17"/>
      <c r="H32" s="188"/>
      <c r="I32" s="17"/>
      <c r="J32" s="17"/>
      <c r="K32" s="17"/>
      <c r="L32" s="17"/>
      <c r="M32" s="17"/>
      <c r="N32" s="17"/>
      <c r="O32" s="17"/>
      <c r="P32" s="17"/>
      <c r="Q32" s="17"/>
      <c r="R32" s="563"/>
      <c r="S32" s="119"/>
      <c r="T32" s="134"/>
      <c r="U32" s="14"/>
      <c r="V32" s="106"/>
      <c r="W32" s="66"/>
      <c r="X32" s="66"/>
      <c r="Y32" s="83"/>
      <c r="Z32" s="66"/>
      <c r="AA32" s="65"/>
      <c r="AB32" s="6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72"/>
      <c r="AQ32" s="72"/>
      <c r="AR32" s="72"/>
      <c r="AS32" s="429">
        <f t="shared" si="34"/>
        <v>0</v>
      </c>
      <c r="AT32" s="429">
        <f t="shared" si="34"/>
        <v>0</v>
      </c>
      <c r="AU32" s="429">
        <f t="shared" si="34"/>
        <v>0</v>
      </c>
      <c r="AV32" s="429">
        <f t="shared" si="34"/>
        <v>0</v>
      </c>
      <c r="AW32" s="429">
        <f t="shared" si="34"/>
        <v>0</v>
      </c>
      <c r="AX32" s="66"/>
      <c r="AY32" s="83"/>
      <c r="AZ32" s="66"/>
      <c r="BA32" s="55"/>
      <c r="BB32" s="65"/>
      <c r="BC32" s="429"/>
      <c r="BD32" s="32"/>
      <c r="BE32" s="32"/>
      <c r="BF32" s="32"/>
      <c r="BG32" s="32"/>
      <c r="BH32" s="32"/>
      <c r="BI32" s="32"/>
      <c r="BJ32" s="431"/>
      <c r="BK32" s="439"/>
      <c r="BL32" s="32"/>
      <c r="BM32" s="32"/>
      <c r="BN32" s="32"/>
      <c r="BO32" s="32"/>
      <c r="BP32" s="32"/>
      <c r="BQ32" s="66"/>
      <c r="BR32" s="83"/>
      <c r="BS32" s="66"/>
      <c r="BT32" s="55"/>
      <c r="BU32" s="65"/>
      <c r="BV32" s="429"/>
      <c r="BW32" s="32"/>
      <c r="BX32" s="32"/>
      <c r="BY32" s="32"/>
      <c r="BZ32" s="32"/>
      <c r="CA32" s="32"/>
      <c r="CB32" s="32"/>
      <c r="CC32" s="431"/>
      <c r="CD32" s="442"/>
      <c r="CE32" s="131"/>
      <c r="CF32" s="130"/>
      <c r="CG32" s="17"/>
      <c r="CH32" s="17"/>
      <c r="CI32" s="188"/>
      <c r="CJ32" s="17"/>
      <c r="CK32" s="17"/>
      <c r="CL32" s="17"/>
      <c r="CM32" s="17"/>
      <c r="CN32" s="17"/>
      <c r="CO32" s="17"/>
      <c r="CP32" s="17"/>
      <c r="CQ32" s="17"/>
      <c r="CR32" s="17"/>
      <c r="CS32" s="563"/>
      <c r="CT32" s="119"/>
      <c r="CU32" s="134"/>
      <c r="CV32" s="764"/>
      <c r="CW32" s="257"/>
      <c r="CX32" s="257"/>
      <c r="CY32" s="257"/>
      <c r="CZ32" s="56"/>
      <c r="DA32" s="758"/>
      <c r="DB32" s="725"/>
      <c r="DC32" s="725"/>
      <c r="DD32" s="725"/>
      <c r="DE32" s="725"/>
      <c r="DF32" s="725"/>
      <c r="DG32" s="725"/>
      <c r="DH32" s="725"/>
      <c r="DI32" s="725"/>
      <c r="DJ32" s="764"/>
      <c r="DK32" s="725"/>
      <c r="DL32" s="725"/>
      <c r="DM32" s="725"/>
      <c r="DN32" s="725"/>
      <c r="DO32" s="725"/>
      <c r="DP32" s="511"/>
      <c r="DQ32" s="960"/>
      <c r="DR32" s="656"/>
      <c r="DS32" s="1034"/>
      <c r="DT32" s="656"/>
      <c r="DU32" s="511"/>
      <c r="DV32" s="511"/>
      <c r="DW32" s="511"/>
      <c r="DX32" s="511"/>
      <c r="DY32" s="511"/>
      <c r="DZ32" s="511"/>
      <c r="EA32" s="511"/>
      <c r="EB32" s="511"/>
      <c r="EC32" s="511"/>
      <c r="ED32" s="511"/>
      <c r="EE32" s="511"/>
      <c r="EF32" s="511"/>
      <c r="EG32" s="511"/>
      <c r="EH32" s="511"/>
      <c r="EI32" s="511"/>
      <c r="EJ32" s="511"/>
      <c r="EK32" s="511"/>
      <c r="EL32" s="511"/>
      <c r="EM32" s="511"/>
      <c r="EN32" s="511"/>
      <c r="EO32" s="511">
        <f t="shared" si="31"/>
        <v>0</v>
      </c>
      <c r="EP32" s="756"/>
    </row>
    <row r="33" spans="1:146" s="16" customFormat="1" x14ac:dyDescent="0.2">
      <c r="A33" s="120" t="s">
        <v>83</v>
      </c>
      <c r="B33" s="100"/>
      <c r="C33" s="100"/>
      <c r="D33" s="8"/>
      <c r="E33" s="130"/>
      <c r="F33" s="46"/>
      <c r="G33" s="48"/>
      <c r="H33" s="145"/>
      <c r="I33" s="48"/>
      <c r="J33" s="48"/>
      <c r="K33" s="48"/>
      <c r="L33" s="48"/>
      <c r="M33" s="48"/>
      <c r="N33" s="48"/>
      <c r="O33" s="48"/>
      <c r="P33" s="48"/>
      <c r="Q33" s="48"/>
      <c r="R33" s="564"/>
      <c r="S33" s="119"/>
      <c r="T33" s="134"/>
      <c r="U33" s="47"/>
      <c r="V33" s="106"/>
      <c r="W33" s="165">
        <v>0</v>
      </c>
      <c r="X33" s="57"/>
      <c r="Y33" s="83"/>
      <c r="Z33" s="57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72"/>
      <c r="AQ33" s="72"/>
      <c r="AR33" s="72"/>
      <c r="AS33" s="429">
        <f t="shared" si="34"/>
        <v>0</v>
      </c>
      <c r="AT33" s="429">
        <f t="shared" si="34"/>
        <v>0</v>
      </c>
      <c r="AU33" s="429">
        <f t="shared" si="34"/>
        <v>0</v>
      </c>
      <c r="AV33" s="429">
        <f t="shared" si="34"/>
        <v>0</v>
      </c>
      <c r="AW33" s="429">
        <f t="shared" si="34"/>
        <v>0</v>
      </c>
      <c r="AX33" s="57"/>
      <c r="AY33" s="83"/>
      <c r="AZ33" s="57"/>
      <c r="BA33" s="55"/>
      <c r="BB33" s="55"/>
      <c r="BC33" s="429"/>
      <c r="BD33" s="32"/>
      <c r="BE33" s="32"/>
      <c r="BF33" s="32"/>
      <c r="BG33" s="32"/>
      <c r="BH33" s="32"/>
      <c r="BI33" s="32"/>
      <c r="BJ33" s="431"/>
      <c r="BK33" s="439"/>
      <c r="BL33" s="32"/>
      <c r="BM33" s="32"/>
      <c r="BN33" s="32"/>
      <c r="BO33" s="32"/>
      <c r="BP33" s="32"/>
      <c r="BQ33" s="57"/>
      <c r="BR33" s="83"/>
      <c r="BS33" s="57"/>
      <c r="BT33" s="55"/>
      <c r="BU33" s="55"/>
      <c r="BV33" s="429"/>
      <c r="BW33" s="32"/>
      <c r="BX33" s="32"/>
      <c r="BY33" s="32"/>
      <c r="BZ33" s="32"/>
      <c r="CA33" s="32"/>
      <c r="CB33" s="32"/>
      <c r="CC33" s="431"/>
      <c r="CD33" s="442"/>
      <c r="CE33" s="8"/>
      <c r="CF33" s="130"/>
      <c r="CG33" s="46"/>
      <c r="CH33" s="48"/>
      <c r="CI33" s="145"/>
      <c r="CJ33" s="48"/>
      <c r="CK33" s="48"/>
      <c r="CL33" s="48"/>
      <c r="CM33" s="48"/>
      <c r="CN33" s="48"/>
      <c r="CO33" s="48"/>
      <c r="CP33" s="48"/>
      <c r="CQ33" s="48"/>
      <c r="CR33" s="48"/>
      <c r="CS33" s="564"/>
      <c r="CT33" s="119"/>
      <c r="CU33" s="134"/>
      <c r="CV33" s="764"/>
      <c r="CW33" s="258"/>
      <c r="CX33" s="257"/>
      <c r="CY33" s="258"/>
      <c r="CZ33" s="56"/>
      <c r="DA33" s="56"/>
      <c r="DB33" s="725"/>
      <c r="DC33" s="725"/>
      <c r="DD33" s="725"/>
      <c r="DE33" s="725"/>
      <c r="DF33" s="725"/>
      <c r="DG33" s="725"/>
      <c r="DH33" s="725"/>
      <c r="DI33" s="725"/>
      <c r="DJ33" s="764"/>
      <c r="DK33" s="725"/>
      <c r="DL33" s="725"/>
      <c r="DM33" s="725"/>
      <c r="DN33" s="725"/>
      <c r="DO33" s="725"/>
      <c r="DP33" s="511"/>
      <c r="DQ33" s="960"/>
      <c r="DR33" s="656"/>
      <c r="DS33" s="1034"/>
      <c r="DT33" s="656"/>
      <c r="DU33" s="511"/>
      <c r="DV33" s="511"/>
      <c r="DW33" s="511"/>
      <c r="DX33" s="511"/>
      <c r="DY33" s="511"/>
      <c r="DZ33" s="511"/>
      <c r="EA33" s="511"/>
      <c r="EB33" s="511"/>
      <c r="EC33" s="511"/>
      <c r="ED33" s="511"/>
      <c r="EE33" s="511"/>
      <c r="EF33" s="511"/>
      <c r="EG33" s="511"/>
      <c r="EH33" s="511"/>
      <c r="EI33" s="511"/>
      <c r="EJ33" s="511"/>
      <c r="EK33" s="511"/>
      <c r="EL33" s="511"/>
      <c r="EM33" s="511"/>
      <c r="EN33" s="511"/>
      <c r="EO33" s="511">
        <f t="shared" si="31"/>
        <v>0</v>
      </c>
      <c r="EP33" s="756"/>
    </row>
    <row r="34" spans="1:146" s="16" customFormat="1" x14ac:dyDescent="0.2">
      <c r="A34" s="100" t="s">
        <v>74</v>
      </c>
      <c r="B34" s="100" t="s">
        <v>471</v>
      </c>
      <c r="C34" s="100" t="s">
        <v>311</v>
      </c>
      <c r="D34" s="58">
        <v>10</v>
      </c>
      <c r="E34" s="130">
        <v>0.1</v>
      </c>
      <c r="F34" s="46">
        <v>42185</v>
      </c>
      <c r="G34" s="17">
        <v>120</v>
      </c>
      <c r="H34" s="145">
        <f t="shared" ref="H34:H41" si="36">100/G34</f>
        <v>0.83333333333333337</v>
      </c>
      <c r="I34" s="165">
        <f t="shared" ref="I34:I41" si="37">H34*J34</f>
        <v>54.166666666666671</v>
      </c>
      <c r="J34" s="48">
        <f t="shared" ref="J34:J41" si="38">(YEAR(F34)-YEAR(S34))*12+MONTH(F34)-MONTH(S34)</f>
        <v>65</v>
      </c>
      <c r="K34" s="165">
        <f t="shared" ref="K34:K41" si="39">L34*H34</f>
        <v>45.833333333333336</v>
      </c>
      <c r="L34" s="48">
        <f t="shared" ref="L34:L41" si="40">G34-J34</f>
        <v>55</v>
      </c>
      <c r="M34" s="165">
        <f t="shared" ref="M34:M41" si="41">N34*H34</f>
        <v>5.8333333333333339</v>
      </c>
      <c r="N34" s="48">
        <v>7</v>
      </c>
      <c r="O34" s="165">
        <f t="shared" ref="O34:O41" si="42">K34-M34</f>
        <v>40</v>
      </c>
      <c r="P34" s="48">
        <f t="shared" ref="P34:Q41" si="43">L34-N34</f>
        <v>48</v>
      </c>
      <c r="Q34" s="48">
        <f t="shared" si="43"/>
        <v>-34.166666666666664</v>
      </c>
      <c r="R34" s="566">
        <v>6728</v>
      </c>
      <c r="S34" s="119">
        <v>40179</v>
      </c>
      <c r="T34" s="134">
        <v>1499</v>
      </c>
      <c r="U34" s="14">
        <v>687.06</v>
      </c>
      <c r="V34" s="106">
        <v>62.45</v>
      </c>
      <c r="W34" s="66"/>
      <c r="X34" s="57">
        <v>115.958</v>
      </c>
      <c r="Y34" s="80">
        <v>140.047</v>
      </c>
      <c r="Z34" s="57">
        <f t="shared" ref="Z34:Z41" si="44">X34/Y34</f>
        <v>0.82799345933865065</v>
      </c>
      <c r="AA34" s="55">
        <f t="shared" ref="AA34:AA41" si="45">U34*M34/100/K34*100/7</f>
        <v>12.491999999999999</v>
      </c>
      <c r="AB34" s="55">
        <f t="shared" ref="AB34:AB41" si="46">AA34*Z34</f>
        <v>10.343294294058424</v>
      </c>
      <c r="AC34" s="55"/>
      <c r="AD34" s="55"/>
      <c r="AE34" s="55"/>
      <c r="AF34" s="55"/>
      <c r="AG34" s="55"/>
      <c r="AH34" s="55">
        <f t="shared" ref="AH34:AH41" si="47">AB34</f>
        <v>10.343294294058424</v>
      </c>
      <c r="AI34" s="55">
        <v>10.343294294058424</v>
      </c>
      <c r="AJ34" s="55">
        <v>10.343294294058424</v>
      </c>
      <c r="AK34" s="55">
        <v>10.343294294058424</v>
      </c>
      <c r="AL34" s="55">
        <v>10.343294294058424</v>
      </c>
      <c r="AM34" s="55">
        <v>10.343294294058424</v>
      </c>
      <c r="AN34" s="55">
        <v>10.343294294058424</v>
      </c>
      <c r="AO34" s="55">
        <f>SUM(AC34:AN34)</f>
        <v>72.403060058408968</v>
      </c>
      <c r="AP34" s="72">
        <f t="shared" ref="AP34:AP41" si="48">U34-AO34</f>
        <v>614.65693994159096</v>
      </c>
      <c r="AQ34" s="72"/>
      <c r="AR34" s="72"/>
      <c r="AS34" s="429">
        <f t="shared" si="34"/>
        <v>10.343294294058424</v>
      </c>
      <c r="AT34" s="429">
        <f t="shared" si="34"/>
        <v>10.343294294058424</v>
      </c>
      <c r="AU34" s="429">
        <f t="shared" si="34"/>
        <v>10.343294294058424</v>
      </c>
      <c r="AV34" s="429">
        <f t="shared" si="34"/>
        <v>10.343294294058424</v>
      </c>
      <c r="AW34" s="429">
        <f t="shared" si="34"/>
        <v>10.343294294058424</v>
      </c>
      <c r="AX34" s="57">
        <v>118.901</v>
      </c>
      <c r="AY34" s="80">
        <v>140.047</v>
      </c>
      <c r="AZ34" s="57">
        <f t="shared" ref="AZ34:AZ41" si="49">AX34/AY34</f>
        <v>0.84900783308460726</v>
      </c>
      <c r="BA34" s="55">
        <f t="shared" si="27"/>
        <v>12.491666666666667</v>
      </c>
      <c r="BB34" s="55">
        <f t="shared" ref="BB34:BB41" si="50">BA34*AZ34</f>
        <v>10.605522848281886</v>
      </c>
      <c r="BC34" s="429">
        <f t="shared" si="32"/>
        <v>10.605522848281886</v>
      </c>
      <c r="BD34" s="429">
        <f t="shared" si="32"/>
        <v>10.605522848281886</v>
      </c>
      <c r="BE34" s="429">
        <f t="shared" si="32"/>
        <v>10.605522848281886</v>
      </c>
      <c r="BF34" s="429">
        <f t="shared" si="32"/>
        <v>10.605522848281886</v>
      </c>
      <c r="BG34" s="32">
        <v>10.61</v>
      </c>
      <c r="BH34" s="32">
        <v>10.61</v>
      </c>
      <c r="BI34" s="32">
        <v>10.61</v>
      </c>
      <c r="BJ34" s="431">
        <f t="shared" ref="BJ34:BJ41" si="51">SUM((AS34:AW34),(BC34:BI34))</f>
        <v>125.96856286341965</v>
      </c>
      <c r="BK34" s="439">
        <f t="shared" si="33"/>
        <v>488.6883770781713</v>
      </c>
      <c r="BL34" s="32">
        <v>10.61</v>
      </c>
      <c r="BM34" s="32">
        <v>10.61</v>
      </c>
      <c r="BN34" s="32">
        <v>10.61</v>
      </c>
      <c r="BO34" s="32">
        <v>10.61</v>
      </c>
      <c r="BP34" s="32">
        <v>10.61</v>
      </c>
      <c r="BQ34" s="57">
        <v>118.901</v>
      </c>
      <c r="BR34" s="80">
        <v>140.047</v>
      </c>
      <c r="BS34" s="57">
        <f t="shared" ref="BS34:BS41" si="52">BQ34/BR34</f>
        <v>0.84900783308460726</v>
      </c>
      <c r="BT34" s="55"/>
      <c r="BU34" s="55"/>
      <c r="BV34" s="429"/>
      <c r="BW34" s="429"/>
      <c r="BX34" s="429"/>
      <c r="BY34" s="429"/>
      <c r="BZ34" s="32"/>
      <c r="CA34" s="32"/>
      <c r="CB34" s="32"/>
      <c r="CC34" s="431">
        <f t="shared" ref="CC34:CC41" si="53">SUM((BL34:BP34),(BV34:CB34))</f>
        <v>53.05</v>
      </c>
      <c r="CD34" s="442">
        <f t="shared" si="28"/>
        <v>435.63837707817129</v>
      </c>
      <c r="CE34" s="58">
        <v>10</v>
      </c>
      <c r="CF34" s="130">
        <v>0.1</v>
      </c>
      <c r="CG34" s="46">
        <v>43281</v>
      </c>
      <c r="CH34" s="17">
        <v>120</v>
      </c>
      <c r="CI34" s="145">
        <f t="shared" ref="CI34:CI41" si="54">CU34/CH34/100</f>
        <v>0.12491666666666668</v>
      </c>
      <c r="CJ34" s="165">
        <f t="shared" ref="CJ34:CJ41" si="55">CI34*CK34</f>
        <v>12.616583333333335</v>
      </c>
      <c r="CK34" s="48">
        <f t="shared" ref="CK34:CK41" si="56">(YEAR(CG34)-YEAR(CT34))*12+MONTH(CG34)-MONTH(CT34)</f>
        <v>101</v>
      </c>
      <c r="CL34" s="165">
        <f t="shared" ref="CL34:CL41" si="57">CM34*CI34</f>
        <v>2.373416666666667</v>
      </c>
      <c r="CM34" s="48">
        <f t="shared" ref="CM34:CM41" si="58">CH34-CK34</f>
        <v>19</v>
      </c>
      <c r="CN34" s="165">
        <f t="shared" ref="CN34:CN41" si="59">CO34*CI34</f>
        <v>2.373416666666667</v>
      </c>
      <c r="CO34" s="48">
        <f t="shared" ref="CO34:CO41" si="60">CH34-CK34</f>
        <v>19</v>
      </c>
      <c r="CP34" s="165">
        <f>CL34-CN34</f>
        <v>0</v>
      </c>
      <c r="CQ34" s="48">
        <f t="shared" ref="CQ34:CQ41" si="61">CH34-CK34</f>
        <v>19</v>
      </c>
      <c r="CR34" s="462">
        <f t="shared" ref="CR34:CR41" si="62">DATE(YEAR(CT34),MONTH(CT34)+CH34,DAY(CT34))</f>
        <v>43831</v>
      </c>
      <c r="CS34" s="566">
        <v>6728</v>
      </c>
      <c r="CT34" s="119">
        <v>40179</v>
      </c>
      <c r="CU34" s="134">
        <v>1499</v>
      </c>
      <c r="CV34" s="764">
        <v>435.63837707817129</v>
      </c>
      <c r="CW34" s="258">
        <v>126.408</v>
      </c>
      <c r="CX34" s="258">
        <v>140.047</v>
      </c>
      <c r="CY34" s="258">
        <f t="shared" ref="CY34:CY41" si="63">CW34/CX34</f>
        <v>0.90261126621776977</v>
      </c>
      <c r="CZ34" s="56">
        <f t="shared" ref="CZ34:CZ41" si="64">CV34/CM34</f>
        <v>22.928335635693227</v>
      </c>
      <c r="DA34" s="56">
        <f t="shared" ref="DA34:DA41" si="65">CZ34*CY34</f>
        <v>20.695374060399075</v>
      </c>
      <c r="DB34" s="725">
        <v>12.684261520889756</v>
      </c>
      <c r="DC34" s="725">
        <v>12.684261520889756</v>
      </c>
      <c r="DD34" s="725">
        <v>12.684261520889756</v>
      </c>
      <c r="DE34" s="725">
        <v>12.684261520889756</v>
      </c>
      <c r="DF34" s="725">
        <v>12.684261520889756</v>
      </c>
      <c r="DG34" s="725">
        <v>12.684261520889756</v>
      </c>
      <c r="DH34" s="725">
        <v>12.684261520889756</v>
      </c>
      <c r="DI34" s="725">
        <f t="shared" ref="DI34:DI41" si="66">SUM(DB34:DH34)</f>
        <v>88.789830646228296</v>
      </c>
      <c r="DJ34" s="764">
        <f t="shared" ref="DJ34:DJ41" si="67">CV34-DI34</f>
        <v>346.84854643194296</v>
      </c>
      <c r="DK34" s="725">
        <v>12.684261520889756</v>
      </c>
      <c r="DL34" s="725">
        <v>12.684261520889756</v>
      </c>
      <c r="DM34" s="725">
        <v>12.684261520889756</v>
      </c>
      <c r="DN34" s="725">
        <v>12.684261520889756</v>
      </c>
      <c r="DO34" s="725">
        <v>12.684261520889756</v>
      </c>
      <c r="DP34" s="511">
        <f t="shared" ref="DP34:DP41" si="68">SUM(DK34:DO34)</f>
        <v>63.421307604448778</v>
      </c>
      <c r="DQ34" s="960">
        <f t="shared" ref="DQ34:DQ41" si="69">DJ34-DP34</f>
        <v>283.42723882749419</v>
      </c>
      <c r="DR34" s="656">
        <v>132.28200000000001</v>
      </c>
      <c r="DS34" s="1002">
        <v>140.047</v>
      </c>
      <c r="DT34" s="656">
        <f t="shared" ref="DT34:DT41" si="70">DR34/DS34</f>
        <v>0.9445543281898221</v>
      </c>
      <c r="DU34" s="511">
        <f>DQ34/CO34</f>
        <v>14.917223096183905</v>
      </c>
      <c r="DV34" s="511">
        <f t="shared" ref="DV34:DV41" si="71">DU34*DT34</f>
        <v>14.090127640073687</v>
      </c>
      <c r="DW34" s="511">
        <v>14.090127640073687</v>
      </c>
      <c r="DX34" s="511">
        <v>14.090127640073687</v>
      </c>
      <c r="DY34" s="511">
        <v>14.090127640073687</v>
      </c>
      <c r="DZ34" s="511">
        <v>14.090127640073687</v>
      </c>
      <c r="EA34" s="511">
        <v>14.090127640073687</v>
      </c>
      <c r="EB34" s="511">
        <v>14.090127640073687</v>
      </c>
      <c r="EC34" s="511">
        <v>14.090127640073687</v>
      </c>
      <c r="ED34" s="511">
        <v>14.090127640073687</v>
      </c>
      <c r="EE34" s="511">
        <v>14.090127640073687</v>
      </c>
      <c r="EF34" s="511">
        <v>14.090127640073687</v>
      </c>
      <c r="EG34" s="511">
        <v>14.090127640073687</v>
      </c>
      <c r="EH34" s="511">
        <v>14.090127640073687</v>
      </c>
      <c r="EI34" s="511">
        <v>14.090127640073687</v>
      </c>
      <c r="EJ34" s="511">
        <v>14.090127640073687</v>
      </c>
      <c r="EK34" s="511">
        <v>14.090127640073687</v>
      </c>
      <c r="EL34" s="511">
        <v>14.090127640073687</v>
      </c>
      <c r="EM34" s="511">
        <v>14.090127640073687</v>
      </c>
      <c r="EN34" s="511">
        <v>14.090127640073687</v>
      </c>
      <c r="EO34" s="511">
        <f t="shared" si="31"/>
        <v>253.62229752132637</v>
      </c>
      <c r="EP34" s="756">
        <f t="shared" ref="EP34:EP41" si="72">DQ34-EO34</f>
        <v>29.804941306167819</v>
      </c>
    </row>
    <row r="35" spans="1:146" s="16" customFormat="1" x14ac:dyDescent="0.2">
      <c r="A35" s="100" t="s">
        <v>74</v>
      </c>
      <c r="B35" s="100" t="s">
        <v>713</v>
      </c>
      <c r="C35" s="45" t="s">
        <v>311</v>
      </c>
      <c r="D35" s="58">
        <v>10</v>
      </c>
      <c r="E35" s="53">
        <v>0.1</v>
      </c>
      <c r="F35" s="46">
        <v>42344</v>
      </c>
      <c r="G35" s="48">
        <v>120</v>
      </c>
      <c r="H35" s="145">
        <f>100/G35</f>
        <v>0.83333333333333337</v>
      </c>
      <c r="I35" s="165">
        <f>H35*J35</f>
        <v>0</v>
      </c>
      <c r="J35" s="48">
        <f>(YEAR(F35)-YEAR(S35))*12+MONTH(F35)-MONTH(S35)</f>
        <v>0</v>
      </c>
      <c r="K35" s="165">
        <f>L35*H35</f>
        <v>100</v>
      </c>
      <c r="L35" s="48">
        <f>G35-J35</f>
        <v>120</v>
      </c>
      <c r="M35" s="165">
        <f>N35*H35</f>
        <v>0</v>
      </c>
      <c r="N35" s="48">
        <v>0</v>
      </c>
      <c r="O35" s="165">
        <f>P35*H35</f>
        <v>100</v>
      </c>
      <c r="P35" s="48">
        <f t="shared" si="43"/>
        <v>120</v>
      </c>
      <c r="Q35" s="48">
        <f>M35-O35</f>
        <v>-100</v>
      </c>
      <c r="R35" s="568">
        <v>4658</v>
      </c>
      <c r="S35" s="46">
        <v>42344</v>
      </c>
      <c r="T35" s="47">
        <v>734</v>
      </c>
      <c r="U35" s="57">
        <v>0</v>
      </c>
      <c r="V35" s="55">
        <v>0</v>
      </c>
      <c r="W35" s="55">
        <v>118.051</v>
      </c>
      <c r="X35" s="57">
        <v>115.958</v>
      </c>
      <c r="Y35" s="374">
        <v>118.532</v>
      </c>
      <c r="Z35" s="57">
        <f>X35/Y35</f>
        <v>0.97828434515573859</v>
      </c>
      <c r="AA35" s="55">
        <f>H35*T35/100</f>
        <v>6.1166666666666671</v>
      </c>
      <c r="AB35" s="55">
        <f>AA35*Z35</f>
        <v>5.9838392445359352</v>
      </c>
      <c r="AC35" s="55"/>
      <c r="AD35" s="55"/>
      <c r="AE35" s="55"/>
      <c r="AF35" s="55"/>
      <c r="AG35" s="55"/>
      <c r="AH35" s="55"/>
      <c r="AI35" s="55"/>
      <c r="AJ35" s="55"/>
      <c r="AK35" s="72"/>
      <c r="AL35" s="72"/>
      <c r="AM35" s="72"/>
      <c r="AN35" s="72">
        <v>0</v>
      </c>
      <c r="AO35" s="72">
        <v>0</v>
      </c>
      <c r="AP35" s="72">
        <f>T35</f>
        <v>734</v>
      </c>
      <c r="AQ35" s="72"/>
      <c r="AR35" s="72"/>
      <c r="AS35" s="429">
        <f>5.98</f>
        <v>5.98</v>
      </c>
      <c r="AT35" s="429">
        <f t="shared" ref="AT35:AW36" si="73">5.98</f>
        <v>5.98</v>
      </c>
      <c r="AU35" s="429">
        <f t="shared" si="73"/>
        <v>5.98</v>
      </c>
      <c r="AV35" s="429">
        <f t="shared" si="73"/>
        <v>5.98</v>
      </c>
      <c r="AW35" s="429">
        <f t="shared" si="73"/>
        <v>5.98</v>
      </c>
      <c r="AX35" s="57">
        <v>118.901</v>
      </c>
      <c r="AY35" s="374">
        <v>118.532</v>
      </c>
      <c r="AZ35" s="57">
        <f t="shared" si="49"/>
        <v>1.0031130833867647</v>
      </c>
      <c r="BA35" s="55">
        <f t="shared" si="27"/>
        <v>6.1166666666666663</v>
      </c>
      <c r="BB35" s="55">
        <f t="shared" si="50"/>
        <v>6.1357083600490441</v>
      </c>
      <c r="BC35" s="429">
        <f t="shared" si="32"/>
        <v>6.1357083600490441</v>
      </c>
      <c r="BD35" s="429">
        <f t="shared" si="32"/>
        <v>6.1357083600490441</v>
      </c>
      <c r="BE35" s="429">
        <f t="shared" si="32"/>
        <v>6.1357083600490441</v>
      </c>
      <c r="BF35" s="429">
        <f t="shared" si="32"/>
        <v>6.1357083600490441</v>
      </c>
      <c r="BG35" s="32">
        <v>6.14</v>
      </c>
      <c r="BH35" s="32">
        <v>6.14</v>
      </c>
      <c r="BI35" s="32">
        <v>6.14</v>
      </c>
      <c r="BJ35" s="431">
        <f t="shared" si="51"/>
        <v>72.862833440196169</v>
      </c>
      <c r="BK35" s="439">
        <f t="shared" si="33"/>
        <v>661.13716655980386</v>
      </c>
      <c r="BL35" s="32">
        <v>6.14</v>
      </c>
      <c r="BM35" s="32">
        <v>6.14</v>
      </c>
      <c r="BN35" s="32">
        <v>6.14</v>
      </c>
      <c r="BO35" s="32">
        <v>6.14</v>
      </c>
      <c r="BP35" s="32">
        <v>6.14</v>
      </c>
      <c r="BQ35" s="57">
        <v>118.901</v>
      </c>
      <c r="BR35" s="374">
        <v>118.532</v>
      </c>
      <c r="BS35" s="57">
        <f t="shared" si="52"/>
        <v>1.0031130833867647</v>
      </c>
      <c r="BT35" s="55"/>
      <c r="BU35" s="55"/>
      <c r="BV35" s="429"/>
      <c r="BW35" s="429"/>
      <c r="BX35" s="429"/>
      <c r="BY35" s="429"/>
      <c r="BZ35" s="32"/>
      <c r="CA35" s="32"/>
      <c r="CB35" s="32"/>
      <c r="CC35" s="431">
        <f t="shared" si="53"/>
        <v>30.7</v>
      </c>
      <c r="CD35" s="442">
        <f t="shared" si="28"/>
        <v>630.43716655980381</v>
      </c>
      <c r="CE35" s="58">
        <v>10</v>
      </c>
      <c r="CF35" s="53">
        <v>0.1</v>
      </c>
      <c r="CG35" s="46">
        <v>43281</v>
      </c>
      <c r="CH35" s="48">
        <v>120</v>
      </c>
      <c r="CI35" s="145">
        <f t="shared" si="54"/>
        <v>6.1166666666666661E-2</v>
      </c>
      <c r="CJ35" s="165">
        <f t="shared" si="55"/>
        <v>1.8349999999999997</v>
      </c>
      <c r="CK35" s="48">
        <f t="shared" si="56"/>
        <v>30</v>
      </c>
      <c r="CL35" s="165">
        <f t="shared" si="57"/>
        <v>5.5049999999999999</v>
      </c>
      <c r="CM35" s="48">
        <f t="shared" si="58"/>
        <v>90</v>
      </c>
      <c r="CN35" s="165">
        <f t="shared" si="59"/>
        <v>5.5049999999999999</v>
      </c>
      <c r="CO35" s="48">
        <f t="shared" si="60"/>
        <v>90</v>
      </c>
      <c r="CP35" s="165">
        <f>CQ35*CI35</f>
        <v>5.5049999999999999</v>
      </c>
      <c r="CQ35" s="48">
        <f t="shared" si="61"/>
        <v>90</v>
      </c>
      <c r="CR35" s="462">
        <f t="shared" si="62"/>
        <v>45997</v>
      </c>
      <c r="CS35" s="568">
        <v>4658</v>
      </c>
      <c r="CT35" s="46">
        <v>42344</v>
      </c>
      <c r="CU35" s="47">
        <v>734</v>
      </c>
      <c r="CV35" s="764">
        <v>630.43716655980381</v>
      </c>
      <c r="CW35" s="258">
        <v>126.408</v>
      </c>
      <c r="CX35" s="56">
        <v>118.532</v>
      </c>
      <c r="CY35" s="258">
        <f t="shared" si="63"/>
        <v>1.0664461917456889</v>
      </c>
      <c r="CZ35" s="56">
        <f t="shared" si="64"/>
        <v>7.0048574062200419</v>
      </c>
      <c r="DA35" s="56">
        <f t="shared" si="65"/>
        <v>7.4703035045849475</v>
      </c>
      <c r="DB35" s="725">
        <v>6.5914442687514256</v>
      </c>
      <c r="DC35" s="725">
        <v>6.5914442687514256</v>
      </c>
      <c r="DD35" s="725">
        <v>6.5914442687514256</v>
      </c>
      <c r="DE35" s="725">
        <v>6.5914442687514256</v>
      </c>
      <c r="DF35" s="725">
        <v>6.5914442687514256</v>
      </c>
      <c r="DG35" s="725">
        <v>6.5914442687514256</v>
      </c>
      <c r="DH35" s="725">
        <v>6.5914442687514256</v>
      </c>
      <c r="DI35" s="725">
        <f t="shared" si="66"/>
        <v>46.140109881259974</v>
      </c>
      <c r="DJ35" s="764">
        <f t="shared" si="67"/>
        <v>584.29705667854387</v>
      </c>
      <c r="DK35" s="725">
        <v>6.5914442687514256</v>
      </c>
      <c r="DL35" s="725">
        <v>6.5914442687514256</v>
      </c>
      <c r="DM35" s="725">
        <v>6.5914442687514256</v>
      </c>
      <c r="DN35" s="725">
        <v>6.5914442687514256</v>
      </c>
      <c r="DO35" s="725">
        <v>6.5914442687514256</v>
      </c>
      <c r="DP35" s="511">
        <f t="shared" si="68"/>
        <v>32.957221343757126</v>
      </c>
      <c r="DQ35" s="960">
        <f t="shared" si="69"/>
        <v>551.3398353347867</v>
      </c>
      <c r="DR35" s="656">
        <v>132.28200000000001</v>
      </c>
      <c r="DS35" s="1029">
        <v>118.532</v>
      </c>
      <c r="DT35" s="656">
        <f t="shared" si="70"/>
        <v>1.1160024297236191</v>
      </c>
      <c r="DU35" s="511">
        <f t="shared" ref="DU35:DU41" si="74">DQ35/CO35</f>
        <v>6.1259981703865192</v>
      </c>
      <c r="DV35" s="511">
        <f t="shared" si="71"/>
        <v>6.8366288426338002</v>
      </c>
      <c r="DW35" s="511">
        <v>6.8366288426338002</v>
      </c>
      <c r="DX35" s="511">
        <v>6.8366288426338002</v>
      </c>
      <c r="DY35" s="511">
        <v>6.8366288426338002</v>
      </c>
      <c r="DZ35" s="511">
        <v>6.8366288426338002</v>
      </c>
      <c r="EA35" s="511">
        <v>6.8366288426338002</v>
      </c>
      <c r="EB35" s="511">
        <v>6.8366288426338002</v>
      </c>
      <c r="EC35" s="511">
        <v>6.8366288426338002</v>
      </c>
      <c r="ED35" s="511">
        <v>6.8366288426338002</v>
      </c>
      <c r="EE35" s="511">
        <v>6.8366288426338002</v>
      </c>
      <c r="EF35" s="511">
        <v>6.8366288426338002</v>
      </c>
      <c r="EG35" s="511">
        <v>6.8366288426338002</v>
      </c>
      <c r="EH35" s="511">
        <v>6.8366288426338002</v>
      </c>
      <c r="EI35" s="511">
        <v>6.8366288426338002</v>
      </c>
      <c r="EJ35" s="511">
        <v>6.8366288426338002</v>
      </c>
      <c r="EK35" s="511">
        <v>6.8366288426338002</v>
      </c>
      <c r="EL35" s="511">
        <v>6.8366288426338002</v>
      </c>
      <c r="EM35" s="511">
        <v>6.8366288426338002</v>
      </c>
      <c r="EN35" s="511">
        <v>6.8366288426338002</v>
      </c>
      <c r="EO35" s="511">
        <f t="shared" si="31"/>
        <v>123.0593191674084</v>
      </c>
      <c r="EP35" s="756">
        <f t="shared" si="72"/>
        <v>428.28051616737832</v>
      </c>
    </row>
    <row r="36" spans="1:146" s="16" customFormat="1" x14ac:dyDescent="0.2">
      <c r="A36" s="100" t="s">
        <v>74</v>
      </c>
      <c r="B36" s="100" t="s">
        <v>713</v>
      </c>
      <c r="C36" s="45" t="s">
        <v>312</v>
      </c>
      <c r="D36" s="58">
        <v>10</v>
      </c>
      <c r="E36" s="53">
        <v>0.1</v>
      </c>
      <c r="F36" s="46">
        <v>42344</v>
      </c>
      <c r="G36" s="48">
        <v>120</v>
      </c>
      <c r="H36" s="145">
        <f>100/G36</f>
        <v>0.83333333333333337</v>
      </c>
      <c r="I36" s="165">
        <f>H36*J36</f>
        <v>0</v>
      </c>
      <c r="J36" s="48">
        <f>(YEAR(F36)-YEAR(S36))*12+MONTH(F36)-MONTH(S36)</f>
        <v>0</v>
      </c>
      <c r="K36" s="165">
        <f>L36*H36</f>
        <v>100</v>
      </c>
      <c r="L36" s="48">
        <f>G36-J36</f>
        <v>120</v>
      </c>
      <c r="M36" s="165">
        <f>N36*H36</f>
        <v>0</v>
      </c>
      <c r="N36" s="48">
        <v>0</v>
      </c>
      <c r="O36" s="165">
        <f>P36*H36</f>
        <v>100</v>
      </c>
      <c r="P36" s="48">
        <f>L36-N36</f>
        <v>120</v>
      </c>
      <c r="Q36" s="48">
        <f>M36-O36</f>
        <v>-100</v>
      </c>
      <c r="R36" s="568">
        <v>4658</v>
      </c>
      <c r="S36" s="46">
        <v>42344</v>
      </c>
      <c r="T36" s="47">
        <v>734</v>
      </c>
      <c r="U36" s="57">
        <v>0</v>
      </c>
      <c r="V36" s="55">
        <v>0</v>
      </c>
      <c r="W36" s="55">
        <v>118.051</v>
      </c>
      <c r="X36" s="57">
        <v>115.958</v>
      </c>
      <c r="Y36" s="374">
        <v>118.532</v>
      </c>
      <c r="Z36" s="57">
        <f>X36/Y36</f>
        <v>0.97828434515573859</v>
      </c>
      <c r="AA36" s="55">
        <f>H36*T36/100</f>
        <v>6.1166666666666671</v>
      </c>
      <c r="AB36" s="55">
        <f>AA36*Z36</f>
        <v>5.9838392445359352</v>
      </c>
      <c r="AC36" s="55"/>
      <c r="AD36" s="55"/>
      <c r="AE36" s="55"/>
      <c r="AF36" s="55"/>
      <c r="AG36" s="55"/>
      <c r="AH36" s="55"/>
      <c r="AI36" s="55"/>
      <c r="AJ36" s="55"/>
      <c r="AK36" s="72"/>
      <c r="AL36" s="72"/>
      <c r="AM36" s="72"/>
      <c r="AN36" s="72">
        <v>0</v>
      </c>
      <c r="AO36" s="72">
        <v>0</v>
      </c>
      <c r="AP36" s="72">
        <f>T36</f>
        <v>734</v>
      </c>
      <c r="AQ36" s="72"/>
      <c r="AR36" s="72"/>
      <c r="AS36" s="429">
        <f>5.98</f>
        <v>5.98</v>
      </c>
      <c r="AT36" s="429">
        <f t="shared" si="73"/>
        <v>5.98</v>
      </c>
      <c r="AU36" s="429">
        <f t="shared" si="73"/>
        <v>5.98</v>
      </c>
      <c r="AV36" s="429">
        <f t="shared" si="73"/>
        <v>5.98</v>
      </c>
      <c r="AW36" s="429">
        <f t="shared" si="73"/>
        <v>5.98</v>
      </c>
      <c r="AX36" s="57">
        <v>118.901</v>
      </c>
      <c r="AY36" s="374">
        <v>118.532</v>
      </c>
      <c r="AZ36" s="57">
        <f t="shared" si="49"/>
        <v>1.0031130833867647</v>
      </c>
      <c r="BA36" s="55">
        <f t="shared" si="27"/>
        <v>6.1166666666666663</v>
      </c>
      <c r="BB36" s="55">
        <f t="shared" si="50"/>
        <v>6.1357083600490441</v>
      </c>
      <c r="BC36" s="429">
        <f t="shared" si="32"/>
        <v>6.1357083600490441</v>
      </c>
      <c r="BD36" s="429">
        <f t="shared" si="32"/>
        <v>6.1357083600490441</v>
      </c>
      <c r="BE36" s="429">
        <f t="shared" si="32"/>
        <v>6.1357083600490441</v>
      </c>
      <c r="BF36" s="429">
        <f t="shared" si="32"/>
        <v>6.1357083600490441</v>
      </c>
      <c r="BG36" s="32">
        <v>6.14</v>
      </c>
      <c r="BH36" s="32">
        <v>6.14</v>
      </c>
      <c r="BI36" s="32">
        <v>6.14</v>
      </c>
      <c r="BJ36" s="431">
        <f t="shared" si="51"/>
        <v>72.862833440196169</v>
      </c>
      <c r="BK36" s="439">
        <f t="shared" si="33"/>
        <v>661.13716655980386</v>
      </c>
      <c r="BL36" s="32">
        <v>6.14</v>
      </c>
      <c r="BM36" s="32">
        <v>6.14</v>
      </c>
      <c r="BN36" s="32">
        <v>6.14</v>
      </c>
      <c r="BO36" s="32">
        <v>6.14</v>
      </c>
      <c r="BP36" s="32">
        <v>6.14</v>
      </c>
      <c r="BQ36" s="57">
        <v>118.901</v>
      </c>
      <c r="BR36" s="374">
        <v>118.532</v>
      </c>
      <c r="BS36" s="57">
        <f t="shared" si="52"/>
        <v>1.0031130833867647</v>
      </c>
      <c r="BT36" s="55"/>
      <c r="BU36" s="55"/>
      <c r="BV36" s="429"/>
      <c r="BW36" s="429"/>
      <c r="BX36" s="429"/>
      <c r="BY36" s="429"/>
      <c r="BZ36" s="32"/>
      <c r="CA36" s="32"/>
      <c r="CB36" s="32"/>
      <c r="CC36" s="431">
        <f t="shared" si="53"/>
        <v>30.7</v>
      </c>
      <c r="CD36" s="442">
        <f t="shared" si="28"/>
        <v>630.43716655980381</v>
      </c>
      <c r="CE36" s="58">
        <v>10</v>
      </c>
      <c r="CF36" s="53">
        <v>0.1</v>
      </c>
      <c r="CG36" s="46">
        <v>43281</v>
      </c>
      <c r="CH36" s="48">
        <v>120</v>
      </c>
      <c r="CI36" s="145">
        <f t="shared" si="54"/>
        <v>6.1166666666666661E-2</v>
      </c>
      <c r="CJ36" s="165">
        <f t="shared" si="55"/>
        <v>1.8349999999999997</v>
      </c>
      <c r="CK36" s="48">
        <f t="shared" si="56"/>
        <v>30</v>
      </c>
      <c r="CL36" s="165">
        <f t="shared" si="57"/>
        <v>5.5049999999999999</v>
      </c>
      <c r="CM36" s="48">
        <f t="shared" si="58"/>
        <v>90</v>
      </c>
      <c r="CN36" s="165">
        <f t="shared" si="59"/>
        <v>5.5049999999999999</v>
      </c>
      <c r="CO36" s="48">
        <f t="shared" si="60"/>
        <v>90</v>
      </c>
      <c r="CP36" s="165">
        <f>CQ36*CI36</f>
        <v>5.5049999999999999</v>
      </c>
      <c r="CQ36" s="48">
        <f t="shared" si="61"/>
        <v>90</v>
      </c>
      <c r="CR36" s="462">
        <f t="shared" si="62"/>
        <v>45997</v>
      </c>
      <c r="CS36" s="568">
        <v>4658</v>
      </c>
      <c r="CT36" s="46">
        <v>42344</v>
      </c>
      <c r="CU36" s="47">
        <v>734</v>
      </c>
      <c r="CV36" s="764">
        <v>630.43716655980381</v>
      </c>
      <c r="CW36" s="258">
        <v>126.408</v>
      </c>
      <c r="CX36" s="56">
        <v>118.532</v>
      </c>
      <c r="CY36" s="258">
        <f t="shared" si="63"/>
        <v>1.0664461917456889</v>
      </c>
      <c r="CZ36" s="56">
        <f t="shared" si="64"/>
        <v>7.0048574062200419</v>
      </c>
      <c r="DA36" s="56">
        <f t="shared" si="65"/>
        <v>7.4703035045849475</v>
      </c>
      <c r="DB36" s="725">
        <v>6.5914442687514256</v>
      </c>
      <c r="DC36" s="725">
        <v>6.5914442687514256</v>
      </c>
      <c r="DD36" s="725">
        <v>6.5914442687514256</v>
      </c>
      <c r="DE36" s="725">
        <v>6.5914442687514256</v>
      </c>
      <c r="DF36" s="725">
        <v>6.5914442687514256</v>
      </c>
      <c r="DG36" s="725">
        <v>6.5914442687514256</v>
      </c>
      <c r="DH36" s="725">
        <v>6.5914442687514256</v>
      </c>
      <c r="DI36" s="725">
        <f t="shared" si="66"/>
        <v>46.140109881259974</v>
      </c>
      <c r="DJ36" s="764">
        <f t="shared" si="67"/>
        <v>584.29705667854387</v>
      </c>
      <c r="DK36" s="725">
        <v>6.5914442687514256</v>
      </c>
      <c r="DL36" s="725">
        <v>6.5914442687514256</v>
      </c>
      <c r="DM36" s="725">
        <v>6.5914442687514256</v>
      </c>
      <c r="DN36" s="725">
        <v>6.5914442687514256</v>
      </c>
      <c r="DO36" s="725">
        <v>6.5914442687514256</v>
      </c>
      <c r="DP36" s="511">
        <f t="shared" si="68"/>
        <v>32.957221343757126</v>
      </c>
      <c r="DQ36" s="960">
        <f t="shared" si="69"/>
        <v>551.3398353347867</v>
      </c>
      <c r="DR36" s="656">
        <v>132.28200000000001</v>
      </c>
      <c r="DS36" s="1029">
        <v>118.532</v>
      </c>
      <c r="DT36" s="656">
        <f t="shared" si="70"/>
        <v>1.1160024297236191</v>
      </c>
      <c r="DU36" s="511">
        <f t="shared" si="74"/>
        <v>6.1259981703865192</v>
      </c>
      <c r="DV36" s="511">
        <f t="shared" si="71"/>
        <v>6.8366288426338002</v>
      </c>
      <c r="DW36" s="511">
        <v>6.8366288426338002</v>
      </c>
      <c r="DX36" s="511">
        <v>6.8366288426338002</v>
      </c>
      <c r="DY36" s="511">
        <v>6.8366288426338002</v>
      </c>
      <c r="DZ36" s="511">
        <v>6.8366288426338002</v>
      </c>
      <c r="EA36" s="511">
        <v>6.8366288426338002</v>
      </c>
      <c r="EB36" s="511">
        <v>6.8366288426338002</v>
      </c>
      <c r="EC36" s="511">
        <v>6.8366288426338002</v>
      </c>
      <c r="ED36" s="511">
        <v>6.8366288426338002</v>
      </c>
      <c r="EE36" s="511">
        <v>6.8366288426338002</v>
      </c>
      <c r="EF36" s="511">
        <v>6.8366288426338002</v>
      </c>
      <c r="EG36" s="511">
        <v>6.8366288426338002</v>
      </c>
      <c r="EH36" s="511">
        <v>6.8366288426338002</v>
      </c>
      <c r="EI36" s="511">
        <v>6.8366288426338002</v>
      </c>
      <c r="EJ36" s="511">
        <v>6.8366288426338002</v>
      </c>
      <c r="EK36" s="511">
        <v>6.8366288426338002</v>
      </c>
      <c r="EL36" s="511">
        <v>6.8366288426338002</v>
      </c>
      <c r="EM36" s="511">
        <v>6.8366288426338002</v>
      </c>
      <c r="EN36" s="511">
        <v>6.8366288426338002</v>
      </c>
      <c r="EO36" s="511">
        <f t="shared" si="31"/>
        <v>123.0593191674084</v>
      </c>
      <c r="EP36" s="756">
        <f t="shared" si="72"/>
        <v>428.28051616737832</v>
      </c>
    </row>
    <row r="37" spans="1:146" s="16" customFormat="1" x14ac:dyDescent="0.2">
      <c r="A37" s="100" t="s">
        <v>74</v>
      </c>
      <c r="B37" s="100" t="s">
        <v>472</v>
      </c>
      <c r="C37" s="100" t="s">
        <v>311</v>
      </c>
      <c r="D37" s="58">
        <v>10</v>
      </c>
      <c r="E37" s="130">
        <v>0.1</v>
      </c>
      <c r="F37" s="46">
        <v>42185</v>
      </c>
      <c r="G37" s="17">
        <v>120</v>
      </c>
      <c r="H37" s="145">
        <f t="shared" si="36"/>
        <v>0.83333333333333337</v>
      </c>
      <c r="I37" s="165">
        <f t="shared" si="37"/>
        <v>24.166666666666668</v>
      </c>
      <c r="J37" s="48">
        <f t="shared" si="38"/>
        <v>29</v>
      </c>
      <c r="K37" s="165">
        <f t="shared" si="39"/>
        <v>75.833333333333343</v>
      </c>
      <c r="L37" s="48">
        <f t="shared" si="40"/>
        <v>91</v>
      </c>
      <c r="M37" s="165">
        <f t="shared" si="41"/>
        <v>5.8333333333333339</v>
      </c>
      <c r="N37" s="48">
        <v>7</v>
      </c>
      <c r="O37" s="165">
        <f t="shared" si="42"/>
        <v>70.000000000000014</v>
      </c>
      <c r="P37" s="48">
        <f t="shared" si="43"/>
        <v>84</v>
      </c>
      <c r="Q37" s="48">
        <f t="shared" si="43"/>
        <v>-64.166666666666686</v>
      </c>
      <c r="R37" s="567" t="s">
        <v>498</v>
      </c>
      <c r="S37" s="119">
        <v>41296</v>
      </c>
      <c r="T37" s="134">
        <v>1677</v>
      </c>
      <c r="U37" s="14">
        <v>1271.67</v>
      </c>
      <c r="V37" s="106">
        <v>69.900000000000006</v>
      </c>
      <c r="W37" s="66"/>
      <c r="X37" s="57">
        <v>115.958</v>
      </c>
      <c r="Y37" s="80">
        <v>107.678</v>
      </c>
      <c r="Z37" s="57">
        <f t="shared" si="44"/>
        <v>1.0768959304593324</v>
      </c>
      <c r="AA37" s="55">
        <f t="shared" si="45"/>
        <v>13.974395604395601</v>
      </c>
      <c r="AB37" s="55">
        <f t="shared" si="46"/>
        <v>15.048969757002405</v>
      </c>
      <c r="AC37" s="55"/>
      <c r="AD37" s="55"/>
      <c r="AE37" s="55"/>
      <c r="AF37" s="55"/>
      <c r="AG37" s="55"/>
      <c r="AH37" s="55">
        <f t="shared" si="47"/>
        <v>15.048969757002405</v>
      </c>
      <c r="AI37" s="55">
        <v>15.048969757002405</v>
      </c>
      <c r="AJ37" s="55">
        <v>15.048969757002405</v>
      </c>
      <c r="AK37" s="55">
        <v>15.048969757002405</v>
      </c>
      <c r="AL37" s="55">
        <v>15.048969757002405</v>
      </c>
      <c r="AM37" s="55">
        <v>15.048969757002405</v>
      </c>
      <c r="AN37" s="55">
        <v>15.048969757002405</v>
      </c>
      <c r="AO37" s="55">
        <f>SUM(AC37:AN37)</f>
        <v>105.34278829901685</v>
      </c>
      <c r="AP37" s="72">
        <f t="shared" si="48"/>
        <v>1166.3272117009833</v>
      </c>
      <c r="AQ37" s="72"/>
      <c r="AR37" s="72"/>
      <c r="AS37" s="429">
        <f t="shared" si="34"/>
        <v>15.048969757002405</v>
      </c>
      <c r="AT37" s="429">
        <f t="shared" si="34"/>
        <v>15.048969757002405</v>
      </c>
      <c r="AU37" s="429">
        <f t="shared" si="34"/>
        <v>15.048969757002405</v>
      </c>
      <c r="AV37" s="429">
        <f t="shared" si="34"/>
        <v>15.048969757002405</v>
      </c>
      <c r="AW37" s="429">
        <f t="shared" si="34"/>
        <v>15.048969757002405</v>
      </c>
      <c r="AX37" s="57">
        <v>118.901</v>
      </c>
      <c r="AY37" s="80">
        <v>107.678</v>
      </c>
      <c r="AZ37" s="57">
        <f t="shared" si="49"/>
        <v>1.1042274187856387</v>
      </c>
      <c r="BA37" s="55">
        <f t="shared" si="27"/>
        <v>13.975</v>
      </c>
      <c r="BB37" s="55">
        <f t="shared" si="50"/>
        <v>15.4315781775293</v>
      </c>
      <c r="BC37" s="429">
        <f t="shared" si="32"/>
        <v>15.4315781775293</v>
      </c>
      <c r="BD37" s="429">
        <f t="shared" si="32"/>
        <v>15.4315781775293</v>
      </c>
      <c r="BE37" s="429">
        <f t="shared" si="32"/>
        <v>15.4315781775293</v>
      </c>
      <c r="BF37" s="429">
        <f t="shared" si="32"/>
        <v>15.4315781775293</v>
      </c>
      <c r="BG37" s="32">
        <v>15.43</v>
      </c>
      <c r="BH37" s="32">
        <v>15.43</v>
      </c>
      <c r="BI37" s="32">
        <v>15.43</v>
      </c>
      <c r="BJ37" s="431">
        <f t="shared" si="51"/>
        <v>183.26116149512924</v>
      </c>
      <c r="BK37" s="439">
        <f t="shared" si="33"/>
        <v>983.06605020585403</v>
      </c>
      <c r="BL37" s="32">
        <v>15.43</v>
      </c>
      <c r="BM37" s="32">
        <v>15.43</v>
      </c>
      <c r="BN37" s="32">
        <v>15.43</v>
      </c>
      <c r="BO37" s="32">
        <v>15.43</v>
      </c>
      <c r="BP37" s="32">
        <v>15.43</v>
      </c>
      <c r="BQ37" s="57">
        <v>118.901</v>
      </c>
      <c r="BR37" s="80">
        <v>107.678</v>
      </c>
      <c r="BS37" s="57">
        <f t="shared" si="52"/>
        <v>1.1042274187856387</v>
      </c>
      <c r="BT37" s="55"/>
      <c r="BU37" s="55"/>
      <c r="BV37" s="429"/>
      <c r="BW37" s="429"/>
      <c r="BX37" s="429"/>
      <c r="BY37" s="429"/>
      <c r="BZ37" s="32"/>
      <c r="CA37" s="32"/>
      <c r="CB37" s="32"/>
      <c r="CC37" s="431">
        <f t="shared" si="53"/>
        <v>77.150000000000006</v>
      </c>
      <c r="CD37" s="442">
        <f t="shared" si="28"/>
        <v>905.91605020585405</v>
      </c>
      <c r="CE37" s="58">
        <v>10</v>
      </c>
      <c r="CF37" s="130">
        <v>0.1</v>
      </c>
      <c r="CG37" s="46">
        <v>43281</v>
      </c>
      <c r="CH37" s="17">
        <v>120</v>
      </c>
      <c r="CI37" s="145">
        <f t="shared" si="54"/>
        <v>0.13974999999999999</v>
      </c>
      <c r="CJ37" s="165">
        <f t="shared" si="55"/>
        <v>9.0837499999999984</v>
      </c>
      <c r="CK37" s="48">
        <f t="shared" si="56"/>
        <v>65</v>
      </c>
      <c r="CL37" s="165">
        <f t="shared" si="57"/>
        <v>7.6862499999999994</v>
      </c>
      <c r="CM37" s="48">
        <f t="shared" si="58"/>
        <v>55</v>
      </c>
      <c r="CN37" s="165">
        <f t="shared" si="59"/>
        <v>7.6862499999999994</v>
      </c>
      <c r="CO37" s="48">
        <f t="shared" si="60"/>
        <v>55</v>
      </c>
      <c r="CP37" s="165">
        <f>CL37-CN37</f>
        <v>0</v>
      </c>
      <c r="CQ37" s="48">
        <f t="shared" si="61"/>
        <v>55</v>
      </c>
      <c r="CR37" s="462">
        <f t="shared" si="62"/>
        <v>44948</v>
      </c>
      <c r="CS37" s="567" t="s">
        <v>498</v>
      </c>
      <c r="CT37" s="119">
        <v>41296</v>
      </c>
      <c r="CU37" s="134">
        <v>1677</v>
      </c>
      <c r="CV37" s="764">
        <v>905.91605020585405</v>
      </c>
      <c r="CW37" s="258">
        <v>126.408</v>
      </c>
      <c r="CX37" s="258">
        <v>107.678</v>
      </c>
      <c r="CY37" s="258">
        <f t="shared" si="63"/>
        <v>1.1739445383458089</v>
      </c>
      <c r="CZ37" s="56">
        <f t="shared" si="64"/>
        <v>16.471200912833709</v>
      </c>
      <c r="DA37" s="56">
        <f t="shared" si="65"/>
        <v>19.336276351617634</v>
      </c>
      <c r="DB37" s="725">
        <v>15.873062676701045</v>
      </c>
      <c r="DC37" s="725">
        <v>15.873062676701045</v>
      </c>
      <c r="DD37" s="725">
        <v>15.873062676701045</v>
      </c>
      <c r="DE37" s="725">
        <v>15.873062676701045</v>
      </c>
      <c r="DF37" s="725">
        <v>15.873062676701045</v>
      </c>
      <c r="DG37" s="725">
        <v>15.873062676701045</v>
      </c>
      <c r="DH37" s="725">
        <v>15.873062676701045</v>
      </c>
      <c r="DI37" s="725">
        <f t="shared" si="66"/>
        <v>111.1114387369073</v>
      </c>
      <c r="DJ37" s="764">
        <f t="shared" si="67"/>
        <v>794.80461146894675</v>
      </c>
      <c r="DK37" s="725">
        <v>15.873062676701045</v>
      </c>
      <c r="DL37" s="725">
        <v>15.873062676701045</v>
      </c>
      <c r="DM37" s="725">
        <v>15.873062676701045</v>
      </c>
      <c r="DN37" s="725">
        <v>15.873062676701045</v>
      </c>
      <c r="DO37" s="725">
        <v>15.873062676701045</v>
      </c>
      <c r="DP37" s="511">
        <f t="shared" si="68"/>
        <v>79.365313383505224</v>
      </c>
      <c r="DQ37" s="960">
        <f t="shared" si="69"/>
        <v>715.43929808544158</v>
      </c>
      <c r="DR37" s="656">
        <v>132.28200000000001</v>
      </c>
      <c r="DS37" s="1002">
        <v>107.678</v>
      </c>
      <c r="DT37" s="656">
        <f t="shared" si="70"/>
        <v>1.2284960716209441</v>
      </c>
      <c r="DU37" s="511">
        <f t="shared" si="74"/>
        <v>13.007987237917119</v>
      </c>
      <c r="DV37" s="511">
        <f t="shared" si="71"/>
        <v>15.980261221476555</v>
      </c>
      <c r="DW37" s="511">
        <v>15.980261221476555</v>
      </c>
      <c r="DX37" s="511">
        <v>15.980261221476555</v>
      </c>
      <c r="DY37" s="511">
        <v>15.980261221476555</v>
      </c>
      <c r="DZ37" s="511">
        <v>15.980261221476555</v>
      </c>
      <c r="EA37" s="511">
        <v>15.980261221476555</v>
      </c>
      <c r="EB37" s="511">
        <v>15.980261221476555</v>
      </c>
      <c r="EC37" s="511">
        <v>15.980261221476555</v>
      </c>
      <c r="ED37" s="511">
        <v>15.980261221476555</v>
      </c>
      <c r="EE37" s="511">
        <v>15.980261221476555</v>
      </c>
      <c r="EF37" s="511">
        <v>15.980261221476555</v>
      </c>
      <c r="EG37" s="511">
        <v>15.980261221476555</v>
      </c>
      <c r="EH37" s="511">
        <v>15.980261221476555</v>
      </c>
      <c r="EI37" s="511">
        <v>15.980261221476555</v>
      </c>
      <c r="EJ37" s="511">
        <v>15.980261221476555</v>
      </c>
      <c r="EK37" s="511">
        <v>15.980261221476555</v>
      </c>
      <c r="EL37" s="511">
        <v>15.980261221476555</v>
      </c>
      <c r="EM37" s="511">
        <v>15.980261221476555</v>
      </c>
      <c r="EN37" s="511">
        <v>15.980261221476555</v>
      </c>
      <c r="EO37" s="511">
        <f t="shared" si="31"/>
        <v>287.64470198657801</v>
      </c>
      <c r="EP37" s="756">
        <f t="shared" si="72"/>
        <v>427.79459609886356</v>
      </c>
    </row>
    <row r="38" spans="1:146" s="16" customFormat="1" x14ac:dyDescent="0.2">
      <c r="A38" s="100" t="s">
        <v>74</v>
      </c>
      <c r="B38" s="100" t="s">
        <v>473</v>
      </c>
      <c r="C38" s="100" t="s">
        <v>311</v>
      </c>
      <c r="D38" s="58">
        <v>10</v>
      </c>
      <c r="E38" s="130">
        <v>0.1</v>
      </c>
      <c r="F38" s="46">
        <v>42185</v>
      </c>
      <c r="G38" s="48">
        <v>120</v>
      </c>
      <c r="H38" s="145">
        <f t="shared" si="36"/>
        <v>0.83333333333333337</v>
      </c>
      <c r="I38" s="165">
        <f t="shared" si="37"/>
        <v>24.166666666666668</v>
      </c>
      <c r="J38" s="48">
        <f t="shared" si="38"/>
        <v>29</v>
      </c>
      <c r="K38" s="165">
        <f t="shared" si="39"/>
        <v>75.833333333333343</v>
      </c>
      <c r="L38" s="48">
        <f t="shared" si="40"/>
        <v>91</v>
      </c>
      <c r="M38" s="165">
        <f t="shared" si="41"/>
        <v>5.8333333333333339</v>
      </c>
      <c r="N38" s="48">
        <v>7</v>
      </c>
      <c r="O38" s="165">
        <f t="shared" si="42"/>
        <v>70.000000000000014</v>
      </c>
      <c r="P38" s="48">
        <f t="shared" si="43"/>
        <v>84</v>
      </c>
      <c r="Q38" s="48">
        <f t="shared" si="43"/>
        <v>-64.166666666666686</v>
      </c>
      <c r="R38" s="568" t="s">
        <v>499</v>
      </c>
      <c r="S38" s="119">
        <v>41283</v>
      </c>
      <c r="T38" s="134">
        <v>899</v>
      </c>
      <c r="U38" s="47">
        <v>771.66</v>
      </c>
      <c r="V38" s="106">
        <v>37.450000000000003</v>
      </c>
      <c r="W38" s="165">
        <v>0</v>
      </c>
      <c r="X38" s="57">
        <v>115.958</v>
      </c>
      <c r="Y38" s="80">
        <v>112.505</v>
      </c>
      <c r="Z38" s="57">
        <f t="shared" si="44"/>
        <v>1.0306919692458114</v>
      </c>
      <c r="AA38" s="55">
        <f t="shared" si="45"/>
        <v>8.4797802197802188</v>
      </c>
      <c r="AB38" s="55">
        <f t="shared" si="46"/>
        <v>8.740041373496954</v>
      </c>
      <c r="AC38" s="55"/>
      <c r="AD38" s="55"/>
      <c r="AE38" s="55"/>
      <c r="AF38" s="55"/>
      <c r="AG38" s="55"/>
      <c r="AH38" s="55">
        <f t="shared" si="47"/>
        <v>8.740041373496954</v>
      </c>
      <c r="AI38" s="55">
        <v>8.740041373496954</v>
      </c>
      <c r="AJ38" s="55">
        <v>8.740041373496954</v>
      </c>
      <c r="AK38" s="55">
        <v>8.740041373496954</v>
      </c>
      <c r="AL38" s="55">
        <v>8.740041373496954</v>
      </c>
      <c r="AM38" s="55">
        <v>8.740041373496954</v>
      </c>
      <c r="AN38" s="55">
        <v>8.740041373496954</v>
      </c>
      <c r="AO38" s="55">
        <f>SUM(AC38:AN38)</f>
        <v>61.180289614478667</v>
      </c>
      <c r="AP38" s="72">
        <f t="shared" si="48"/>
        <v>710.47971038552134</v>
      </c>
      <c r="AQ38" s="72"/>
      <c r="AR38" s="72"/>
      <c r="AS38" s="429">
        <f t="shared" si="34"/>
        <v>8.740041373496954</v>
      </c>
      <c r="AT38" s="429">
        <f t="shared" si="34"/>
        <v>8.740041373496954</v>
      </c>
      <c r="AU38" s="429">
        <f t="shared" si="34"/>
        <v>8.740041373496954</v>
      </c>
      <c r="AV38" s="429">
        <f t="shared" si="34"/>
        <v>8.740041373496954</v>
      </c>
      <c r="AW38" s="429">
        <f t="shared" si="34"/>
        <v>8.740041373496954</v>
      </c>
      <c r="AX38" s="57">
        <v>118.901</v>
      </c>
      <c r="AY38" s="80">
        <v>112.505</v>
      </c>
      <c r="AZ38" s="57">
        <f t="shared" si="49"/>
        <v>1.0568508066308164</v>
      </c>
      <c r="BA38" s="55">
        <f t="shared" si="27"/>
        <v>7.4916666666666663</v>
      </c>
      <c r="BB38" s="55">
        <f t="shared" si="50"/>
        <v>7.9175739596758659</v>
      </c>
      <c r="BC38" s="429">
        <f t="shared" si="32"/>
        <v>7.9175739596758659</v>
      </c>
      <c r="BD38" s="429">
        <f t="shared" si="32"/>
        <v>7.9175739596758659</v>
      </c>
      <c r="BE38" s="429">
        <f t="shared" si="32"/>
        <v>7.9175739596758659</v>
      </c>
      <c r="BF38" s="429">
        <f t="shared" si="32"/>
        <v>7.9175739596758659</v>
      </c>
      <c r="BG38" s="32">
        <v>7.92</v>
      </c>
      <c r="BH38" s="32">
        <v>7.92</v>
      </c>
      <c r="BI38" s="32">
        <v>7.92</v>
      </c>
      <c r="BJ38" s="431">
        <f t="shared" si="51"/>
        <v>99.130502706188224</v>
      </c>
      <c r="BK38" s="439">
        <f t="shared" si="33"/>
        <v>611.34920767933318</v>
      </c>
      <c r="BL38" s="32">
        <v>7.92</v>
      </c>
      <c r="BM38" s="32">
        <v>7.92</v>
      </c>
      <c r="BN38" s="32">
        <v>7.92</v>
      </c>
      <c r="BO38" s="32">
        <v>7.92</v>
      </c>
      <c r="BP38" s="32">
        <v>7.92</v>
      </c>
      <c r="BQ38" s="57">
        <v>118.901</v>
      </c>
      <c r="BR38" s="80">
        <v>112.505</v>
      </c>
      <c r="BS38" s="57">
        <f t="shared" si="52"/>
        <v>1.0568508066308164</v>
      </c>
      <c r="BT38" s="55"/>
      <c r="BU38" s="55"/>
      <c r="BV38" s="429"/>
      <c r="BW38" s="429"/>
      <c r="BX38" s="429"/>
      <c r="BY38" s="429"/>
      <c r="BZ38" s="32"/>
      <c r="CA38" s="32"/>
      <c r="CB38" s="32"/>
      <c r="CC38" s="431">
        <f t="shared" si="53"/>
        <v>39.6</v>
      </c>
      <c r="CD38" s="442">
        <f t="shared" si="28"/>
        <v>571.74920767933315</v>
      </c>
      <c r="CE38" s="58">
        <v>10</v>
      </c>
      <c r="CF38" s="130">
        <v>0.1</v>
      </c>
      <c r="CG38" s="46">
        <v>43281</v>
      </c>
      <c r="CH38" s="48">
        <v>120</v>
      </c>
      <c r="CI38" s="145">
        <f t="shared" si="54"/>
        <v>7.4916666666666659E-2</v>
      </c>
      <c r="CJ38" s="165">
        <f t="shared" si="55"/>
        <v>4.8695833333333329</v>
      </c>
      <c r="CK38" s="48">
        <f t="shared" si="56"/>
        <v>65</v>
      </c>
      <c r="CL38" s="165">
        <f t="shared" si="57"/>
        <v>4.1204166666666664</v>
      </c>
      <c r="CM38" s="48">
        <f t="shared" si="58"/>
        <v>55</v>
      </c>
      <c r="CN38" s="165">
        <f t="shared" si="59"/>
        <v>4.1204166666666664</v>
      </c>
      <c r="CO38" s="48">
        <f t="shared" si="60"/>
        <v>55</v>
      </c>
      <c r="CP38" s="165">
        <f>CL38-CN38</f>
        <v>0</v>
      </c>
      <c r="CQ38" s="48">
        <f t="shared" si="61"/>
        <v>55</v>
      </c>
      <c r="CR38" s="462">
        <f t="shared" si="62"/>
        <v>44935</v>
      </c>
      <c r="CS38" s="568" t="s">
        <v>499</v>
      </c>
      <c r="CT38" s="119">
        <v>41283</v>
      </c>
      <c r="CU38" s="134">
        <v>899</v>
      </c>
      <c r="CV38" s="764">
        <v>571.74920767933315</v>
      </c>
      <c r="CW38" s="258">
        <v>126.408</v>
      </c>
      <c r="CX38" s="258">
        <v>112.505</v>
      </c>
      <c r="CY38" s="258">
        <f t="shared" si="63"/>
        <v>1.1235767299231145</v>
      </c>
      <c r="CZ38" s="56">
        <f t="shared" si="64"/>
        <v>10.39544013962424</v>
      </c>
      <c r="DA38" s="56">
        <f t="shared" si="65"/>
        <v>11.680074638190488</v>
      </c>
      <c r="DB38" s="725">
        <v>9.5881209716489071</v>
      </c>
      <c r="DC38" s="725">
        <v>9.5881209716489071</v>
      </c>
      <c r="DD38" s="725">
        <v>9.5881209716489071</v>
      </c>
      <c r="DE38" s="725">
        <v>9.5881209716489071</v>
      </c>
      <c r="DF38" s="725">
        <v>9.5881209716489071</v>
      </c>
      <c r="DG38" s="725">
        <v>9.5881209716489071</v>
      </c>
      <c r="DH38" s="725">
        <v>9.5881209716489071</v>
      </c>
      <c r="DI38" s="725">
        <f t="shared" si="66"/>
        <v>67.116846801542351</v>
      </c>
      <c r="DJ38" s="764">
        <f t="shared" si="67"/>
        <v>504.6323608777908</v>
      </c>
      <c r="DK38" s="725">
        <v>9.5881209716489071</v>
      </c>
      <c r="DL38" s="725">
        <v>9.5881209716489071</v>
      </c>
      <c r="DM38" s="725">
        <v>9.5881209716489071</v>
      </c>
      <c r="DN38" s="725">
        <v>9.5881209716489071</v>
      </c>
      <c r="DO38" s="725">
        <v>9.5881209716489071</v>
      </c>
      <c r="DP38" s="511">
        <f t="shared" si="68"/>
        <v>47.940604858244534</v>
      </c>
      <c r="DQ38" s="960">
        <f t="shared" si="69"/>
        <v>456.69175601954629</v>
      </c>
      <c r="DR38" s="656">
        <v>132.28200000000001</v>
      </c>
      <c r="DS38" s="1002">
        <v>112.505</v>
      </c>
      <c r="DT38" s="656">
        <f t="shared" si="70"/>
        <v>1.1757877427669883</v>
      </c>
      <c r="DU38" s="511">
        <f t="shared" si="74"/>
        <v>8.3034864730826605</v>
      </c>
      <c r="DV38" s="511">
        <f t="shared" si="71"/>
        <v>9.7631376172820818</v>
      </c>
      <c r="DW38" s="511">
        <v>9.7631376172820818</v>
      </c>
      <c r="DX38" s="511">
        <v>9.7631376172820818</v>
      </c>
      <c r="DY38" s="511">
        <v>9.7631376172820818</v>
      </c>
      <c r="DZ38" s="511">
        <v>9.7631376172820818</v>
      </c>
      <c r="EA38" s="511">
        <v>9.7631376172820818</v>
      </c>
      <c r="EB38" s="511">
        <v>9.7631376172820818</v>
      </c>
      <c r="EC38" s="511">
        <v>9.7631376172820818</v>
      </c>
      <c r="ED38" s="511">
        <v>9.7631376172820818</v>
      </c>
      <c r="EE38" s="511">
        <v>9.7631376172820818</v>
      </c>
      <c r="EF38" s="511">
        <v>9.7631376172820818</v>
      </c>
      <c r="EG38" s="511">
        <v>9.7631376172820818</v>
      </c>
      <c r="EH38" s="511">
        <v>9.7631376172820818</v>
      </c>
      <c r="EI38" s="511">
        <v>9.7631376172820818</v>
      </c>
      <c r="EJ38" s="511">
        <v>9.7631376172820818</v>
      </c>
      <c r="EK38" s="511">
        <v>9.7631376172820818</v>
      </c>
      <c r="EL38" s="511">
        <v>9.7631376172820818</v>
      </c>
      <c r="EM38" s="511">
        <v>9.7631376172820818</v>
      </c>
      <c r="EN38" s="511">
        <v>9.7631376172820818</v>
      </c>
      <c r="EO38" s="511">
        <f t="shared" si="31"/>
        <v>175.73647711107742</v>
      </c>
      <c r="EP38" s="756">
        <f t="shared" si="72"/>
        <v>280.95527890846887</v>
      </c>
    </row>
    <row r="39" spans="1:146" s="16" customFormat="1" x14ac:dyDescent="0.2">
      <c r="A39" s="100" t="s">
        <v>99</v>
      </c>
      <c r="B39" s="100" t="s">
        <v>474</v>
      </c>
      <c r="C39" s="100" t="s">
        <v>311</v>
      </c>
      <c r="D39" s="58">
        <v>10</v>
      </c>
      <c r="E39" s="130">
        <v>0.1</v>
      </c>
      <c r="F39" s="46">
        <v>42185</v>
      </c>
      <c r="G39" s="48">
        <v>120</v>
      </c>
      <c r="H39" s="145">
        <f t="shared" si="36"/>
        <v>0.83333333333333337</v>
      </c>
      <c r="I39" s="165">
        <f t="shared" si="37"/>
        <v>9.1666666666666679</v>
      </c>
      <c r="J39" s="48">
        <f t="shared" si="38"/>
        <v>11</v>
      </c>
      <c r="K39" s="165">
        <f t="shared" si="39"/>
        <v>90.833333333333343</v>
      </c>
      <c r="L39" s="48">
        <f t="shared" si="40"/>
        <v>109</v>
      </c>
      <c r="M39" s="165">
        <f t="shared" si="41"/>
        <v>5.8333333333333339</v>
      </c>
      <c r="N39" s="48">
        <v>7</v>
      </c>
      <c r="O39" s="165">
        <f t="shared" si="42"/>
        <v>85.000000000000014</v>
      </c>
      <c r="P39" s="48">
        <f t="shared" si="43"/>
        <v>102</v>
      </c>
      <c r="Q39" s="48">
        <f t="shared" si="43"/>
        <v>-79.166666666666686</v>
      </c>
      <c r="R39" s="567" t="s">
        <v>500</v>
      </c>
      <c r="S39" s="119">
        <v>41830</v>
      </c>
      <c r="T39" s="134">
        <v>969</v>
      </c>
      <c r="U39" s="14">
        <v>880.12</v>
      </c>
      <c r="V39" s="106">
        <v>40.4</v>
      </c>
      <c r="W39" s="66"/>
      <c r="X39" s="57">
        <v>115.958</v>
      </c>
      <c r="Y39" s="80">
        <v>113.032</v>
      </c>
      <c r="Z39" s="57">
        <f t="shared" si="44"/>
        <v>1.0258864746266545</v>
      </c>
      <c r="AA39" s="55">
        <f t="shared" si="45"/>
        <v>8.0744954128440369</v>
      </c>
      <c r="AB39" s="55">
        <f t="shared" si="46"/>
        <v>8.2835156334716622</v>
      </c>
      <c r="AC39" s="55"/>
      <c r="AD39" s="55"/>
      <c r="AE39" s="55"/>
      <c r="AF39" s="55"/>
      <c r="AG39" s="55"/>
      <c r="AH39" s="55">
        <f t="shared" si="47"/>
        <v>8.2835156334716622</v>
      </c>
      <c r="AI39" s="55">
        <v>8.2835156334716622</v>
      </c>
      <c r="AJ39" s="55">
        <v>8.2835156334716622</v>
      </c>
      <c r="AK39" s="55">
        <v>8.2835156334716622</v>
      </c>
      <c r="AL39" s="55">
        <v>8.2835156334716622</v>
      </c>
      <c r="AM39" s="55">
        <v>8.2835156334716622</v>
      </c>
      <c r="AN39" s="55">
        <v>8.2835156334716622</v>
      </c>
      <c r="AO39" s="55">
        <f>SUM(AC39:AN39)</f>
        <v>57.984609434301646</v>
      </c>
      <c r="AP39" s="72">
        <f t="shared" si="48"/>
        <v>822.13539056569834</v>
      </c>
      <c r="AQ39" s="72"/>
      <c r="AR39" s="72"/>
      <c r="AS39" s="429">
        <f t="shared" si="34"/>
        <v>8.2835156334716622</v>
      </c>
      <c r="AT39" s="429">
        <f t="shared" si="34"/>
        <v>8.2835156334716622</v>
      </c>
      <c r="AU39" s="429">
        <f t="shared" si="34"/>
        <v>8.2835156334716622</v>
      </c>
      <c r="AV39" s="429">
        <f t="shared" si="34"/>
        <v>8.2835156334716622</v>
      </c>
      <c r="AW39" s="429">
        <f t="shared" si="34"/>
        <v>8.2835156334716622</v>
      </c>
      <c r="AX39" s="57">
        <v>118.901</v>
      </c>
      <c r="AY39" s="80">
        <v>113.032</v>
      </c>
      <c r="AZ39" s="57">
        <f t="shared" si="49"/>
        <v>1.0519233491400666</v>
      </c>
      <c r="BA39" s="55">
        <f t="shared" si="27"/>
        <v>8.0749999999999993</v>
      </c>
      <c r="BB39" s="55">
        <f t="shared" si="50"/>
        <v>8.494281044306037</v>
      </c>
      <c r="BC39" s="429">
        <f t="shared" si="32"/>
        <v>8.494281044306037</v>
      </c>
      <c r="BD39" s="429">
        <f t="shared" si="32"/>
        <v>8.494281044306037</v>
      </c>
      <c r="BE39" s="429">
        <f t="shared" si="32"/>
        <v>8.494281044306037</v>
      </c>
      <c r="BF39" s="429">
        <f t="shared" si="32"/>
        <v>8.494281044306037</v>
      </c>
      <c r="BG39" s="32">
        <v>8.49</v>
      </c>
      <c r="BH39" s="32">
        <v>8.49</v>
      </c>
      <c r="BI39" s="32">
        <v>8.49</v>
      </c>
      <c r="BJ39" s="431">
        <f t="shared" si="51"/>
        <v>100.86470234458244</v>
      </c>
      <c r="BK39" s="439">
        <f t="shared" si="33"/>
        <v>721.27068822111596</v>
      </c>
      <c r="BL39" s="32">
        <v>8.49</v>
      </c>
      <c r="BM39" s="32">
        <v>8.49</v>
      </c>
      <c r="BN39" s="32">
        <v>8.49</v>
      </c>
      <c r="BO39" s="32">
        <v>8.49</v>
      </c>
      <c r="BP39" s="32">
        <v>8.49</v>
      </c>
      <c r="BQ39" s="57">
        <v>118.901</v>
      </c>
      <c r="BR39" s="80">
        <v>113.032</v>
      </c>
      <c r="BS39" s="57">
        <f t="shared" si="52"/>
        <v>1.0519233491400666</v>
      </c>
      <c r="BT39" s="55"/>
      <c r="BU39" s="55"/>
      <c r="BV39" s="429"/>
      <c r="BW39" s="429"/>
      <c r="BX39" s="429"/>
      <c r="BY39" s="429"/>
      <c r="BZ39" s="32"/>
      <c r="CA39" s="32"/>
      <c r="CB39" s="32"/>
      <c r="CC39" s="431">
        <f t="shared" si="53"/>
        <v>42.45</v>
      </c>
      <c r="CD39" s="442">
        <f t="shared" si="28"/>
        <v>678.82068822111592</v>
      </c>
      <c r="CE39" s="58">
        <v>10</v>
      </c>
      <c r="CF39" s="130">
        <v>0.1</v>
      </c>
      <c r="CG39" s="46">
        <v>43281</v>
      </c>
      <c r="CH39" s="48">
        <v>120</v>
      </c>
      <c r="CI39" s="145">
        <f t="shared" si="54"/>
        <v>8.0749999999999988E-2</v>
      </c>
      <c r="CJ39" s="165">
        <f t="shared" si="55"/>
        <v>3.7952499999999993</v>
      </c>
      <c r="CK39" s="48">
        <f t="shared" si="56"/>
        <v>47</v>
      </c>
      <c r="CL39" s="165">
        <f t="shared" si="57"/>
        <v>5.8947499999999993</v>
      </c>
      <c r="CM39" s="48">
        <f t="shared" si="58"/>
        <v>73</v>
      </c>
      <c r="CN39" s="165">
        <f t="shared" si="59"/>
        <v>5.8947499999999993</v>
      </c>
      <c r="CO39" s="48">
        <f t="shared" si="60"/>
        <v>73</v>
      </c>
      <c r="CP39" s="165">
        <f>CL39-CN39</f>
        <v>0</v>
      </c>
      <c r="CQ39" s="48">
        <f t="shared" si="61"/>
        <v>73</v>
      </c>
      <c r="CR39" s="462">
        <f t="shared" si="62"/>
        <v>45483</v>
      </c>
      <c r="CS39" s="567" t="s">
        <v>500</v>
      </c>
      <c r="CT39" s="119">
        <v>41830</v>
      </c>
      <c r="CU39" s="134">
        <v>969</v>
      </c>
      <c r="CV39" s="764">
        <v>678.82068822111592</v>
      </c>
      <c r="CW39" s="258">
        <v>126.408</v>
      </c>
      <c r="CX39" s="258">
        <v>113.032</v>
      </c>
      <c r="CY39" s="258">
        <f t="shared" si="63"/>
        <v>1.1183381697218486</v>
      </c>
      <c r="CZ39" s="56">
        <f t="shared" si="64"/>
        <v>9.2989135372755598</v>
      </c>
      <c r="DA39" s="56">
        <f t="shared" si="65"/>
        <v>10.39932994567847</v>
      </c>
      <c r="DB39" s="725">
        <v>8.9311892474650403</v>
      </c>
      <c r="DC39" s="725">
        <v>8.9311892474650403</v>
      </c>
      <c r="DD39" s="725">
        <v>8.9311892474650403</v>
      </c>
      <c r="DE39" s="725">
        <v>8.9311892474650403</v>
      </c>
      <c r="DF39" s="725">
        <v>8.9311892474650403</v>
      </c>
      <c r="DG39" s="725">
        <v>8.9311892474650403</v>
      </c>
      <c r="DH39" s="725">
        <v>8.9311892474650403</v>
      </c>
      <c r="DI39" s="725">
        <f t="shared" si="66"/>
        <v>62.518324732255287</v>
      </c>
      <c r="DJ39" s="764">
        <f t="shared" si="67"/>
        <v>616.30236348886058</v>
      </c>
      <c r="DK39" s="725">
        <v>8.9311892474650403</v>
      </c>
      <c r="DL39" s="725">
        <v>8.9311892474650403</v>
      </c>
      <c r="DM39" s="725">
        <v>8.9311892474650403</v>
      </c>
      <c r="DN39" s="725">
        <v>8.9311892474650403</v>
      </c>
      <c r="DO39" s="725">
        <v>8.9311892474650403</v>
      </c>
      <c r="DP39" s="511">
        <f t="shared" si="68"/>
        <v>44.655946237325203</v>
      </c>
      <c r="DQ39" s="960">
        <f t="shared" si="69"/>
        <v>571.64641725153535</v>
      </c>
      <c r="DR39" s="656">
        <v>132.28200000000001</v>
      </c>
      <c r="DS39" s="1002">
        <v>113.032</v>
      </c>
      <c r="DT39" s="656">
        <f t="shared" si="70"/>
        <v>1.1703057541227264</v>
      </c>
      <c r="DU39" s="511">
        <f t="shared" si="74"/>
        <v>7.8307728390621278</v>
      </c>
      <c r="DV39" s="511">
        <f t="shared" si="71"/>
        <v>9.1643985127823662</v>
      </c>
      <c r="DW39" s="511">
        <v>9.1643985127823662</v>
      </c>
      <c r="DX39" s="511">
        <v>9.1643985127823662</v>
      </c>
      <c r="DY39" s="511">
        <v>9.1643985127823662</v>
      </c>
      <c r="DZ39" s="511">
        <v>9.1643985127823662</v>
      </c>
      <c r="EA39" s="511">
        <v>9.1643985127823662</v>
      </c>
      <c r="EB39" s="511">
        <v>9.1643985127823662</v>
      </c>
      <c r="EC39" s="511">
        <v>9.1643985127823662</v>
      </c>
      <c r="ED39" s="511">
        <v>9.1643985127823662</v>
      </c>
      <c r="EE39" s="511">
        <v>9.1643985127823662</v>
      </c>
      <c r="EF39" s="511">
        <v>9.1643985127823662</v>
      </c>
      <c r="EG39" s="511">
        <v>9.1643985127823662</v>
      </c>
      <c r="EH39" s="511">
        <v>9.1643985127823662</v>
      </c>
      <c r="EI39" s="511">
        <v>9.1643985127823662</v>
      </c>
      <c r="EJ39" s="511">
        <v>9.1643985127823662</v>
      </c>
      <c r="EK39" s="511">
        <v>9.1643985127823662</v>
      </c>
      <c r="EL39" s="511">
        <v>9.1643985127823662</v>
      </c>
      <c r="EM39" s="511">
        <v>9.1643985127823662</v>
      </c>
      <c r="EN39" s="511">
        <v>9.1643985127823662</v>
      </c>
      <c r="EO39" s="511">
        <f t="shared" si="31"/>
        <v>164.95917323008257</v>
      </c>
      <c r="EP39" s="756">
        <f t="shared" si="72"/>
        <v>406.68724402145278</v>
      </c>
    </row>
    <row r="40" spans="1:146" s="16" customFormat="1" x14ac:dyDescent="0.2">
      <c r="A40" s="100" t="s">
        <v>73</v>
      </c>
      <c r="B40" s="100" t="s">
        <v>475</v>
      </c>
      <c r="C40" s="100" t="s">
        <v>468</v>
      </c>
      <c r="D40" s="58">
        <v>10</v>
      </c>
      <c r="E40" s="130">
        <v>0.1</v>
      </c>
      <c r="F40" s="46">
        <v>42185</v>
      </c>
      <c r="G40" s="48">
        <v>120</v>
      </c>
      <c r="H40" s="145">
        <f t="shared" si="36"/>
        <v>0.83333333333333337</v>
      </c>
      <c r="I40" s="165">
        <f t="shared" si="37"/>
        <v>24.166666666666668</v>
      </c>
      <c r="J40" s="48">
        <f t="shared" si="38"/>
        <v>29</v>
      </c>
      <c r="K40" s="165">
        <f t="shared" si="39"/>
        <v>75.833333333333343</v>
      </c>
      <c r="L40" s="48">
        <f t="shared" si="40"/>
        <v>91</v>
      </c>
      <c r="M40" s="165">
        <f t="shared" si="41"/>
        <v>5.8333333333333339</v>
      </c>
      <c r="N40" s="48">
        <v>7</v>
      </c>
      <c r="O40" s="165">
        <f t="shared" si="42"/>
        <v>70.000000000000014</v>
      </c>
      <c r="P40" s="48">
        <f t="shared" si="43"/>
        <v>84</v>
      </c>
      <c r="Q40" s="48">
        <f t="shared" si="43"/>
        <v>-64.166666666666686</v>
      </c>
      <c r="R40" s="567" t="s">
        <v>501</v>
      </c>
      <c r="S40" s="119">
        <v>41277</v>
      </c>
      <c r="T40" s="134">
        <v>1198</v>
      </c>
      <c r="U40" s="14">
        <v>908.52</v>
      </c>
      <c r="V40" s="106">
        <v>49.9</v>
      </c>
      <c r="W40" s="66"/>
      <c r="X40" s="57">
        <v>115.958</v>
      </c>
      <c r="Y40" s="80">
        <v>107.678</v>
      </c>
      <c r="Z40" s="57">
        <f t="shared" si="44"/>
        <v>1.0768959304593324</v>
      </c>
      <c r="AA40" s="55">
        <f t="shared" si="45"/>
        <v>9.9837362637362634</v>
      </c>
      <c r="AB40" s="55">
        <f t="shared" si="46"/>
        <v>10.751444953196842</v>
      </c>
      <c r="AC40" s="55"/>
      <c r="AD40" s="55"/>
      <c r="AE40" s="55"/>
      <c r="AF40" s="55"/>
      <c r="AG40" s="55"/>
      <c r="AH40" s="55">
        <f t="shared" si="47"/>
        <v>10.751444953196842</v>
      </c>
      <c r="AI40" s="55">
        <v>10.751444953196842</v>
      </c>
      <c r="AJ40" s="55">
        <v>10.751444953196842</v>
      </c>
      <c r="AK40" s="55">
        <v>10.751444953196842</v>
      </c>
      <c r="AL40" s="55">
        <v>10.751444953196842</v>
      </c>
      <c r="AM40" s="55">
        <v>10.751444953196842</v>
      </c>
      <c r="AN40" s="55">
        <v>10.751444953196842</v>
      </c>
      <c r="AO40" s="55">
        <f>SUM(AC40:AN40)</f>
        <v>75.260114672377881</v>
      </c>
      <c r="AP40" s="72">
        <f t="shared" si="48"/>
        <v>833.2598853276221</v>
      </c>
      <c r="AQ40" s="72"/>
      <c r="AR40" s="72"/>
      <c r="AS40" s="429">
        <f t="shared" si="34"/>
        <v>10.751444953196842</v>
      </c>
      <c r="AT40" s="429">
        <f t="shared" si="34"/>
        <v>10.751444953196842</v>
      </c>
      <c r="AU40" s="429">
        <f t="shared" si="34"/>
        <v>10.751444953196842</v>
      </c>
      <c r="AV40" s="429">
        <f t="shared" si="34"/>
        <v>10.751444953196842</v>
      </c>
      <c r="AW40" s="429">
        <f t="shared" si="34"/>
        <v>10.751444953196842</v>
      </c>
      <c r="AX40" s="57">
        <v>118.901</v>
      </c>
      <c r="AY40" s="80">
        <v>107.678</v>
      </c>
      <c r="AZ40" s="57">
        <f t="shared" si="49"/>
        <v>1.1042274187856387</v>
      </c>
      <c r="BA40" s="55">
        <f t="shared" si="27"/>
        <v>9.9833333333333325</v>
      </c>
      <c r="BB40" s="55">
        <f t="shared" si="50"/>
        <v>11.023870397543291</v>
      </c>
      <c r="BC40" s="429">
        <f t="shared" si="32"/>
        <v>11.023870397543291</v>
      </c>
      <c r="BD40" s="429">
        <f t="shared" si="32"/>
        <v>11.023870397543291</v>
      </c>
      <c r="BE40" s="429">
        <f t="shared" si="32"/>
        <v>11.023870397543291</v>
      </c>
      <c r="BF40" s="429">
        <f t="shared" si="32"/>
        <v>11.023870397543291</v>
      </c>
      <c r="BG40" s="32">
        <v>11.02</v>
      </c>
      <c r="BH40" s="32">
        <v>11.02</v>
      </c>
      <c r="BI40" s="32">
        <v>11.02</v>
      </c>
      <c r="BJ40" s="431">
        <f t="shared" si="51"/>
        <v>130.91270635615737</v>
      </c>
      <c r="BK40" s="439">
        <f t="shared" si="33"/>
        <v>702.3471789714647</v>
      </c>
      <c r="BL40" s="32">
        <v>11.02</v>
      </c>
      <c r="BM40" s="32">
        <v>11.02</v>
      </c>
      <c r="BN40" s="32">
        <v>11.02</v>
      </c>
      <c r="BO40" s="32">
        <v>11.02</v>
      </c>
      <c r="BP40" s="32">
        <v>11.02</v>
      </c>
      <c r="BQ40" s="57">
        <v>118.901</v>
      </c>
      <c r="BR40" s="80">
        <v>107.678</v>
      </c>
      <c r="BS40" s="57">
        <f t="shared" si="52"/>
        <v>1.1042274187856387</v>
      </c>
      <c r="BT40" s="55"/>
      <c r="BU40" s="55"/>
      <c r="BV40" s="429"/>
      <c r="BW40" s="429"/>
      <c r="BX40" s="429"/>
      <c r="BY40" s="429"/>
      <c r="BZ40" s="32"/>
      <c r="CA40" s="32"/>
      <c r="CB40" s="32"/>
      <c r="CC40" s="431">
        <f t="shared" si="53"/>
        <v>55.099999999999994</v>
      </c>
      <c r="CD40" s="442">
        <f t="shared" si="28"/>
        <v>647.24717897146468</v>
      </c>
      <c r="CE40" s="58">
        <v>10</v>
      </c>
      <c r="CF40" s="130">
        <v>0.1</v>
      </c>
      <c r="CG40" s="46">
        <v>43281</v>
      </c>
      <c r="CH40" s="48">
        <v>120</v>
      </c>
      <c r="CI40" s="145">
        <f t="shared" si="54"/>
        <v>9.9833333333333329E-2</v>
      </c>
      <c r="CJ40" s="165">
        <f t="shared" si="55"/>
        <v>6.4891666666666667</v>
      </c>
      <c r="CK40" s="48">
        <f t="shared" si="56"/>
        <v>65</v>
      </c>
      <c r="CL40" s="165">
        <f t="shared" si="57"/>
        <v>5.4908333333333328</v>
      </c>
      <c r="CM40" s="48">
        <f t="shared" si="58"/>
        <v>55</v>
      </c>
      <c r="CN40" s="165">
        <f t="shared" si="59"/>
        <v>5.4908333333333328</v>
      </c>
      <c r="CO40" s="48">
        <f t="shared" si="60"/>
        <v>55</v>
      </c>
      <c r="CP40" s="165">
        <f>CL40-CN40</f>
        <v>0</v>
      </c>
      <c r="CQ40" s="48">
        <f t="shared" si="61"/>
        <v>55</v>
      </c>
      <c r="CR40" s="462">
        <f t="shared" si="62"/>
        <v>44929</v>
      </c>
      <c r="CS40" s="567" t="s">
        <v>501</v>
      </c>
      <c r="CT40" s="119">
        <v>41277</v>
      </c>
      <c r="CU40" s="134">
        <v>1198</v>
      </c>
      <c r="CV40" s="764">
        <v>647.24717897146468</v>
      </c>
      <c r="CW40" s="258">
        <v>126.408</v>
      </c>
      <c r="CX40" s="258">
        <v>107.678</v>
      </c>
      <c r="CY40" s="258">
        <f t="shared" si="63"/>
        <v>1.1739445383458089</v>
      </c>
      <c r="CZ40" s="56">
        <f t="shared" si="64"/>
        <v>11.768130526753904</v>
      </c>
      <c r="DA40" s="56">
        <f t="shared" si="65"/>
        <v>13.815132558423333</v>
      </c>
      <c r="DB40" s="725">
        <v>11.340780458407213</v>
      </c>
      <c r="DC40" s="725">
        <v>11.340780458407213</v>
      </c>
      <c r="DD40" s="725">
        <v>11.340780458407213</v>
      </c>
      <c r="DE40" s="725">
        <v>11.340780458407213</v>
      </c>
      <c r="DF40" s="725">
        <v>11.340780458407213</v>
      </c>
      <c r="DG40" s="725">
        <v>11.340780458407213</v>
      </c>
      <c r="DH40" s="725">
        <v>11.340780458407213</v>
      </c>
      <c r="DI40" s="725">
        <f t="shared" si="66"/>
        <v>79.385463208850481</v>
      </c>
      <c r="DJ40" s="764">
        <f t="shared" si="67"/>
        <v>567.86171576261415</v>
      </c>
      <c r="DK40" s="725">
        <v>11.340780458407213</v>
      </c>
      <c r="DL40" s="725">
        <v>11.340780458407213</v>
      </c>
      <c r="DM40" s="725">
        <v>11.340780458407213</v>
      </c>
      <c r="DN40" s="725">
        <v>11.340780458407213</v>
      </c>
      <c r="DO40" s="725">
        <v>11.340780458407213</v>
      </c>
      <c r="DP40" s="511">
        <f t="shared" si="68"/>
        <v>56.703902292036062</v>
      </c>
      <c r="DQ40" s="960">
        <f t="shared" si="69"/>
        <v>511.15781347057811</v>
      </c>
      <c r="DR40" s="656">
        <v>132.28200000000001</v>
      </c>
      <c r="DS40" s="1002">
        <v>107.678</v>
      </c>
      <c r="DT40" s="656">
        <f t="shared" si="70"/>
        <v>1.2284960716209441</v>
      </c>
      <c r="DU40" s="511">
        <f t="shared" si="74"/>
        <v>9.2937784267377843</v>
      </c>
      <c r="DV40" s="511">
        <f t="shared" si="71"/>
        <v>11.417370287762846</v>
      </c>
      <c r="DW40" s="511">
        <v>11.417370287762846</v>
      </c>
      <c r="DX40" s="511">
        <v>11.417370287762846</v>
      </c>
      <c r="DY40" s="511">
        <v>11.417370287762846</v>
      </c>
      <c r="DZ40" s="511">
        <v>11.417370287762846</v>
      </c>
      <c r="EA40" s="511">
        <v>11.417370287762846</v>
      </c>
      <c r="EB40" s="511">
        <v>11.417370287762846</v>
      </c>
      <c r="EC40" s="511">
        <v>11.417370287762846</v>
      </c>
      <c r="ED40" s="511">
        <v>11.417370287762846</v>
      </c>
      <c r="EE40" s="511">
        <v>11.417370287762846</v>
      </c>
      <c r="EF40" s="511">
        <v>11.417370287762846</v>
      </c>
      <c r="EG40" s="511">
        <v>11.417370287762846</v>
      </c>
      <c r="EH40" s="511">
        <v>11.417370287762846</v>
      </c>
      <c r="EI40" s="511">
        <v>11.417370287762846</v>
      </c>
      <c r="EJ40" s="511">
        <v>11.417370287762846</v>
      </c>
      <c r="EK40" s="511">
        <v>11.417370287762846</v>
      </c>
      <c r="EL40" s="511">
        <v>11.417370287762846</v>
      </c>
      <c r="EM40" s="511">
        <v>11.417370287762846</v>
      </c>
      <c r="EN40" s="511">
        <v>11.417370287762846</v>
      </c>
      <c r="EO40" s="511">
        <f t="shared" si="31"/>
        <v>205.51266517973127</v>
      </c>
      <c r="EP40" s="756">
        <f t="shared" si="72"/>
        <v>305.64514829084681</v>
      </c>
    </row>
    <row r="41" spans="1:146" s="16" customFormat="1" x14ac:dyDescent="0.2">
      <c r="A41" s="100" t="s">
        <v>75</v>
      </c>
      <c r="B41" s="100" t="s">
        <v>476</v>
      </c>
      <c r="C41" s="100" t="s">
        <v>312</v>
      </c>
      <c r="D41" s="58">
        <v>10</v>
      </c>
      <c r="E41" s="130">
        <v>0.1</v>
      </c>
      <c r="F41" s="46">
        <v>42185</v>
      </c>
      <c r="G41" s="48">
        <v>120</v>
      </c>
      <c r="H41" s="145">
        <f t="shared" si="36"/>
        <v>0.83333333333333337</v>
      </c>
      <c r="I41" s="165">
        <f t="shared" si="37"/>
        <v>64.166666666666671</v>
      </c>
      <c r="J41" s="48">
        <f t="shared" si="38"/>
        <v>77</v>
      </c>
      <c r="K41" s="165">
        <f t="shared" si="39"/>
        <v>35.833333333333336</v>
      </c>
      <c r="L41" s="48">
        <f t="shared" si="40"/>
        <v>43</v>
      </c>
      <c r="M41" s="165">
        <f t="shared" si="41"/>
        <v>5.8333333333333339</v>
      </c>
      <c r="N41" s="48">
        <v>7</v>
      </c>
      <c r="O41" s="165">
        <f t="shared" si="42"/>
        <v>30</v>
      </c>
      <c r="P41" s="48">
        <f t="shared" si="43"/>
        <v>36</v>
      </c>
      <c r="Q41" s="48">
        <f t="shared" si="43"/>
        <v>-24.166666666666664</v>
      </c>
      <c r="R41" s="568" t="s">
        <v>502</v>
      </c>
      <c r="S41" s="119">
        <v>39814</v>
      </c>
      <c r="T41" s="134">
        <v>1349</v>
      </c>
      <c r="U41" s="47">
        <v>483.41</v>
      </c>
      <c r="V41" s="106">
        <v>56.2</v>
      </c>
      <c r="W41" s="165">
        <v>0</v>
      </c>
      <c r="X41" s="57">
        <v>115.958</v>
      </c>
      <c r="Y41" s="80">
        <v>134.071</v>
      </c>
      <c r="Z41" s="57">
        <f t="shared" si="44"/>
        <v>0.8648999410759971</v>
      </c>
      <c r="AA41" s="55">
        <f t="shared" si="45"/>
        <v>11.242093023255814</v>
      </c>
      <c r="AB41" s="55">
        <f t="shared" si="46"/>
        <v>9.7232855933848317</v>
      </c>
      <c r="AC41" s="55"/>
      <c r="AD41" s="55"/>
      <c r="AE41" s="55"/>
      <c r="AF41" s="55"/>
      <c r="AG41" s="55"/>
      <c r="AH41" s="55">
        <f t="shared" si="47"/>
        <v>9.7232855933848317</v>
      </c>
      <c r="AI41" s="55">
        <v>9.7232855933848317</v>
      </c>
      <c r="AJ41" s="55">
        <v>9.7232855933848317</v>
      </c>
      <c r="AK41" s="55">
        <v>9.7232855933848317</v>
      </c>
      <c r="AL41" s="55">
        <v>9.7232855933848317</v>
      </c>
      <c r="AM41" s="55">
        <v>9.7232855933848317</v>
      </c>
      <c r="AN41" s="55">
        <v>9.7232855933848317</v>
      </c>
      <c r="AO41" s="55">
        <f>SUM(AC41:AN41)</f>
        <v>68.062999153693823</v>
      </c>
      <c r="AP41" s="72">
        <f t="shared" si="48"/>
        <v>415.34700084630617</v>
      </c>
      <c r="AQ41" s="72"/>
      <c r="AR41" s="72"/>
      <c r="AS41" s="429">
        <f t="shared" si="34"/>
        <v>9.7232855933848317</v>
      </c>
      <c r="AT41" s="429">
        <f t="shared" si="34"/>
        <v>9.7232855933848317</v>
      </c>
      <c r="AU41" s="429">
        <f t="shared" si="34"/>
        <v>9.7232855933848317</v>
      </c>
      <c r="AV41" s="429">
        <f t="shared" si="34"/>
        <v>9.7232855933848317</v>
      </c>
      <c r="AW41" s="429">
        <f t="shared" si="34"/>
        <v>9.7232855933848317</v>
      </c>
      <c r="AX41" s="57">
        <v>118.901</v>
      </c>
      <c r="AY41" s="80">
        <v>134.071</v>
      </c>
      <c r="AZ41" s="57">
        <f t="shared" si="49"/>
        <v>0.88685099685987279</v>
      </c>
      <c r="BA41" s="55">
        <f t="shared" si="27"/>
        <v>11.241666666666667</v>
      </c>
      <c r="BB41" s="55">
        <f t="shared" si="50"/>
        <v>9.9696832896997378</v>
      </c>
      <c r="BC41" s="429">
        <f t="shared" si="32"/>
        <v>9.9696832896997378</v>
      </c>
      <c r="BD41" s="429">
        <f t="shared" si="32"/>
        <v>9.9696832896997378</v>
      </c>
      <c r="BE41" s="429">
        <f t="shared" si="32"/>
        <v>9.9696832896997378</v>
      </c>
      <c r="BF41" s="429">
        <f t="shared" si="32"/>
        <v>9.9696832896997378</v>
      </c>
      <c r="BG41" s="32">
        <v>9.9700000000000006</v>
      </c>
      <c r="BH41" s="32">
        <v>9.9700000000000006</v>
      </c>
      <c r="BI41" s="32">
        <v>9.9700000000000006</v>
      </c>
      <c r="BJ41" s="431">
        <f t="shared" si="51"/>
        <v>118.40516112572308</v>
      </c>
      <c r="BK41" s="439">
        <f t="shared" si="33"/>
        <v>296.94183972058306</v>
      </c>
      <c r="BL41" s="32">
        <v>9.9700000000000006</v>
      </c>
      <c r="BM41" s="32">
        <v>9.9700000000000006</v>
      </c>
      <c r="BN41" s="32">
        <v>9.9700000000000006</v>
      </c>
      <c r="BO41" s="32">
        <v>9.9700000000000006</v>
      </c>
      <c r="BP41" s="32">
        <v>9.9700000000000006</v>
      </c>
      <c r="BQ41" s="57">
        <v>118.901</v>
      </c>
      <c r="BR41" s="80">
        <v>134.071</v>
      </c>
      <c r="BS41" s="57">
        <f t="shared" si="52"/>
        <v>0.88685099685987279</v>
      </c>
      <c r="BT41" s="55"/>
      <c r="BU41" s="55"/>
      <c r="BV41" s="429"/>
      <c r="BW41" s="429"/>
      <c r="BX41" s="429"/>
      <c r="BY41" s="429"/>
      <c r="BZ41" s="32"/>
      <c r="CA41" s="32"/>
      <c r="CB41" s="32"/>
      <c r="CC41" s="431">
        <f t="shared" si="53"/>
        <v>49.85</v>
      </c>
      <c r="CD41" s="442">
        <f t="shared" si="28"/>
        <v>247.09183972058307</v>
      </c>
      <c r="CE41" s="58">
        <v>10</v>
      </c>
      <c r="CF41" s="130">
        <v>0.1</v>
      </c>
      <c r="CG41" s="46">
        <v>43281</v>
      </c>
      <c r="CH41" s="48">
        <v>120</v>
      </c>
      <c r="CI41" s="145">
        <f t="shared" si="54"/>
        <v>0.11241666666666666</v>
      </c>
      <c r="CJ41" s="165">
        <f t="shared" si="55"/>
        <v>12.703083333333334</v>
      </c>
      <c r="CK41" s="48">
        <f t="shared" si="56"/>
        <v>113</v>
      </c>
      <c r="CL41" s="165">
        <f t="shared" si="57"/>
        <v>0.78691666666666671</v>
      </c>
      <c r="CM41" s="48">
        <f t="shared" si="58"/>
        <v>7</v>
      </c>
      <c r="CN41" s="165">
        <f t="shared" si="59"/>
        <v>0.78691666666666671</v>
      </c>
      <c r="CO41" s="48">
        <f t="shared" si="60"/>
        <v>7</v>
      </c>
      <c r="CP41" s="165">
        <f>CL41-CN41</f>
        <v>0</v>
      </c>
      <c r="CQ41" s="48">
        <f t="shared" si="61"/>
        <v>7</v>
      </c>
      <c r="CR41" s="462">
        <f t="shared" si="62"/>
        <v>43466</v>
      </c>
      <c r="CS41" s="568" t="s">
        <v>502</v>
      </c>
      <c r="CT41" s="119">
        <v>39814</v>
      </c>
      <c r="CU41" s="134">
        <v>1349</v>
      </c>
      <c r="CV41" s="764">
        <v>247.09183972058307</v>
      </c>
      <c r="CW41" s="258">
        <v>126.408</v>
      </c>
      <c r="CX41" s="258">
        <v>134.071</v>
      </c>
      <c r="CY41" s="258">
        <f t="shared" si="63"/>
        <v>0.94284371713495085</v>
      </c>
      <c r="CZ41" s="56">
        <f t="shared" si="64"/>
        <v>35.298834245797579</v>
      </c>
      <c r="DA41" s="56">
        <f t="shared" si="65"/>
        <v>33.281284090838291</v>
      </c>
      <c r="DB41" s="725">
        <v>12.261525717677264</v>
      </c>
      <c r="DC41" s="725">
        <v>12.261525717677264</v>
      </c>
      <c r="DD41" s="725">
        <v>12.261525717677264</v>
      </c>
      <c r="DE41" s="725">
        <v>12.261525717677264</v>
      </c>
      <c r="DF41" s="725">
        <v>12.261525717677264</v>
      </c>
      <c r="DG41" s="725">
        <v>12.261525717677264</v>
      </c>
      <c r="DH41" s="725">
        <v>12.261525717677264</v>
      </c>
      <c r="DI41" s="725">
        <f t="shared" si="66"/>
        <v>85.83068002374084</v>
      </c>
      <c r="DJ41" s="764">
        <f t="shared" si="67"/>
        <v>161.26115969684224</v>
      </c>
      <c r="DK41" s="725">
        <v>12.261525717677264</v>
      </c>
      <c r="DL41" s="725">
        <v>12.261525717677264</v>
      </c>
      <c r="DM41" s="725">
        <v>12.261525717677264</v>
      </c>
      <c r="DN41" s="725">
        <v>12.261525717677264</v>
      </c>
      <c r="DO41" s="725">
        <v>12.261525717677264</v>
      </c>
      <c r="DP41" s="511">
        <f t="shared" si="68"/>
        <v>61.307628588386322</v>
      </c>
      <c r="DQ41" s="960">
        <f t="shared" si="69"/>
        <v>99.95353110845592</v>
      </c>
      <c r="DR41" s="656">
        <v>132.28200000000001</v>
      </c>
      <c r="DS41" s="1002">
        <v>134.071</v>
      </c>
      <c r="DT41" s="656">
        <f t="shared" si="70"/>
        <v>0.98665632388808922</v>
      </c>
      <c r="DU41" s="511">
        <f t="shared" si="74"/>
        <v>14.279075872636559</v>
      </c>
      <c r="DV41" s="511">
        <f t="shared" si="71"/>
        <v>14.088540509014697</v>
      </c>
      <c r="DW41" s="511">
        <v>14.088540509014697</v>
      </c>
      <c r="DX41" s="511">
        <v>14.088540509014697</v>
      </c>
      <c r="DY41" s="511">
        <v>14.088540509014697</v>
      </c>
      <c r="DZ41" s="511">
        <v>14.088540509014697</v>
      </c>
      <c r="EA41" s="511">
        <v>14.088540509014697</v>
      </c>
      <c r="EB41" s="511">
        <v>14.088540509014697</v>
      </c>
      <c r="EC41" s="511">
        <v>14.088540509014697</v>
      </c>
      <c r="ED41" s="511">
        <v>0.33</v>
      </c>
      <c r="EE41" s="511">
        <v>0.33</v>
      </c>
      <c r="EF41" s="511">
        <v>-0.33</v>
      </c>
      <c r="EG41" s="511">
        <v>0</v>
      </c>
      <c r="EH41" s="511">
        <v>0</v>
      </c>
      <c r="EI41" s="511">
        <v>0</v>
      </c>
      <c r="EJ41" s="511">
        <v>0</v>
      </c>
      <c r="EK41" s="511">
        <v>0</v>
      </c>
      <c r="EL41" s="511">
        <v>0</v>
      </c>
      <c r="EM41" s="511">
        <v>0</v>
      </c>
      <c r="EN41" s="511">
        <v>0</v>
      </c>
      <c r="EO41" s="511">
        <f t="shared" si="31"/>
        <v>98.949783563102869</v>
      </c>
      <c r="EP41" s="756">
        <f t="shared" si="72"/>
        <v>1.0037475453530504</v>
      </c>
    </row>
    <row r="42" spans="1:146" s="16" customFormat="1" x14ac:dyDescent="0.2">
      <c r="A42" s="120" t="s">
        <v>71</v>
      </c>
      <c r="B42" s="120"/>
      <c r="C42" s="120"/>
      <c r="D42" s="131"/>
      <c r="E42" s="130"/>
      <c r="F42" s="46"/>
      <c r="G42" s="48"/>
      <c r="H42" s="145"/>
      <c r="I42" s="48"/>
      <c r="J42" s="48"/>
      <c r="K42" s="48"/>
      <c r="L42" s="48"/>
      <c r="M42" s="48"/>
      <c r="N42" s="48"/>
      <c r="O42" s="48"/>
      <c r="P42" s="48"/>
      <c r="Q42" s="48"/>
      <c r="R42" s="564"/>
      <c r="S42" s="119"/>
      <c r="T42" s="134"/>
      <c r="U42" s="47"/>
      <c r="V42" s="106"/>
      <c r="W42" s="165">
        <v>0</v>
      </c>
      <c r="X42" s="57"/>
      <c r="Y42" s="83"/>
      <c r="Z42" s="57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72"/>
      <c r="AQ42" s="72"/>
      <c r="AR42" s="72"/>
      <c r="AS42" s="429">
        <f t="shared" si="34"/>
        <v>0</v>
      </c>
      <c r="AT42" s="429">
        <f t="shared" si="34"/>
        <v>0</v>
      </c>
      <c r="AU42" s="429">
        <f t="shared" si="34"/>
        <v>0</v>
      </c>
      <c r="AV42" s="429">
        <f t="shared" si="34"/>
        <v>0</v>
      </c>
      <c r="AW42" s="429">
        <f t="shared" si="34"/>
        <v>0</v>
      </c>
      <c r="AX42" s="57"/>
      <c r="AY42" s="83"/>
      <c r="AZ42" s="57"/>
      <c r="BA42" s="55"/>
      <c r="BB42" s="55"/>
      <c r="BC42" s="429"/>
      <c r="BD42" s="32"/>
      <c r="BE42" s="32"/>
      <c r="BF42" s="32"/>
      <c r="BG42" s="32"/>
      <c r="BH42" s="32"/>
      <c r="BI42" s="32"/>
      <c r="BJ42" s="431"/>
      <c r="BK42" s="439"/>
      <c r="BL42" s="32"/>
      <c r="BM42" s="32"/>
      <c r="BN42" s="32"/>
      <c r="BO42" s="32"/>
      <c r="BP42" s="32"/>
      <c r="BQ42" s="57"/>
      <c r="BR42" s="83"/>
      <c r="BS42" s="57"/>
      <c r="BT42" s="55"/>
      <c r="BU42" s="55"/>
      <c r="BV42" s="429"/>
      <c r="BW42" s="32"/>
      <c r="BX42" s="32"/>
      <c r="BY42" s="32"/>
      <c r="BZ42" s="32"/>
      <c r="CA42" s="32"/>
      <c r="CB42" s="32"/>
      <c r="CC42" s="431"/>
      <c r="CD42" s="442"/>
      <c r="CE42" s="131"/>
      <c r="CF42" s="130"/>
      <c r="CG42" s="46"/>
      <c r="CH42" s="48"/>
      <c r="CI42" s="145"/>
      <c r="CJ42" s="48"/>
      <c r="CK42" s="48"/>
      <c r="CL42" s="48"/>
      <c r="CM42" s="48"/>
      <c r="CN42" s="48"/>
      <c r="CO42" s="48"/>
      <c r="CP42" s="48"/>
      <c r="CQ42" s="48"/>
      <c r="CR42" s="48"/>
      <c r="CS42" s="564"/>
      <c r="CT42" s="119"/>
      <c r="CU42" s="134"/>
      <c r="CV42" s="764"/>
      <c r="CW42" s="258"/>
      <c r="CX42" s="257"/>
      <c r="CY42" s="258"/>
      <c r="CZ42" s="56"/>
      <c r="DA42" s="56"/>
      <c r="DB42" s="725"/>
      <c r="DC42" s="725"/>
      <c r="DD42" s="725"/>
      <c r="DE42" s="725"/>
      <c r="DF42" s="725"/>
      <c r="DG42" s="725"/>
      <c r="DH42" s="725"/>
      <c r="DI42" s="725"/>
      <c r="DJ42" s="764"/>
      <c r="DK42" s="725"/>
      <c r="DL42" s="725"/>
      <c r="DM42" s="725"/>
      <c r="DN42" s="725"/>
      <c r="DO42" s="725"/>
      <c r="DP42" s="511"/>
      <c r="DQ42" s="960"/>
      <c r="DR42" s="621"/>
      <c r="DS42" s="1034"/>
      <c r="DT42" s="656"/>
      <c r="DU42" s="511"/>
      <c r="DV42" s="511"/>
      <c r="DW42" s="511"/>
      <c r="DX42" s="511"/>
      <c r="DY42" s="511"/>
      <c r="DZ42" s="511"/>
      <c r="EA42" s="511"/>
      <c r="EB42" s="511"/>
      <c r="EC42" s="511"/>
      <c r="ED42" s="511"/>
      <c r="EE42" s="511"/>
      <c r="EF42" s="511"/>
      <c r="EG42" s="511"/>
      <c r="EH42" s="511"/>
      <c r="EI42" s="511"/>
      <c r="EJ42" s="511"/>
      <c r="EK42" s="511"/>
      <c r="EL42" s="511"/>
      <c r="EM42" s="511"/>
      <c r="EN42" s="511"/>
      <c r="EO42" s="511">
        <f t="shared" si="31"/>
        <v>0</v>
      </c>
      <c r="EP42" s="756"/>
    </row>
    <row r="43" spans="1:146" s="16" customFormat="1" x14ac:dyDescent="0.2">
      <c r="A43" s="120" t="s">
        <v>81</v>
      </c>
      <c r="B43" s="100"/>
      <c r="C43" s="100"/>
      <c r="D43" s="8"/>
      <c r="E43" s="130"/>
      <c r="F43" s="46"/>
      <c r="G43" s="48"/>
      <c r="H43" s="145"/>
      <c r="I43" s="48"/>
      <c r="J43" s="48"/>
      <c r="K43" s="48"/>
      <c r="L43" s="48"/>
      <c r="M43" s="48"/>
      <c r="N43" s="48"/>
      <c r="O43" s="48"/>
      <c r="P43" s="48"/>
      <c r="Q43" s="48"/>
      <c r="R43" s="564"/>
      <c r="S43" s="119"/>
      <c r="T43" s="134"/>
      <c r="U43" s="47"/>
      <c r="V43" s="106"/>
      <c r="W43" s="165">
        <v>0</v>
      </c>
      <c r="X43" s="57"/>
      <c r="Y43" s="83"/>
      <c r="Z43" s="57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72"/>
      <c r="AQ43" s="72"/>
      <c r="AR43" s="72"/>
      <c r="AS43" s="429">
        <f t="shared" si="34"/>
        <v>0</v>
      </c>
      <c r="AT43" s="429">
        <f t="shared" si="34"/>
        <v>0</v>
      </c>
      <c r="AU43" s="429">
        <f t="shared" si="34"/>
        <v>0</v>
      </c>
      <c r="AV43" s="429">
        <f t="shared" si="34"/>
        <v>0</v>
      </c>
      <c r="AW43" s="429">
        <f t="shared" si="34"/>
        <v>0</v>
      </c>
      <c r="AX43" s="57"/>
      <c r="AY43" s="83"/>
      <c r="AZ43" s="57"/>
      <c r="BA43" s="55"/>
      <c r="BB43" s="55"/>
      <c r="BC43" s="429"/>
      <c r="BD43" s="32"/>
      <c r="BE43" s="32"/>
      <c r="BF43" s="32"/>
      <c r="BG43" s="32"/>
      <c r="BH43" s="32"/>
      <c r="BI43" s="32"/>
      <c r="BJ43" s="431"/>
      <c r="BK43" s="439"/>
      <c r="BL43" s="32"/>
      <c r="BM43" s="32"/>
      <c r="BN43" s="32"/>
      <c r="BO43" s="32"/>
      <c r="BP43" s="32"/>
      <c r="BQ43" s="57"/>
      <c r="BR43" s="83"/>
      <c r="BS43" s="57"/>
      <c r="BT43" s="55"/>
      <c r="BU43" s="55"/>
      <c r="BV43" s="429"/>
      <c r="BW43" s="32"/>
      <c r="BX43" s="32"/>
      <c r="BY43" s="32"/>
      <c r="BZ43" s="32"/>
      <c r="CA43" s="32"/>
      <c r="CB43" s="32"/>
      <c r="CC43" s="431"/>
      <c r="CD43" s="442"/>
      <c r="CE43" s="8"/>
      <c r="CF43" s="130"/>
      <c r="CG43" s="46"/>
      <c r="CH43" s="48"/>
      <c r="CI43" s="145"/>
      <c r="CJ43" s="48"/>
      <c r="CK43" s="48"/>
      <c r="CL43" s="48"/>
      <c r="CM43" s="48"/>
      <c r="CN43" s="48"/>
      <c r="CO43" s="48"/>
      <c r="CP43" s="48"/>
      <c r="CQ43" s="48"/>
      <c r="CR43" s="48"/>
      <c r="CS43" s="564"/>
      <c r="CT43" s="119"/>
      <c r="CU43" s="134"/>
      <c r="CV43" s="764"/>
      <c r="CW43" s="258"/>
      <c r="CX43" s="257"/>
      <c r="CY43" s="258"/>
      <c r="CZ43" s="56"/>
      <c r="DA43" s="56"/>
      <c r="DB43" s="725"/>
      <c r="DC43" s="725"/>
      <c r="DD43" s="725"/>
      <c r="DE43" s="725"/>
      <c r="DF43" s="725"/>
      <c r="DG43" s="725"/>
      <c r="DH43" s="725"/>
      <c r="DI43" s="725"/>
      <c r="DJ43" s="764"/>
      <c r="DK43" s="725"/>
      <c r="DL43" s="725"/>
      <c r="DM43" s="725"/>
      <c r="DN43" s="725"/>
      <c r="DO43" s="725"/>
      <c r="DP43" s="511"/>
      <c r="DQ43" s="960"/>
      <c r="DR43" s="621"/>
      <c r="DS43" s="1034"/>
      <c r="DT43" s="656"/>
      <c r="DU43" s="511"/>
      <c r="DV43" s="511"/>
      <c r="DW43" s="511"/>
      <c r="DX43" s="511"/>
      <c r="DY43" s="511"/>
      <c r="DZ43" s="511"/>
      <c r="EA43" s="511"/>
      <c r="EB43" s="511"/>
      <c r="EC43" s="511"/>
      <c r="ED43" s="511"/>
      <c r="EE43" s="511"/>
      <c r="EF43" s="511"/>
      <c r="EG43" s="511"/>
      <c r="EH43" s="511"/>
      <c r="EI43" s="511"/>
      <c r="EJ43" s="511"/>
      <c r="EK43" s="511"/>
      <c r="EL43" s="511"/>
      <c r="EM43" s="511"/>
      <c r="EN43" s="511"/>
      <c r="EO43" s="511">
        <f t="shared" si="31"/>
        <v>0</v>
      </c>
      <c r="EP43" s="756"/>
    </row>
    <row r="44" spans="1:146" s="16" customFormat="1" x14ac:dyDescent="0.2">
      <c r="A44" s="100" t="s">
        <v>95</v>
      </c>
      <c r="B44" s="100" t="s">
        <v>477</v>
      </c>
      <c r="C44" s="100" t="s">
        <v>308</v>
      </c>
      <c r="D44" s="58">
        <v>10</v>
      </c>
      <c r="E44" s="130">
        <v>0.1</v>
      </c>
      <c r="F44" s="46">
        <v>42185</v>
      </c>
      <c r="G44" s="48">
        <v>120</v>
      </c>
      <c r="H44" s="145">
        <f>100/G44</f>
        <v>0.83333333333333337</v>
      </c>
      <c r="I44" s="165">
        <f>H44*J44</f>
        <v>32.5</v>
      </c>
      <c r="J44" s="48">
        <f>(YEAR(F44)-YEAR(S44))*12+MONTH(F44)-MONTH(S44)</f>
        <v>39</v>
      </c>
      <c r="K44" s="165">
        <f>L44*H44</f>
        <v>67.5</v>
      </c>
      <c r="L44" s="48">
        <f>G44-J44</f>
        <v>81</v>
      </c>
      <c r="M44" s="165">
        <f>N44*H44</f>
        <v>5.8333333333333339</v>
      </c>
      <c r="N44" s="48">
        <v>7</v>
      </c>
      <c r="O44" s="165">
        <f t="shared" ref="O44:Q45" si="75">K44-M44</f>
        <v>61.666666666666664</v>
      </c>
      <c r="P44" s="48">
        <f t="shared" si="75"/>
        <v>74</v>
      </c>
      <c r="Q44" s="48">
        <f t="shared" si="75"/>
        <v>-55.833333333333329</v>
      </c>
      <c r="R44" s="564" t="s">
        <v>502</v>
      </c>
      <c r="S44" s="119">
        <v>40984</v>
      </c>
      <c r="T44" s="134">
        <v>469</v>
      </c>
      <c r="U44" s="47">
        <v>320.47000000000003</v>
      </c>
      <c r="V44" s="106">
        <v>19.55</v>
      </c>
      <c r="W44" s="165">
        <v>0</v>
      </c>
      <c r="X44" s="57">
        <v>115.958</v>
      </c>
      <c r="Y44" s="80">
        <v>104.556</v>
      </c>
      <c r="Z44" s="57">
        <f>X44/Y44</f>
        <v>1.1090516087072957</v>
      </c>
      <c r="AA44" s="55">
        <f>U44*M44/100/K44*100/7</f>
        <v>3.9564197530864211</v>
      </c>
      <c r="AB44" s="55">
        <f>AA44*Z44</f>
        <v>4.3878736918818166</v>
      </c>
      <c r="AC44" s="55"/>
      <c r="AD44" s="55"/>
      <c r="AE44" s="55"/>
      <c r="AF44" s="55"/>
      <c r="AG44" s="55"/>
      <c r="AH44" s="55">
        <f>AB44</f>
        <v>4.3878736918818166</v>
      </c>
      <c r="AI44" s="55">
        <v>4.3878736918818166</v>
      </c>
      <c r="AJ44" s="55">
        <v>4.3878736918818166</v>
      </c>
      <c r="AK44" s="55">
        <v>4.3878736918818166</v>
      </c>
      <c r="AL44" s="55">
        <v>4.3878736918818166</v>
      </c>
      <c r="AM44" s="55">
        <v>4.3878736918818166</v>
      </c>
      <c r="AN44" s="55">
        <v>4.3878736918818166</v>
      </c>
      <c r="AO44" s="55">
        <f>SUM(AC44:AN44)</f>
        <v>30.715115843172711</v>
      </c>
      <c r="AP44" s="72">
        <f>U44-AO44</f>
        <v>289.7548841568273</v>
      </c>
      <c r="AQ44" s="72"/>
      <c r="AR44" s="72"/>
      <c r="AS44" s="429">
        <f t="shared" si="34"/>
        <v>4.3878736918818166</v>
      </c>
      <c r="AT44" s="429">
        <f t="shared" si="34"/>
        <v>4.3878736918818166</v>
      </c>
      <c r="AU44" s="429">
        <f t="shared" si="34"/>
        <v>4.3878736918818166</v>
      </c>
      <c r="AV44" s="429">
        <f t="shared" si="34"/>
        <v>4.3878736918818166</v>
      </c>
      <c r="AW44" s="429">
        <f t="shared" si="34"/>
        <v>4.3878736918818166</v>
      </c>
      <c r="AX44" s="57">
        <v>118.901</v>
      </c>
      <c r="AY44" s="80">
        <v>104.556</v>
      </c>
      <c r="AZ44" s="57">
        <f>AX44/AY44</f>
        <v>1.1371992042541796</v>
      </c>
      <c r="BA44" s="55">
        <f t="shared" si="27"/>
        <v>3.9083333333333332</v>
      </c>
      <c r="BB44" s="55">
        <f>BA44*AZ44</f>
        <v>4.4445535566267518</v>
      </c>
      <c r="BC44" s="429">
        <f t="shared" si="32"/>
        <v>4.4445535566267518</v>
      </c>
      <c r="BD44" s="429">
        <f t="shared" si="32"/>
        <v>4.4445535566267518</v>
      </c>
      <c r="BE44" s="429">
        <f t="shared" si="32"/>
        <v>4.4445535566267518</v>
      </c>
      <c r="BF44" s="429">
        <f t="shared" si="32"/>
        <v>4.4445535566267518</v>
      </c>
      <c r="BG44" s="32">
        <v>4.4400000000000004</v>
      </c>
      <c r="BH44" s="32">
        <v>4.4400000000000004</v>
      </c>
      <c r="BI44" s="32">
        <v>4.4400000000000004</v>
      </c>
      <c r="BJ44" s="431">
        <f>SUM((AS44:AW44),(BC44:BI44))</f>
        <v>53.037582685916078</v>
      </c>
      <c r="BK44" s="439">
        <f t="shared" si="33"/>
        <v>236.71730147091122</v>
      </c>
      <c r="BL44" s="32">
        <v>4.4400000000000004</v>
      </c>
      <c r="BM44" s="32">
        <v>4.4400000000000004</v>
      </c>
      <c r="BN44" s="32">
        <v>4.4400000000000004</v>
      </c>
      <c r="BO44" s="32">
        <v>4.4400000000000004</v>
      </c>
      <c r="BP44" s="32">
        <v>4.4400000000000004</v>
      </c>
      <c r="BQ44" s="57">
        <v>118.901</v>
      </c>
      <c r="BR44" s="80">
        <v>104.556</v>
      </c>
      <c r="BS44" s="57">
        <f>BQ44/BR44</f>
        <v>1.1371992042541796</v>
      </c>
      <c r="BT44" s="55"/>
      <c r="BU44" s="55"/>
      <c r="BV44" s="429"/>
      <c r="BW44" s="429"/>
      <c r="BX44" s="429"/>
      <c r="BY44" s="429"/>
      <c r="BZ44" s="32"/>
      <c r="CA44" s="32"/>
      <c r="CB44" s="32"/>
      <c r="CC44" s="431">
        <f>SUM((BL44:BP44),(BV44:CB44))</f>
        <v>22.200000000000003</v>
      </c>
      <c r="CD44" s="442">
        <f t="shared" si="28"/>
        <v>214.51730147091121</v>
      </c>
      <c r="CE44" s="58">
        <v>10</v>
      </c>
      <c r="CF44" s="130">
        <v>0.1</v>
      </c>
      <c r="CG44" s="46">
        <v>43281</v>
      </c>
      <c r="CH44" s="48">
        <v>120</v>
      </c>
      <c r="CI44" s="145">
        <f>CU44/CH44/100</f>
        <v>3.9083333333333331E-2</v>
      </c>
      <c r="CJ44" s="165">
        <f>CI44*CK44</f>
        <v>2.9312499999999999</v>
      </c>
      <c r="CK44" s="48">
        <f>(YEAR(CG44)-YEAR(CT44))*12+MONTH(CG44)-MONTH(CT44)</f>
        <v>75</v>
      </c>
      <c r="CL44" s="165">
        <f>CM44*CI44</f>
        <v>1.7587499999999998</v>
      </c>
      <c r="CM44" s="48">
        <f>CH44-CK44</f>
        <v>45</v>
      </c>
      <c r="CN44" s="165">
        <f>CO44*CI44</f>
        <v>1.7587499999999998</v>
      </c>
      <c r="CO44" s="48">
        <f>CH44-CK44</f>
        <v>45</v>
      </c>
      <c r="CP44" s="165">
        <f>CL44-CN44</f>
        <v>0</v>
      </c>
      <c r="CQ44" s="48">
        <f>CH44-CK44</f>
        <v>45</v>
      </c>
      <c r="CR44" s="462">
        <f>DATE(YEAR(CT44),MONTH(CT44)+CH44,DAY(CT44))</f>
        <v>44636</v>
      </c>
      <c r="CS44" s="564" t="s">
        <v>502</v>
      </c>
      <c r="CT44" s="119">
        <v>40984</v>
      </c>
      <c r="CU44" s="134">
        <v>469</v>
      </c>
      <c r="CV44" s="764">
        <v>214.51730147091121</v>
      </c>
      <c r="CW44" s="258">
        <v>126.408</v>
      </c>
      <c r="CX44" s="258">
        <v>104.556</v>
      </c>
      <c r="CY44" s="258">
        <f>CW44/CX44</f>
        <v>1.2089980488924597</v>
      </c>
      <c r="CZ44" s="56">
        <f>CV44/CM44</f>
        <v>4.7670511437980272</v>
      </c>
      <c r="DA44" s="56">
        <f>CZ44*CY44</f>
        <v>5.7633555318223832</v>
      </c>
      <c r="DB44" s="725">
        <v>4.5500175251229331</v>
      </c>
      <c r="DC44" s="725">
        <v>4.5500175251229331</v>
      </c>
      <c r="DD44" s="725">
        <v>4.5500175251229331</v>
      </c>
      <c r="DE44" s="725">
        <v>4.5500175251229331</v>
      </c>
      <c r="DF44" s="725">
        <v>4.5500175251229331</v>
      </c>
      <c r="DG44" s="725">
        <v>4.5500175251229331</v>
      </c>
      <c r="DH44" s="725">
        <v>4.5500175251229331</v>
      </c>
      <c r="DI44" s="725">
        <f>SUM(DB44:DH44)</f>
        <v>31.850122675860529</v>
      </c>
      <c r="DJ44" s="764">
        <f>CV44-DI44</f>
        <v>182.66717879505069</v>
      </c>
      <c r="DK44" s="725">
        <v>4.5500175251229331</v>
      </c>
      <c r="DL44" s="725">
        <v>4.5500175251229331</v>
      </c>
      <c r="DM44" s="725">
        <v>4.5500175251229331</v>
      </c>
      <c r="DN44" s="725">
        <v>4.5500175251229331</v>
      </c>
      <c r="DO44" s="725">
        <v>4.5500175251229331</v>
      </c>
      <c r="DP44" s="511">
        <f>SUM(DK44:DO44)</f>
        <v>22.750087625614665</v>
      </c>
      <c r="DQ44" s="960">
        <f>DJ44-DP44</f>
        <v>159.91709116943602</v>
      </c>
      <c r="DR44" s="656">
        <v>132.28200000000001</v>
      </c>
      <c r="DS44" s="1002">
        <v>104.556</v>
      </c>
      <c r="DT44" s="656">
        <f>DR44/DS44</f>
        <v>1.2651784689544361</v>
      </c>
      <c r="DU44" s="511">
        <f>DQ44/CO44</f>
        <v>3.5537131370985784</v>
      </c>
      <c r="DV44" s="511">
        <f>DU44*DT44</f>
        <v>4.4960813458976459</v>
      </c>
      <c r="DW44" s="511">
        <v>4.4960813458976459</v>
      </c>
      <c r="DX44" s="511">
        <v>4.4960813458976459</v>
      </c>
      <c r="DY44" s="511">
        <v>4.4960813458976459</v>
      </c>
      <c r="DZ44" s="511">
        <v>4.4960813458976459</v>
      </c>
      <c r="EA44" s="511">
        <v>4.4960813458976459</v>
      </c>
      <c r="EB44" s="511">
        <v>4.4960813458976459</v>
      </c>
      <c r="EC44" s="511">
        <v>4.4960813458976459</v>
      </c>
      <c r="ED44" s="511">
        <v>4.4960813458976459</v>
      </c>
      <c r="EE44" s="511">
        <v>4.4960813458976459</v>
      </c>
      <c r="EF44" s="511">
        <v>4.4960813458976459</v>
      </c>
      <c r="EG44" s="511">
        <v>4.4960813458976459</v>
      </c>
      <c r="EH44" s="511">
        <v>4.4960813458976459</v>
      </c>
      <c r="EI44" s="511">
        <v>4.4960813458976459</v>
      </c>
      <c r="EJ44" s="511">
        <v>4.4960813458976459</v>
      </c>
      <c r="EK44" s="511">
        <v>4.4960813458976459</v>
      </c>
      <c r="EL44" s="511">
        <v>4.4960813458976459</v>
      </c>
      <c r="EM44" s="511">
        <v>4.4960813458976459</v>
      </c>
      <c r="EN44" s="511">
        <v>4.4960813458976459</v>
      </c>
      <c r="EO44" s="511">
        <f t="shared" si="31"/>
        <v>80.92946422615762</v>
      </c>
      <c r="EP44" s="756">
        <f>DQ44-EO44</f>
        <v>78.9876269432784</v>
      </c>
    </row>
    <row r="45" spans="1:146" s="16" customFormat="1" x14ac:dyDescent="0.2">
      <c r="A45" s="100" t="s">
        <v>91</v>
      </c>
      <c r="B45" s="100" t="s">
        <v>478</v>
      </c>
      <c r="C45" s="100" t="s">
        <v>312</v>
      </c>
      <c r="D45" s="58">
        <v>10</v>
      </c>
      <c r="E45" s="130">
        <v>0.1</v>
      </c>
      <c r="F45" s="46">
        <v>42185</v>
      </c>
      <c r="G45" s="48">
        <v>120</v>
      </c>
      <c r="H45" s="145">
        <f>100/G45</f>
        <v>0.83333333333333337</v>
      </c>
      <c r="I45" s="165">
        <f>H45*J45</f>
        <v>54.166666666666671</v>
      </c>
      <c r="J45" s="48">
        <f>(YEAR(F45)-YEAR(S45))*12+MONTH(F45)-MONTH(S45)</f>
        <v>65</v>
      </c>
      <c r="K45" s="165">
        <f>L45*H45</f>
        <v>45.833333333333336</v>
      </c>
      <c r="L45" s="48">
        <f>G45-J45</f>
        <v>55</v>
      </c>
      <c r="M45" s="165">
        <f>N45*H45</f>
        <v>5.8333333333333339</v>
      </c>
      <c r="N45" s="48">
        <v>7</v>
      </c>
      <c r="O45" s="165">
        <f t="shared" si="75"/>
        <v>40</v>
      </c>
      <c r="P45" s="48">
        <f t="shared" si="75"/>
        <v>48</v>
      </c>
      <c r="Q45" s="48">
        <f t="shared" si="75"/>
        <v>-34.166666666666664</v>
      </c>
      <c r="R45" s="564" t="s">
        <v>502</v>
      </c>
      <c r="S45" s="119">
        <v>40179</v>
      </c>
      <c r="T45" s="134">
        <v>750</v>
      </c>
      <c r="U45" s="47">
        <v>343.75</v>
      </c>
      <c r="V45" s="106">
        <v>31.25</v>
      </c>
      <c r="W45" s="165">
        <v>0</v>
      </c>
      <c r="X45" s="57">
        <v>115.958</v>
      </c>
      <c r="Y45" s="80">
        <v>140.047</v>
      </c>
      <c r="Z45" s="57">
        <f>X45/Y45</f>
        <v>0.82799345933865065</v>
      </c>
      <c r="AA45" s="55">
        <f>U45*M45/100/K45*100/7</f>
        <v>6.2500000000000009</v>
      </c>
      <c r="AB45" s="55">
        <f>AA45*Z45</f>
        <v>5.1749591208665677</v>
      </c>
      <c r="AC45" s="55"/>
      <c r="AD45" s="55"/>
      <c r="AE45" s="55"/>
      <c r="AF45" s="55"/>
      <c r="AG45" s="55"/>
      <c r="AH45" s="55">
        <f>AB45</f>
        <v>5.1749591208665677</v>
      </c>
      <c r="AI45" s="55">
        <v>5.1749591208665677</v>
      </c>
      <c r="AJ45" s="55">
        <v>5.1749591208665677</v>
      </c>
      <c r="AK45" s="55">
        <v>5.1749591208665677</v>
      </c>
      <c r="AL45" s="55">
        <v>5.1749591208665677</v>
      </c>
      <c r="AM45" s="55">
        <v>5.1749591208665677</v>
      </c>
      <c r="AN45" s="55">
        <v>5.1749591208665677</v>
      </c>
      <c r="AO45" s="55">
        <f>SUM(AC45:AN45)</f>
        <v>36.224713846065974</v>
      </c>
      <c r="AP45" s="72">
        <f>U45-AO45</f>
        <v>307.52528615393402</v>
      </c>
      <c r="AQ45" s="72"/>
      <c r="AR45" s="72"/>
      <c r="AS45" s="429">
        <f t="shared" si="34"/>
        <v>5.1749591208665677</v>
      </c>
      <c r="AT45" s="429">
        <f t="shared" si="34"/>
        <v>5.1749591208665677</v>
      </c>
      <c r="AU45" s="429">
        <f t="shared" si="34"/>
        <v>5.1749591208665677</v>
      </c>
      <c r="AV45" s="429">
        <f t="shared" si="34"/>
        <v>5.1749591208665677</v>
      </c>
      <c r="AW45" s="429">
        <f t="shared" si="34"/>
        <v>5.1749591208665677</v>
      </c>
      <c r="AX45" s="57">
        <v>118.901</v>
      </c>
      <c r="AY45" s="80">
        <v>140.047</v>
      </c>
      <c r="AZ45" s="57">
        <f>AX45/AY45</f>
        <v>0.84900783308460726</v>
      </c>
      <c r="BA45" s="55">
        <f t="shared" si="27"/>
        <v>6.25</v>
      </c>
      <c r="BB45" s="55">
        <f>BA45*AZ45</f>
        <v>5.3062989567787957</v>
      </c>
      <c r="BC45" s="429">
        <f t="shared" si="32"/>
        <v>5.3062989567787957</v>
      </c>
      <c r="BD45" s="429">
        <f t="shared" si="32"/>
        <v>5.3062989567787957</v>
      </c>
      <c r="BE45" s="429">
        <f t="shared" si="32"/>
        <v>5.3062989567787957</v>
      </c>
      <c r="BF45" s="429">
        <f t="shared" si="32"/>
        <v>5.3062989567787957</v>
      </c>
      <c r="BG45" s="32">
        <v>5.31</v>
      </c>
      <c r="BH45" s="32">
        <v>5.31</v>
      </c>
      <c r="BI45" s="32">
        <v>5.31</v>
      </c>
      <c r="BJ45" s="431">
        <f>SUM((AS45:AW45),(BC45:BI45))</f>
        <v>63.029991431448032</v>
      </c>
      <c r="BK45" s="439">
        <f t="shared" si="33"/>
        <v>244.49529472248599</v>
      </c>
      <c r="BL45" s="32">
        <v>5.31</v>
      </c>
      <c r="BM45" s="32">
        <v>5.31</v>
      </c>
      <c r="BN45" s="32">
        <v>5.31</v>
      </c>
      <c r="BO45" s="32">
        <v>5.31</v>
      </c>
      <c r="BP45" s="32">
        <v>5.31</v>
      </c>
      <c r="BQ45" s="57">
        <v>118.901</v>
      </c>
      <c r="BR45" s="80">
        <v>140.047</v>
      </c>
      <c r="BS45" s="57">
        <f>BQ45/BR45</f>
        <v>0.84900783308460726</v>
      </c>
      <c r="BT45" s="55"/>
      <c r="BU45" s="55"/>
      <c r="BV45" s="429"/>
      <c r="BW45" s="429"/>
      <c r="BX45" s="429"/>
      <c r="BY45" s="429"/>
      <c r="BZ45" s="32"/>
      <c r="CA45" s="32"/>
      <c r="CB45" s="32"/>
      <c r="CC45" s="431">
        <f>SUM((BL45:BP45),(BV45:CB45))</f>
        <v>26.549999999999997</v>
      </c>
      <c r="CD45" s="442">
        <f t="shared" si="28"/>
        <v>217.94529472248598</v>
      </c>
      <c r="CE45" s="58">
        <v>10</v>
      </c>
      <c r="CF45" s="130">
        <v>0.1</v>
      </c>
      <c r="CG45" s="46">
        <v>43281</v>
      </c>
      <c r="CH45" s="48">
        <v>120</v>
      </c>
      <c r="CI45" s="145">
        <f>CU45/CH45/100</f>
        <v>6.25E-2</v>
      </c>
      <c r="CJ45" s="165">
        <f>CI45*CK45</f>
        <v>6.3125</v>
      </c>
      <c r="CK45" s="48">
        <f>(YEAR(CG45)-YEAR(CT45))*12+MONTH(CG45)-MONTH(CT45)</f>
        <v>101</v>
      </c>
      <c r="CL45" s="165">
        <f>CM45*CI45</f>
        <v>1.1875</v>
      </c>
      <c r="CM45" s="48">
        <f>CH45-CK45</f>
        <v>19</v>
      </c>
      <c r="CN45" s="165">
        <f>CO45*CI45</f>
        <v>1.1875</v>
      </c>
      <c r="CO45" s="48">
        <f>CH45-CK45</f>
        <v>19</v>
      </c>
      <c r="CP45" s="165">
        <f>CL45-CN45</f>
        <v>0</v>
      </c>
      <c r="CQ45" s="48">
        <f>CH45-CK45</f>
        <v>19</v>
      </c>
      <c r="CR45" s="462">
        <f>DATE(YEAR(CT45),MONTH(CT45)+CH45,DAY(CT45))</f>
        <v>43831</v>
      </c>
      <c r="CS45" s="564" t="s">
        <v>502</v>
      </c>
      <c r="CT45" s="119">
        <v>40179</v>
      </c>
      <c r="CU45" s="134">
        <v>750</v>
      </c>
      <c r="CV45" s="764">
        <v>217.94529472248598</v>
      </c>
      <c r="CW45" s="258">
        <v>126.408</v>
      </c>
      <c r="CX45" s="258">
        <v>140.047</v>
      </c>
      <c r="CY45" s="258">
        <f>CW45/CX45</f>
        <v>0.90261126621776977</v>
      </c>
      <c r="CZ45" s="56">
        <f>CV45/CM45</f>
        <v>11.470804985393999</v>
      </c>
      <c r="DA45" s="56">
        <f>CZ45*CY45</f>
        <v>10.353677812403584</v>
      </c>
      <c r="DB45" s="725">
        <v>6.3458025301828416</v>
      </c>
      <c r="DC45" s="725">
        <v>6.3458025301828416</v>
      </c>
      <c r="DD45" s="725">
        <v>6.3458025301828416</v>
      </c>
      <c r="DE45" s="725">
        <v>6.3458025301828416</v>
      </c>
      <c r="DF45" s="725">
        <v>6.3458025301828416</v>
      </c>
      <c r="DG45" s="725">
        <v>6.3458025301828416</v>
      </c>
      <c r="DH45" s="725">
        <v>6.3458025301828416</v>
      </c>
      <c r="DI45" s="725">
        <f>SUM(DB45:DH45)</f>
        <v>44.420617711279895</v>
      </c>
      <c r="DJ45" s="764">
        <f>CV45-DI45</f>
        <v>173.52467701120608</v>
      </c>
      <c r="DK45" s="725">
        <v>6.3458025301828416</v>
      </c>
      <c r="DL45" s="725">
        <v>6.3458025301828416</v>
      </c>
      <c r="DM45" s="725">
        <v>6.3458025301828416</v>
      </c>
      <c r="DN45" s="725">
        <v>6.3458025301828416</v>
      </c>
      <c r="DO45" s="725">
        <v>6.3458025301828416</v>
      </c>
      <c r="DP45" s="511">
        <f>SUM(DK45:DO45)</f>
        <v>31.729012650914207</v>
      </c>
      <c r="DQ45" s="960">
        <f>DJ45-DP45</f>
        <v>141.79566436029188</v>
      </c>
      <c r="DR45" s="656">
        <v>132.28200000000001</v>
      </c>
      <c r="DS45" s="1002">
        <v>140.047</v>
      </c>
      <c r="DT45" s="656">
        <f>DR45/DS45</f>
        <v>0.9445543281898221</v>
      </c>
      <c r="DU45" s="511">
        <f>DQ45/CO45</f>
        <v>7.4629297031732564</v>
      </c>
      <c r="DV45" s="511">
        <f>DU45*DT45</f>
        <v>7.0491425521086839</v>
      </c>
      <c r="DW45" s="511">
        <v>7.0491425521086839</v>
      </c>
      <c r="DX45" s="511">
        <v>7.0491425521086839</v>
      </c>
      <c r="DY45" s="511">
        <v>7.0491425521086839</v>
      </c>
      <c r="DZ45" s="511">
        <v>7.0491425521086839</v>
      </c>
      <c r="EA45" s="511">
        <v>7.0491425521086839</v>
      </c>
      <c r="EB45" s="511">
        <v>7.0491425521086839</v>
      </c>
      <c r="EC45" s="511">
        <v>7.0491425521086839</v>
      </c>
      <c r="ED45" s="511">
        <v>7.0491425521086839</v>
      </c>
      <c r="EE45" s="511">
        <v>7.0491425521086839</v>
      </c>
      <c r="EF45" s="511">
        <v>7.0491425521086839</v>
      </c>
      <c r="EG45" s="511">
        <v>7.0491425521086839</v>
      </c>
      <c r="EH45" s="511">
        <v>7.0491425521086839</v>
      </c>
      <c r="EI45" s="511">
        <v>7.0491425521086839</v>
      </c>
      <c r="EJ45" s="511">
        <v>7.0491425521086839</v>
      </c>
      <c r="EK45" s="511">
        <v>7.0491425521086839</v>
      </c>
      <c r="EL45" s="511">
        <v>7.0491425521086839</v>
      </c>
      <c r="EM45" s="511">
        <v>7.0491425521086839</v>
      </c>
      <c r="EN45" s="511">
        <v>7.0491425521086839</v>
      </c>
      <c r="EO45" s="511">
        <f t="shared" si="31"/>
        <v>126.88456593795635</v>
      </c>
      <c r="EP45" s="756">
        <f>DQ45-EO45</f>
        <v>14.911098422335527</v>
      </c>
    </row>
    <row r="46" spans="1:146" s="16" customFormat="1" x14ac:dyDescent="0.2">
      <c r="A46" s="120" t="s">
        <v>65</v>
      </c>
      <c r="B46" s="120" t="s">
        <v>96</v>
      </c>
      <c r="C46" s="120"/>
      <c r="D46" s="131"/>
      <c r="E46" s="130"/>
      <c r="F46" s="17"/>
      <c r="G46" s="17"/>
      <c r="H46" s="188"/>
      <c r="I46" s="17"/>
      <c r="J46" s="17"/>
      <c r="K46" s="17"/>
      <c r="L46" s="17"/>
      <c r="M46" s="17"/>
      <c r="N46" s="17"/>
      <c r="O46" s="17"/>
      <c r="P46" s="17"/>
      <c r="Q46" s="17"/>
      <c r="R46" s="563"/>
      <c r="S46" s="119"/>
      <c r="T46" s="134"/>
      <c r="U46" s="14"/>
      <c r="V46" s="106"/>
      <c r="W46" s="66"/>
      <c r="X46" s="66"/>
      <c r="Y46" s="83"/>
      <c r="Z46" s="66"/>
      <c r="AA46" s="65"/>
      <c r="AB46" s="65"/>
      <c r="AC46" s="6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72"/>
      <c r="AQ46" s="72"/>
      <c r="AR46" s="72"/>
      <c r="AS46" s="429">
        <f t="shared" si="34"/>
        <v>0</v>
      </c>
      <c r="AT46" s="429">
        <f t="shared" si="34"/>
        <v>0</v>
      </c>
      <c r="AU46" s="429">
        <f t="shared" si="34"/>
        <v>0</v>
      </c>
      <c r="AV46" s="429">
        <f t="shared" si="34"/>
        <v>0</v>
      </c>
      <c r="AW46" s="429">
        <f t="shared" si="34"/>
        <v>0</v>
      </c>
      <c r="AX46" s="66"/>
      <c r="AY46" s="83"/>
      <c r="AZ46" s="66"/>
      <c r="BA46" s="55"/>
      <c r="BB46" s="65"/>
      <c r="BC46" s="429"/>
      <c r="BD46" s="32"/>
      <c r="BE46" s="32"/>
      <c r="BF46" s="32"/>
      <c r="BG46" s="32"/>
      <c r="BH46" s="32"/>
      <c r="BI46" s="32"/>
      <c r="BJ46" s="431"/>
      <c r="BK46" s="439"/>
      <c r="BL46" s="32"/>
      <c r="BM46" s="32"/>
      <c r="BN46" s="32"/>
      <c r="BO46" s="32"/>
      <c r="BP46" s="32"/>
      <c r="BQ46" s="66"/>
      <c r="BR46" s="83"/>
      <c r="BS46" s="66"/>
      <c r="BT46" s="55"/>
      <c r="BU46" s="65"/>
      <c r="BV46" s="429"/>
      <c r="BW46" s="32"/>
      <c r="BX46" s="32"/>
      <c r="BY46" s="32"/>
      <c r="BZ46" s="32"/>
      <c r="CA46" s="32"/>
      <c r="CB46" s="32"/>
      <c r="CC46" s="431"/>
      <c r="CD46" s="442"/>
      <c r="CE46" s="131"/>
      <c r="CF46" s="130"/>
      <c r="CG46" s="17"/>
      <c r="CH46" s="17"/>
      <c r="CI46" s="188"/>
      <c r="CJ46" s="17"/>
      <c r="CK46" s="17"/>
      <c r="CL46" s="17"/>
      <c r="CM46" s="17"/>
      <c r="CN46" s="17"/>
      <c r="CO46" s="17"/>
      <c r="CP46" s="17"/>
      <c r="CQ46" s="17"/>
      <c r="CR46" s="17"/>
      <c r="CS46" s="563"/>
      <c r="CT46" s="119"/>
      <c r="CU46" s="134"/>
      <c r="CV46" s="764"/>
      <c r="CW46" s="257"/>
      <c r="CX46" s="257"/>
      <c r="CY46" s="257"/>
      <c r="CZ46" s="56"/>
      <c r="DA46" s="758"/>
      <c r="DB46" s="725"/>
      <c r="DC46" s="725"/>
      <c r="DD46" s="725"/>
      <c r="DE46" s="725"/>
      <c r="DF46" s="725"/>
      <c r="DG46" s="725"/>
      <c r="DH46" s="725"/>
      <c r="DI46" s="725"/>
      <c r="DJ46" s="764"/>
      <c r="DK46" s="725"/>
      <c r="DL46" s="725"/>
      <c r="DM46" s="725"/>
      <c r="DN46" s="725"/>
      <c r="DO46" s="725"/>
      <c r="DP46" s="511"/>
      <c r="DQ46" s="960"/>
      <c r="DR46" s="656"/>
      <c r="DS46" s="1034"/>
      <c r="DT46" s="656"/>
      <c r="DU46" s="511"/>
      <c r="DV46" s="511"/>
      <c r="DW46" s="511"/>
      <c r="DX46" s="511"/>
      <c r="DY46" s="511"/>
      <c r="DZ46" s="511"/>
      <c r="EA46" s="511"/>
      <c r="EB46" s="511"/>
      <c r="EC46" s="511"/>
      <c r="ED46" s="511"/>
      <c r="EE46" s="511"/>
      <c r="EF46" s="511"/>
      <c r="EG46" s="511"/>
      <c r="EH46" s="511"/>
      <c r="EI46" s="511"/>
      <c r="EJ46" s="511"/>
      <c r="EK46" s="511"/>
      <c r="EL46" s="511"/>
      <c r="EM46" s="511"/>
      <c r="EN46" s="511"/>
      <c r="EO46" s="511">
        <f t="shared" si="31"/>
        <v>0</v>
      </c>
      <c r="EP46" s="756"/>
    </row>
    <row r="47" spans="1:146" s="16" customFormat="1" x14ac:dyDescent="0.2">
      <c r="A47" s="120" t="s">
        <v>98</v>
      </c>
      <c r="B47" s="100"/>
      <c r="C47" s="100"/>
      <c r="D47" s="8"/>
      <c r="E47" s="130"/>
      <c r="F47" s="17"/>
      <c r="G47" s="17"/>
      <c r="H47" s="188"/>
      <c r="I47" s="17"/>
      <c r="J47" s="17"/>
      <c r="K47" s="17"/>
      <c r="L47" s="17"/>
      <c r="M47" s="17"/>
      <c r="N47" s="17"/>
      <c r="O47" s="17"/>
      <c r="P47" s="17"/>
      <c r="Q47" s="17"/>
      <c r="R47" s="563"/>
      <c r="S47" s="119"/>
      <c r="T47" s="134"/>
      <c r="U47" s="14"/>
      <c r="V47" s="106"/>
      <c r="W47" s="66"/>
      <c r="X47" s="66"/>
      <c r="Y47" s="83"/>
      <c r="Z47" s="66"/>
      <c r="AA47" s="65"/>
      <c r="AB47" s="65"/>
      <c r="AC47" s="6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72"/>
      <c r="AQ47" s="72"/>
      <c r="AR47" s="72"/>
      <c r="AS47" s="32"/>
      <c r="AT47" s="32"/>
      <c r="AU47" s="32"/>
      <c r="AV47" s="32"/>
      <c r="AW47" s="32"/>
      <c r="AX47" s="66"/>
      <c r="AY47" s="83"/>
      <c r="AZ47" s="66"/>
      <c r="BA47" s="55"/>
      <c r="BB47" s="65"/>
      <c r="BC47" s="429"/>
      <c r="BD47" s="32"/>
      <c r="BE47" s="32"/>
      <c r="BF47" s="32"/>
      <c r="BG47" s="32"/>
      <c r="BH47" s="32"/>
      <c r="BI47" s="32"/>
      <c r="BJ47" s="431"/>
      <c r="BK47" s="439"/>
      <c r="BL47" s="32"/>
      <c r="BM47" s="32"/>
      <c r="BN47" s="32"/>
      <c r="BO47" s="32"/>
      <c r="BP47" s="32"/>
      <c r="BQ47" s="66"/>
      <c r="BR47" s="83"/>
      <c r="BS47" s="66"/>
      <c r="BT47" s="55"/>
      <c r="BU47" s="65"/>
      <c r="BV47" s="429"/>
      <c r="BW47" s="32"/>
      <c r="BX47" s="32"/>
      <c r="BY47" s="32"/>
      <c r="BZ47" s="32"/>
      <c r="CA47" s="32"/>
      <c r="CB47" s="32"/>
      <c r="CC47" s="431"/>
      <c r="CD47" s="442"/>
      <c r="CE47" s="8"/>
      <c r="CF47" s="130"/>
      <c r="CG47" s="17"/>
      <c r="CH47" s="17"/>
      <c r="CI47" s="188"/>
      <c r="CJ47" s="17"/>
      <c r="CK47" s="17"/>
      <c r="CL47" s="17"/>
      <c r="CM47" s="17"/>
      <c r="CN47" s="17"/>
      <c r="CO47" s="17"/>
      <c r="CP47" s="17"/>
      <c r="CQ47" s="17"/>
      <c r="CR47" s="17"/>
      <c r="CS47" s="563"/>
      <c r="CT47" s="119"/>
      <c r="CU47" s="134"/>
      <c r="CV47" s="764"/>
      <c r="CW47" s="257"/>
      <c r="CX47" s="257"/>
      <c r="CY47" s="257"/>
      <c r="CZ47" s="56"/>
      <c r="DA47" s="758"/>
      <c r="DB47" s="725"/>
      <c r="DC47" s="725"/>
      <c r="DD47" s="725"/>
      <c r="DE47" s="725"/>
      <c r="DF47" s="725"/>
      <c r="DG47" s="725"/>
      <c r="DH47" s="725"/>
      <c r="DI47" s="725"/>
      <c r="DJ47" s="764"/>
      <c r="DK47" s="725"/>
      <c r="DL47" s="725"/>
      <c r="DM47" s="725"/>
      <c r="DN47" s="725"/>
      <c r="DO47" s="725"/>
      <c r="DP47" s="511"/>
      <c r="DQ47" s="960"/>
      <c r="DR47" s="656"/>
      <c r="DS47" s="1034"/>
      <c r="DT47" s="656"/>
      <c r="DU47" s="511"/>
      <c r="DV47" s="511"/>
      <c r="DW47" s="511"/>
      <c r="DX47" s="511"/>
      <c r="DY47" s="511"/>
      <c r="DZ47" s="511"/>
      <c r="EA47" s="511"/>
      <c r="EB47" s="511"/>
      <c r="EC47" s="511"/>
      <c r="ED47" s="511"/>
      <c r="EE47" s="511"/>
      <c r="EF47" s="511"/>
      <c r="EG47" s="511"/>
      <c r="EH47" s="511"/>
      <c r="EI47" s="511"/>
      <c r="EJ47" s="511"/>
      <c r="EK47" s="511"/>
      <c r="EL47" s="511"/>
      <c r="EM47" s="511"/>
      <c r="EN47" s="511"/>
      <c r="EO47" s="511">
        <f t="shared" si="31"/>
        <v>0</v>
      </c>
      <c r="EP47" s="756"/>
    </row>
    <row r="48" spans="1:146" s="16" customFormat="1" x14ac:dyDescent="0.2">
      <c r="A48" s="100" t="s">
        <v>103</v>
      </c>
      <c r="B48" s="100" t="s">
        <v>479</v>
      </c>
      <c r="C48" s="100" t="s">
        <v>311</v>
      </c>
      <c r="D48" s="58">
        <v>3</v>
      </c>
      <c r="E48" s="127">
        <v>0.33329999999999999</v>
      </c>
      <c r="F48" s="46">
        <v>42185</v>
      </c>
      <c r="G48" s="48">
        <v>36</v>
      </c>
      <c r="H48" s="145">
        <f>100/G48</f>
        <v>2.7777777777777777</v>
      </c>
      <c r="I48" s="165">
        <f>H48*J48</f>
        <v>86.111111111111114</v>
      </c>
      <c r="J48" s="48">
        <f>(YEAR(F48)-YEAR(S48))*12+MONTH(F48)-MONTH(S48)</f>
        <v>31</v>
      </c>
      <c r="K48" s="165">
        <f>L48*H48</f>
        <v>13.888888888888889</v>
      </c>
      <c r="L48" s="48">
        <f>G48-J48</f>
        <v>5</v>
      </c>
      <c r="M48" s="165">
        <f>N48*H48</f>
        <v>13.888888888888889</v>
      </c>
      <c r="N48" s="48">
        <v>5</v>
      </c>
      <c r="O48" s="165">
        <f>K48-M48</f>
        <v>0</v>
      </c>
      <c r="P48" s="48">
        <f>L48-N48</f>
        <v>0</v>
      </c>
      <c r="Q48" s="48">
        <f>M48-O48</f>
        <v>13.888888888888889</v>
      </c>
      <c r="R48" s="564" t="s">
        <v>503</v>
      </c>
      <c r="S48" s="119">
        <v>41222</v>
      </c>
      <c r="T48" s="134">
        <v>1499</v>
      </c>
      <c r="U48" s="47">
        <v>250.01</v>
      </c>
      <c r="V48" s="106">
        <v>208.15</v>
      </c>
      <c r="W48" s="165">
        <v>0</v>
      </c>
      <c r="X48" s="57">
        <v>115.958</v>
      </c>
      <c r="Y48" s="80">
        <v>107</v>
      </c>
      <c r="Z48" s="57">
        <f>X48/Y48</f>
        <v>1.0837196261682243</v>
      </c>
      <c r="AA48" s="55">
        <f>U48*M48/100/K48*100/7</f>
        <v>35.715714285714284</v>
      </c>
      <c r="AB48" s="55">
        <f>AA48*Z48</f>
        <v>38.705820534045394</v>
      </c>
      <c r="AC48" s="55"/>
      <c r="AD48" s="55"/>
      <c r="AE48" s="55"/>
      <c r="AF48" s="55"/>
      <c r="AG48" s="55"/>
      <c r="AH48" s="55">
        <f>AB48</f>
        <v>38.705820534045394</v>
      </c>
      <c r="AI48" s="55">
        <v>38.705820534045394</v>
      </c>
      <c r="AJ48" s="55">
        <v>38.705820534045394</v>
      </c>
      <c r="AK48" s="55">
        <v>38.705820534045394</v>
      </c>
      <c r="AL48" s="55">
        <v>38.705820534045394</v>
      </c>
      <c r="AM48" s="55">
        <v>38.705820534045394</v>
      </c>
      <c r="AN48" s="55">
        <v>16.78</v>
      </c>
      <c r="AO48" s="55">
        <f>SUM(AC48:AN48)</f>
        <v>249.01492320427235</v>
      </c>
      <c r="AP48" s="72">
        <f>U48-AO48</f>
        <v>0.99507679572764118</v>
      </c>
      <c r="AQ48" s="72"/>
      <c r="AR48" s="72"/>
      <c r="AS48" s="32"/>
      <c r="AT48" s="32"/>
      <c r="AU48" s="32"/>
      <c r="AV48" s="32"/>
      <c r="AW48" s="32"/>
      <c r="AX48" s="57">
        <v>118.901</v>
      </c>
      <c r="AY48" s="80">
        <v>107</v>
      </c>
      <c r="AZ48" s="57">
        <f>AX48/AY48</f>
        <v>1.1112242990654204</v>
      </c>
      <c r="BA48" s="55">
        <f t="shared" si="27"/>
        <v>41.638888888888886</v>
      </c>
      <c r="BB48" s="55">
        <f>BA48*AZ48</f>
        <v>46.270145119418473</v>
      </c>
      <c r="BC48" s="429"/>
      <c r="BD48" s="32"/>
      <c r="BE48" s="32"/>
      <c r="BF48" s="32"/>
      <c r="BG48" s="32"/>
      <c r="BH48" s="32"/>
      <c r="BI48" s="32"/>
      <c r="BJ48" s="431">
        <f>SUM((AS48:AW48),(BC48:BI48))</f>
        <v>0</v>
      </c>
      <c r="BK48" s="439">
        <f t="shared" si="33"/>
        <v>0.99507679572764118</v>
      </c>
      <c r="BL48" s="32"/>
      <c r="BM48" s="32"/>
      <c r="BN48" s="32"/>
      <c r="BO48" s="32"/>
      <c r="BP48" s="32"/>
      <c r="BQ48" s="57">
        <v>118.901</v>
      </c>
      <c r="BR48" s="80">
        <v>107</v>
      </c>
      <c r="BS48" s="57">
        <f>BQ48/BR48</f>
        <v>1.1112242990654204</v>
      </c>
      <c r="BT48" s="55"/>
      <c r="BU48" s="55"/>
      <c r="BV48" s="429"/>
      <c r="BW48" s="32"/>
      <c r="BX48" s="32"/>
      <c r="BY48" s="32"/>
      <c r="BZ48" s="32"/>
      <c r="CA48" s="32"/>
      <c r="CB48" s="32"/>
      <c r="CC48" s="431">
        <f>SUM((BL48:BP48),(BV48:CB48))</f>
        <v>0</v>
      </c>
      <c r="CD48" s="442">
        <f t="shared" si="28"/>
        <v>0.99507679572764118</v>
      </c>
      <c r="CE48" s="58">
        <v>3</v>
      </c>
      <c r="CF48" s="127">
        <v>0.33329999999999999</v>
      </c>
      <c r="CG48" s="46">
        <v>43281</v>
      </c>
      <c r="CH48" s="48">
        <v>36</v>
      </c>
      <c r="CI48" s="145">
        <f>CU48/CH48/100</f>
        <v>0.41638888888888886</v>
      </c>
      <c r="CJ48" s="165">
        <f>CI48*CK48</f>
        <v>27.898055555555555</v>
      </c>
      <c r="CK48" s="48">
        <f>(YEAR(CG48)-YEAR(CT48))*12+MONTH(CG48)-MONTH(CT48)</f>
        <v>67</v>
      </c>
      <c r="CL48" s="165">
        <f>CM48*CI48</f>
        <v>-12.908055555555555</v>
      </c>
      <c r="CM48" s="48">
        <f>CH48-CK48</f>
        <v>-31</v>
      </c>
      <c r="CN48" s="165">
        <f>CO48*CI48</f>
        <v>-12.908055555555555</v>
      </c>
      <c r="CO48" s="48">
        <f>CH48-CK48</f>
        <v>-31</v>
      </c>
      <c r="CP48" s="165">
        <f>CL48-CN48</f>
        <v>0</v>
      </c>
      <c r="CQ48" s="48">
        <f>CH48-CK48</f>
        <v>-31</v>
      </c>
      <c r="CR48" s="462">
        <f>DATE(YEAR(CT48),MONTH(CT48)+CH48,DAY(CT48))</f>
        <v>42317</v>
      </c>
      <c r="CS48" s="564" t="s">
        <v>503</v>
      </c>
      <c r="CT48" s="119">
        <v>41222</v>
      </c>
      <c r="CU48" s="134">
        <v>1499</v>
      </c>
      <c r="CV48" s="764">
        <v>0.99507679572764118</v>
      </c>
      <c r="CW48" s="258">
        <v>126.408</v>
      </c>
      <c r="CX48" s="258">
        <v>107</v>
      </c>
      <c r="CY48" s="258">
        <f>CW48/CX48</f>
        <v>1.1813831775700934</v>
      </c>
      <c r="CZ48" s="56">
        <v>0</v>
      </c>
      <c r="DA48" s="56">
        <f>CZ48*CY48</f>
        <v>0</v>
      </c>
      <c r="DB48" s="725">
        <v>0</v>
      </c>
      <c r="DC48" s="725">
        <v>0</v>
      </c>
      <c r="DD48" s="725">
        <v>0</v>
      </c>
      <c r="DE48" s="725">
        <v>0</v>
      </c>
      <c r="DF48" s="725">
        <v>0</v>
      </c>
      <c r="DG48" s="725">
        <v>0</v>
      </c>
      <c r="DH48" s="725">
        <v>0</v>
      </c>
      <c r="DI48" s="725">
        <f>SUM(DB48:DH48)</f>
        <v>0</v>
      </c>
      <c r="DJ48" s="764">
        <f>CV48-DI48</f>
        <v>0.99507679572764118</v>
      </c>
      <c r="DK48" s="725">
        <v>0</v>
      </c>
      <c r="DL48" s="725">
        <v>0</v>
      </c>
      <c r="DM48" s="725">
        <v>0</v>
      </c>
      <c r="DN48" s="725">
        <v>0</v>
      </c>
      <c r="DO48" s="725">
        <v>0</v>
      </c>
      <c r="DP48" s="511">
        <f>SUM(DK48:DO48)</f>
        <v>0</v>
      </c>
      <c r="DQ48" s="960">
        <f>DJ48-DP48</f>
        <v>0.99507679572764118</v>
      </c>
      <c r="DR48" s="656">
        <v>132.28200000000001</v>
      </c>
      <c r="DS48" s="1002">
        <v>107</v>
      </c>
      <c r="DT48" s="656">
        <f>DR48/DS48</f>
        <v>1.2362803738317758</v>
      </c>
      <c r="DU48" s="511">
        <v>0</v>
      </c>
      <c r="DV48" s="511">
        <v>0</v>
      </c>
      <c r="DW48" s="511">
        <v>0</v>
      </c>
      <c r="DX48" s="511">
        <v>0</v>
      </c>
      <c r="DY48" s="511">
        <v>0</v>
      </c>
      <c r="DZ48" s="511">
        <v>0</v>
      </c>
      <c r="EA48" s="511">
        <v>0</v>
      </c>
      <c r="EB48" s="511">
        <v>0</v>
      </c>
      <c r="EC48" s="511">
        <v>0</v>
      </c>
      <c r="ED48" s="511">
        <v>0</v>
      </c>
      <c r="EE48" s="511">
        <v>0</v>
      </c>
      <c r="EF48" s="511">
        <v>0</v>
      </c>
      <c r="EG48" s="511">
        <v>0</v>
      </c>
      <c r="EH48" s="511">
        <v>0</v>
      </c>
      <c r="EI48" s="511">
        <v>0</v>
      </c>
      <c r="EJ48" s="511">
        <v>0</v>
      </c>
      <c r="EK48" s="511">
        <v>0</v>
      </c>
      <c r="EL48" s="511">
        <v>0</v>
      </c>
      <c r="EM48" s="511">
        <v>0</v>
      </c>
      <c r="EN48" s="511">
        <v>0</v>
      </c>
      <c r="EO48" s="511">
        <f t="shared" si="31"/>
        <v>0</v>
      </c>
      <c r="EP48" s="756">
        <f>DQ48-EO48</f>
        <v>0.99507679572764118</v>
      </c>
    </row>
    <row r="49" spans="1:146" s="16" customFormat="1" x14ac:dyDescent="0.2">
      <c r="A49" s="120" t="s">
        <v>71</v>
      </c>
      <c r="B49" s="120" t="s">
        <v>85</v>
      </c>
      <c r="C49" s="120"/>
      <c r="D49" s="131"/>
      <c r="E49" s="130"/>
      <c r="F49" s="17"/>
      <c r="G49" s="17"/>
      <c r="H49" s="188"/>
      <c r="I49" s="17"/>
      <c r="J49" s="17"/>
      <c r="K49" s="17"/>
      <c r="L49" s="17"/>
      <c r="M49" s="17"/>
      <c r="N49" s="17"/>
      <c r="O49" s="17"/>
      <c r="P49" s="17"/>
      <c r="Q49" s="17"/>
      <c r="R49" s="563"/>
      <c r="S49" s="119"/>
      <c r="T49" s="134"/>
      <c r="U49" s="14"/>
      <c r="V49" s="106"/>
      <c r="W49" s="66"/>
      <c r="X49" s="66"/>
      <c r="Y49" s="83"/>
      <c r="Z49" s="66"/>
      <c r="AA49" s="65"/>
      <c r="AB49" s="65"/>
      <c r="AC49" s="6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72"/>
      <c r="AQ49" s="72"/>
      <c r="AR49" s="72"/>
      <c r="AS49" s="32"/>
      <c r="AT49" s="32"/>
      <c r="AU49" s="32"/>
      <c r="AV49" s="32"/>
      <c r="AW49" s="32"/>
      <c r="AX49" s="66"/>
      <c r="AY49" s="83"/>
      <c r="AZ49" s="66"/>
      <c r="BA49" s="55"/>
      <c r="BB49" s="65"/>
      <c r="BC49" s="429"/>
      <c r="BD49" s="32"/>
      <c r="BE49" s="32"/>
      <c r="BF49" s="32"/>
      <c r="BG49" s="32"/>
      <c r="BH49" s="32"/>
      <c r="BI49" s="32"/>
      <c r="BJ49" s="431"/>
      <c r="BK49" s="439"/>
      <c r="BL49" s="32"/>
      <c r="BM49" s="32"/>
      <c r="BN49" s="32"/>
      <c r="BO49" s="32"/>
      <c r="BP49" s="32"/>
      <c r="BQ49" s="66"/>
      <c r="BR49" s="83"/>
      <c r="BS49" s="66"/>
      <c r="BT49" s="55"/>
      <c r="BU49" s="65"/>
      <c r="BV49" s="429"/>
      <c r="BW49" s="32"/>
      <c r="BX49" s="32"/>
      <c r="BY49" s="32"/>
      <c r="BZ49" s="32"/>
      <c r="CA49" s="32"/>
      <c r="CB49" s="32"/>
      <c r="CC49" s="431"/>
      <c r="CD49" s="442"/>
      <c r="CE49" s="131"/>
      <c r="CF49" s="130"/>
      <c r="CG49" s="17"/>
      <c r="CH49" s="17"/>
      <c r="CI49" s="188"/>
      <c r="CJ49" s="17"/>
      <c r="CK49" s="17"/>
      <c r="CL49" s="17"/>
      <c r="CM49" s="17"/>
      <c r="CN49" s="17"/>
      <c r="CO49" s="17"/>
      <c r="CP49" s="17"/>
      <c r="CQ49" s="17"/>
      <c r="CR49" s="17"/>
      <c r="CS49" s="563"/>
      <c r="CT49" s="119"/>
      <c r="CU49" s="134"/>
      <c r="CV49" s="764"/>
      <c r="CW49" s="257"/>
      <c r="CX49" s="257"/>
      <c r="CY49" s="257"/>
      <c r="CZ49" s="56"/>
      <c r="DA49" s="758"/>
      <c r="DB49" s="725"/>
      <c r="DC49" s="725"/>
      <c r="DD49" s="725"/>
      <c r="DE49" s="725"/>
      <c r="DF49" s="725"/>
      <c r="DG49" s="725"/>
      <c r="DH49" s="725"/>
      <c r="DI49" s="725"/>
      <c r="DJ49" s="764"/>
      <c r="DK49" s="725"/>
      <c r="DL49" s="725"/>
      <c r="DM49" s="725"/>
      <c r="DN49" s="725"/>
      <c r="DO49" s="725"/>
      <c r="DP49" s="511"/>
      <c r="DQ49" s="960"/>
      <c r="DR49" s="621"/>
      <c r="DS49" s="1034"/>
      <c r="DT49" s="656"/>
      <c r="DU49" s="511"/>
      <c r="DV49" s="511"/>
      <c r="DW49" s="511"/>
      <c r="DX49" s="511"/>
      <c r="DY49" s="511"/>
      <c r="DZ49" s="511"/>
      <c r="EA49" s="511"/>
      <c r="EB49" s="511"/>
      <c r="EC49" s="511"/>
      <c r="ED49" s="511"/>
      <c r="EE49" s="511"/>
      <c r="EF49" s="511"/>
      <c r="EG49" s="511"/>
      <c r="EH49" s="511"/>
      <c r="EI49" s="511"/>
      <c r="EJ49" s="511"/>
      <c r="EK49" s="511"/>
      <c r="EL49" s="511"/>
      <c r="EM49" s="511"/>
      <c r="EN49" s="511"/>
      <c r="EO49" s="511">
        <f t="shared" si="31"/>
        <v>0</v>
      </c>
      <c r="EP49" s="756"/>
    </row>
    <row r="50" spans="1:146" s="16" customFormat="1" x14ac:dyDescent="0.2">
      <c r="A50" s="120" t="s">
        <v>105</v>
      </c>
      <c r="B50" s="100"/>
      <c r="C50" s="100"/>
      <c r="D50" s="8"/>
      <c r="E50" s="130"/>
      <c r="F50" s="17"/>
      <c r="G50" s="17"/>
      <c r="H50" s="188"/>
      <c r="I50" s="17"/>
      <c r="J50" s="17"/>
      <c r="K50" s="17"/>
      <c r="L50" s="17"/>
      <c r="M50" s="17"/>
      <c r="N50" s="17"/>
      <c r="O50" s="17"/>
      <c r="P50" s="17"/>
      <c r="Q50" s="17"/>
      <c r="R50" s="563"/>
      <c r="S50" s="119"/>
      <c r="T50" s="134"/>
      <c r="U50" s="14"/>
      <c r="V50" s="106"/>
      <c r="W50" s="66"/>
      <c r="X50" s="66"/>
      <c r="Y50" s="83"/>
      <c r="Z50" s="66"/>
      <c r="AA50" s="65"/>
      <c r="AB50" s="65"/>
      <c r="AC50" s="6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72"/>
      <c r="AQ50" s="72"/>
      <c r="AR50" s="72"/>
      <c r="AS50" s="32"/>
      <c r="AT50" s="32"/>
      <c r="AU50" s="32"/>
      <c r="AV50" s="32"/>
      <c r="AW50" s="32"/>
      <c r="AX50" s="66"/>
      <c r="AY50" s="83"/>
      <c r="AZ50" s="66"/>
      <c r="BA50" s="55"/>
      <c r="BB50" s="65"/>
      <c r="BC50" s="429"/>
      <c r="BD50" s="32"/>
      <c r="BE50" s="32"/>
      <c r="BF50" s="32"/>
      <c r="BG50" s="32"/>
      <c r="BH50" s="32"/>
      <c r="BI50" s="32"/>
      <c r="BJ50" s="431"/>
      <c r="BK50" s="439"/>
      <c r="BL50" s="32"/>
      <c r="BM50" s="32"/>
      <c r="BN50" s="32"/>
      <c r="BO50" s="32"/>
      <c r="BP50" s="32"/>
      <c r="BQ50" s="66"/>
      <c r="BR50" s="83"/>
      <c r="BS50" s="66"/>
      <c r="BT50" s="55"/>
      <c r="BU50" s="65"/>
      <c r="BV50" s="429"/>
      <c r="BW50" s="32"/>
      <c r="BX50" s="32"/>
      <c r="BY50" s="32"/>
      <c r="BZ50" s="32"/>
      <c r="CA50" s="32"/>
      <c r="CB50" s="32"/>
      <c r="CC50" s="431"/>
      <c r="CD50" s="442"/>
      <c r="CE50" s="8"/>
      <c r="CF50" s="130"/>
      <c r="CG50" s="17"/>
      <c r="CH50" s="17"/>
      <c r="CI50" s="188"/>
      <c r="CJ50" s="17"/>
      <c r="CK50" s="17"/>
      <c r="CL50" s="17"/>
      <c r="CM50" s="17"/>
      <c r="CN50" s="17"/>
      <c r="CO50" s="17"/>
      <c r="CP50" s="17"/>
      <c r="CQ50" s="17"/>
      <c r="CR50" s="17"/>
      <c r="CS50" s="563"/>
      <c r="CT50" s="119"/>
      <c r="CU50" s="134"/>
      <c r="CV50" s="764"/>
      <c r="CW50" s="257"/>
      <c r="CX50" s="257"/>
      <c r="CY50" s="257"/>
      <c r="CZ50" s="56"/>
      <c r="DA50" s="758"/>
      <c r="DB50" s="725"/>
      <c r="DC50" s="725"/>
      <c r="DD50" s="725"/>
      <c r="DE50" s="725"/>
      <c r="DF50" s="725"/>
      <c r="DG50" s="725"/>
      <c r="DH50" s="725"/>
      <c r="DI50" s="725"/>
      <c r="DJ50" s="764"/>
      <c r="DK50" s="725"/>
      <c r="DL50" s="725"/>
      <c r="DM50" s="725"/>
      <c r="DN50" s="725"/>
      <c r="DO50" s="725"/>
      <c r="DP50" s="511"/>
      <c r="DQ50" s="960"/>
      <c r="DR50" s="656"/>
      <c r="DS50" s="1034"/>
      <c r="DT50" s="656"/>
      <c r="DU50" s="511"/>
      <c r="DV50" s="511"/>
      <c r="DW50" s="511"/>
      <c r="DX50" s="511"/>
      <c r="DY50" s="511"/>
      <c r="DZ50" s="511"/>
      <c r="EA50" s="511"/>
      <c r="EB50" s="511"/>
      <c r="EC50" s="511"/>
      <c r="ED50" s="511"/>
      <c r="EE50" s="511"/>
      <c r="EF50" s="511"/>
      <c r="EG50" s="511"/>
      <c r="EH50" s="511"/>
      <c r="EI50" s="511"/>
      <c r="EJ50" s="511"/>
      <c r="EK50" s="511"/>
      <c r="EL50" s="511"/>
      <c r="EM50" s="511"/>
      <c r="EN50" s="511"/>
      <c r="EO50" s="511">
        <f t="shared" si="31"/>
        <v>0</v>
      </c>
      <c r="EP50" s="756"/>
    </row>
    <row r="51" spans="1:146" s="16" customFormat="1" x14ac:dyDescent="0.2">
      <c r="A51" s="100" t="s">
        <v>58</v>
      </c>
      <c r="B51" s="100" t="s">
        <v>480</v>
      </c>
      <c r="C51" s="100" t="s">
        <v>311</v>
      </c>
      <c r="D51" s="58">
        <v>10</v>
      </c>
      <c r="E51" s="130">
        <v>0.1</v>
      </c>
      <c r="F51" s="46">
        <v>42185</v>
      </c>
      <c r="G51" s="48">
        <v>120</v>
      </c>
      <c r="H51" s="145">
        <f t="shared" ref="H51:H56" si="76">100/G51</f>
        <v>0.83333333333333337</v>
      </c>
      <c r="I51" s="165">
        <f t="shared" ref="I51:I56" si="77">H51*J51</f>
        <v>12.5</v>
      </c>
      <c r="J51" s="48">
        <f>(YEAR(F51)-YEAR(S51))*12+MONTH(F51)-MONTH(S51)</f>
        <v>15</v>
      </c>
      <c r="K51" s="165">
        <f t="shared" ref="K51:K56" si="78">L51*H51</f>
        <v>87.5</v>
      </c>
      <c r="L51" s="48">
        <f t="shared" ref="L51:L56" si="79">G51-J51</f>
        <v>105</v>
      </c>
      <c r="M51" s="165">
        <f t="shared" ref="M51:M56" si="80">N51*H51</f>
        <v>5.8333333333333339</v>
      </c>
      <c r="N51" s="48">
        <v>7</v>
      </c>
      <c r="O51" s="165">
        <f t="shared" ref="O51:Q53" si="81">K51-M51</f>
        <v>81.666666666666671</v>
      </c>
      <c r="P51" s="48">
        <f t="shared" si="81"/>
        <v>98</v>
      </c>
      <c r="Q51" s="48">
        <f t="shared" si="81"/>
        <v>-75.833333333333343</v>
      </c>
      <c r="R51" s="564" t="s">
        <v>504</v>
      </c>
      <c r="S51" s="119">
        <v>41726</v>
      </c>
      <c r="T51" s="134">
        <v>249.01</v>
      </c>
      <c r="U51" s="47">
        <v>219.9</v>
      </c>
      <c r="V51" s="106">
        <v>10.4</v>
      </c>
      <c r="W51" s="165">
        <v>0</v>
      </c>
      <c r="X51" s="57">
        <v>115.958</v>
      </c>
      <c r="Y51" s="80">
        <v>113.099</v>
      </c>
      <c r="Z51" s="57">
        <f>X51/Y51</f>
        <v>1.0252787380967117</v>
      </c>
      <c r="AA51" s="55">
        <f>U51*M51/100/K51*100/7</f>
        <v>2.0942857142857148</v>
      </c>
      <c r="AB51" s="55">
        <f t="shared" ref="AB51:AB56" si="82">AA51*Z51</f>
        <v>2.1472266143568279</v>
      </c>
      <c r="AC51" s="55"/>
      <c r="AD51" s="55"/>
      <c r="AE51" s="55"/>
      <c r="AF51" s="55"/>
      <c r="AG51" s="55"/>
      <c r="AH51" s="55">
        <f>AB51</f>
        <v>2.1472266143568279</v>
      </c>
      <c r="AI51" s="55">
        <v>2.1472266143568279</v>
      </c>
      <c r="AJ51" s="55">
        <v>2.1472266143568279</v>
      </c>
      <c r="AK51" s="55">
        <v>2.1472266143568279</v>
      </c>
      <c r="AL51" s="55">
        <v>2.1472266143568279</v>
      </c>
      <c r="AM51" s="55">
        <v>2.1472266143568279</v>
      </c>
      <c r="AN51" s="55">
        <v>2.1472266143568279</v>
      </c>
      <c r="AO51" s="55">
        <f>SUM(AC51:AN51)</f>
        <v>15.030586300497797</v>
      </c>
      <c r="AP51" s="72">
        <f>U51-AO51</f>
        <v>204.86941369950222</v>
      </c>
      <c r="AQ51" s="72"/>
      <c r="AR51" s="72"/>
      <c r="AS51" s="429">
        <f>$AN51</f>
        <v>2.1472266143568279</v>
      </c>
      <c r="AT51" s="429">
        <f>$AN51</f>
        <v>2.1472266143568279</v>
      </c>
      <c r="AU51" s="429">
        <f>$AN51</f>
        <v>2.1472266143568279</v>
      </c>
      <c r="AV51" s="429">
        <f>$AN51</f>
        <v>2.1472266143568279</v>
      </c>
      <c r="AW51" s="429">
        <f>$AN51</f>
        <v>2.1472266143568279</v>
      </c>
      <c r="AX51" s="57">
        <v>118.901</v>
      </c>
      <c r="AY51" s="80">
        <v>113.099</v>
      </c>
      <c r="AZ51" s="57">
        <f t="shared" ref="AZ51:AZ56" si="83">AX51/AY51</f>
        <v>1.0513001883305775</v>
      </c>
      <c r="BA51" s="55">
        <f t="shared" si="27"/>
        <v>2.0750833333333332</v>
      </c>
      <c r="BB51" s="55">
        <f t="shared" ref="BB51:BB56" si="84">BA51*AZ51</f>
        <v>2.1815354991349758</v>
      </c>
      <c r="BC51" s="429">
        <f t="shared" si="32"/>
        <v>2.1815354991349758</v>
      </c>
      <c r="BD51" s="429">
        <f t="shared" si="32"/>
        <v>2.1815354991349758</v>
      </c>
      <c r="BE51" s="429">
        <f t="shared" si="32"/>
        <v>2.1815354991349758</v>
      </c>
      <c r="BF51" s="429">
        <f t="shared" si="32"/>
        <v>2.1815354991349758</v>
      </c>
      <c r="BG51" s="32">
        <v>2.1800000000000002</v>
      </c>
      <c r="BH51" s="32">
        <v>2.1800000000000002</v>
      </c>
      <c r="BI51" s="32">
        <v>2.1800000000000002</v>
      </c>
      <c r="BJ51" s="431">
        <f>SUM((AS51:AW51),(BC51:BI51))</f>
        <v>26.002275068324042</v>
      </c>
      <c r="BK51" s="439">
        <f t="shared" si="33"/>
        <v>178.86713863117816</v>
      </c>
      <c r="BL51" s="32">
        <v>2.1800000000000002</v>
      </c>
      <c r="BM51" s="32">
        <v>2.1800000000000002</v>
      </c>
      <c r="BN51" s="32">
        <v>2.1800000000000002</v>
      </c>
      <c r="BO51" s="32">
        <v>2.1800000000000002</v>
      </c>
      <c r="BP51" s="32">
        <v>2.1800000000000002</v>
      </c>
      <c r="BQ51" s="57">
        <v>118.901</v>
      </c>
      <c r="BR51" s="80">
        <v>113.099</v>
      </c>
      <c r="BS51" s="57">
        <f t="shared" ref="BS51:BS56" si="85">BQ51/BR51</f>
        <v>1.0513001883305775</v>
      </c>
      <c r="BT51" s="55"/>
      <c r="BU51" s="55"/>
      <c r="BV51" s="429"/>
      <c r="BW51" s="429"/>
      <c r="BX51" s="429"/>
      <c r="BY51" s="429"/>
      <c r="BZ51" s="32"/>
      <c r="CA51" s="32"/>
      <c r="CB51" s="32"/>
      <c r="CC51" s="431">
        <f t="shared" ref="CC51:CC56" si="86">SUM((BL51:BP51),(BV51:CB51))</f>
        <v>10.9</v>
      </c>
      <c r="CD51" s="442">
        <f t="shared" si="28"/>
        <v>167.96713863117816</v>
      </c>
      <c r="CE51" s="58">
        <v>10</v>
      </c>
      <c r="CF51" s="130">
        <v>0.1</v>
      </c>
      <c r="CG51" s="46">
        <v>43281</v>
      </c>
      <c r="CH51" s="48">
        <v>120</v>
      </c>
      <c r="CI51" s="145">
        <f t="shared" ref="CI51:CI56" si="87">CU51/CH51/100</f>
        <v>2.0750833333333333E-2</v>
      </c>
      <c r="CJ51" s="165">
        <f t="shared" ref="CJ51:CJ56" si="88">CI51*CK51</f>
        <v>1.0582925000000001</v>
      </c>
      <c r="CK51" s="48">
        <f t="shared" ref="CK51:CK56" si="89">(YEAR(CG51)-YEAR(CT51))*12+MONTH(CG51)-MONTH(CT51)</f>
        <v>51</v>
      </c>
      <c r="CL51" s="165">
        <f t="shared" ref="CL51:CL56" si="90">CM51*CI51</f>
        <v>1.4318074999999999</v>
      </c>
      <c r="CM51" s="48">
        <f t="shared" ref="CM51:CM56" si="91">CH51-CK51</f>
        <v>69</v>
      </c>
      <c r="CN51" s="165">
        <f t="shared" ref="CN51:CN56" si="92">CO51*CI51</f>
        <v>1.4318074999999999</v>
      </c>
      <c r="CO51" s="48">
        <f t="shared" ref="CO51:CO56" si="93">CH51-CK51</f>
        <v>69</v>
      </c>
      <c r="CP51" s="165">
        <f>CL51-CN51</f>
        <v>0</v>
      </c>
      <c r="CQ51" s="48">
        <f t="shared" ref="CQ51:CQ56" si="94">CH51-CK51</f>
        <v>69</v>
      </c>
      <c r="CR51" s="462">
        <f t="shared" ref="CR51:CR56" si="95">DATE(YEAR(CT51),MONTH(CT51)+CH51,DAY(CT51))</f>
        <v>45379</v>
      </c>
      <c r="CS51" s="564" t="s">
        <v>504</v>
      </c>
      <c r="CT51" s="119">
        <v>41726</v>
      </c>
      <c r="CU51" s="134">
        <v>249.01</v>
      </c>
      <c r="CV51" s="764">
        <v>167.96713863117816</v>
      </c>
      <c r="CW51" s="258">
        <v>126.408</v>
      </c>
      <c r="CX51" s="258">
        <v>113.099</v>
      </c>
      <c r="CY51" s="258">
        <f t="shared" ref="CY51:CY56" si="96">CW51/CX51</f>
        <v>1.1176756646831536</v>
      </c>
      <c r="CZ51" s="56">
        <f t="shared" ref="CZ51:CZ56" si="97">CV51/CM51</f>
        <v>2.4343063569735963</v>
      </c>
      <c r="DA51" s="56">
        <f t="shared" ref="DA51:DA56" si="98">CZ51*CY51</f>
        <v>2.7207649755728904</v>
      </c>
      <c r="DB51" s="725">
        <v>2.3176886828954251</v>
      </c>
      <c r="DC51" s="725">
        <v>2.3176886828954251</v>
      </c>
      <c r="DD51" s="725">
        <v>2.3176886828954251</v>
      </c>
      <c r="DE51" s="725">
        <v>2.3176886828954251</v>
      </c>
      <c r="DF51" s="725">
        <v>2.3176886828954251</v>
      </c>
      <c r="DG51" s="725">
        <v>2.3176886828954251</v>
      </c>
      <c r="DH51" s="725">
        <v>2.3176886828954251</v>
      </c>
      <c r="DI51" s="725">
        <f t="shared" ref="DI51:DI56" si="99">SUM(DB51:DH51)</f>
        <v>16.223820780267978</v>
      </c>
      <c r="DJ51" s="764">
        <f t="shared" ref="DJ51:DJ56" si="100">CV51-DI51</f>
        <v>151.74331785091019</v>
      </c>
      <c r="DK51" s="725">
        <v>2.3176886828954251</v>
      </c>
      <c r="DL51" s="725">
        <v>2.3176886828954251</v>
      </c>
      <c r="DM51" s="725">
        <v>2.3176886828954251</v>
      </c>
      <c r="DN51" s="725">
        <v>2.3176886828954251</v>
      </c>
      <c r="DO51" s="725">
        <v>2.3176886828954251</v>
      </c>
      <c r="DP51" s="511">
        <f t="shared" ref="DP51:DP56" si="101">SUM(DK51:DO51)</f>
        <v>11.588443414477126</v>
      </c>
      <c r="DQ51" s="960">
        <f t="shared" ref="DQ51:DQ56" si="102">DJ51-DP51</f>
        <v>140.15487443643306</v>
      </c>
      <c r="DR51" s="656">
        <v>132.28200000000001</v>
      </c>
      <c r="DS51" s="1002">
        <v>113.099</v>
      </c>
      <c r="DT51" s="656">
        <f t="shared" ref="DT51:DT56" si="103">DR51/DS51</f>
        <v>1.1696124634170064</v>
      </c>
      <c r="DU51" s="511">
        <f t="shared" ref="DU51:DU56" si="104">DQ51/CO51</f>
        <v>2.0312300642961314</v>
      </c>
      <c r="DV51" s="511">
        <f t="shared" ref="DV51:DV56" si="105">DU51*DT51</f>
        <v>2.3757519992680827</v>
      </c>
      <c r="DW51" s="511">
        <v>2.3757519992680827</v>
      </c>
      <c r="DX51" s="511">
        <v>2.3757519992680827</v>
      </c>
      <c r="DY51" s="511">
        <v>2.3757519992680827</v>
      </c>
      <c r="DZ51" s="511">
        <v>2.3757519992680827</v>
      </c>
      <c r="EA51" s="511">
        <v>2.3757519992680827</v>
      </c>
      <c r="EB51" s="511">
        <v>2.3757519992680827</v>
      </c>
      <c r="EC51" s="511">
        <v>2.3757519992680827</v>
      </c>
      <c r="ED51" s="511">
        <v>2.3757519992680827</v>
      </c>
      <c r="EE51" s="511">
        <v>2.3757519992680827</v>
      </c>
      <c r="EF51" s="511">
        <v>2.3757519992680827</v>
      </c>
      <c r="EG51" s="511">
        <v>2.3757519992680827</v>
      </c>
      <c r="EH51" s="511">
        <v>2.3757519992680827</v>
      </c>
      <c r="EI51" s="511">
        <v>2.3757519992680827</v>
      </c>
      <c r="EJ51" s="511">
        <v>2.3757519992680827</v>
      </c>
      <c r="EK51" s="511">
        <v>2.3757519992680827</v>
      </c>
      <c r="EL51" s="511">
        <v>2.3757519992680827</v>
      </c>
      <c r="EM51" s="511">
        <v>2.3757519992680827</v>
      </c>
      <c r="EN51" s="511">
        <v>2.3757519992680827</v>
      </c>
      <c r="EO51" s="511">
        <f t="shared" si="31"/>
        <v>42.763535986825488</v>
      </c>
      <c r="EP51" s="756">
        <f t="shared" ref="EP51:EP56" si="106">DQ51-EO51</f>
        <v>97.391338449607574</v>
      </c>
    </row>
    <row r="52" spans="1:146" s="16" customFormat="1" x14ac:dyDescent="0.2">
      <c r="A52" s="100" t="s">
        <v>58</v>
      </c>
      <c r="B52" s="100" t="s">
        <v>1041</v>
      </c>
      <c r="C52" s="100" t="s">
        <v>311</v>
      </c>
      <c r="D52" s="58">
        <v>10</v>
      </c>
      <c r="E52" s="130">
        <v>0.1</v>
      </c>
      <c r="F52" s="46">
        <v>42587</v>
      </c>
      <c r="G52" s="17">
        <v>120</v>
      </c>
      <c r="H52" s="145">
        <f t="shared" si="76"/>
        <v>0.83333333333333337</v>
      </c>
      <c r="I52" s="165">
        <f t="shared" si="77"/>
        <v>0</v>
      </c>
      <c r="J52" s="48">
        <v>0</v>
      </c>
      <c r="K52" s="165">
        <f t="shared" si="78"/>
        <v>100</v>
      </c>
      <c r="L52" s="48">
        <f t="shared" si="79"/>
        <v>120</v>
      </c>
      <c r="M52" s="165">
        <f t="shared" si="80"/>
        <v>0</v>
      </c>
      <c r="N52" s="48">
        <v>0</v>
      </c>
      <c r="O52" s="165">
        <f>K52-M52</f>
        <v>100</v>
      </c>
      <c r="P52" s="48">
        <f>L52-N52</f>
        <v>120</v>
      </c>
      <c r="Q52" s="48">
        <f>M52-O52</f>
        <v>-100</v>
      </c>
      <c r="R52" s="565" t="s">
        <v>1024</v>
      </c>
      <c r="S52" s="119">
        <v>42587</v>
      </c>
      <c r="T52" s="134">
        <v>644</v>
      </c>
      <c r="U52" s="14">
        <v>0</v>
      </c>
      <c r="V52" s="106">
        <v>0</v>
      </c>
      <c r="W52" s="66"/>
      <c r="X52" s="57">
        <v>0</v>
      </c>
      <c r="Y52" s="80">
        <v>0</v>
      </c>
      <c r="Z52" s="57">
        <v>0</v>
      </c>
      <c r="AA52" s="55">
        <f>U52*M52/100/K52*100/7</f>
        <v>0</v>
      </c>
      <c r="AB52" s="55">
        <f t="shared" si="82"/>
        <v>0</v>
      </c>
      <c r="AC52" s="55"/>
      <c r="AD52" s="55"/>
      <c r="AE52" s="55"/>
      <c r="AF52" s="55"/>
      <c r="AG52" s="55"/>
      <c r="AH52" s="55">
        <f>AB52</f>
        <v>0</v>
      </c>
      <c r="AI52" s="55">
        <v>5.1236900778950467</v>
      </c>
      <c r="AJ52" s="55">
        <v>5.1236900778950467</v>
      </c>
      <c r="AK52" s="55">
        <v>5.1236900778950467</v>
      </c>
      <c r="AL52" s="55">
        <v>5.1236900778950467</v>
      </c>
      <c r="AM52" s="55">
        <v>5.1236900778950467</v>
      </c>
      <c r="AN52" s="55">
        <v>5.1236900778950467</v>
      </c>
      <c r="AO52" s="55">
        <v>0</v>
      </c>
      <c r="AP52" s="72">
        <v>0</v>
      </c>
      <c r="AQ52" s="72"/>
      <c r="AR52" s="72"/>
      <c r="AS52" s="429">
        <f t="shared" ref="AS52:AW63" si="107">$AN52</f>
        <v>5.1236900778950467</v>
      </c>
      <c r="AT52" s="429">
        <f t="shared" si="107"/>
        <v>5.1236900778950467</v>
      </c>
      <c r="AU52" s="429">
        <f t="shared" si="107"/>
        <v>5.1236900778950467</v>
      </c>
      <c r="AV52" s="429">
        <f t="shared" si="107"/>
        <v>5.1236900778950467</v>
      </c>
      <c r="AW52" s="429">
        <f t="shared" si="107"/>
        <v>5.1236900778950467</v>
      </c>
      <c r="AX52" s="57">
        <v>118.901</v>
      </c>
      <c r="AY52" s="80">
        <v>119.547</v>
      </c>
      <c r="AZ52" s="57">
        <f t="shared" si="83"/>
        <v>0.994596267576769</v>
      </c>
      <c r="BA52" s="55">
        <f>T52/(D52*12)</f>
        <v>5.3666666666666663</v>
      </c>
      <c r="BB52" s="55">
        <f t="shared" si="84"/>
        <v>5.3376666359953262</v>
      </c>
      <c r="BC52" s="429"/>
      <c r="BD52" s="429"/>
      <c r="BE52" s="429"/>
      <c r="BF52" s="429">
        <v>5.34</v>
      </c>
      <c r="BG52" s="509">
        <v>5.34</v>
      </c>
      <c r="BH52" s="509">
        <v>5.34</v>
      </c>
      <c r="BI52" s="509">
        <v>5.34</v>
      </c>
      <c r="BJ52" s="431">
        <f>SUM(BC52:BI52)</f>
        <v>21.36</v>
      </c>
      <c r="BK52" s="439">
        <f>(T52-BJ52)</f>
        <v>622.64</v>
      </c>
      <c r="BL52" s="509">
        <v>5.34</v>
      </c>
      <c r="BM52" s="509">
        <v>5.34</v>
      </c>
      <c r="BN52" s="509">
        <v>5.34</v>
      </c>
      <c r="BO52" s="509">
        <v>5.34</v>
      </c>
      <c r="BP52" s="509">
        <v>5.34</v>
      </c>
      <c r="BQ52" s="57">
        <v>118.901</v>
      </c>
      <c r="BR52" s="80">
        <v>119.547</v>
      </c>
      <c r="BS52" s="57">
        <f t="shared" si="85"/>
        <v>0.994596267576769</v>
      </c>
      <c r="BT52" s="55"/>
      <c r="BU52" s="55"/>
      <c r="BV52" s="429"/>
      <c r="BW52" s="429"/>
      <c r="BX52" s="429"/>
      <c r="BY52" s="429"/>
      <c r="BZ52" s="509"/>
      <c r="CA52" s="509"/>
      <c r="CB52" s="509"/>
      <c r="CC52" s="431">
        <f t="shared" si="86"/>
        <v>26.7</v>
      </c>
      <c r="CD52" s="442">
        <f t="shared" si="28"/>
        <v>595.93999999999994</v>
      </c>
      <c r="CE52" s="58">
        <v>10</v>
      </c>
      <c r="CF52" s="130">
        <v>0.1</v>
      </c>
      <c r="CG52" s="46">
        <v>43281</v>
      </c>
      <c r="CH52" s="17">
        <v>120</v>
      </c>
      <c r="CI52" s="145">
        <f t="shared" si="87"/>
        <v>5.3666666666666661E-2</v>
      </c>
      <c r="CJ52" s="165">
        <f t="shared" si="88"/>
        <v>1.1806666666666665</v>
      </c>
      <c r="CK52" s="48">
        <f t="shared" si="89"/>
        <v>22</v>
      </c>
      <c r="CL52" s="165">
        <f t="shared" si="90"/>
        <v>5.2593333333333332</v>
      </c>
      <c r="CM52" s="48">
        <f t="shared" si="91"/>
        <v>98</v>
      </c>
      <c r="CN52" s="165">
        <f t="shared" si="92"/>
        <v>5.2593333333333332</v>
      </c>
      <c r="CO52" s="48">
        <f t="shared" si="93"/>
        <v>98</v>
      </c>
      <c r="CP52" s="165">
        <f>CL52-CN52</f>
        <v>0</v>
      </c>
      <c r="CQ52" s="48">
        <f t="shared" si="94"/>
        <v>98</v>
      </c>
      <c r="CR52" s="462">
        <f t="shared" si="95"/>
        <v>46239</v>
      </c>
      <c r="CS52" s="565" t="s">
        <v>1024</v>
      </c>
      <c r="CT52" s="119">
        <v>42587</v>
      </c>
      <c r="CU52" s="134">
        <v>644</v>
      </c>
      <c r="CV52" s="764">
        <v>595.93999999999994</v>
      </c>
      <c r="CW52" s="258">
        <v>126.408</v>
      </c>
      <c r="CX52" s="258">
        <v>119.547</v>
      </c>
      <c r="CY52" s="258">
        <f t="shared" si="96"/>
        <v>1.0573916534919321</v>
      </c>
      <c r="CZ52" s="56">
        <f t="shared" si="97"/>
        <v>6.0810204081632646</v>
      </c>
      <c r="DA52" s="56">
        <f t="shared" si="98"/>
        <v>6.4300202243059381</v>
      </c>
      <c r="DB52" s="725">
        <v>5.2511831831831826</v>
      </c>
      <c r="DC52" s="725">
        <v>5.2511831831831826</v>
      </c>
      <c r="DD52" s="725">
        <v>5.2511831831831826</v>
      </c>
      <c r="DE52" s="725">
        <v>5.2511831831831826</v>
      </c>
      <c r="DF52" s="725">
        <v>5.2511831831831826</v>
      </c>
      <c r="DG52" s="725">
        <v>5.2511831831831826</v>
      </c>
      <c r="DH52" s="725">
        <v>5.2511831831831826</v>
      </c>
      <c r="DI52" s="725">
        <f t="shared" si="99"/>
        <v>36.758282282282281</v>
      </c>
      <c r="DJ52" s="764">
        <f t="shared" si="100"/>
        <v>559.18171771771767</v>
      </c>
      <c r="DK52" s="725">
        <v>5.2511831831831826</v>
      </c>
      <c r="DL52" s="725">
        <v>5.2511831831831826</v>
      </c>
      <c r="DM52" s="725">
        <v>5.2511831831831826</v>
      </c>
      <c r="DN52" s="725">
        <v>5.2511831831831826</v>
      </c>
      <c r="DO52" s="725">
        <v>5.2511831831831826</v>
      </c>
      <c r="DP52" s="511">
        <f t="shared" si="101"/>
        <v>26.255915915915914</v>
      </c>
      <c r="DQ52" s="960">
        <f t="shared" si="102"/>
        <v>532.92580180180175</v>
      </c>
      <c r="DR52" s="656">
        <v>132.28200000000001</v>
      </c>
      <c r="DS52" s="1002">
        <v>119.547</v>
      </c>
      <c r="DT52" s="656">
        <f t="shared" si="103"/>
        <v>1.1065271399533239</v>
      </c>
      <c r="DU52" s="511">
        <f t="shared" si="104"/>
        <v>5.4380183857326712</v>
      </c>
      <c r="DV52" s="511">
        <f t="shared" si="105"/>
        <v>6.0173149313783636</v>
      </c>
      <c r="DW52" s="511">
        <v>6.0173149313783636</v>
      </c>
      <c r="DX52" s="511">
        <v>6.0173149313783636</v>
      </c>
      <c r="DY52" s="511">
        <v>6.0173149313783636</v>
      </c>
      <c r="DZ52" s="511">
        <v>6.0173149313783636</v>
      </c>
      <c r="EA52" s="511">
        <v>6.0173149313783636</v>
      </c>
      <c r="EB52" s="511">
        <v>6.0173149313783636</v>
      </c>
      <c r="EC52" s="511">
        <v>6.0173149313783636</v>
      </c>
      <c r="ED52" s="511">
        <v>6.0173149313783636</v>
      </c>
      <c r="EE52" s="511">
        <v>6.0173149313783636</v>
      </c>
      <c r="EF52" s="511">
        <v>6.0173149313783636</v>
      </c>
      <c r="EG52" s="511">
        <v>6.0173149313783636</v>
      </c>
      <c r="EH52" s="511">
        <v>6.0173149313783636</v>
      </c>
      <c r="EI52" s="511">
        <v>6.0173149313783636</v>
      </c>
      <c r="EJ52" s="511">
        <v>6.0173149313783636</v>
      </c>
      <c r="EK52" s="511">
        <v>6.0173149313783636</v>
      </c>
      <c r="EL52" s="511">
        <v>6.0173149313783636</v>
      </c>
      <c r="EM52" s="511">
        <v>6.0173149313783636</v>
      </c>
      <c r="EN52" s="511">
        <v>6.0173149313783636</v>
      </c>
      <c r="EO52" s="511">
        <f t="shared" si="31"/>
        <v>108.31166876481056</v>
      </c>
      <c r="EP52" s="756">
        <f t="shared" si="106"/>
        <v>424.61413303699118</v>
      </c>
    </row>
    <row r="53" spans="1:146" s="16" customFormat="1" x14ac:dyDescent="0.2">
      <c r="A53" s="100" t="s">
        <v>101</v>
      </c>
      <c r="B53" s="100" t="s">
        <v>481</v>
      </c>
      <c r="C53" s="100" t="s">
        <v>468</v>
      </c>
      <c r="D53" s="58">
        <v>10</v>
      </c>
      <c r="E53" s="130">
        <v>0.1</v>
      </c>
      <c r="F53" s="46">
        <v>42185</v>
      </c>
      <c r="G53" s="17">
        <v>120</v>
      </c>
      <c r="H53" s="145">
        <f t="shared" si="76"/>
        <v>0.83333333333333337</v>
      </c>
      <c r="I53" s="165">
        <f t="shared" si="77"/>
        <v>19.166666666666668</v>
      </c>
      <c r="J53" s="48">
        <f>(YEAR(F53)-YEAR(S53))*12+MONTH(F53)-MONTH(S53)</f>
        <v>23</v>
      </c>
      <c r="K53" s="165">
        <f t="shared" si="78"/>
        <v>80.833333333333343</v>
      </c>
      <c r="L53" s="48">
        <f t="shared" si="79"/>
        <v>97</v>
      </c>
      <c r="M53" s="165">
        <f t="shared" si="80"/>
        <v>5.8333333333333339</v>
      </c>
      <c r="N53" s="48">
        <v>7</v>
      </c>
      <c r="O53" s="165">
        <f t="shared" si="81"/>
        <v>75.000000000000014</v>
      </c>
      <c r="P53" s="48">
        <f t="shared" si="81"/>
        <v>90</v>
      </c>
      <c r="Q53" s="48">
        <f t="shared" si="81"/>
        <v>-69.166666666666686</v>
      </c>
      <c r="R53" s="565" t="s">
        <v>502</v>
      </c>
      <c r="S53" s="119">
        <v>41486</v>
      </c>
      <c r="T53" s="134">
        <v>570</v>
      </c>
      <c r="U53" s="14">
        <v>465.5</v>
      </c>
      <c r="V53" s="106">
        <v>23.75</v>
      </c>
      <c r="W53" s="66"/>
      <c r="X53" s="57">
        <v>115.958</v>
      </c>
      <c r="Y53" s="80">
        <v>108.60899999999999</v>
      </c>
      <c r="Z53" s="57">
        <f>X53/Y53</f>
        <v>1.0676647423325876</v>
      </c>
      <c r="AA53" s="55">
        <f>U53*M53/100/K53*100/7</f>
        <v>4.7989690721649483</v>
      </c>
      <c r="AB53" s="55">
        <f t="shared" si="82"/>
        <v>5.1236900778950467</v>
      </c>
      <c r="AC53" s="55"/>
      <c r="AD53" s="55"/>
      <c r="AE53" s="55"/>
      <c r="AF53" s="55"/>
      <c r="AG53" s="55"/>
      <c r="AH53" s="55">
        <f>AB53</f>
        <v>5.1236900778950467</v>
      </c>
      <c r="AI53" s="55">
        <v>5.1236900778950467</v>
      </c>
      <c r="AJ53" s="55">
        <v>5.1236900778950467</v>
      </c>
      <c r="AK53" s="55">
        <v>5.1236900778950467</v>
      </c>
      <c r="AL53" s="55">
        <v>5.1236900778950467</v>
      </c>
      <c r="AM53" s="55">
        <v>5.1236900778950467</v>
      </c>
      <c r="AN53" s="55">
        <v>5.1236900778950467</v>
      </c>
      <c r="AO53" s="55">
        <f>SUM(AC53:AN53)</f>
        <v>35.865830545265332</v>
      </c>
      <c r="AP53" s="72">
        <f>U53-AO53</f>
        <v>429.63416945473466</v>
      </c>
      <c r="AQ53" s="72"/>
      <c r="AR53" s="72"/>
      <c r="AS53" s="429">
        <f t="shared" si="107"/>
        <v>5.1236900778950467</v>
      </c>
      <c r="AT53" s="429">
        <f t="shared" si="107"/>
        <v>5.1236900778950467</v>
      </c>
      <c r="AU53" s="429">
        <f t="shared" si="107"/>
        <v>5.1236900778950467</v>
      </c>
      <c r="AV53" s="429">
        <f t="shared" si="107"/>
        <v>5.1236900778950467</v>
      </c>
      <c r="AW53" s="429">
        <f t="shared" si="107"/>
        <v>5.1236900778950467</v>
      </c>
      <c r="AX53" s="57">
        <v>118.901</v>
      </c>
      <c r="AY53" s="80">
        <v>108.60899999999999</v>
      </c>
      <c r="AZ53" s="57">
        <f t="shared" si="83"/>
        <v>1.0947619442219338</v>
      </c>
      <c r="BA53" s="55">
        <f t="shared" si="27"/>
        <v>4.75</v>
      </c>
      <c r="BB53" s="55">
        <f t="shared" si="84"/>
        <v>5.2001192350541858</v>
      </c>
      <c r="BC53" s="429">
        <f t="shared" si="32"/>
        <v>5.2001192350541858</v>
      </c>
      <c r="BD53" s="429">
        <f t="shared" si="32"/>
        <v>5.2001192350541858</v>
      </c>
      <c r="BE53" s="429">
        <f t="shared" si="32"/>
        <v>5.2001192350541858</v>
      </c>
      <c r="BF53" s="429">
        <f t="shared" si="32"/>
        <v>5.2001192350541858</v>
      </c>
      <c r="BG53" s="32">
        <v>5.2</v>
      </c>
      <c r="BH53" s="32">
        <v>5.2</v>
      </c>
      <c r="BI53" s="32">
        <v>5.2</v>
      </c>
      <c r="BJ53" s="431">
        <f>SUM((AS53:AW53),(BC53:BI53))</f>
        <v>62.018927329691991</v>
      </c>
      <c r="BK53" s="439">
        <f t="shared" si="33"/>
        <v>367.61524212504264</v>
      </c>
      <c r="BL53" s="32">
        <v>5.2</v>
      </c>
      <c r="BM53" s="32">
        <v>5.2</v>
      </c>
      <c r="BN53" s="32">
        <v>5.2</v>
      </c>
      <c r="BO53" s="32">
        <v>5.2</v>
      </c>
      <c r="BP53" s="32">
        <v>5.2</v>
      </c>
      <c r="BQ53" s="57">
        <v>118.901</v>
      </c>
      <c r="BR53" s="80">
        <v>108.60899999999999</v>
      </c>
      <c r="BS53" s="57">
        <f t="shared" si="85"/>
        <v>1.0947619442219338</v>
      </c>
      <c r="BT53" s="55"/>
      <c r="BU53" s="55"/>
      <c r="BV53" s="429"/>
      <c r="BW53" s="429"/>
      <c r="BX53" s="429"/>
      <c r="BY53" s="429"/>
      <c r="BZ53" s="32"/>
      <c r="CA53" s="32"/>
      <c r="CB53" s="32"/>
      <c r="CC53" s="431">
        <f t="shared" si="86"/>
        <v>26</v>
      </c>
      <c r="CD53" s="442">
        <f t="shared" si="28"/>
        <v>341.61524212504264</v>
      </c>
      <c r="CE53" s="58">
        <v>10</v>
      </c>
      <c r="CF53" s="130">
        <v>0.1</v>
      </c>
      <c r="CG53" s="46">
        <v>43281</v>
      </c>
      <c r="CH53" s="17">
        <v>120</v>
      </c>
      <c r="CI53" s="145">
        <f t="shared" si="87"/>
        <v>4.7500000000000001E-2</v>
      </c>
      <c r="CJ53" s="165">
        <f t="shared" si="88"/>
        <v>2.8025000000000002</v>
      </c>
      <c r="CK53" s="48">
        <f t="shared" si="89"/>
        <v>59</v>
      </c>
      <c r="CL53" s="165">
        <f t="shared" si="90"/>
        <v>2.8975</v>
      </c>
      <c r="CM53" s="48">
        <f t="shared" si="91"/>
        <v>61</v>
      </c>
      <c r="CN53" s="165">
        <f t="shared" si="92"/>
        <v>2.8975</v>
      </c>
      <c r="CO53" s="48">
        <f t="shared" si="93"/>
        <v>61</v>
      </c>
      <c r="CP53" s="165">
        <f>CL53-CN53</f>
        <v>0</v>
      </c>
      <c r="CQ53" s="48">
        <f t="shared" si="94"/>
        <v>61</v>
      </c>
      <c r="CR53" s="462">
        <f t="shared" si="95"/>
        <v>45138</v>
      </c>
      <c r="CS53" s="565" t="s">
        <v>502</v>
      </c>
      <c r="CT53" s="119">
        <v>41486</v>
      </c>
      <c r="CU53" s="134">
        <v>570</v>
      </c>
      <c r="CV53" s="764">
        <v>341.61524212504264</v>
      </c>
      <c r="CW53" s="258">
        <v>126.408</v>
      </c>
      <c r="CX53" s="258">
        <v>108.60899999999999</v>
      </c>
      <c r="CY53" s="258">
        <f t="shared" si="96"/>
        <v>1.1638814462889817</v>
      </c>
      <c r="CZ53" s="56">
        <f t="shared" si="97"/>
        <v>5.6002498709023385</v>
      </c>
      <c r="DA53" s="56">
        <f t="shared" si="98"/>
        <v>6.5180269193254965</v>
      </c>
      <c r="DB53" s="725">
        <v>5.4465704394363739</v>
      </c>
      <c r="DC53" s="725">
        <v>5.4465704394363739</v>
      </c>
      <c r="DD53" s="725">
        <v>5.4465704394363739</v>
      </c>
      <c r="DE53" s="725">
        <v>5.4465704394363739</v>
      </c>
      <c r="DF53" s="725">
        <v>5.4465704394363739</v>
      </c>
      <c r="DG53" s="725">
        <v>5.4465704394363739</v>
      </c>
      <c r="DH53" s="725">
        <v>5.4465704394363739</v>
      </c>
      <c r="DI53" s="725">
        <f t="shared" si="99"/>
        <v>38.125993076054613</v>
      </c>
      <c r="DJ53" s="764">
        <f t="shared" si="100"/>
        <v>303.48924904898803</v>
      </c>
      <c r="DK53" s="725">
        <v>5.4465704394363739</v>
      </c>
      <c r="DL53" s="725">
        <v>5.4465704394363739</v>
      </c>
      <c r="DM53" s="725">
        <v>5.4465704394363739</v>
      </c>
      <c r="DN53" s="725">
        <v>5.4465704394363739</v>
      </c>
      <c r="DO53" s="725">
        <v>5.4465704394363739</v>
      </c>
      <c r="DP53" s="511">
        <f t="shared" si="101"/>
        <v>27.23285219718187</v>
      </c>
      <c r="DQ53" s="960">
        <f t="shared" si="102"/>
        <v>276.25639685180613</v>
      </c>
      <c r="DR53" s="656">
        <v>132.28200000000001</v>
      </c>
      <c r="DS53" s="1002">
        <v>108.60899999999999</v>
      </c>
      <c r="DT53" s="656">
        <f t="shared" si="103"/>
        <v>1.2179653619865758</v>
      </c>
      <c r="DU53" s="511">
        <f t="shared" si="104"/>
        <v>4.528793391013215</v>
      </c>
      <c r="DV53" s="511">
        <f t="shared" si="105"/>
        <v>5.5159134818478224</v>
      </c>
      <c r="DW53" s="511">
        <v>5.5159134818478224</v>
      </c>
      <c r="DX53" s="511">
        <v>5.5159134818478224</v>
      </c>
      <c r="DY53" s="511">
        <v>5.5159134818478224</v>
      </c>
      <c r="DZ53" s="511">
        <v>5.5159134818478224</v>
      </c>
      <c r="EA53" s="511">
        <v>5.5159134818478224</v>
      </c>
      <c r="EB53" s="511">
        <v>5.5159134818478224</v>
      </c>
      <c r="EC53" s="511">
        <v>5.5159134818478224</v>
      </c>
      <c r="ED53" s="511">
        <v>5.5159134818478224</v>
      </c>
      <c r="EE53" s="511">
        <v>5.5159134818478224</v>
      </c>
      <c r="EF53" s="511">
        <v>5.5159134818478224</v>
      </c>
      <c r="EG53" s="511">
        <v>5.5159134818478224</v>
      </c>
      <c r="EH53" s="511">
        <v>5.5159134818478224</v>
      </c>
      <c r="EI53" s="511">
        <v>5.5159134818478224</v>
      </c>
      <c r="EJ53" s="511">
        <v>5.5159134818478224</v>
      </c>
      <c r="EK53" s="511">
        <v>5.5159134818478224</v>
      </c>
      <c r="EL53" s="511">
        <v>5.5159134818478224</v>
      </c>
      <c r="EM53" s="511">
        <v>5.5159134818478224</v>
      </c>
      <c r="EN53" s="511">
        <v>5.5159134818478224</v>
      </c>
      <c r="EO53" s="511">
        <f t="shared" si="31"/>
        <v>99.286442673260794</v>
      </c>
      <c r="EP53" s="756">
        <f t="shared" si="106"/>
        <v>176.96995417854532</v>
      </c>
    </row>
    <row r="54" spans="1:146" s="16" customFormat="1" x14ac:dyDescent="0.2">
      <c r="A54" s="100" t="s">
        <v>729</v>
      </c>
      <c r="B54" s="100" t="s">
        <v>727</v>
      </c>
      <c r="C54" s="45" t="s">
        <v>468</v>
      </c>
      <c r="D54" s="58">
        <v>10</v>
      </c>
      <c r="E54" s="130">
        <v>0.1</v>
      </c>
      <c r="F54" s="46">
        <v>42349</v>
      </c>
      <c r="G54" s="58">
        <v>119</v>
      </c>
      <c r="H54" s="145">
        <f t="shared" si="76"/>
        <v>0.84033613445378152</v>
      </c>
      <c r="I54" s="165">
        <f t="shared" si="77"/>
        <v>0</v>
      </c>
      <c r="J54" s="48">
        <f>(YEAR(F54)-YEAR(S54))*12+MONTH(F54)-MONTH(S54)</f>
        <v>0</v>
      </c>
      <c r="K54" s="165">
        <f t="shared" si="78"/>
        <v>100</v>
      </c>
      <c r="L54" s="48">
        <f t="shared" si="79"/>
        <v>119</v>
      </c>
      <c r="M54" s="165">
        <f t="shared" si="80"/>
        <v>5.0420168067226889</v>
      </c>
      <c r="N54" s="48">
        <v>6</v>
      </c>
      <c r="O54" s="165">
        <f>P54*H54</f>
        <v>94.957983193277315</v>
      </c>
      <c r="P54" s="48">
        <f>L54-N54</f>
        <v>113</v>
      </c>
      <c r="Q54" s="48"/>
      <c r="R54" s="567" t="s">
        <v>728</v>
      </c>
      <c r="S54" s="46">
        <v>42349</v>
      </c>
      <c r="T54" s="134">
        <v>336</v>
      </c>
      <c r="U54" s="134">
        <v>0</v>
      </c>
      <c r="V54" s="106">
        <v>0</v>
      </c>
      <c r="W54" s="66"/>
      <c r="X54" s="57">
        <v>115.958</v>
      </c>
      <c r="Y54" s="80">
        <v>118.532</v>
      </c>
      <c r="Z54" s="57">
        <f>X54/Y54</f>
        <v>0.97828434515573859</v>
      </c>
      <c r="AA54" s="55">
        <f>H54*T54/100</f>
        <v>2.8235294117647061</v>
      </c>
      <c r="AB54" s="55">
        <f t="shared" si="82"/>
        <v>2.7622146216162031</v>
      </c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72">
        <f>T54</f>
        <v>336</v>
      </c>
      <c r="AQ54" s="72"/>
      <c r="AR54" s="72"/>
      <c r="AS54" s="429">
        <v>2.76</v>
      </c>
      <c r="AT54" s="429">
        <v>2.76</v>
      </c>
      <c r="AU54" s="429">
        <v>2.76</v>
      </c>
      <c r="AV54" s="429">
        <f>2.76</f>
        <v>2.76</v>
      </c>
      <c r="AW54" s="429">
        <f>2.76</f>
        <v>2.76</v>
      </c>
      <c r="AX54" s="57">
        <v>118.901</v>
      </c>
      <c r="AY54" s="80">
        <v>118.532</v>
      </c>
      <c r="AZ54" s="57">
        <f t="shared" si="83"/>
        <v>1.0031130833867647</v>
      </c>
      <c r="BA54" s="55">
        <f t="shared" si="27"/>
        <v>2.8</v>
      </c>
      <c r="BB54" s="55">
        <f t="shared" si="84"/>
        <v>2.8087166334829412</v>
      </c>
      <c r="BC54" s="429">
        <f t="shared" si="32"/>
        <v>2.8087166334829412</v>
      </c>
      <c r="BD54" s="429">
        <f t="shared" si="32"/>
        <v>2.8087166334829412</v>
      </c>
      <c r="BE54" s="429">
        <f t="shared" si="32"/>
        <v>2.8087166334829412</v>
      </c>
      <c r="BF54" s="429">
        <f t="shared" si="32"/>
        <v>2.8087166334829412</v>
      </c>
      <c r="BG54" s="32">
        <v>2.81</v>
      </c>
      <c r="BH54" s="32">
        <v>2.81</v>
      </c>
      <c r="BI54" s="32">
        <v>2.81</v>
      </c>
      <c r="BJ54" s="431">
        <f>SUM((AS54:AW54),(BC54:BI54))</f>
        <v>33.464866533931762</v>
      </c>
      <c r="BK54" s="439">
        <f t="shared" si="33"/>
        <v>302.53513346606826</v>
      </c>
      <c r="BL54" s="32">
        <v>2.81</v>
      </c>
      <c r="BM54" s="32">
        <v>2.81</v>
      </c>
      <c r="BN54" s="32">
        <v>2.81</v>
      </c>
      <c r="BO54" s="32">
        <v>2.81</v>
      </c>
      <c r="BP54" s="32">
        <v>2.81</v>
      </c>
      <c r="BQ54" s="57">
        <v>118.901</v>
      </c>
      <c r="BR54" s="80">
        <v>118.532</v>
      </c>
      <c r="BS54" s="57">
        <f t="shared" si="85"/>
        <v>1.0031130833867647</v>
      </c>
      <c r="BT54" s="55"/>
      <c r="BU54" s="55"/>
      <c r="BV54" s="429"/>
      <c r="BW54" s="429"/>
      <c r="BX54" s="429"/>
      <c r="BY54" s="429"/>
      <c r="BZ54" s="32"/>
      <c r="CA54" s="32"/>
      <c r="CB54" s="32"/>
      <c r="CC54" s="431">
        <f t="shared" si="86"/>
        <v>14.05</v>
      </c>
      <c r="CD54" s="442">
        <f t="shared" si="28"/>
        <v>288.48513346606825</v>
      </c>
      <c r="CE54" s="58">
        <v>10</v>
      </c>
      <c r="CF54" s="130">
        <v>0.1</v>
      </c>
      <c r="CG54" s="46">
        <v>43281</v>
      </c>
      <c r="CH54" s="58">
        <v>119</v>
      </c>
      <c r="CI54" s="145">
        <f t="shared" si="87"/>
        <v>2.823529411764706E-2</v>
      </c>
      <c r="CJ54" s="165">
        <f t="shared" si="88"/>
        <v>0.84705882352941175</v>
      </c>
      <c r="CK54" s="48">
        <f t="shared" si="89"/>
        <v>30</v>
      </c>
      <c r="CL54" s="165">
        <f t="shared" si="90"/>
        <v>2.5129411764705885</v>
      </c>
      <c r="CM54" s="48">
        <f t="shared" si="91"/>
        <v>89</v>
      </c>
      <c r="CN54" s="165">
        <f t="shared" si="92"/>
        <v>2.5129411764705885</v>
      </c>
      <c r="CO54" s="48">
        <f t="shared" si="93"/>
        <v>89</v>
      </c>
      <c r="CP54" s="165">
        <f>CQ54*CI54</f>
        <v>2.5129411764705885</v>
      </c>
      <c r="CQ54" s="48">
        <f t="shared" si="94"/>
        <v>89</v>
      </c>
      <c r="CR54" s="46">
        <f t="shared" si="95"/>
        <v>45972</v>
      </c>
      <c r="CS54" s="567" t="s">
        <v>728</v>
      </c>
      <c r="CT54" s="46">
        <v>42349</v>
      </c>
      <c r="CU54" s="134">
        <v>336</v>
      </c>
      <c r="CV54" s="764">
        <v>288.48513346606825</v>
      </c>
      <c r="CW54" s="258">
        <v>126.408</v>
      </c>
      <c r="CX54" s="258">
        <v>118.532</v>
      </c>
      <c r="CY54" s="258">
        <f t="shared" si="96"/>
        <v>1.0664461917456889</v>
      </c>
      <c r="CZ54" s="56">
        <f t="shared" si="97"/>
        <v>3.2414059940007669</v>
      </c>
      <c r="DA54" s="56">
        <f t="shared" si="98"/>
        <v>3.456785078203767</v>
      </c>
      <c r="DB54" s="725">
        <v>3.0460779401993592</v>
      </c>
      <c r="DC54" s="725">
        <v>3.0460779401993592</v>
      </c>
      <c r="DD54" s="725">
        <v>3.0460779401993592</v>
      </c>
      <c r="DE54" s="725">
        <v>3.0460779401993592</v>
      </c>
      <c r="DF54" s="725">
        <v>3.0460779401993592</v>
      </c>
      <c r="DG54" s="725">
        <v>3.0460779401993592</v>
      </c>
      <c r="DH54" s="725">
        <v>3.0460779401993592</v>
      </c>
      <c r="DI54" s="725">
        <f t="shared" si="99"/>
        <v>21.322545581395516</v>
      </c>
      <c r="DJ54" s="764">
        <f t="shared" si="100"/>
        <v>267.16258788467275</v>
      </c>
      <c r="DK54" s="725">
        <v>3.0460779401993592</v>
      </c>
      <c r="DL54" s="725">
        <v>3.0460779401993592</v>
      </c>
      <c r="DM54" s="725">
        <v>3.0460779401993592</v>
      </c>
      <c r="DN54" s="725">
        <v>3.0460779401993592</v>
      </c>
      <c r="DO54" s="725">
        <v>3.0460779401993592</v>
      </c>
      <c r="DP54" s="511">
        <f t="shared" si="101"/>
        <v>15.230389700996795</v>
      </c>
      <c r="DQ54" s="960">
        <f t="shared" si="102"/>
        <v>251.93219818367595</v>
      </c>
      <c r="DR54" s="656">
        <v>132.28200000000001</v>
      </c>
      <c r="DS54" s="1002">
        <v>118.532</v>
      </c>
      <c r="DT54" s="656">
        <f t="shared" si="103"/>
        <v>1.1160024297236191</v>
      </c>
      <c r="DU54" s="511">
        <f t="shared" si="104"/>
        <v>2.8306988559963591</v>
      </c>
      <c r="DV54" s="511">
        <f t="shared" si="105"/>
        <v>3.1590668011078056</v>
      </c>
      <c r="DW54" s="511">
        <v>3.1590668011078056</v>
      </c>
      <c r="DX54" s="511">
        <v>3.1590668011078056</v>
      </c>
      <c r="DY54" s="511">
        <v>3.1590668011078056</v>
      </c>
      <c r="DZ54" s="511">
        <v>3.1590668011078056</v>
      </c>
      <c r="EA54" s="511">
        <v>3.1590668011078056</v>
      </c>
      <c r="EB54" s="511">
        <v>3.1590668011078056</v>
      </c>
      <c r="EC54" s="511">
        <v>3.1590668011078056</v>
      </c>
      <c r="ED54" s="511">
        <v>3.1590668011078056</v>
      </c>
      <c r="EE54" s="511">
        <v>3.1590668011078056</v>
      </c>
      <c r="EF54" s="511">
        <v>3.1590668011078056</v>
      </c>
      <c r="EG54" s="511">
        <v>3.1590668011078056</v>
      </c>
      <c r="EH54" s="511">
        <v>3.1590668011078056</v>
      </c>
      <c r="EI54" s="511">
        <v>3.1590668011078056</v>
      </c>
      <c r="EJ54" s="511">
        <v>3.1590668011078056</v>
      </c>
      <c r="EK54" s="511">
        <v>3.1590668011078056</v>
      </c>
      <c r="EL54" s="511">
        <v>3.1590668011078056</v>
      </c>
      <c r="EM54" s="511">
        <v>3.1590668011078056</v>
      </c>
      <c r="EN54" s="511">
        <v>3.1590668011078056</v>
      </c>
      <c r="EO54" s="511">
        <f t="shared" si="31"/>
        <v>56.8632024199405</v>
      </c>
      <c r="EP54" s="756">
        <f t="shared" si="106"/>
        <v>195.06899576373544</v>
      </c>
    </row>
    <row r="55" spans="1:146" s="16" customFormat="1" x14ac:dyDescent="0.2">
      <c r="A55" s="100" t="s">
        <v>58</v>
      </c>
      <c r="B55" s="100" t="s">
        <v>667</v>
      </c>
      <c r="C55" s="100" t="s">
        <v>311</v>
      </c>
      <c r="D55" s="58">
        <v>10</v>
      </c>
      <c r="E55" s="130">
        <v>0.1</v>
      </c>
      <c r="F55" s="46">
        <v>42185</v>
      </c>
      <c r="G55" s="48">
        <v>120</v>
      </c>
      <c r="H55" s="145">
        <f t="shared" si="76"/>
        <v>0.83333333333333337</v>
      </c>
      <c r="I55" s="165">
        <f t="shared" si="77"/>
        <v>0</v>
      </c>
      <c r="J55" s="48">
        <f>(YEAR(F55)-YEAR(S55))*12+MONTH(F55)-MONTH(S55)</f>
        <v>0</v>
      </c>
      <c r="K55" s="165">
        <f t="shared" si="78"/>
        <v>100</v>
      </c>
      <c r="L55" s="48">
        <f t="shared" si="79"/>
        <v>120</v>
      </c>
      <c r="M55" s="165">
        <f t="shared" si="80"/>
        <v>5</v>
      </c>
      <c r="N55" s="48">
        <v>6</v>
      </c>
      <c r="O55" s="165">
        <f>K55-M55</f>
        <v>95</v>
      </c>
      <c r="P55" s="48">
        <f>L55-N55</f>
        <v>114</v>
      </c>
      <c r="Q55" s="48">
        <f>M55-O55</f>
        <v>-90</v>
      </c>
      <c r="R55" s="564" t="s">
        <v>668</v>
      </c>
      <c r="S55" s="119">
        <v>42160</v>
      </c>
      <c r="T55" s="134">
        <v>877</v>
      </c>
      <c r="U55" s="47">
        <v>0</v>
      </c>
      <c r="V55" s="106">
        <v>0</v>
      </c>
      <c r="W55" s="165">
        <v>0</v>
      </c>
      <c r="X55" s="57">
        <v>115.958</v>
      </c>
      <c r="Y55" s="80">
        <v>113.099</v>
      </c>
      <c r="Z55" s="57">
        <f>X55/Y55</f>
        <v>1.0252787380967117</v>
      </c>
      <c r="AA55" s="55">
        <f>T55*M55/100/K55*100/7</f>
        <v>6.2642857142857142</v>
      </c>
      <c r="AB55" s="55">
        <f t="shared" si="82"/>
        <v>6.4226389522201153</v>
      </c>
      <c r="AC55" s="55"/>
      <c r="AD55" s="55"/>
      <c r="AE55" s="55"/>
      <c r="AF55" s="55"/>
      <c r="AG55" s="55"/>
      <c r="AH55" s="55"/>
      <c r="AI55" s="55">
        <v>6.42</v>
      </c>
      <c r="AJ55" s="55">
        <v>6.42</v>
      </c>
      <c r="AK55" s="55">
        <v>6.42</v>
      </c>
      <c r="AL55" s="55">
        <v>6.42</v>
      </c>
      <c r="AM55" s="55">
        <v>6.42</v>
      </c>
      <c r="AN55" s="55">
        <v>6.42</v>
      </c>
      <c r="AO55" s="55">
        <f>SUM(AC55:AN55)</f>
        <v>38.520000000000003</v>
      </c>
      <c r="AP55" s="72">
        <f>T55-AO55</f>
        <v>838.48</v>
      </c>
      <c r="AQ55" s="72"/>
      <c r="AR55" s="72"/>
      <c r="AS55" s="429">
        <f t="shared" si="107"/>
        <v>6.42</v>
      </c>
      <c r="AT55" s="429">
        <f t="shared" si="107"/>
        <v>6.42</v>
      </c>
      <c r="AU55" s="429">
        <f t="shared" si="107"/>
        <v>6.42</v>
      </c>
      <c r="AV55" s="429">
        <f t="shared" si="107"/>
        <v>6.42</v>
      </c>
      <c r="AW55" s="429">
        <f t="shared" si="107"/>
        <v>6.42</v>
      </c>
      <c r="AX55" s="57">
        <v>118.901</v>
      </c>
      <c r="AY55" s="80">
        <v>113.099</v>
      </c>
      <c r="AZ55" s="57">
        <f t="shared" si="83"/>
        <v>1.0513001883305775</v>
      </c>
      <c r="BA55" s="55">
        <f t="shared" si="27"/>
        <v>7.3083333333333336</v>
      </c>
      <c r="BB55" s="55">
        <f t="shared" si="84"/>
        <v>7.6832522097159703</v>
      </c>
      <c r="BC55" s="429">
        <f t="shared" si="32"/>
        <v>7.6832522097159703</v>
      </c>
      <c r="BD55" s="429">
        <f t="shared" si="32"/>
        <v>7.6832522097159703</v>
      </c>
      <c r="BE55" s="429">
        <f t="shared" si="32"/>
        <v>7.6832522097159703</v>
      </c>
      <c r="BF55" s="429">
        <f t="shared" si="32"/>
        <v>7.6832522097159703</v>
      </c>
      <c r="BG55" s="32">
        <v>7.68</v>
      </c>
      <c r="BH55" s="32">
        <v>7.68</v>
      </c>
      <c r="BI55" s="32">
        <v>7.68</v>
      </c>
      <c r="BJ55" s="431">
        <f>SUM((AS55:AW55),(BC55:BI55))</f>
        <v>85.87300883886391</v>
      </c>
      <c r="BK55" s="439">
        <f t="shared" si="33"/>
        <v>752.60699116113608</v>
      </c>
      <c r="BL55" s="32">
        <v>7.68</v>
      </c>
      <c r="BM55" s="32">
        <v>7.68</v>
      </c>
      <c r="BN55" s="32">
        <v>7.68</v>
      </c>
      <c r="BO55" s="32">
        <v>7.68</v>
      </c>
      <c r="BP55" s="32">
        <v>7.68</v>
      </c>
      <c r="BQ55" s="57">
        <v>118.901</v>
      </c>
      <c r="BR55" s="80">
        <v>113.099</v>
      </c>
      <c r="BS55" s="57">
        <f t="shared" si="85"/>
        <v>1.0513001883305775</v>
      </c>
      <c r="BT55" s="55"/>
      <c r="BU55" s="55"/>
      <c r="BV55" s="429"/>
      <c r="BW55" s="429"/>
      <c r="BX55" s="429"/>
      <c r="BY55" s="429"/>
      <c r="BZ55" s="32"/>
      <c r="CA55" s="32"/>
      <c r="CB55" s="32"/>
      <c r="CC55" s="431">
        <f t="shared" si="86"/>
        <v>38.4</v>
      </c>
      <c r="CD55" s="442">
        <f t="shared" si="28"/>
        <v>714.2069911611361</v>
      </c>
      <c r="CE55" s="58">
        <v>10</v>
      </c>
      <c r="CF55" s="130">
        <v>0.1</v>
      </c>
      <c r="CG55" s="46">
        <v>43281</v>
      </c>
      <c r="CH55" s="48">
        <v>120</v>
      </c>
      <c r="CI55" s="145">
        <f t="shared" si="87"/>
        <v>7.3083333333333333E-2</v>
      </c>
      <c r="CJ55" s="165">
        <f t="shared" si="88"/>
        <v>2.6310000000000002</v>
      </c>
      <c r="CK55" s="48">
        <f t="shared" si="89"/>
        <v>36</v>
      </c>
      <c r="CL55" s="165">
        <f t="shared" si="90"/>
        <v>6.1390000000000002</v>
      </c>
      <c r="CM55" s="48">
        <f t="shared" si="91"/>
        <v>84</v>
      </c>
      <c r="CN55" s="165">
        <f t="shared" si="92"/>
        <v>6.1390000000000002</v>
      </c>
      <c r="CO55" s="48">
        <f t="shared" si="93"/>
        <v>84</v>
      </c>
      <c r="CP55" s="165">
        <f>CL55-CN55</f>
        <v>0</v>
      </c>
      <c r="CQ55" s="48">
        <f t="shared" si="94"/>
        <v>84</v>
      </c>
      <c r="CR55" s="462">
        <f t="shared" si="95"/>
        <v>45813</v>
      </c>
      <c r="CS55" s="564" t="s">
        <v>668</v>
      </c>
      <c r="CT55" s="119">
        <v>42160</v>
      </c>
      <c r="CU55" s="134">
        <v>877</v>
      </c>
      <c r="CV55" s="764">
        <v>714.2069911611361</v>
      </c>
      <c r="CW55" s="258">
        <v>126.408</v>
      </c>
      <c r="CX55" s="258">
        <v>113.099</v>
      </c>
      <c r="CY55" s="258">
        <f t="shared" si="96"/>
        <v>1.1176756646831536</v>
      </c>
      <c r="CZ55" s="56">
        <f t="shared" si="97"/>
        <v>8.5024641804897154</v>
      </c>
      <c r="DA55" s="56">
        <f t="shared" si="98"/>
        <v>9.5029973043735474</v>
      </c>
      <c r="DB55" s="725">
        <v>8.3151226413268535</v>
      </c>
      <c r="DC55" s="725">
        <v>8.3151226413268535</v>
      </c>
      <c r="DD55" s="725">
        <v>8.3151226413268535</v>
      </c>
      <c r="DE55" s="725">
        <v>8.3151226413268535</v>
      </c>
      <c r="DF55" s="725">
        <v>8.3151226413268535</v>
      </c>
      <c r="DG55" s="725">
        <v>8.3151226413268535</v>
      </c>
      <c r="DH55" s="725">
        <v>8.3151226413268535</v>
      </c>
      <c r="DI55" s="725">
        <f t="shared" si="99"/>
        <v>58.205858489287969</v>
      </c>
      <c r="DJ55" s="764">
        <f t="shared" si="100"/>
        <v>656.00113267184815</v>
      </c>
      <c r="DK55" s="725">
        <v>8.3151226413268535</v>
      </c>
      <c r="DL55" s="725">
        <v>8.3151226413268535</v>
      </c>
      <c r="DM55" s="725">
        <v>8.3151226413268535</v>
      </c>
      <c r="DN55" s="725">
        <v>8.3151226413268535</v>
      </c>
      <c r="DO55" s="725">
        <v>8.3151226413268535</v>
      </c>
      <c r="DP55" s="511">
        <f t="shared" si="101"/>
        <v>41.575613206634266</v>
      </c>
      <c r="DQ55" s="960">
        <f t="shared" si="102"/>
        <v>614.42551946521394</v>
      </c>
      <c r="DR55" s="656">
        <v>132.28200000000001</v>
      </c>
      <c r="DS55" s="1002">
        <v>113.099</v>
      </c>
      <c r="DT55" s="656">
        <f t="shared" si="103"/>
        <v>1.1696124634170064</v>
      </c>
      <c r="DU55" s="511">
        <f t="shared" si="104"/>
        <v>7.3145895174430233</v>
      </c>
      <c r="DV55" s="511">
        <f t="shared" si="105"/>
        <v>8.5552350643807475</v>
      </c>
      <c r="DW55" s="511">
        <v>8.5552350643807475</v>
      </c>
      <c r="DX55" s="511">
        <v>8.5552350643807475</v>
      </c>
      <c r="DY55" s="511">
        <v>8.5552350643807475</v>
      </c>
      <c r="DZ55" s="511">
        <v>8.5552350643807475</v>
      </c>
      <c r="EA55" s="511">
        <v>8.5552350643807475</v>
      </c>
      <c r="EB55" s="511">
        <v>8.5552350643807475</v>
      </c>
      <c r="EC55" s="511">
        <v>8.5552350643807475</v>
      </c>
      <c r="ED55" s="511">
        <v>8.5552350643807475</v>
      </c>
      <c r="EE55" s="511">
        <v>8.5552350643807475</v>
      </c>
      <c r="EF55" s="511">
        <v>8.5552350643807475</v>
      </c>
      <c r="EG55" s="511">
        <v>8.5552350643807475</v>
      </c>
      <c r="EH55" s="511">
        <v>8.5552350643807475</v>
      </c>
      <c r="EI55" s="511">
        <v>8.5552350643807475</v>
      </c>
      <c r="EJ55" s="511">
        <v>8.5552350643807475</v>
      </c>
      <c r="EK55" s="511">
        <v>8.5552350643807475</v>
      </c>
      <c r="EL55" s="511">
        <v>8.5552350643807475</v>
      </c>
      <c r="EM55" s="511">
        <v>8.5552350643807475</v>
      </c>
      <c r="EN55" s="511">
        <v>8.5552350643807475</v>
      </c>
      <c r="EO55" s="511">
        <f t="shared" si="31"/>
        <v>153.99423115885349</v>
      </c>
      <c r="EP55" s="756">
        <f t="shared" si="106"/>
        <v>460.43128830636044</v>
      </c>
    </row>
    <row r="56" spans="1:146" s="16" customFormat="1" x14ac:dyDescent="0.2">
      <c r="A56" s="100" t="s">
        <v>58</v>
      </c>
      <c r="B56" s="100" t="s">
        <v>667</v>
      </c>
      <c r="C56" s="100" t="s">
        <v>311</v>
      </c>
      <c r="D56" s="58">
        <v>10</v>
      </c>
      <c r="E56" s="130">
        <v>0.1</v>
      </c>
      <c r="F56" s="46">
        <v>42185</v>
      </c>
      <c r="G56" s="48">
        <v>120</v>
      </c>
      <c r="H56" s="145">
        <f t="shared" si="76"/>
        <v>0.83333333333333337</v>
      </c>
      <c r="I56" s="165">
        <f t="shared" si="77"/>
        <v>0</v>
      </c>
      <c r="J56" s="48">
        <f>(YEAR(F56)-YEAR(S56))*12+MONTH(F56)-MONTH(S56)</f>
        <v>0</v>
      </c>
      <c r="K56" s="165">
        <f t="shared" si="78"/>
        <v>100</v>
      </c>
      <c r="L56" s="48">
        <f t="shared" si="79"/>
        <v>120</v>
      </c>
      <c r="M56" s="165">
        <f t="shared" si="80"/>
        <v>5</v>
      </c>
      <c r="N56" s="48">
        <v>6</v>
      </c>
      <c r="O56" s="165">
        <f>K56-M56</f>
        <v>95</v>
      </c>
      <c r="P56" s="48">
        <f>L56-N56</f>
        <v>114</v>
      </c>
      <c r="Q56" s="48">
        <f>M56-O56</f>
        <v>-90</v>
      </c>
      <c r="R56" s="564" t="s">
        <v>669</v>
      </c>
      <c r="S56" s="119">
        <v>42156</v>
      </c>
      <c r="T56" s="134">
        <v>877</v>
      </c>
      <c r="U56" s="47">
        <v>0</v>
      </c>
      <c r="V56" s="106">
        <v>0</v>
      </c>
      <c r="W56" s="165">
        <v>0</v>
      </c>
      <c r="X56" s="57">
        <v>115.958</v>
      </c>
      <c r="Y56" s="80">
        <v>113.099</v>
      </c>
      <c r="Z56" s="57">
        <f>X56/Y56</f>
        <v>1.0252787380967117</v>
      </c>
      <c r="AA56" s="55">
        <f>T56*M56/100/K56*100/7</f>
        <v>6.2642857142857142</v>
      </c>
      <c r="AB56" s="55">
        <f t="shared" si="82"/>
        <v>6.4226389522201153</v>
      </c>
      <c r="AC56" s="55"/>
      <c r="AD56" s="55"/>
      <c r="AE56" s="55"/>
      <c r="AF56" s="55"/>
      <c r="AG56" s="55"/>
      <c r="AH56" s="55"/>
      <c r="AI56" s="55">
        <v>6.42</v>
      </c>
      <c r="AJ56" s="55">
        <v>6.42</v>
      </c>
      <c r="AK56" s="55">
        <v>6.42</v>
      </c>
      <c r="AL56" s="55">
        <v>6.42</v>
      </c>
      <c r="AM56" s="55">
        <v>6.42</v>
      </c>
      <c r="AN56" s="55">
        <v>6.42</v>
      </c>
      <c r="AO56" s="55">
        <f>SUM(AC56:AN56)</f>
        <v>38.520000000000003</v>
      </c>
      <c r="AP56" s="72">
        <f>T56-AO56</f>
        <v>838.48</v>
      </c>
      <c r="AQ56" s="72"/>
      <c r="AR56" s="72"/>
      <c r="AS56" s="429">
        <f t="shared" si="107"/>
        <v>6.42</v>
      </c>
      <c r="AT56" s="429">
        <f t="shared" si="107"/>
        <v>6.42</v>
      </c>
      <c r="AU56" s="429">
        <f t="shared" si="107"/>
        <v>6.42</v>
      </c>
      <c r="AV56" s="429">
        <f t="shared" si="107"/>
        <v>6.42</v>
      </c>
      <c r="AW56" s="429">
        <f t="shared" si="107"/>
        <v>6.42</v>
      </c>
      <c r="AX56" s="57">
        <v>118.901</v>
      </c>
      <c r="AY56" s="80">
        <v>113.099</v>
      </c>
      <c r="AZ56" s="57">
        <f t="shared" si="83"/>
        <v>1.0513001883305775</v>
      </c>
      <c r="BA56" s="55">
        <f t="shared" si="27"/>
        <v>7.3083333333333336</v>
      </c>
      <c r="BB56" s="55">
        <f t="shared" si="84"/>
        <v>7.6832522097159703</v>
      </c>
      <c r="BC56" s="429">
        <f t="shared" si="32"/>
        <v>7.6832522097159703</v>
      </c>
      <c r="BD56" s="429">
        <f t="shared" si="32"/>
        <v>7.6832522097159703</v>
      </c>
      <c r="BE56" s="429">
        <f t="shared" si="32"/>
        <v>7.6832522097159703</v>
      </c>
      <c r="BF56" s="429">
        <f t="shared" si="32"/>
        <v>7.6832522097159703</v>
      </c>
      <c r="BG56" s="32">
        <v>7.68</v>
      </c>
      <c r="BH56" s="32">
        <v>7.68</v>
      </c>
      <c r="BI56" s="32">
        <v>7.68</v>
      </c>
      <c r="BJ56" s="431">
        <f>SUM((AS56:AW56),(BC56:BI56))</f>
        <v>85.87300883886391</v>
      </c>
      <c r="BK56" s="439">
        <f t="shared" si="33"/>
        <v>752.60699116113608</v>
      </c>
      <c r="BL56" s="32">
        <v>7.68</v>
      </c>
      <c r="BM56" s="32">
        <v>7.68</v>
      </c>
      <c r="BN56" s="32">
        <v>7.68</v>
      </c>
      <c r="BO56" s="32">
        <v>7.68</v>
      </c>
      <c r="BP56" s="32">
        <v>7.68</v>
      </c>
      <c r="BQ56" s="57">
        <v>118.901</v>
      </c>
      <c r="BR56" s="80">
        <v>113.099</v>
      </c>
      <c r="BS56" s="57">
        <f t="shared" si="85"/>
        <v>1.0513001883305775</v>
      </c>
      <c r="BT56" s="55"/>
      <c r="BU56" s="55"/>
      <c r="BV56" s="429"/>
      <c r="BW56" s="429"/>
      <c r="BX56" s="429"/>
      <c r="BY56" s="429"/>
      <c r="BZ56" s="32"/>
      <c r="CA56" s="32"/>
      <c r="CB56" s="32"/>
      <c r="CC56" s="431">
        <f t="shared" si="86"/>
        <v>38.4</v>
      </c>
      <c r="CD56" s="442">
        <f t="shared" si="28"/>
        <v>714.2069911611361</v>
      </c>
      <c r="CE56" s="58">
        <v>10</v>
      </c>
      <c r="CF56" s="130">
        <v>0.1</v>
      </c>
      <c r="CG56" s="46">
        <v>43281</v>
      </c>
      <c r="CH56" s="48">
        <v>120</v>
      </c>
      <c r="CI56" s="145">
        <f t="shared" si="87"/>
        <v>7.3083333333333333E-2</v>
      </c>
      <c r="CJ56" s="165">
        <f t="shared" si="88"/>
        <v>2.6310000000000002</v>
      </c>
      <c r="CK56" s="48">
        <f t="shared" si="89"/>
        <v>36</v>
      </c>
      <c r="CL56" s="165">
        <f t="shared" si="90"/>
        <v>6.1390000000000002</v>
      </c>
      <c r="CM56" s="48">
        <f t="shared" si="91"/>
        <v>84</v>
      </c>
      <c r="CN56" s="165">
        <f t="shared" si="92"/>
        <v>6.1390000000000002</v>
      </c>
      <c r="CO56" s="48">
        <f t="shared" si="93"/>
        <v>84</v>
      </c>
      <c r="CP56" s="165">
        <f>CL56-CN56</f>
        <v>0</v>
      </c>
      <c r="CQ56" s="48">
        <f t="shared" si="94"/>
        <v>84</v>
      </c>
      <c r="CR56" s="462">
        <f t="shared" si="95"/>
        <v>45809</v>
      </c>
      <c r="CS56" s="564" t="s">
        <v>669</v>
      </c>
      <c r="CT56" s="119">
        <v>42156</v>
      </c>
      <c r="CU56" s="134">
        <v>877</v>
      </c>
      <c r="CV56" s="764">
        <v>714.2069911611361</v>
      </c>
      <c r="CW56" s="258">
        <v>126.408</v>
      </c>
      <c r="CX56" s="258">
        <v>113.099</v>
      </c>
      <c r="CY56" s="258">
        <f t="shared" si="96"/>
        <v>1.1176756646831536</v>
      </c>
      <c r="CZ56" s="56">
        <f t="shared" si="97"/>
        <v>8.5024641804897154</v>
      </c>
      <c r="DA56" s="56">
        <f t="shared" si="98"/>
        <v>9.5029973043735474</v>
      </c>
      <c r="DB56" s="725">
        <v>8.3151226413268535</v>
      </c>
      <c r="DC56" s="725">
        <v>8.3151226413268535</v>
      </c>
      <c r="DD56" s="725">
        <v>8.3151226413268535</v>
      </c>
      <c r="DE56" s="725">
        <v>8.3151226413268535</v>
      </c>
      <c r="DF56" s="725">
        <v>8.3151226413268535</v>
      </c>
      <c r="DG56" s="725">
        <v>8.3151226413268535</v>
      </c>
      <c r="DH56" s="725">
        <v>8.3151226413268535</v>
      </c>
      <c r="DI56" s="725">
        <f t="shared" si="99"/>
        <v>58.205858489287969</v>
      </c>
      <c r="DJ56" s="764">
        <f t="shared" si="100"/>
        <v>656.00113267184815</v>
      </c>
      <c r="DK56" s="725">
        <v>8.3151226413268535</v>
      </c>
      <c r="DL56" s="725">
        <v>8.3151226413268535</v>
      </c>
      <c r="DM56" s="725">
        <v>8.3151226413268535</v>
      </c>
      <c r="DN56" s="725">
        <v>8.3151226413268535</v>
      </c>
      <c r="DO56" s="725">
        <v>8.3151226413268535</v>
      </c>
      <c r="DP56" s="511">
        <f t="shared" si="101"/>
        <v>41.575613206634266</v>
      </c>
      <c r="DQ56" s="960">
        <f t="shared" si="102"/>
        <v>614.42551946521394</v>
      </c>
      <c r="DR56" s="656">
        <v>132.28200000000001</v>
      </c>
      <c r="DS56" s="1002">
        <v>113.099</v>
      </c>
      <c r="DT56" s="656">
        <f t="shared" si="103"/>
        <v>1.1696124634170064</v>
      </c>
      <c r="DU56" s="511">
        <f t="shared" si="104"/>
        <v>7.3145895174430233</v>
      </c>
      <c r="DV56" s="511">
        <f t="shared" si="105"/>
        <v>8.5552350643807475</v>
      </c>
      <c r="DW56" s="511">
        <v>8.5552350643807475</v>
      </c>
      <c r="DX56" s="511">
        <v>8.5552350643807475</v>
      </c>
      <c r="DY56" s="511">
        <v>8.5552350643807475</v>
      </c>
      <c r="DZ56" s="511">
        <v>8.5552350643807475</v>
      </c>
      <c r="EA56" s="511">
        <v>8.5552350643807475</v>
      </c>
      <c r="EB56" s="511">
        <v>8.5552350643807475</v>
      </c>
      <c r="EC56" s="511">
        <v>8.5552350643807475</v>
      </c>
      <c r="ED56" s="511">
        <v>8.5552350643807475</v>
      </c>
      <c r="EE56" s="511">
        <v>8.5552350643807475</v>
      </c>
      <c r="EF56" s="511">
        <v>8.5552350643807475</v>
      </c>
      <c r="EG56" s="511">
        <v>8.5552350643807475</v>
      </c>
      <c r="EH56" s="511">
        <v>8.5552350643807475</v>
      </c>
      <c r="EI56" s="511">
        <v>8.5552350643807475</v>
      </c>
      <c r="EJ56" s="511">
        <v>8.5552350643807475</v>
      </c>
      <c r="EK56" s="511">
        <v>8.5552350643807475</v>
      </c>
      <c r="EL56" s="511">
        <v>8.5552350643807475</v>
      </c>
      <c r="EM56" s="511">
        <v>8.5552350643807475</v>
      </c>
      <c r="EN56" s="511">
        <v>8.5552350643807475</v>
      </c>
      <c r="EO56" s="511">
        <f t="shared" si="31"/>
        <v>153.99423115885349</v>
      </c>
      <c r="EP56" s="756">
        <f t="shared" si="106"/>
        <v>460.43128830636044</v>
      </c>
    </row>
    <row r="57" spans="1:146" s="16" customFormat="1" x14ac:dyDescent="0.2">
      <c r="A57" s="120" t="s">
        <v>65</v>
      </c>
      <c r="B57" s="120" t="s">
        <v>88</v>
      </c>
      <c r="C57" s="120"/>
      <c r="D57" s="131"/>
      <c r="E57" s="130"/>
      <c r="F57" s="17"/>
      <c r="G57" s="17"/>
      <c r="H57" s="188"/>
      <c r="I57" s="17"/>
      <c r="J57" s="17"/>
      <c r="K57" s="17"/>
      <c r="L57" s="17"/>
      <c r="M57" s="17"/>
      <c r="N57" s="17"/>
      <c r="O57" s="17"/>
      <c r="P57" s="17"/>
      <c r="Q57" s="17"/>
      <c r="R57" s="563"/>
      <c r="S57" s="119"/>
      <c r="T57" s="134"/>
      <c r="U57" s="14"/>
      <c r="V57" s="106"/>
      <c r="W57" s="66"/>
      <c r="X57" s="66"/>
      <c r="Y57" s="83"/>
      <c r="Z57" s="66"/>
      <c r="AA57" s="65"/>
      <c r="AB57" s="65"/>
      <c r="AC57" s="6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72"/>
      <c r="AQ57" s="72"/>
      <c r="AR57" s="72"/>
      <c r="AS57" s="429">
        <f t="shared" si="107"/>
        <v>0</v>
      </c>
      <c r="AT57" s="429">
        <f t="shared" si="107"/>
        <v>0</v>
      </c>
      <c r="AU57" s="429">
        <f t="shared" si="107"/>
        <v>0</v>
      </c>
      <c r="AV57" s="429">
        <f t="shared" si="107"/>
        <v>0</v>
      </c>
      <c r="AW57" s="429">
        <f t="shared" si="107"/>
        <v>0</v>
      </c>
      <c r="AX57" s="66"/>
      <c r="AY57" s="83"/>
      <c r="AZ57" s="66"/>
      <c r="BA57" s="55"/>
      <c r="BB57" s="65"/>
      <c r="BC57" s="429"/>
      <c r="BD57" s="32"/>
      <c r="BE57" s="32"/>
      <c r="BF57" s="32"/>
      <c r="BG57" s="32"/>
      <c r="BH57" s="32"/>
      <c r="BI57" s="32"/>
      <c r="BJ57" s="431"/>
      <c r="BK57" s="439"/>
      <c r="BL57" s="32"/>
      <c r="BM57" s="32"/>
      <c r="BN57" s="32"/>
      <c r="BO57" s="32"/>
      <c r="BP57" s="32"/>
      <c r="BQ57" s="66"/>
      <c r="BR57" s="83"/>
      <c r="BS57" s="66"/>
      <c r="BT57" s="55"/>
      <c r="BU57" s="65"/>
      <c r="BV57" s="429"/>
      <c r="BW57" s="32"/>
      <c r="BX57" s="32"/>
      <c r="BY57" s="32"/>
      <c r="BZ57" s="32"/>
      <c r="CA57" s="32"/>
      <c r="CB57" s="32"/>
      <c r="CC57" s="431"/>
      <c r="CD57" s="442"/>
      <c r="CE57" s="131"/>
      <c r="CF57" s="130"/>
      <c r="CG57" s="17"/>
      <c r="CH57" s="17"/>
      <c r="CI57" s="188"/>
      <c r="CJ57" s="17"/>
      <c r="CK57" s="17"/>
      <c r="CL57" s="17"/>
      <c r="CM57" s="17"/>
      <c r="CN57" s="17"/>
      <c r="CO57" s="17"/>
      <c r="CP57" s="17"/>
      <c r="CQ57" s="17"/>
      <c r="CR57" s="17"/>
      <c r="CS57" s="563"/>
      <c r="CT57" s="119"/>
      <c r="CU57" s="134"/>
      <c r="CV57" s="764"/>
      <c r="CW57" s="257"/>
      <c r="CX57" s="257"/>
      <c r="CY57" s="257"/>
      <c r="CZ57" s="56"/>
      <c r="DA57" s="758"/>
      <c r="DB57" s="725"/>
      <c r="DC57" s="725"/>
      <c r="DD57" s="725"/>
      <c r="DE57" s="725"/>
      <c r="DF57" s="725"/>
      <c r="DG57" s="725"/>
      <c r="DH57" s="725"/>
      <c r="DI57" s="725"/>
      <c r="DJ57" s="764"/>
      <c r="DK57" s="725"/>
      <c r="DL57" s="725"/>
      <c r="DM57" s="725"/>
      <c r="DN57" s="725"/>
      <c r="DO57" s="725"/>
      <c r="DP57" s="511"/>
      <c r="DQ57" s="960"/>
      <c r="DR57" s="656"/>
      <c r="DS57" s="1034"/>
      <c r="DT57" s="656"/>
      <c r="DU57" s="511"/>
      <c r="DV57" s="511"/>
      <c r="DW57" s="511"/>
      <c r="DX57" s="511"/>
      <c r="DY57" s="511"/>
      <c r="DZ57" s="511"/>
      <c r="EA57" s="511"/>
      <c r="EB57" s="511"/>
      <c r="EC57" s="511"/>
      <c r="ED57" s="511"/>
      <c r="EE57" s="511"/>
      <c r="EF57" s="511"/>
      <c r="EG57" s="511"/>
      <c r="EH57" s="511"/>
      <c r="EI57" s="511"/>
      <c r="EJ57" s="511"/>
      <c r="EK57" s="511"/>
      <c r="EL57" s="511"/>
      <c r="EM57" s="511"/>
      <c r="EN57" s="511"/>
      <c r="EO57" s="511">
        <f t="shared" si="31"/>
        <v>0</v>
      </c>
      <c r="EP57" s="756"/>
    </row>
    <row r="58" spans="1:146" s="16" customFormat="1" x14ac:dyDescent="0.2">
      <c r="A58" s="120" t="s">
        <v>78</v>
      </c>
      <c r="B58" s="100"/>
      <c r="C58" s="100"/>
      <c r="D58" s="8"/>
      <c r="E58" s="130"/>
      <c r="F58" s="46"/>
      <c r="G58" s="48"/>
      <c r="H58" s="145"/>
      <c r="I58" s="48"/>
      <c r="J58" s="48"/>
      <c r="K58" s="48"/>
      <c r="L58" s="48"/>
      <c r="M58" s="48"/>
      <c r="N58" s="48"/>
      <c r="O58" s="48"/>
      <c r="P58" s="48"/>
      <c r="Q58" s="48"/>
      <c r="R58" s="564"/>
      <c r="S58" s="119"/>
      <c r="T58" s="134"/>
      <c r="U58" s="47"/>
      <c r="V58" s="106"/>
      <c r="W58" s="165">
        <v>0</v>
      </c>
      <c r="X58" s="57"/>
      <c r="Y58" s="83"/>
      <c r="Z58" s="57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72"/>
      <c r="AQ58" s="72"/>
      <c r="AR58" s="72"/>
      <c r="AS58" s="429">
        <f t="shared" si="107"/>
        <v>0</v>
      </c>
      <c r="AT58" s="429">
        <f t="shared" si="107"/>
        <v>0</v>
      </c>
      <c r="AU58" s="429">
        <f t="shared" si="107"/>
        <v>0</v>
      </c>
      <c r="AV58" s="429">
        <f t="shared" si="107"/>
        <v>0</v>
      </c>
      <c r="AW58" s="429">
        <f t="shared" si="107"/>
        <v>0</v>
      </c>
      <c r="AX58" s="57"/>
      <c r="AY58" s="83"/>
      <c r="AZ58" s="57"/>
      <c r="BA58" s="55"/>
      <c r="BB58" s="55"/>
      <c r="BC58" s="429"/>
      <c r="BD58" s="32"/>
      <c r="BE58" s="32"/>
      <c r="BF58" s="32"/>
      <c r="BG58" s="32"/>
      <c r="BH58" s="32"/>
      <c r="BI58" s="32"/>
      <c r="BJ58" s="431"/>
      <c r="BK58" s="439"/>
      <c r="BL58" s="32"/>
      <c r="BM58" s="32"/>
      <c r="BN58" s="32"/>
      <c r="BO58" s="32"/>
      <c r="BP58" s="32"/>
      <c r="BQ58" s="57"/>
      <c r="BR58" s="83"/>
      <c r="BS58" s="57"/>
      <c r="BT58" s="55"/>
      <c r="BU58" s="55"/>
      <c r="BV58" s="429"/>
      <c r="BW58" s="32"/>
      <c r="BX58" s="32"/>
      <c r="BY58" s="32"/>
      <c r="BZ58" s="32"/>
      <c r="CA58" s="32"/>
      <c r="CB58" s="32"/>
      <c r="CC58" s="431"/>
      <c r="CD58" s="442"/>
      <c r="CE58" s="8"/>
      <c r="CF58" s="130"/>
      <c r="CG58" s="46"/>
      <c r="CH58" s="48"/>
      <c r="CI58" s="145"/>
      <c r="CJ58" s="48"/>
      <c r="CK58" s="48"/>
      <c r="CL58" s="48"/>
      <c r="CM58" s="48"/>
      <c r="CN58" s="48"/>
      <c r="CO58" s="48"/>
      <c r="CP58" s="48"/>
      <c r="CQ58" s="48"/>
      <c r="CR58" s="48"/>
      <c r="CS58" s="564"/>
      <c r="CT58" s="119"/>
      <c r="CU58" s="134"/>
      <c r="CV58" s="764"/>
      <c r="CW58" s="258"/>
      <c r="CX58" s="257"/>
      <c r="CY58" s="258"/>
      <c r="CZ58" s="56"/>
      <c r="DA58" s="56"/>
      <c r="DB58" s="725"/>
      <c r="DC58" s="725"/>
      <c r="DD58" s="725"/>
      <c r="DE58" s="725"/>
      <c r="DF58" s="725"/>
      <c r="DG58" s="725"/>
      <c r="DH58" s="725"/>
      <c r="DI58" s="725"/>
      <c r="DJ58" s="764"/>
      <c r="DK58" s="725"/>
      <c r="DL58" s="725"/>
      <c r="DM58" s="725"/>
      <c r="DN58" s="725"/>
      <c r="DO58" s="725"/>
      <c r="DP58" s="511"/>
      <c r="DQ58" s="960"/>
      <c r="DR58" s="656"/>
      <c r="DS58" s="1034"/>
      <c r="DT58" s="656"/>
      <c r="DU58" s="511"/>
      <c r="DV58" s="511"/>
      <c r="DW58" s="511"/>
      <c r="DX58" s="511"/>
      <c r="DY58" s="511"/>
      <c r="DZ58" s="511"/>
      <c r="EA58" s="511"/>
      <c r="EB58" s="511"/>
      <c r="EC58" s="511"/>
      <c r="ED58" s="511"/>
      <c r="EE58" s="511"/>
      <c r="EF58" s="511"/>
      <c r="EG58" s="511"/>
      <c r="EH58" s="511"/>
      <c r="EI58" s="511"/>
      <c r="EJ58" s="511"/>
      <c r="EK58" s="511"/>
      <c r="EL58" s="511"/>
      <c r="EM58" s="511"/>
      <c r="EN58" s="511"/>
      <c r="EO58" s="511">
        <f t="shared" si="31"/>
        <v>0</v>
      </c>
      <c r="EP58" s="756"/>
    </row>
    <row r="59" spans="1:146" s="16" customFormat="1" x14ac:dyDescent="0.2">
      <c r="A59" s="100" t="s">
        <v>90</v>
      </c>
      <c r="B59" s="100" t="s">
        <v>482</v>
      </c>
      <c r="C59" s="100" t="s">
        <v>311</v>
      </c>
      <c r="D59" s="58">
        <v>3</v>
      </c>
      <c r="E59" s="127">
        <v>0.33329999999999999</v>
      </c>
      <c r="F59" s="46">
        <v>42185</v>
      </c>
      <c r="G59" s="48">
        <v>36</v>
      </c>
      <c r="H59" s="145">
        <f>100/G59</f>
        <v>2.7777777777777777</v>
      </c>
      <c r="I59" s="165">
        <f>H59*J59</f>
        <v>44.444444444444443</v>
      </c>
      <c r="J59" s="48">
        <f>(YEAR(F59)-YEAR(S59))*12+MONTH(F59)-MONTH(S59)</f>
        <v>16</v>
      </c>
      <c r="K59" s="165">
        <f>L59*H59</f>
        <v>55.555555555555557</v>
      </c>
      <c r="L59" s="48">
        <f>G59-J59</f>
        <v>20</v>
      </c>
      <c r="M59" s="165">
        <f>N59*H59</f>
        <v>19.444444444444443</v>
      </c>
      <c r="N59" s="48">
        <v>7</v>
      </c>
      <c r="O59" s="165">
        <f t="shared" ref="O59:Q61" si="108">K59-M59</f>
        <v>36.111111111111114</v>
      </c>
      <c r="P59" s="48">
        <f t="shared" si="108"/>
        <v>13</v>
      </c>
      <c r="Q59" s="48">
        <f t="shared" si="108"/>
        <v>-16.666666666666671</v>
      </c>
      <c r="R59" s="568">
        <v>168314</v>
      </c>
      <c r="S59" s="119">
        <v>41697</v>
      </c>
      <c r="T59" s="134">
        <v>6722.2</v>
      </c>
      <c r="U59" s="47">
        <v>3548.55</v>
      </c>
      <c r="V59" s="106">
        <v>933.55</v>
      </c>
      <c r="W59" s="165">
        <v>0</v>
      </c>
      <c r="X59" s="57">
        <v>115.958</v>
      </c>
      <c r="Y59" s="80">
        <v>112.79</v>
      </c>
      <c r="Z59" s="57">
        <f>X59/Y59</f>
        <v>1.0280875964181222</v>
      </c>
      <c r="AA59" s="55">
        <f>U59*M59/100/K59*100/7</f>
        <v>177.42749999999998</v>
      </c>
      <c r="AB59" s="55">
        <f>AA59*Z59</f>
        <v>182.41101201347635</v>
      </c>
      <c r="AC59" s="55"/>
      <c r="AD59" s="55"/>
      <c r="AE59" s="55"/>
      <c r="AF59" s="55"/>
      <c r="AG59" s="55"/>
      <c r="AH59" s="55">
        <f>AB59</f>
        <v>182.41101201347635</v>
      </c>
      <c r="AI59" s="55">
        <v>182.41101201347635</v>
      </c>
      <c r="AJ59" s="55">
        <v>182.41101201347635</v>
      </c>
      <c r="AK59" s="55">
        <v>182.41101201347635</v>
      </c>
      <c r="AL59" s="55">
        <v>182.41101201347635</v>
      </c>
      <c r="AM59" s="55">
        <v>182.41101201347635</v>
      </c>
      <c r="AN59" s="55">
        <v>182.41101201347635</v>
      </c>
      <c r="AO59" s="55">
        <f>SUM(AC59:AN59)</f>
        <v>1276.8770840943344</v>
      </c>
      <c r="AP59" s="72">
        <f>U59-AO59</f>
        <v>2271.6729159056658</v>
      </c>
      <c r="AQ59" s="72"/>
      <c r="AR59" s="72"/>
      <c r="AS59" s="429">
        <f t="shared" si="107"/>
        <v>182.41101201347635</v>
      </c>
      <c r="AT59" s="429">
        <f t="shared" si="107"/>
        <v>182.41101201347635</v>
      </c>
      <c r="AU59" s="429">
        <f t="shared" si="107"/>
        <v>182.41101201347635</v>
      </c>
      <c r="AV59" s="429">
        <f t="shared" si="107"/>
        <v>182.41101201347635</v>
      </c>
      <c r="AW59" s="429">
        <f t="shared" si="107"/>
        <v>182.41101201347635</v>
      </c>
      <c r="AX59" s="57">
        <v>118.901</v>
      </c>
      <c r="AY59" s="80">
        <v>112.79</v>
      </c>
      <c r="AZ59" s="57">
        <f>AX59/AY59</f>
        <v>1.0541803351360934</v>
      </c>
      <c r="BA59" s="55">
        <f t="shared" si="27"/>
        <v>186.72777777777776</v>
      </c>
      <c r="BB59" s="55">
        <f>BA59*AZ59</f>
        <v>196.84475135699574</v>
      </c>
      <c r="BC59" s="429">
        <f t="shared" si="32"/>
        <v>196.84475135699574</v>
      </c>
      <c r="BD59" s="429">
        <f t="shared" si="32"/>
        <v>196.84475135699574</v>
      </c>
      <c r="BE59" s="429">
        <f t="shared" si="32"/>
        <v>196.84475135699574</v>
      </c>
      <c r="BF59" s="429">
        <f t="shared" si="32"/>
        <v>196.84475135699574</v>
      </c>
      <c r="BG59" s="32">
        <v>196.84</v>
      </c>
      <c r="BH59" s="32">
        <v>196.84</v>
      </c>
      <c r="BI59" s="32">
        <v>177.56</v>
      </c>
      <c r="BJ59" s="431">
        <f>SUM((AS59:AW59),(BC59:BI59))</f>
        <v>2270.6740654953646</v>
      </c>
      <c r="BK59" s="439">
        <f t="shared" si="33"/>
        <v>0.99885041030120192</v>
      </c>
      <c r="BL59" s="32"/>
      <c r="BM59" s="32"/>
      <c r="BN59" s="32"/>
      <c r="BO59" s="32"/>
      <c r="BP59" s="32"/>
      <c r="BQ59" s="57">
        <v>118.901</v>
      </c>
      <c r="BR59" s="80">
        <v>112.79</v>
      </c>
      <c r="BS59" s="57">
        <f>BQ59/BR59</f>
        <v>1.0541803351360934</v>
      </c>
      <c r="BT59" s="55"/>
      <c r="BU59" s="55"/>
      <c r="BV59" s="429"/>
      <c r="BW59" s="429"/>
      <c r="BX59" s="429"/>
      <c r="BY59" s="429"/>
      <c r="BZ59" s="32"/>
      <c r="CA59" s="32"/>
      <c r="CB59" s="32"/>
      <c r="CC59" s="431">
        <f>SUM((BL59:BP59),(BV59:CB59))</f>
        <v>0</v>
      </c>
      <c r="CD59" s="442">
        <f t="shared" si="28"/>
        <v>0.99885041030120192</v>
      </c>
      <c r="CE59" s="58">
        <v>3</v>
      </c>
      <c r="CF59" s="127">
        <v>0.33329999999999999</v>
      </c>
      <c r="CG59" s="46">
        <v>43281</v>
      </c>
      <c r="CH59" s="48">
        <v>36</v>
      </c>
      <c r="CI59" s="145">
        <f>CU59/CH59/100</f>
        <v>1.8672777777777776</v>
      </c>
      <c r="CJ59" s="165">
        <f>CI59*CK59</f>
        <v>97.098444444444439</v>
      </c>
      <c r="CK59" s="48">
        <f>(YEAR(CG59)-YEAR(CT59))*12+MONTH(CG59)-MONTH(CT59)</f>
        <v>52</v>
      </c>
      <c r="CL59" s="165">
        <f>CM59*CI59</f>
        <v>-29.876444444444441</v>
      </c>
      <c r="CM59" s="48">
        <f>CH59-CK59</f>
        <v>-16</v>
      </c>
      <c r="CN59" s="165">
        <f>CO59*CI59</f>
        <v>-29.876444444444441</v>
      </c>
      <c r="CO59" s="48">
        <f>CH59-CK59</f>
        <v>-16</v>
      </c>
      <c r="CP59" s="165">
        <f>CL59-CN59</f>
        <v>0</v>
      </c>
      <c r="CQ59" s="48">
        <f>CH59-CK59</f>
        <v>-16</v>
      </c>
      <c r="CR59" s="462">
        <f>DATE(YEAR(CT59),MONTH(CT59)+CH59,DAY(CT59))</f>
        <v>42793</v>
      </c>
      <c r="CS59" s="568">
        <v>168314</v>
      </c>
      <c r="CT59" s="119">
        <v>41697</v>
      </c>
      <c r="CU59" s="134">
        <v>6722.2</v>
      </c>
      <c r="CV59" s="764">
        <v>0.99885041030120192</v>
      </c>
      <c r="CW59" s="258">
        <v>126.408</v>
      </c>
      <c r="CX59" s="258">
        <v>112.79</v>
      </c>
      <c r="CY59" s="258">
        <f>CW59/CX59</f>
        <v>1.1207376540473446</v>
      </c>
      <c r="CZ59" s="56">
        <v>0</v>
      </c>
      <c r="DA59" s="56">
        <f>CZ59*CY59</f>
        <v>0</v>
      </c>
      <c r="DB59" s="725">
        <v>0</v>
      </c>
      <c r="DC59" s="725">
        <v>0</v>
      </c>
      <c r="DD59" s="725">
        <v>0</v>
      </c>
      <c r="DE59" s="725">
        <v>0</v>
      </c>
      <c r="DF59" s="725">
        <v>0</v>
      </c>
      <c r="DG59" s="725">
        <v>0</v>
      </c>
      <c r="DH59" s="725">
        <v>0</v>
      </c>
      <c r="DI59" s="725">
        <f>SUM(DB59:DH59)</f>
        <v>0</v>
      </c>
      <c r="DJ59" s="764">
        <f>CV59-DI59</f>
        <v>0.99885041030120192</v>
      </c>
      <c r="DK59" s="725">
        <v>0</v>
      </c>
      <c r="DL59" s="725">
        <v>0</v>
      </c>
      <c r="DM59" s="725">
        <v>0</v>
      </c>
      <c r="DN59" s="725">
        <v>0</v>
      </c>
      <c r="DO59" s="725">
        <v>0</v>
      </c>
      <c r="DP59" s="511">
        <f>SUM(DK59:DO59)</f>
        <v>0</v>
      </c>
      <c r="DQ59" s="960">
        <f>DJ59-DP59</f>
        <v>0.99885041030120192</v>
      </c>
      <c r="DR59" s="656">
        <v>132.28200000000001</v>
      </c>
      <c r="DS59" s="1002">
        <v>112.79</v>
      </c>
      <c r="DT59" s="656">
        <f>DR59/DS59</f>
        <v>1.1728167390726127</v>
      </c>
      <c r="DU59" s="511">
        <v>0</v>
      </c>
      <c r="DV59" s="511">
        <f>DU59*DT59</f>
        <v>0</v>
      </c>
      <c r="DW59" s="511">
        <v>0</v>
      </c>
      <c r="DX59" s="511">
        <v>0</v>
      </c>
      <c r="DY59" s="511">
        <v>0</v>
      </c>
      <c r="DZ59" s="511">
        <v>0</v>
      </c>
      <c r="EA59" s="511">
        <v>0</v>
      </c>
      <c r="EB59" s="511">
        <v>0</v>
      </c>
      <c r="EC59" s="511">
        <v>0</v>
      </c>
      <c r="ED59" s="511">
        <v>0</v>
      </c>
      <c r="EE59" s="511">
        <v>0</v>
      </c>
      <c r="EF59" s="511">
        <v>0</v>
      </c>
      <c r="EG59" s="511">
        <v>0</v>
      </c>
      <c r="EH59" s="511">
        <v>0</v>
      </c>
      <c r="EI59" s="511">
        <v>0</v>
      </c>
      <c r="EJ59" s="511">
        <v>0</v>
      </c>
      <c r="EK59" s="511">
        <v>0</v>
      </c>
      <c r="EL59" s="511">
        <v>0</v>
      </c>
      <c r="EM59" s="511">
        <v>0</v>
      </c>
      <c r="EN59" s="511">
        <v>0</v>
      </c>
      <c r="EO59" s="511">
        <f t="shared" si="31"/>
        <v>0</v>
      </c>
      <c r="EP59" s="756">
        <f>DQ59-EO59</f>
        <v>0.99885041030120192</v>
      </c>
    </row>
    <row r="60" spans="1:146" s="16" customFormat="1" x14ac:dyDescent="0.2">
      <c r="A60" s="100" t="s">
        <v>100</v>
      </c>
      <c r="B60" s="100" t="s">
        <v>483</v>
      </c>
      <c r="C60" s="100" t="s">
        <v>468</v>
      </c>
      <c r="D60" s="58">
        <v>3</v>
      </c>
      <c r="E60" s="127">
        <v>0.33329999999999999</v>
      </c>
      <c r="F60" s="46">
        <v>42185</v>
      </c>
      <c r="G60" s="48">
        <v>36</v>
      </c>
      <c r="H60" s="145">
        <f>100/G60</f>
        <v>2.7777777777777777</v>
      </c>
      <c r="I60" s="165">
        <f>H60*J60</f>
        <v>91.666666666666657</v>
      </c>
      <c r="J60" s="48">
        <f>(YEAR(F60)-YEAR(S60))*12+MONTH(F60)-MONTH(S60)</f>
        <v>33</v>
      </c>
      <c r="K60" s="165">
        <f>L60*H60</f>
        <v>8.3333333333333321</v>
      </c>
      <c r="L60" s="48">
        <f>G60-J60</f>
        <v>3</v>
      </c>
      <c r="M60" s="165">
        <f>N60*H60</f>
        <v>19.444444444444443</v>
      </c>
      <c r="N60" s="48">
        <v>7</v>
      </c>
      <c r="O60" s="165">
        <f>K60-M60</f>
        <v>-11.111111111111111</v>
      </c>
      <c r="P60" s="48">
        <f>L60-N60</f>
        <v>-4</v>
      </c>
      <c r="Q60" s="48">
        <f>M60-O60</f>
        <v>30.555555555555554</v>
      </c>
      <c r="R60" s="568">
        <v>14163</v>
      </c>
      <c r="S60" s="119">
        <v>41176</v>
      </c>
      <c r="T60" s="134">
        <v>1299</v>
      </c>
      <c r="U60" s="47">
        <v>144.44999999999999</v>
      </c>
      <c r="V60" s="106">
        <v>180.4</v>
      </c>
      <c r="W60" s="165">
        <v>0</v>
      </c>
      <c r="X60" s="57">
        <v>115.958</v>
      </c>
      <c r="Y60" s="80">
        <v>105.74299999999999</v>
      </c>
      <c r="Z60" s="57">
        <f>X60/Y60</f>
        <v>1.0966021391486906</v>
      </c>
      <c r="AA60" s="55">
        <f>U60*M60/100/K60*100/7</f>
        <v>48.149999999999991</v>
      </c>
      <c r="AB60" s="55">
        <f>AA60*Z60</f>
        <v>52.801393000009448</v>
      </c>
      <c r="AC60" s="55"/>
      <c r="AD60" s="55"/>
      <c r="AE60" s="55"/>
      <c r="AF60" s="55"/>
      <c r="AG60" s="55"/>
      <c r="AH60" s="55">
        <f>AB60</f>
        <v>52.801393000009448</v>
      </c>
      <c r="AI60" s="55">
        <v>52.801393000009448</v>
      </c>
      <c r="AJ60" s="55">
        <v>37.85</v>
      </c>
      <c r="AK60" s="55">
        <v>0</v>
      </c>
      <c r="AL60" s="55">
        <v>0</v>
      </c>
      <c r="AM60" s="55">
        <v>0</v>
      </c>
      <c r="AN60" s="55">
        <v>0</v>
      </c>
      <c r="AO60" s="55">
        <f>SUM(AC60:AN60)</f>
        <v>143.4527860000189</v>
      </c>
      <c r="AP60" s="72">
        <f>U60-AO60</f>
        <v>0.99721399998108495</v>
      </c>
      <c r="AQ60" s="72"/>
      <c r="AR60" s="72"/>
      <c r="AS60" s="429">
        <f>$AN60</f>
        <v>0</v>
      </c>
      <c r="AT60" s="429">
        <f t="shared" si="107"/>
        <v>0</v>
      </c>
      <c r="AU60" s="429">
        <f t="shared" si="107"/>
        <v>0</v>
      </c>
      <c r="AV60" s="429">
        <f t="shared" si="107"/>
        <v>0</v>
      </c>
      <c r="AW60" s="429">
        <f t="shared" si="107"/>
        <v>0</v>
      </c>
      <c r="AX60" s="57">
        <v>118.901</v>
      </c>
      <c r="AY60" s="80">
        <v>105.74299999999999</v>
      </c>
      <c r="AZ60" s="57">
        <f>AX60/AY60</f>
        <v>1.1244337686655381</v>
      </c>
      <c r="BA60" s="55">
        <f t="shared" si="27"/>
        <v>36.083333333333336</v>
      </c>
      <c r="BB60" s="55">
        <f>BA60*AZ60</f>
        <v>40.573318486014834</v>
      </c>
      <c r="BC60" s="429"/>
      <c r="BD60" s="32"/>
      <c r="BE60" s="32"/>
      <c r="BF60" s="32"/>
      <c r="BG60" s="32"/>
      <c r="BH60" s="32"/>
      <c r="BI60" s="32"/>
      <c r="BJ60" s="431">
        <f>SUM((AS60:AW60),(BC60:BI60))</f>
        <v>0</v>
      </c>
      <c r="BK60" s="439">
        <f t="shared" si="33"/>
        <v>0.99721399998108495</v>
      </c>
      <c r="BL60" s="32"/>
      <c r="BM60" s="32"/>
      <c r="BN60" s="32"/>
      <c r="BO60" s="32"/>
      <c r="BP60" s="32"/>
      <c r="BQ60" s="57">
        <v>118.901</v>
      </c>
      <c r="BR60" s="80">
        <v>105.74299999999999</v>
      </c>
      <c r="BS60" s="57">
        <f>BQ60/BR60</f>
        <v>1.1244337686655381</v>
      </c>
      <c r="BT60" s="55"/>
      <c r="BU60" s="55"/>
      <c r="BV60" s="429"/>
      <c r="BW60" s="32"/>
      <c r="BX60" s="32"/>
      <c r="BY60" s="32"/>
      <c r="BZ60" s="32"/>
      <c r="CA60" s="32"/>
      <c r="CB60" s="32"/>
      <c r="CC60" s="431">
        <f>SUM((BL60:BP60),(BV60:CB60))</f>
        <v>0</v>
      </c>
      <c r="CD60" s="442">
        <f t="shared" si="28"/>
        <v>0.99721399998108495</v>
      </c>
      <c r="CE60" s="58">
        <v>3</v>
      </c>
      <c r="CF60" s="127">
        <v>0.33329999999999999</v>
      </c>
      <c r="CG60" s="46">
        <v>43281</v>
      </c>
      <c r="CH60" s="48">
        <v>36</v>
      </c>
      <c r="CI60" s="145">
        <f>CU60/CH60/100</f>
        <v>0.36083333333333334</v>
      </c>
      <c r="CJ60" s="165">
        <f>CI60*CK60</f>
        <v>24.897500000000001</v>
      </c>
      <c r="CK60" s="48">
        <f>(YEAR(CG60)-YEAR(CT60))*12+MONTH(CG60)-MONTH(CT60)</f>
        <v>69</v>
      </c>
      <c r="CL60" s="165">
        <f>CM60*CI60</f>
        <v>-11.907500000000001</v>
      </c>
      <c r="CM60" s="48">
        <f>CH60-CK60</f>
        <v>-33</v>
      </c>
      <c r="CN60" s="165">
        <f>CO60*CI60</f>
        <v>-11.907500000000001</v>
      </c>
      <c r="CO60" s="48">
        <f>CH60-CK60</f>
        <v>-33</v>
      </c>
      <c r="CP60" s="165">
        <f>CL60-CN60</f>
        <v>0</v>
      </c>
      <c r="CQ60" s="48">
        <f>CH60-CK60</f>
        <v>-33</v>
      </c>
      <c r="CR60" s="462">
        <f>DATE(YEAR(CT60),MONTH(CT60)+CH60,DAY(CT60))</f>
        <v>42271</v>
      </c>
      <c r="CS60" s="568">
        <v>14163</v>
      </c>
      <c r="CT60" s="119">
        <v>41176</v>
      </c>
      <c r="CU60" s="134">
        <v>1299</v>
      </c>
      <c r="CV60" s="764">
        <v>0.99721399998108495</v>
      </c>
      <c r="CW60" s="258">
        <v>126.408</v>
      </c>
      <c r="CX60" s="258">
        <v>105.74299999999999</v>
      </c>
      <c r="CY60" s="258">
        <f>CW60/CX60</f>
        <v>1.1954266476267934</v>
      </c>
      <c r="CZ60" s="56">
        <v>0</v>
      </c>
      <c r="DA60" s="56">
        <f>CZ60*CY60</f>
        <v>0</v>
      </c>
      <c r="DB60" s="725">
        <v>0</v>
      </c>
      <c r="DC60" s="725">
        <v>0</v>
      </c>
      <c r="DD60" s="725">
        <v>0</v>
      </c>
      <c r="DE60" s="725">
        <v>0</v>
      </c>
      <c r="DF60" s="725">
        <v>0</v>
      </c>
      <c r="DG60" s="725">
        <v>0</v>
      </c>
      <c r="DH60" s="725">
        <v>0</v>
      </c>
      <c r="DI60" s="725">
        <f>SUM(DB60:DH60)</f>
        <v>0</v>
      </c>
      <c r="DJ60" s="764">
        <f>CV60-DI60</f>
        <v>0.99721399998108495</v>
      </c>
      <c r="DK60" s="725">
        <v>0</v>
      </c>
      <c r="DL60" s="725">
        <v>0</v>
      </c>
      <c r="DM60" s="725">
        <v>0</v>
      </c>
      <c r="DN60" s="725">
        <v>0</v>
      </c>
      <c r="DO60" s="725">
        <v>0</v>
      </c>
      <c r="DP60" s="511">
        <f>SUM(DK60:DO60)</f>
        <v>0</v>
      </c>
      <c r="DQ60" s="960">
        <f>DJ60-DP60</f>
        <v>0.99721399998108495</v>
      </c>
      <c r="DR60" s="656">
        <v>132.28200000000001</v>
      </c>
      <c r="DS60" s="1002">
        <v>105.74299999999999</v>
      </c>
      <c r="DT60" s="656">
        <f>DR60/DS60</f>
        <v>1.2509764239713268</v>
      </c>
      <c r="DU60" s="511">
        <v>0</v>
      </c>
      <c r="DV60" s="511">
        <f>DU60*DT60</f>
        <v>0</v>
      </c>
      <c r="DW60" s="511">
        <v>0</v>
      </c>
      <c r="DX60" s="511">
        <v>0</v>
      </c>
      <c r="DY60" s="511">
        <v>0</v>
      </c>
      <c r="DZ60" s="511">
        <v>0</v>
      </c>
      <c r="EA60" s="511">
        <v>0</v>
      </c>
      <c r="EB60" s="511">
        <v>0</v>
      </c>
      <c r="EC60" s="511">
        <v>0</v>
      </c>
      <c r="ED60" s="511">
        <v>0</v>
      </c>
      <c r="EE60" s="511">
        <v>0</v>
      </c>
      <c r="EF60" s="511">
        <v>0</v>
      </c>
      <c r="EG60" s="511">
        <v>0</v>
      </c>
      <c r="EH60" s="511">
        <v>0</v>
      </c>
      <c r="EI60" s="511">
        <v>0</v>
      </c>
      <c r="EJ60" s="511">
        <v>0</v>
      </c>
      <c r="EK60" s="511">
        <v>0</v>
      </c>
      <c r="EL60" s="511">
        <v>0</v>
      </c>
      <c r="EM60" s="511">
        <v>0</v>
      </c>
      <c r="EN60" s="511">
        <v>0</v>
      </c>
      <c r="EO60" s="511">
        <f t="shared" si="31"/>
        <v>0</v>
      </c>
      <c r="EP60" s="756">
        <f>DQ60-EO60</f>
        <v>0.99721399998108495</v>
      </c>
    </row>
    <row r="61" spans="1:146" s="16" customFormat="1" x14ac:dyDescent="0.2">
      <c r="A61" s="100" t="s">
        <v>691</v>
      </c>
      <c r="B61" s="100" t="s">
        <v>692</v>
      </c>
      <c r="C61" s="100" t="s">
        <v>308</v>
      </c>
      <c r="D61" s="58">
        <v>3</v>
      </c>
      <c r="E61" s="127">
        <v>0.33329999999999999</v>
      </c>
      <c r="F61" s="46">
        <v>42185</v>
      </c>
      <c r="G61" s="48">
        <v>36</v>
      </c>
      <c r="H61" s="145">
        <f>100/G61</f>
        <v>2.7777777777777777</v>
      </c>
      <c r="I61" s="165">
        <v>0</v>
      </c>
      <c r="J61" s="48">
        <v>0</v>
      </c>
      <c r="K61" s="165">
        <f>L61*H61</f>
        <v>100</v>
      </c>
      <c r="L61" s="48">
        <f>G61-J61</f>
        <v>36</v>
      </c>
      <c r="M61" s="165">
        <f>N61*H61</f>
        <v>2.7777777777777777</v>
      </c>
      <c r="N61" s="48">
        <v>1</v>
      </c>
      <c r="O61" s="165">
        <f t="shared" si="108"/>
        <v>97.222222222222229</v>
      </c>
      <c r="P61" s="48">
        <f t="shared" si="108"/>
        <v>35</v>
      </c>
      <c r="Q61" s="48">
        <f t="shared" si="108"/>
        <v>-94.444444444444457</v>
      </c>
      <c r="R61" s="568" t="s">
        <v>690</v>
      </c>
      <c r="S61" s="119">
        <v>42339</v>
      </c>
      <c r="T61" s="134">
        <v>2099.3000000000002</v>
      </c>
      <c r="U61" s="47">
        <v>0</v>
      </c>
      <c r="V61" s="106">
        <v>0</v>
      </c>
      <c r="W61" s="165">
        <v>0</v>
      </c>
      <c r="X61" s="57">
        <v>115.958</v>
      </c>
      <c r="Y61" s="80">
        <v>105.74299999999999</v>
      </c>
      <c r="Z61" s="57">
        <f>X61/Y61</f>
        <v>1.0966021391486906</v>
      </c>
      <c r="AA61" s="55">
        <f>T61*M61/100/K61*100/7</f>
        <v>8.3305555555555575</v>
      </c>
      <c r="AB61" s="55">
        <f>AA61*Z61</f>
        <v>9.1353050425192333</v>
      </c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>
        <v>9.14</v>
      </c>
      <c r="AO61" s="55">
        <f>SUM(AC61:AN61)</f>
        <v>9.14</v>
      </c>
      <c r="AP61" s="72">
        <f>T61-AO61</f>
        <v>2090.1600000000003</v>
      </c>
      <c r="AQ61" s="72"/>
      <c r="AR61" s="72"/>
      <c r="AS61" s="429">
        <f t="shared" si="107"/>
        <v>9.14</v>
      </c>
      <c r="AT61" s="429">
        <f t="shared" si="107"/>
        <v>9.14</v>
      </c>
      <c r="AU61" s="429">
        <f t="shared" si="107"/>
        <v>9.14</v>
      </c>
      <c r="AV61" s="429">
        <f t="shared" si="107"/>
        <v>9.14</v>
      </c>
      <c r="AW61" s="429">
        <f t="shared" si="107"/>
        <v>9.14</v>
      </c>
      <c r="AX61" s="57">
        <v>118.901</v>
      </c>
      <c r="AY61" s="80">
        <v>105.74299999999999</v>
      </c>
      <c r="AZ61" s="57">
        <f>AX61/AY61</f>
        <v>1.1244337686655381</v>
      </c>
      <c r="BA61" s="55">
        <f t="shared" si="27"/>
        <v>58.313888888888897</v>
      </c>
      <c r="BB61" s="55">
        <f>BA61*AZ61</f>
        <v>65.570105848876793</v>
      </c>
      <c r="BC61" s="429">
        <f t="shared" si="32"/>
        <v>65.570105848876793</v>
      </c>
      <c r="BD61" s="429">
        <f t="shared" si="32"/>
        <v>65.570105848876793</v>
      </c>
      <c r="BE61" s="429">
        <f t="shared" si="32"/>
        <v>65.570105848876793</v>
      </c>
      <c r="BF61" s="429">
        <f t="shared" si="32"/>
        <v>65.570105848876793</v>
      </c>
      <c r="BG61" s="32">
        <v>65.569999999999993</v>
      </c>
      <c r="BH61" s="32">
        <v>65.569999999999993</v>
      </c>
      <c r="BI61" s="32">
        <v>65.569999999999993</v>
      </c>
      <c r="BJ61" s="431">
        <f>SUM((AS61:AW61),(BC61:BI61))</f>
        <v>504.69042339550714</v>
      </c>
      <c r="BK61" s="439">
        <f t="shared" si="33"/>
        <v>1585.4695766044931</v>
      </c>
      <c r="BL61" s="32">
        <v>65.569999999999993</v>
      </c>
      <c r="BM61" s="32">
        <v>65.569999999999993</v>
      </c>
      <c r="BN61" s="32">
        <v>65.569999999999993</v>
      </c>
      <c r="BO61" s="32">
        <v>65.569999999999993</v>
      </c>
      <c r="BP61" s="32">
        <v>65.569999999999993</v>
      </c>
      <c r="BQ61" s="57">
        <v>118.901</v>
      </c>
      <c r="BR61" s="80">
        <v>105.74299999999999</v>
      </c>
      <c r="BS61" s="57">
        <f>BQ61/BR61</f>
        <v>1.1244337686655381</v>
      </c>
      <c r="BT61" s="55"/>
      <c r="BU61" s="55"/>
      <c r="BV61" s="429"/>
      <c r="BW61" s="429"/>
      <c r="BX61" s="429"/>
      <c r="BY61" s="429"/>
      <c r="BZ61" s="32"/>
      <c r="CA61" s="32"/>
      <c r="CB61" s="32"/>
      <c r="CC61" s="431">
        <f>SUM((BL61:BP61),(BV61:CB61))</f>
        <v>327.84999999999997</v>
      </c>
      <c r="CD61" s="442">
        <f t="shared" si="28"/>
        <v>1257.6195766044932</v>
      </c>
      <c r="CE61" s="58">
        <v>3</v>
      </c>
      <c r="CF61" s="127">
        <v>0.33329999999999999</v>
      </c>
      <c r="CG61" s="46">
        <v>43281</v>
      </c>
      <c r="CH61" s="48">
        <v>36</v>
      </c>
      <c r="CI61" s="145">
        <f>CU61/CH61/100</f>
        <v>0.58313888888888898</v>
      </c>
      <c r="CJ61" s="165">
        <v>0</v>
      </c>
      <c r="CK61" s="48">
        <f>(YEAR(CG61)-YEAR(CT61))*12+MONTH(CG61)-MONTH(CT61)</f>
        <v>30</v>
      </c>
      <c r="CL61" s="165">
        <f>CM61*CI61</f>
        <v>3.4988333333333337</v>
      </c>
      <c r="CM61" s="48">
        <f>CH61-CK61</f>
        <v>6</v>
      </c>
      <c r="CN61" s="165">
        <f>CO61*CI61</f>
        <v>3.4988333333333337</v>
      </c>
      <c r="CO61" s="48">
        <f>CH61-CK61</f>
        <v>6</v>
      </c>
      <c r="CP61" s="165">
        <f>CL61-CN61</f>
        <v>0</v>
      </c>
      <c r="CQ61" s="48">
        <f>CH61-CK61</f>
        <v>6</v>
      </c>
      <c r="CR61" s="462">
        <f>DATE(YEAR(CT61),MONTH(CT61)+CH61,DAY(CT61))</f>
        <v>43435</v>
      </c>
      <c r="CS61" s="568" t="s">
        <v>690</v>
      </c>
      <c r="CT61" s="119">
        <v>42339</v>
      </c>
      <c r="CU61" s="134">
        <v>2099.3000000000002</v>
      </c>
      <c r="CV61" s="764">
        <v>1257.6195766044932</v>
      </c>
      <c r="CW61" s="258">
        <v>126.408</v>
      </c>
      <c r="CX61" s="258">
        <v>105.74299999999999</v>
      </c>
      <c r="CY61" s="258">
        <f>CW61/CX61</f>
        <v>1.1954266476267934</v>
      </c>
      <c r="CZ61" s="56">
        <f>CV61/CM61</f>
        <v>209.60326276741554</v>
      </c>
      <c r="DA61" s="56">
        <f>CZ61*CY61</f>
        <v>250.56532574168943</v>
      </c>
      <c r="DB61" s="725">
        <v>41.760887623614906</v>
      </c>
      <c r="DC61" s="725">
        <v>41.760887623614906</v>
      </c>
      <c r="DD61" s="725">
        <v>41.760887623614906</v>
      </c>
      <c r="DE61" s="725">
        <v>41.760887623614906</v>
      </c>
      <c r="DF61" s="725">
        <v>41.760887623614906</v>
      </c>
      <c r="DG61" s="725">
        <v>41.760887623614906</v>
      </c>
      <c r="DH61" s="725">
        <v>41.760887623614906</v>
      </c>
      <c r="DI61" s="725">
        <f>SUM(DB61:DH61)</f>
        <v>292.32621336530434</v>
      </c>
      <c r="DJ61" s="764">
        <f>CV61-DI61</f>
        <v>965.29336323918892</v>
      </c>
      <c r="DK61" s="725">
        <v>41.760887623614906</v>
      </c>
      <c r="DL61" s="725">
        <v>41.760887623614906</v>
      </c>
      <c r="DM61" s="725">
        <v>41.760887623614906</v>
      </c>
      <c r="DN61" s="725">
        <v>41.760887623614906</v>
      </c>
      <c r="DO61" s="725">
        <v>41.760887623614906</v>
      </c>
      <c r="DP61" s="511">
        <f>SUM(DK61:DO61)</f>
        <v>208.80443811807453</v>
      </c>
      <c r="DQ61" s="960">
        <f>DJ61-DP61</f>
        <v>756.48892512111433</v>
      </c>
      <c r="DR61" s="656">
        <v>132.28200000000001</v>
      </c>
      <c r="DS61" s="1002">
        <v>105.74299999999999</v>
      </c>
      <c r="DT61" s="656">
        <f>DR61/DS61</f>
        <v>1.2509764239713268</v>
      </c>
      <c r="DU61" s="511">
        <f>DQ61/CO61</f>
        <v>126.08148752018572</v>
      </c>
      <c r="DV61" s="511">
        <f>DU61*DT61</f>
        <v>157.7249683869874</v>
      </c>
      <c r="DW61" s="511">
        <v>157.7249683869874</v>
      </c>
      <c r="DX61" s="511">
        <v>157.7249683869874</v>
      </c>
      <c r="DY61" s="511">
        <v>157.7249683869874</v>
      </c>
      <c r="DZ61" s="511">
        <v>157.7249683869874</v>
      </c>
      <c r="EA61" s="511">
        <v>124.59</v>
      </c>
      <c r="EB61" s="511">
        <v>0</v>
      </c>
      <c r="EC61" s="511">
        <v>0</v>
      </c>
      <c r="ED61" s="511">
        <v>0</v>
      </c>
      <c r="EE61" s="511">
        <v>0</v>
      </c>
      <c r="EF61" s="511">
        <v>0</v>
      </c>
      <c r="EG61" s="511">
        <v>0</v>
      </c>
      <c r="EH61" s="511">
        <v>0</v>
      </c>
      <c r="EI61" s="511">
        <v>0</v>
      </c>
      <c r="EJ61" s="511">
        <v>0</v>
      </c>
      <c r="EK61" s="511">
        <v>0</v>
      </c>
      <c r="EL61" s="511">
        <v>0</v>
      </c>
      <c r="EM61" s="511">
        <v>0</v>
      </c>
      <c r="EN61" s="511">
        <v>0</v>
      </c>
      <c r="EO61" s="511">
        <f t="shared" si="31"/>
        <v>755.48987354794963</v>
      </c>
      <c r="EP61" s="756">
        <f>DQ61-EO61</f>
        <v>0.9990515731647065</v>
      </c>
    </row>
    <row r="62" spans="1:146" s="16" customFormat="1" x14ac:dyDescent="0.2">
      <c r="A62" s="120" t="s">
        <v>71</v>
      </c>
      <c r="B62" s="120" t="s">
        <v>93</v>
      </c>
      <c r="C62" s="120"/>
      <c r="D62" s="131"/>
      <c r="E62" s="130"/>
      <c r="F62" s="46"/>
      <c r="G62" s="48"/>
      <c r="H62" s="145"/>
      <c r="I62" s="48"/>
      <c r="J62" s="48"/>
      <c r="K62" s="48"/>
      <c r="L62" s="48"/>
      <c r="M62" s="48"/>
      <c r="N62" s="48"/>
      <c r="O62" s="48"/>
      <c r="P62" s="48"/>
      <c r="Q62" s="48"/>
      <c r="R62" s="568"/>
      <c r="S62" s="119"/>
      <c r="T62" s="134"/>
      <c r="U62" s="47"/>
      <c r="V62" s="106"/>
      <c r="W62" s="165">
        <v>0</v>
      </c>
      <c r="X62" s="57"/>
      <c r="Y62" s="83"/>
      <c r="Z62" s="57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72"/>
      <c r="AQ62" s="72"/>
      <c r="AR62" s="72"/>
      <c r="AS62" s="429">
        <f t="shared" si="107"/>
        <v>0</v>
      </c>
      <c r="AT62" s="429">
        <f t="shared" si="107"/>
        <v>0</v>
      </c>
      <c r="AU62" s="429">
        <f t="shared" si="107"/>
        <v>0</v>
      </c>
      <c r="AV62" s="429">
        <f t="shared" si="107"/>
        <v>0</v>
      </c>
      <c r="AW62" s="429">
        <f t="shared" si="107"/>
        <v>0</v>
      </c>
      <c r="AX62" s="57"/>
      <c r="AY62" s="83"/>
      <c r="AZ62" s="57"/>
      <c r="BA62" s="55"/>
      <c r="BB62" s="55"/>
      <c r="BC62" s="429"/>
      <c r="BD62" s="32"/>
      <c r="BE62" s="32"/>
      <c r="BF62" s="32"/>
      <c r="BG62" s="32"/>
      <c r="BH62" s="32"/>
      <c r="BI62" s="32"/>
      <c r="BJ62" s="431"/>
      <c r="BK62" s="439"/>
      <c r="BL62" s="32"/>
      <c r="BM62" s="32"/>
      <c r="BN62" s="32"/>
      <c r="BO62" s="32"/>
      <c r="BP62" s="32"/>
      <c r="BQ62" s="57"/>
      <c r="BR62" s="83"/>
      <c r="BS62" s="57"/>
      <c r="BT62" s="55"/>
      <c r="BU62" s="55"/>
      <c r="BV62" s="429"/>
      <c r="BW62" s="32"/>
      <c r="BX62" s="32"/>
      <c r="BY62" s="32"/>
      <c r="BZ62" s="32"/>
      <c r="CA62" s="32"/>
      <c r="CB62" s="32"/>
      <c r="CC62" s="431"/>
      <c r="CD62" s="442"/>
      <c r="CE62" s="131"/>
      <c r="CF62" s="130"/>
      <c r="CG62" s="46"/>
      <c r="CH62" s="48"/>
      <c r="CI62" s="145"/>
      <c r="CJ62" s="48"/>
      <c r="CK62" s="48"/>
      <c r="CL62" s="48"/>
      <c r="CM62" s="48"/>
      <c r="CN62" s="48"/>
      <c r="CO62" s="48"/>
      <c r="CP62" s="48"/>
      <c r="CQ62" s="48"/>
      <c r="CR62" s="48"/>
      <c r="CS62" s="568"/>
      <c r="CT62" s="119"/>
      <c r="CU62" s="134"/>
      <c r="CV62" s="764"/>
      <c r="CW62" s="258"/>
      <c r="CX62" s="257"/>
      <c r="CY62" s="258"/>
      <c r="CZ62" s="56"/>
      <c r="DA62" s="56"/>
      <c r="DB62" s="725"/>
      <c r="DC62" s="725"/>
      <c r="DD62" s="725"/>
      <c r="DE62" s="725"/>
      <c r="DF62" s="725"/>
      <c r="DG62" s="725"/>
      <c r="DH62" s="725"/>
      <c r="DI62" s="725"/>
      <c r="DJ62" s="764"/>
      <c r="DK62" s="725"/>
      <c r="DL62" s="725"/>
      <c r="DM62" s="725"/>
      <c r="DN62" s="725"/>
      <c r="DO62" s="725"/>
      <c r="DP62" s="511"/>
      <c r="DQ62" s="960"/>
      <c r="DR62" s="656"/>
      <c r="DS62" s="1034"/>
      <c r="DT62" s="656"/>
      <c r="DU62" s="511"/>
      <c r="DV62" s="511"/>
      <c r="DW62" s="511"/>
      <c r="DX62" s="511"/>
      <c r="DY62" s="511"/>
      <c r="DZ62" s="511"/>
      <c r="EA62" s="511"/>
      <c r="EB62" s="511"/>
      <c r="EC62" s="511"/>
      <c r="ED62" s="511"/>
      <c r="EE62" s="511"/>
      <c r="EF62" s="511"/>
      <c r="EG62" s="511"/>
      <c r="EH62" s="511"/>
      <c r="EI62" s="511"/>
      <c r="EJ62" s="511"/>
      <c r="EK62" s="511"/>
      <c r="EL62" s="511"/>
      <c r="EM62" s="511"/>
      <c r="EN62" s="511"/>
      <c r="EO62" s="511">
        <f t="shared" si="31"/>
        <v>0</v>
      </c>
      <c r="EP62" s="756"/>
    </row>
    <row r="63" spans="1:146" s="16" customFormat="1" x14ac:dyDescent="0.2">
      <c r="A63" s="120" t="s">
        <v>92</v>
      </c>
      <c r="B63" s="100"/>
      <c r="C63" s="100"/>
      <c r="D63" s="8"/>
      <c r="E63" s="130"/>
      <c r="F63" s="46"/>
      <c r="G63" s="48"/>
      <c r="H63" s="145"/>
      <c r="I63" s="48"/>
      <c r="J63" s="48"/>
      <c r="K63" s="48"/>
      <c r="L63" s="48"/>
      <c r="M63" s="48"/>
      <c r="N63" s="48"/>
      <c r="O63" s="48"/>
      <c r="P63" s="48"/>
      <c r="Q63" s="48"/>
      <c r="R63" s="568"/>
      <c r="S63" s="119"/>
      <c r="T63" s="134"/>
      <c r="U63" s="47"/>
      <c r="V63" s="106"/>
      <c r="W63" s="165">
        <v>0</v>
      </c>
      <c r="X63" s="57"/>
      <c r="Y63" s="83"/>
      <c r="Z63" s="57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72"/>
      <c r="AQ63" s="72"/>
      <c r="AR63" s="72"/>
      <c r="AS63" s="429">
        <f t="shared" si="107"/>
        <v>0</v>
      </c>
      <c r="AT63" s="429">
        <f t="shared" si="107"/>
        <v>0</v>
      </c>
      <c r="AU63" s="429">
        <f t="shared" si="107"/>
        <v>0</v>
      </c>
      <c r="AV63" s="429">
        <f t="shared" si="107"/>
        <v>0</v>
      </c>
      <c r="AW63" s="429">
        <f t="shared" si="107"/>
        <v>0</v>
      </c>
      <c r="AX63" s="57"/>
      <c r="AY63" s="83"/>
      <c r="AZ63" s="57"/>
      <c r="BA63" s="55"/>
      <c r="BB63" s="55"/>
      <c r="BC63" s="429"/>
      <c r="BD63" s="32"/>
      <c r="BE63" s="32"/>
      <c r="BF63" s="32"/>
      <c r="BG63" s="32"/>
      <c r="BH63" s="32"/>
      <c r="BI63" s="32"/>
      <c r="BJ63" s="431"/>
      <c r="BK63" s="439"/>
      <c r="BL63" s="32"/>
      <c r="BM63" s="32"/>
      <c r="BN63" s="32"/>
      <c r="BO63" s="32"/>
      <c r="BP63" s="32"/>
      <c r="BQ63" s="57"/>
      <c r="BR63" s="83"/>
      <c r="BS63" s="57"/>
      <c r="BT63" s="55"/>
      <c r="BU63" s="55"/>
      <c r="BV63" s="429"/>
      <c r="BW63" s="32"/>
      <c r="BX63" s="32"/>
      <c r="BY63" s="32"/>
      <c r="BZ63" s="32"/>
      <c r="CA63" s="32"/>
      <c r="CB63" s="32"/>
      <c r="CC63" s="431"/>
      <c r="CD63" s="442"/>
      <c r="CE63" s="8"/>
      <c r="CF63" s="130"/>
      <c r="CG63" s="46"/>
      <c r="CH63" s="48"/>
      <c r="CI63" s="145"/>
      <c r="CJ63" s="48"/>
      <c r="CK63" s="48"/>
      <c r="CL63" s="48"/>
      <c r="CM63" s="48"/>
      <c r="CN63" s="48"/>
      <c r="CO63" s="48"/>
      <c r="CP63" s="48"/>
      <c r="CQ63" s="48"/>
      <c r="CR63" s="48"/>
      <c r="CS63" s="568"/>
      <c r="CT63" s="119"/>
      <c r="CU63" s="134"/>
      <c r="CV63" s="764"/>
      <c r="CW63" s="258"/>
      <c r="CX63" s="257"/>
      <c r="CY63" s="258"/>
      <c r="CZ63" s="56"/>
      <c r="DA63" s="56"/>
      <c r="DB63" s="725"/>
      <c r="DC63" s="725"/>
      <c r="DD63" s="725"/>
      <c r="DE63" s="725"/>
      <c r="DF63" s="725"/>
      <c r="DG63" s="725"/>
      <c r="DH63" s="725"/>
      <c r="DI63" s="725"/>
      <c r="DJ63" s="764"/>
      <c r="DK63" s="725"/>
      <c r="DL63" s="725"/>
      <c r="DM63" s="725"/>
      <c r="DN63" s="725"/>
      <c r="DO63" s="725"/>
      <c r="DP63" s="511"/>
      <c r="DQ63" s="960"/>
      <c r="DR63" s="656"/>
      <c r="DS63" s="1034"/>
      <c r="DT63" s="656"/>
      <c r="DU63" s="511"/>
      <c r="DV63" s="511"/>
      <c r="DW63" s="511"/>
      <c r="DX63" s="511"/>
      <c r="DY63" s="511"/>
      <c r="DZ63" s="511"/>
      <c r="EA63" s="511"/>
      <c r="EB63" s="511"/>
      <c r="EC63" s="511"/>
      <c r="ED63" s="511"/>
      <c r="EE63" s="511"/>
      <c r="EF63" s="511"/>
      <c r="EG63" s="511"/>
      <c r="EH63" s="511"/>
      <c r="EI63" s="511"/>
      <c r="EJ63" s="511"/>
      <c r="EK63" s="511"/>
      <c r="EL63" s="511"/>
      <c r="EM63" s="511"/>
      <c r="EN63" s="511"/>
      <c r="EO63" s="511">
        <f t="shared" si="31"/>
        <v>0</v>
      </c>
      <c r="EP63" s="756"/>
    </row>
    <row r="64" spans="1:146" s="16" customFormat="1" x14ac:dyDescent="0.2">
      <c r="A64" s="124" t="s">
        <v>973</v>
      </c>
      <c r="B64" s="100" t="s">
        <v>974</v>
      </c>
      <c r="C64" s="100" t="s">
        <v>468</v>
      </c>
      <c r="D64" s="8">
        <v>10</v>
      </c>
      <c r="E64" s="130">
        <v>0.1</v>
      </c>
      <c r="F64" s="46">
        <v>42419</v>
      </c>
      <c r="G64" s="48">
        <v>120</v>
      </c>
      <c r="H64" s="145">
        <f>100/G64</f>
        <v>0.83333333333333337</v>
      </c>
      <c r="I64" s="165">
        <f>H64*J64</f>
        <v>0</v>
      </c>
      <c r="J64" s="48">
        <f>(YEAR(F64)-YEAR(S64))*12+MONTH(F64)-MONTH(S64)</f>
        <v>0</v>
      </c>
      <c r="K64" s="165">
        <f>L64*H64</f>
        <v>100</v>
      </c>
      <c r="L64" s="48">
        <f>G64-J64</f>
        <v>120</v>
      </c>
      <c r="M64" s="165">
        <f>N64*H64</f>
        <v>0</v>
      </c>
      <c r="N64" s="48">
        <v>0</v>
      </c>
      <c r="O64" s="165">
        <f t="shared" ref="O64:Q67" si="109">K64-M64</f>
        <v>100</v>
      </c>
      <c r="P64" s="48">
        <f t="shared" si="109"/>
        <v>120</v>
      </c>
      <c r="Q64" s="48">
        <f t="shared" si="109"/>
        <v>-100</v>
      </c>
      <c r="R64" s="568" t="s">
        <v>975</v>
      </c>
      <c r="S64" s="119">
        <v>42419</v>
      </c>
      <c r="T64" s="134">
        <v>599</v>
      </c>
      <c r="U64" s="47">
        <v>0</v>
      </c>
      <c r="V64" s="106">
        <v>0</v>
      </c>
      <c r="W64" s="165">
        <v>0</v>
      </c>
      <c r="X64" s="57">
        <v>115.958</v>
      </c>
      <c r="Y64" s="80">
        <v>118.98399999999999</v>
      </c>
      <c r="Z64" s="57">
        <f>X64/Y64</f>
        <v>0.97456800914408659</v>
      </c>
      <c r="AA64" s="55">
        <f>U64*M64/100/K64*100/7</f>
        <v>0</v>
      </c>
      <c r="AB64" s="55">
        <f>AA64*Z64</f>
        <v>0</v>
      </c>
      <c r="AC64" s="55"/>
      <c r="AD64" s="55"/>
      <c r="AE64" s="55"/>
      <c r="AF64" s="55"/>
      <c r="AG64" s="55"/>
      <c r="AH64" s="55">
        <f>AB64</f>
        <v>0</v>
      </c>
      <c r="AI64" s="55">
        <v>9.9971930280548698</v>
      </c>
      <c r="AJ64" s="55">
        <v>9.9971930280548698</v>
      </c>
      <c r="AK64" s="55">
        <v>9.9971930280548698</v>
      </c>
      <c r="AL64" s="55">
        <v>9.9971930280548698</v>
      </c>
      <c r="AM64" s="55">
        <v>9.9971930280548698</v>
      </c>
      <c r="AN64" s="55">
        <v>0</v>
      </c>
      <c r="AO64" s="55">
        <v>0</v>
      </c>
      <c r="AP64" s="72">
        <v>599</v>
      </c>
      <c r="AQ64" s="55">
        <f>(AP64*E64)/12</f>
        <v>4.9916666666666671</v>
      </c>
      <c r="AR64" s="55">
        <f>AQ64*Z64</f>
        <v>4.8647186456442331</v>
      </c>
      <c r="AS64" s="55"/>
      <c r="AT64" s="55">
        <f>4.86</f>
        <v>4.8600000000000003</v>
      </c>
      <c r="AU64" s="55">
        <f>4.86</f>
        <v>4.8600000000000003</v>
      </c>
      <c r="AV64" s="55">
        <f>4.86</f>
        <v>4.8600000000000003</v>
      </c>
      <c r="AW64" s="55">
        <f>4.86</f>
        <v>4.8600000000000003</v>
      </c>
      <c r="AX64" s="57">
        <v>118.901</v>
      </c>
      <c r="AY64" s="80">
        <v>118.98399999999999</v>
      </c>
      <c r="AZ64" s="57">
        <f>AX64/AY64</f>
        <v>0.99930242721710483</v>
      </c>
      <c r="BA64" s="55">
        <f t="shared" si="27"/>
        <v>4.9916666666666663</v>
      </c>
      <c r="BB64" s="55">
        <f>BA64*AZ64</f>
        <v>4.9881846158587146</v>
      </c>
      <c r="BC64" s="429">
        <f t="shared" si="32"/>
        <v>4.9881846158587146</v>
      </c>
      <c r="BD64" s="429">
        <f t="shared" si="32"/>
        <v>4.9881846158587146</v>
      </c>
      <c r="BE64" s="510">
        <f t="shared" si="32"/>
        <v>4.9881846158587146</v>
      </c>
      <c r="BF64" s="510">
        <f t="shared" si="32"/>
        <v>4.9881846158587146</v>
      </c>
      <c r="BG64" s="511">
        <v>4.99</v>
      </c>
      <c r="BH64" s="511">
        <v>4.99</v>
      </c>
      <c r="BI64" s="511">
        <v>4.99</v>
      </c>
      <c r="BJ64" s="508">
        <f>SUM((AS64:AW64),(BC64:BI64))</f>
        <v>54.362738463434866</v>
      </c>
      <c r="BK64" s="439">
        <f t="shared" si="33"/>
        <v>544.63726153656512</v>
      </c>
      <c r="BL64" s="511">
        <v>4.99</v>
      </c>
      <c r="BM64" s="511">
        <v>4.99</v>
      </c>
      <c r="BN64" s="511">
        <v>4.99</v>
      </c>
      <c r="BO64" s="511">
        <v>4.99</v>
      </c>
      <c r="BP64" s="511">
        <v>4.99</v>
      </c>
      <c r="BQ64" s="57">
        <v>118.901</v>
      </c>
      <c r="BR64" s="80">
        <v>118.98399999999999</v>
      </c>
      <c r="BS64" s="57">
        <f>BQ64/BR64</f>
        <v>0.99930242721710483</v>
      </c>
      <c r="BT64" s="55"/>
      <c r="BU64" s="55"/>
      <c r="BV64" s="429"/>
      <c r="BW64" s="429"/>
      <c r="BX64" s="510"/>
      <c r="BY64" s="510"/>
      <c r="BZ64" s="511"/>
      <c r="CA64" s="511"/>
      <c r="CB64" s="511"/>
      <c r="CC64" s="508">
        <f>SUM((BL64:BP64),(BV64:CB64))</f>
        <v>24.950000000000003</v>
      </c>
      <c r="CD64" s="442">
        <f t="shared" si="28"/>
        <v>519.68726153656507</v>
      </c>
      <c r="CE64" s="8">
        <v>10</v>
      </c>
      <c r="CF64" s="130">
        <v>0.1</v>
      </c>
      <c r="CG64" s="46">
        <v>43281</v>
      </c>
      <c r="CH64" s="48">
        <v>120</v>
      </c>
      <c r="CI64" s="145">
        <f>CU64/CH64/100</f>
        <v>4.9916666666666665E-2</v>
      </c>
      <c r="CJ64" s="165">
        <f>CI64*CK64</f>
        <v>1.3976666666666666</v>
      </c>
      <c r="CK64" s="48">
        <f>(YEAR(CG64)-YEAR(CT64))*12+MONTH(CG64)-MONTH(CT64)</f>
        <v>28</v>
      </c>
      <c r="CL64" s="165">
        <f>CM64*CI64</f>
        <v>4.5923333333333334</v>
      </c>
      <c r="CM64" s="48">
        <f>CH64-CK64</f>
        <v>92</v>
      </c>
      <c r="CN64" s="165">
        <f>CO64*CI64</f>
        <v>4.5923333333333334</v>
      </c>
      <c r="CO64" s="48">
        <f>CH64-CK64</f>
        <v>92</v>
      </c>
      <c r="CP64" s="165">
        <f>CL64-CN64</f>
        <v>0</v>
      </c>
      <c r="CQ64" s="48">
        <f>CH64-CK64</f>
        <v>92</v>
      </c>
      <c r="CR64" s="462">
        <f>DATE(YEAR(CT64),MONTH(CT64)+CH64,DAY(CT64))</f>
        <v>46072</v>
      </c>
      <c r="CS64" s="568" t="s">
        <v>975</v>
      </c>
      <c r="CT64" s="119">
        <v>42419</v>
      </c>
      <c r="CU64" s="134">
        <v>599</v>
      </c>
      <c r="CV64" s="764">
        <v>519.68726153656507</v>
      </c>
      <c r="CW64" s="258">
        <v>126.408</v>
      </c>
      <c r="CX64" s="258">
        <v>118.98399999999999</v>
      </c>
      <c r="CY64" s="258">
        <f>CW64/CX64</f>
        <v>1.0623949438579978</v>
      </c>
      <c r="CZ64" s="56">
        <f>CV64/CM64</f>
        <v>5.6487745819191852</v>
      </c>
      <c r="DA64" s="56">
        <f>CZ64*CY64</f>
        <v>6.0012295548245183</v>
      </c>
      <c r="DB64" s="725">
        <v>5.3087799908063049</v>
      </c>
      <c r="DC64" s="725">
        <v>5.3087799908063049</v>
      </c>
      <c r="DD64" s="725">
        <v>5.3087799908063049</v>
      </c>
      <c r="DE64" s="725">
        <v>5.3087799908063049</v>
      </c>
      <c r="DF64" s="725">
        <v>5.3087799908063049</v>
      </c>
      <c r="DG64" s="725">
        <v>5.3087799908063049</v>
      </c>
      <c r="DH64" s="725">
        <v>5.3087799908063049</v>
      </c>
      <c r="DI64" s="725">
        <f>SUM(DB64:DH64)</f>
        <v>37.161459935644132</v>
      </c>
      <c r="DJ64" s="764">
        <f>CV64-DI64</f>
        <v>482.52580160092094</v>
      </c>
      <c r="DK64" s="725">
        <v>5.3087799908063049</v>
      </c>
      <c r="DL64" s="725">
        <v>5.3087799908063049</v>
      </c>
      <c r="DM64" s="725">
        <v>5.3087799908063049</v>
      </c>
      <c r="DN64" s="725">
        <v>5.3087799908063049</v>
      </c>
      <c r="DO64" s="725">
        <v>5.3087799908063049</v>
      </c>
      <c r="DP64" s="511">
        <f t="shared" ref="DP64:DP74" si="110">SUM(DK64:DO64)</f>
        <v>26.543899954031524</v>
      </c>
      <c r="DQ64" s="960">
        <f t="shared" ref="DQ64:DQ74" si="111">DJ64-DP64</f>
        <v>455.98190164688941</v>
      </c>
      <c r="DR64" s="656">
        <v>132.28200000000001</v>
      </c>
      <c r="DS64" s="1002">
        <v>118.98399999999999</v>
      </c>
      <c r="DT64" s="656">
        <f t="shared" ref="DT64:DT74" si="112">DR64/DS64</f>
        <v>1.111762926107712</v>
      </c>
      <c r="DU64" s="511">
        <f>DQ64/CO64</f>
        <v>4.9563250179009719</v>
      </c>
      <c r="DV64" s="511">
        <f t="shared" ref="DV64:DV74" si="113">DU64*DT64</f>
        <v>5.5102584046424425</v>
      </c>
      <c r="DW64" s="511">
        <v>5.5102584046424425</v>
      </c>
      <c r="DX64" s="511">
        <v>5.5102584046424425</v>
      </c>
      <c r="DY64" s="511">
        <v>5.5102584046424425</v>
      </c>
      <c r="DZ64" s="511">
        <v>5.5102584046424425</v>
      </c>
      <c r="EA64" s="511">
        <v>5.5102584046424425</v>
      </c>
      <c r="EB64" s="511">
        <v>5.5102584046424425</v>
      </c>
      <c r="EC64" s="511">
        <v>5.5102584046424425</v>
      </c>
      <c r="ED64" s="511">
        <v>5.5102584046424425</v>
      </c>
      <c r="EE64" s="511">
        <v>5.5102584046424425</v>
      </c>
      <c r="EF64" s="511">
        <v>5.5102584046424425</v>
      </c>
      <c r="EG64" s="511">
        <v>5.5102584046424425</v>
      </c>
      <c r="EH64" s="511">
        <v>5.5102584046424425</v>
      </c>
      <c r="EI64" s="511">
        <v>5.5102584046424425</v>
      </c>
      <c r="EJ64" s="511">
        <v>5.5102584046424425</v>
      </c>
      <c r="EK64" s="511">
        <v>5.5102584046424425</v>
      </c>
      <c r="EL64" s="511">
        <v>5.5102584046424425</v>
      </c>
      <c r="EM64" s="511">
        <v>5.5102584046424425</v>
      </c>
      <c r="EN64" s="511">
        <v>5.5102584046424425</v>
      </c>
      <c r="EO64" s="511">
        <f t="shared" si="31"/>
        <v>99.184651283563966</v>
      </c>
      <c r="EP64" s="756">
        <f>DQ64-EO64</f>
        <v>356.79725036332547</v>
      </c>
    </row>
    <row r="65" spans="1:146" s="16" customFormat="1" x14ac:dyDescent="0.2">
      <c r="A65" s="100" t="s">
        <v>94</v>
      </c>
      <c r="B65" s="100" t="s">
        <v>484</v>
      </c>
      <c r="C65" s="100" t="s">
        <v>312</v>
      </c>
      <c r="D65" s="58">
        <v>10</v>
      </c>
      <c r="E65" s="130">
        <v>0.1</v>
      </c>
      <c r="F65" s="46">
        <v>42185</v>
      </c>
      <c r="G65" s="48">
        <v>120</v>
      </c>
      <c r="H65" s="145">
        <f>100/G65</f>
        <v>0.83333333333333337</v>
      </c>
      <c r="I65" s="165">
        <f>H65*J65</f>
        <v>54.166666666666671</v>
      </c>
      <c r="J65" s="48">
        <f>(YEAR(F65)-YEAR(S65))*12+MONTH(F65)-MONTH(S65)</f>
        <v>65</v>
      </c>
      <c r="K65" s="165">
        <f>L65*H65</f>
        <v>45.833333333333336</v>
      </c>
      <c r="L65" s="48">
        <f>G65-J65</f>
        <v>55</v>
      </c>
      <c r="M65" s="165">
        <f>N65*H65</f>
        <v>5.8333333333333339</v>
      </c>
      <c r="N65" s="48">
        <v>7</v>
      </c>
      <c r="O65" s="165">
        <f t="shared" ref="O65:Q66" si="114">K65-M65</f>
        <v>40</v>
      </c>
      <c r="P65" s="48">
        <f t="shared" si="114"/>
        <v>48</v>
      </c>
      <c r="Q65" s="48">
        <f t="shared" si="114"/>
        <v>-34.166666666666664</v>
      </c>
      <c r="R65" s="568" t="s">
        <v>502</v>
      </c>
      <c r="S65" s="119">
        <v>40179</v>
      </c>
      <c r="T65" s="134">
        <v>1449</v>
      </c>
      <c r="U65" s="47">
        <v>664.07</v>
      </c>
      <c r="V65" s="106">
        <v>60.4</v>
      </c>
      <c r="W65" s="165">
        <v>0</v>
      </c>
      <c r="X65" s="57">
        <v>115.958</v>
      </c>
      <c r="Y65" s="80">
        <v>140.047</v>
      </c>
      <c r="Z65" s="57">
        <f>X65/Y65</f>
        <v>0.82799345933865065</v>
      </c>
      <c r="AA65" s="55">
        <f>U65*M65/100/K65*100/7</f>
        <v>12.074000000000002</v>
      </c>
      <c r="AB65" s="55">
        <f>AA65*Z65</f>
        <v>9.9971930280548698</v>
      </c>
      <c r="AC65" s="55"/>
      <c r="AD65" s="55"/>
      <c r="AE65" s="55"/>
      <c r="AF65" s="55"/>
      <c r="AG65" s="55"/>
      <c r="AH65" s="55">
        <f>AB65</f>
        <v>9.9971930280548698</v>
      </c>
      <c r="AI65" s="55">
        <v>9.9971930280548698</v>
      </c>
      <c r="AJ65" s="55">
        <v>9.9971930280548698</v>
      </c>
      <c r="AK65" s="55">
        <v>9.9971930280548698</v>
      </c>
      <c r="AL65" s="55">
        <v>9.9971930280548698</v>
      </c>
      <c r="AM65" s="55">
        <v>9.9971930280548698</v>
      </c>
      <c r="AN65" s="55">
        <v>9.9971930280548698</v>
      </c>
      <c r="AO65" s="55">
        <f>SUM(AC65:AN65)</f>
        <v>69.980351196384078</v>
      </c>
      <c r="AP65" s="72">
        <f>U65-AO65</f>
        <v>594.089648803616</v>
      </c>
      <c r="AQ65" s="72"/>
      <c r="AR65" s="72"/>
      <c r="AS65" s="429">
        <f>$AN65</f>
        <v>9.9971930280548698</v>
      </c>
      <c r="AT65" s="429">
        <f t="shared" ref="AT65:AW67" si="115">$AN65</f>
        <v>9.9971930280548698</v>
      </c>
      <c r="AU65" s="429">
        <f t="shared" si="115"/>
        <v>9.9971930280548698</v>
      </c>
      <c r="AV65" s="429">
        <f t="shared" si="115"/>
        <v>9.9971930280548698</v>
      </c>
      <c r="AW65" s="429">
        <f t="shared" si="115"/>
        <v>9.9971930280548698</v>
      </c>
      <c r="AX65" s="57">
        <v>118.901</v>
      </c>
      <c r="AY65" s="80">
        <v>140.047</v>
      </c>
      <c r="AZ65" s="57">
        <f>AX65/AY65</f>
        <v>0.84900783308460726</v>
      </c>
      <c r="BA65" s="55">
        <f>T65/(D65*12)</f>
        <v>12.074999999999999</v>
      </c>
      <c r="BB65" s="55">
        <f>BA65*AZ65</f>
        <v>10.251769584496632</v>
      </c>
      <c r="BC65" s="429">
        <f t="shared" si="32"/>
        <v>10.251769584496632</v>
      </c>
      <c r="BD65" s="429">
        <f t="shared" si="32"/>
        <v>10.251769584496632</v>
      </c>
      <c r="BE65" s="429">
        <f t="shared" si="32"/>
        <v>10.251769584496632</v>
      </c>
      <c r="BF65" s="429">
        <f t="shared" si="32"/>
        <v>10.251769584496632</v>
      </c>
      <c r="BG65" s="32">
        <v>10.25</v>
      </c>
      <c r="BH65" s="32">
        <v>10.25</v>
      </c>
      <c r="BI65" s="32">
        <v>10.25</v>
      </c>
      <c r="BJ65" s="431">
        <f>SUM((AS65:AW65),(BC65:BI65))</f>
        <v>121.74304347826086</v>
      </c>
      <c r="BK65" s="439">
        <f>(AP65-BJ65)</f>
        <v>472.34660532535514</v>
      </c>
      <c r="BL65" s="32">
        <v>10.25</v>
      </c>
      <c r="BM65" s="32">
        <v>10.25</v>
      </c>
      <c r="BN65" s="32">
        <v>10.25</v>
      </c>
      <c r="BO65" s="32">
        <v>10.25</v>
      </c>
      <c r="BP65" s="32">
        <v>10.25</v>
      </c>
      <c r="BQ65" s="57">
        <v>118.901</v>
      </c>
      <c r="BR65" s="80">
        <v>140.047</v>
      </c>
      <c r="BS65" s="57">
        <f>BQ65/BR65</f>
        <v>0.84900783308460726</v>
      </c>
      <c r="BT65" s="55"/>
      <c r="BU65" s="55"/>
      <c r="BV65" s="429"/>
      <c r="BW65" s="429"/>
      <c r="BX65" s="429"/>
      <c r="BY65" s="429"/>
      <c r="BZ65" s="32"/>
      <c r="CA65" s="32"/>
      <c r="CB65" s="32"/>
      <c r="CC65" s="431">
        <f>SUM((BL65:BP65),(BV65:CB65))</f>
        <v>51.25</v>
      </c>
      <c r="CD65" s="442">
        <f>(BK65-CC65)</f>
        <v>421.09660532535514</v>
      </c>
      <c r="CE65" s="58">
        <v>10</v>
      </c>
      <c r="CF65" s="130">
        <v>0.1</v>
      </c>
      <c r="CG65" s="46">
        <v>43281</v>
      </c>
      <c r="CH65" s="48">
        <v>120</v>
      </c>
      <c r="CI65" s="145">
        <f>CU65/CH65/100</f>
        <v>0.12075</v>
      </c>
      <c r="CJ65" s="165">
        <f>CI65*CK65</f>
        <v>12.19575</v>
      </c>
      <c r="CK65" s="48">
        <f>(YEAR(CG65)-YEAR(CT65))*12+MONTH(CG65)-MONTH(CT65)</f>
        <v>101</v>
      </c>
      <c r="CL65" s="165">
        <f>CM65*CI65</f>
        <v>2.2942499999999999</v>
      </c>
      <c r="CM65" s="48">
        <f>CH65-CK65</f>
        <v>19</v>
      </c>
      <c r="CN65" s="165">
        <f>CO65*CI65</f>
        <v>2.2942499999999999</v>
      </c>
      <c r="CO65" s="48">
        <f>CH65-CK65</f>
        <v>19</v>
      </c>
      <c r="CP65" s="165">
        <f>CL65-CN65</f>
        <v>0</v>
      </c>
      <c r="CQ65" s="48">
        <f>CH65-CK65</f>
        <v>19</v>
      </c>
      <c r="CR65" s="462">
        <f>DATE(YEAR(CT65),MONTH(CT65)+CH65,DAY(CT65))</f>
        <v>43831</v>
      </c>
      <c r="CS65" s="568" t="s">
        <v>502</v>
      </c>
      <c r="CT65" s="119">
        <v>40179</v>
      </c>
      <c r="CU65" s="134">
        <v>1449</v>
      </c>
      <c r="CV65" s="764">
        <v>421.09660532535514</v>
      </c>
      <c r="CW65" s="258">
        <v>126.408</v>
      </c>
      <c r="CX65" s="258">
        <v>140.047</v>
      </c>
      <c r="CY65" s="258">
        <f>CW65/CX65</f>
        <v>0.90261126621776977</v>
      </c>
      <c r="CZ65" s="56">
        <f>CV65/CM65</f>
        <v>22.162979227650272</v>
      </c>
      <c r="DA65" s="56">
        <f>CZ65*CY65</f>
        <v>20.004554743827541</v>
      </c>
      <c r="DB65" s="725">
        <v>12.260856133313654</v>
      </c>
      <c r="DC65" s="725">
        <v>12.260856133313654</v>
      </c>
      <c r="DD65" s="725">
        <v>12.260856133313654</v>
      </c>
      <c r="DE65" s="725">
        <v>12.260856133313654</v>
      </c>
      <c r="DF65" s="725">
        <v>12.260856133313654</v>
      </c>
      <c r="DG65" s="725">
        <v>12.260856133313654</v>
      </c>
      <c r="DH65" s="725">
        <v>12.260856133313654</v>
      </c>
      <c r="DI65" s="725">
        <f>SUM(DB65:DH65)</f>
        <v>85.825992933195579</v>
      </c>
      <c r="DJ65" s="764">
        <f>CV65-DI65</f>
        <v>335.27061239215959</v>
      </c>
      <c r="DK65" s="725">
        <v>12.260856133313654</v>
      </c>
      <c r="DL65" s="725">
        <v>12.260856133313654</v>
      </c>
      <c r="DM65" s="725">
        <v>12.260856133313654</v>
      </c>
      <c r="DN65" s="725">
        <v>12.260856133313654</v>
      </c>
      <c r="DO65" s="725">
        <v>12.260856133313654</v>
      </c>
      <c r="DP65" s="511">
        <f t="shared" si="110"/>
        <v>61.304280666568268</v>
      </c>
      <c r="DQ65" s="960">
        <f t="shared" si="111"/>
        <v>273.96633172559132</v>
      </c>
      <c r="DR65" s="656">
        <v>132.28200000000001</v>
      </c>
      <c r="DS65" s="1002">
        <v>140.047</v>
      </c>
      <c r="DT65" s="656">
        <f t="shared" si="112"/>
        <v>0.9445543281898221</v>
      </c>
      <c r="DU65" s="511">
        <f>DQ65/CO65</f>
        <v>14.419280617136385</v>
      </c>
      <c r="DV65" s="511">
        <f t="shared" si="113"/>
        <v>13.619793916299782</v>
      </c>
      <c r="DW65" s="511">
        <v>13.619793916299782</v>
      </c>
      <c r="DX65" s="511">
        <v>13.619793916299782</v>
      </c>
      <c r="DY65" s="511">
        <v>13.619793916299782</v>
      </c>
      <c r="DZ65" s="511">
        <v>13.619793916299782</v>
      </c>
      <c r="EA65" s="511">
        <v>13.619793916299782</v>
      </c>
      <c r="EB65" s="511">
        <v>13.619793916299782</v>
      </c>
      <c r="EC65" s="511">
        <v>13.619793916299782</v>
      </c>
      <c r="ED65" s="511">
        <v>13.619793916299782</v>
      </c>
      <c r="EE65" s="511">
        <v>13.619793916299782</v>
      </c>
      <c r="EF65" s="511">
        <v>13.619793916299782</v>
      </c>
      <c r="EG65" s="511">
        <v>13.619793916299782</v>
      </c>
      <c r="EH65" s="511">
        <v>13.619793916299782</v>
      </c>
      <c r="EI65" s="511">
        <v>13.619793916299782</v>
      </c>
      <c r="EJ65" s="511">
        <v>13.619793916299782</v>
      </c>
      <c r="EK65" s="511">
        <v>13.619793916299782</v>
      </c>
      <c r="EL65" s="511">
        <v>13.619793916299782</v>
      </c>
      <c r="EM65" s="511">
        <v>13.619793916299782</v>
      </c>
      <c r="EN65" s="511">
        <v>13.619793916299782</v>
      </c>
      <c r="EO65" s="511">
        <f t="shared" si="31"/>
        <v>245.15629049339609</v>
      </c>
      <c r="EP65" s="756">
        <f>DQ65-EO65</f>
        <v>28.810041232195232</v>
      </c>
    </row>
    <row r="66" spans="1:146" s="16" customFormat="1" x14ac:dyDescent="0.2">
      <c r="A66" s="100" t="s">
        <v>1069</v>
      </c>
      <c r="B66" s="100" t="s">
        <v>1070</v>
      </c>
      <c r="C66" s="100" t="s">
        <v>312</v>
      </c>
      <c r="D66" s="58">
        <v>10</v>
      </c>
      <c r="E66" s="130">
        <v>0.1</v>
      </c>
      <c r="F66" s="46">
        <v>42639</v>
      </c>
      <c r="G66" s="48">
        <v>120</v>
      </c>
      <c r="H66" s="145">
        <f>100/G66</f>
        <v>0.83333333333333337</v>
      </c>
      <c r="I66" s="165">
        <v>0</v>
      </c>
      <c r="J66" s="48">
        <v>0</v>
      </c>
      <c r="K66" s="165">
        <f>L66*H66</f>
        <v>100</v>
      </c>
      <c r="L66" s="48">
        <f>G66-J66</f>
        <v>120</v>
      </c>
      <c r="M66" s="165">
        <f>N66*H66</f>
        <v>0</v>
      </c>
      <c r="N66" s="48">
        <v>0</v>
      </c>
      <c r="O66" s="165">
        <f t="shared" si="114"/>
        <v>100</v>
      </c>
      <c r="P66" s="48">
        <f t="shared" si="114"/>
        <v>120</v>
      </c>
      <c r="Q66" s="48">
        <f t="shared" si="114"/>
        <v>-100</v>
      </c>
      <c r="R66" s="568" t="s">
        <v>1071</v>
      </c>
      <c r="S66" s="119">
        <v>42639</v>
      </c>
      <c r="T66" s="134">
        <v>649</v>
      </c>
      <c r="U66" s="47">
        <v>664.07</v>
      </c>
      <c r="V66" s="106">
        <v>60.4</v>
      </c>
      <c r="W66" s="165">
        <v>0</v>
      </c>
      <c r="X66" s="57">
        <v>115.958</v>
      </c>
      <c r="Y66" s="80">
        <v>140.047</v>
      </c>
      <c r="Z66" s="57">
        <f>X66/Y66</f>
        <v>0.82799345933865065</v>
      </c>
      <c r="AA66" s="55">
        <f>U66*M66/100/K66*100/7</f>
        <v>0</v>
      </c>
      <c r="AB66" s="55">
        <f>AA66*Z66</f>
        <v>0</v>
      </c>
      <c r="AC66" s="55"/>
      <c r="AD66" s="55"/>
      <c r="AE66" s="55"/>
      <c r="AF66" s="55"/>
      <c r="AG66" s="55"/>
      <c r="AH66" s="55">
        <f>AB66</f>
        <v>0</v>
      </c>
      <c r="AI66" s="55">
        <v>9.9971930280548698</v>
      </c>
      <c r="AJ66" s="55">
        <v>9.9971930280548698</v>
      </c>
      <c r="AK66" s="55">
        <v>9.9971930280548698</v>
      </c>
      <c r="AL66" s="55">
        <v>9.9971930280548698</v>
      </c>
      <c r="AM66" s="55">
        <v>9.9971930280548698</v>
      </c>
      <c r="AN66" s="55">
        <v>9.9971930280548698</v>
      </c>
      <c r="AO66" s="55">
        <f>SUM(AC66:AN66)</f>
        <v>59.983158168329211</v>
      </c>
      <c r="AP66" s="72">
        <f>U66-AO66</f>
        <v>604.08684183167088</v>
      </c>
      <c r="AQ66" s="72"/>
      <c r="AR66" s="72"/>
      <c r="AS66" s="429">
        <f>$AN66</f>
        <v>9.9971930280548698</v>
      </c>
      <c r="AT66" s="429">
        <f t="shared" si="115"/>
        <v>9.9971930280548698</v>
      </c>
      <c r="AU66" s="429">
        <f t="shared" si="115"/>
        <v>9.9971930280548698</v>
      </c>
      <c r="AV66" s="429">
        <f t="shared" si="115"/>
        <v>9.9971930280548698</v>
      </c>
      <c r="AW66" s="429">
        <f t="shared" si="115"/>
        <v>9.9971930280548698</v>
      </c>
      <c r="AX66" s="57">
        <v>118.901</v>
      </c>
      <c r="AY66" s="80">
        <v>120.277</v>
      </c>
      <c r="AZ66" s="57">
        <f>AX66/AY66</f>
        <v>0.98855974126391577</v>
      </c>
      <c r="BA66" s="55">
        <f>T66/(D66*12)</f>
        <v>5.4083333333333332</v>
      </c>
      <c r="BB66" s="55">
        <f>BA66*AZ66</f>
        <v>5.346460600669011</v>
      </c>
      <c r="BC66" s="429">
        <f t="shared" si="32"/>
        <v>5.346460600669011</v>
      </c>
      <c r="BD66" s="429">
        <f t="shared" si="32"/>
        <v>5.346460600669011</v>
      </c>
      <c r="BE66" s="429">
        <f t="shared" si="32"/>
        <v>5.346460600669011</v>
      </c>
      <c r="BF66" s="429">
        <f t="shared" si="32"/>
        <v>5.346460600669011</v>
      </c>
      <c r="BG66" s="32">
        <v>10.25</v>
      </c>
      <c r="BH66" s="32">
        <v>10.25</v>
      </c>
      <c r="BI66" s="32">
        <v>10.25</v>
      </c>
      <c r="BJ66" s="431">
        <f>SUM((AS66:AW66),(BC66:BI66))</f>
        <v>102.12180754295038</v>
      </c>
      <c r="BK66" s="439">
        <f>(AP66-BJ66)</f>
        <v>501.96503428872052</v>
      </c>
      <c r="BL66" s="32">
        <v>21.4</v>
      </c>
      <c r="BM66" s="32">
        <v>5.35</v>
      </c>
      <c r="BN66" s="32">
        <v>5.35</v>
      </c>
      <c r="BO66" s="32">
        <v>5.35</v>
      </c>
      <c r="BP66" s="32">
        <v>5.35</v>
      </c>
      <c r="BQ66" s="57">
        <v>118.901</v>
      </c>
      <c r="BR66" s="80">
        <v>140.047</v>
      </c>
      <c r="BS66" s="57">
        <f>BQ66/BR66</f>
        <v>0.84900783308460726</v>
      </c>
      <c r="BT66" s="55"/>
      <c r="BU66" s="55"/>
      <c r="BV66" s="429"/>
      <c r="BW66" s="429"/>
      <c r="BX66" s="429"/>
      <c r="BY66" s="429"/>
      <c r="BZ66" s="32"/>
      <c r="CA66" s="32"/>
      <c r="CB66" s="32"/>
      <c r="CC66" s="431">
        <f>SUM((BL66:BP66),(BV66:CB66))</f>
        <v>42.800000000000004</v>
      </c>
      <c r="CD66" s="442">
        <f>(BK66-CC66)</f>
        <v>459.16503428872051</v>
      </c>
      <c r="CE66" s="58">
        <v>10</v>
      </c>
      <c r="CF66" s="130">
        <v>0.1</v>
      </c>
      <c r="CG66" s="46">
        <v>43281</v>
      </c>
      <c r="CH66" s="48">
        <v>120</v>
      </c>
      <c r="CI66" s="145">
        <f>CU66/CH66/100</f>
        <v>5.408333333333333E-2</v>
      </c>
      <c r="CJ66" s="165">
        <v>0</v>
      </c>
      <c r="CK66" s="48">
        <f>(YEAR(CG66)-YEAR(CT66))*12+MONTH(CG66)-MONTH(CT66)</f>
        <v>21</v>
      </c>
      <c r="CL66" s="165">
        <f>CM66*CI66</f>
        <v>5.3542499999999995</v>
      </c>
      <c r="CM66" s="48">
        <f>CH66-CK66</f>
        <v>99</v>
      </c>
      <c r="CN66" s="165">
        <f>CO66*CI66</f>
        <v>5.3542499999999995</v>
      </c>
      <c r="CO66" s="48">
        <f>CH66-CK66</f>
        <v>99</v>
      </c>
      <c r="CP66" s="165">
        <f>CL66-CN66</f>
        <v>0</v>
      </c>
      <c r="CQ66" s="48">
        <f>CH66-CK66</f>
        <v>99</v>
      </c>
      <c r="CR66" s="462">
        <f>DATE(YEAR(CT66),MONTH(CT66)+CH66,DAY(CT66))</f>
        <v>46291</v>
      </c>
      <c r="CS66" s="568" t="s">
        <v>1071</v>
      </c>
      <c r="CT66" s="119">
        <v>42639</v>
      </c>
      <c r="CU66" s="134">
        <v>649</v>
      </c>
      <c r="CV66" s="764">
        <v>459.16503428872051</v>
      </c>
      <c r="CW66" s="258">
        <v>126.408</v>
      </c>
      <c r="CX66" s="258">
        <v>120.277</v>
      </c>
      <c r="CY66" s="258">
        <f>CW66/CX66</f>
        <v>1.0509740016794566</v>
      </c>
      <c r="CZ66" s="56">
        <f>CV66/CM66</f>
        <v>4.6380306493810153</v>
      </c>
      <c r="DA66" s="56">
        <f>CZ66*CY66</f>
        <v>4.8744496314919346</v>
      </c>
      <c r="DB66" s="725">
        <v>4.0214209459808457</v>
      </c>
      <c r="DC66" s="725">
        <v>4.0214209459808457</v>
      </c>
      <c r="DD66" s="725">
        <v>4.0214209459808457</v>
      </c>
      <c r="DE66" s="725">
        <v>4.0214209459808457</v>
      </c>
      <c r="DF66" s="725">
        <v>4.0214209459808457</v>
      </c>
      <c r="DG66" s="725">
        <v>4.0214209459808457</v>
      </c>
      <c r="DH66" s="725">
        <v>4.0214209459808457</v>
      </c>
      <c r="DI66" s="725">
        <f>SUM(DB66:DH66)</f>
        <v>28.149946621865922</v>
      </c>
      <c r="DJ66" s="764">
        <f>CV66-DI66</f>
        <v>431.01508766685458</v>
      </c>
      <c r="DK66" s="725">
        <v>4.0214209459808457</v>
      </c>
      <c r="DL66" s="725">
        <v>4.0214209459808457</v>
      </c>
      <c r="DM66" s="725">
        <v>4.0214209459808457</v>
      </c>
      <c r="DN66" s="725">
        <v>4.0214209459808457</v>
      </c>
      <c r="DO66" s="725">
        <v>4.0214209459808457</v>
      </c>
      <c r="DP66" s="511">
        <f t="shared" si="110"/>
        <v>20.107104729904229</v>
      </c>
      <c r="DQ66" s="960">
        <f t="shared" si="111"/>
        <v>410.90798293695036</v>
      </c>
      <c r="DR66" s="656">
        <v>132.28200000000001</v>
      </c>
      <c r="DS66" s="1002">
        <v>120.277</v>
      </c>
      <c r="DT66" s="656">
        <f t="shared" si="112"/>
        <v>1.0998112689874209</v>
      </c>
      <c r="DU66" s="511">
        <f>DQ66/CO66</f>
        <v>4.150585686231822</v>
      </c>
      <c r="DV66" s="511">
        <f t="shared" si="113"/>
        <v>4.5648609106156455</v>
      </c>
      <c r="DW66" s="511">
        <v>4.5648609106156455</v>
      </c>
      <c r="DX66" s="511">
        <v>4.5648609106156455</v>
      </c>
      <c r="DY66" s="511">
        <v>4.5648609106156455</v>
      </c>
      <c r="DZ66" s="511">
        <v>4.5648609106156455</v>
      </c>
      <c r="EA66" s="511">
        <v>4.5648609106156455</v>
      </c>
      <c r="EB66" s="511">
        <v>4.5648609106156455</v>
      </c>
      <c r="EC66" s="511">
        <v>4.5648609106156455</v>
      </c>
      <c r="ED66" s="511">
        <v>4.5648609106156455</v>
      </c>
      <c r="EE66" s="511">
        <v>4.5648609106156455</v>
      </c>
      <c r="EF66" s="511">
        <v>4.5648609106156455</v>
      </c>
      <c r="EG66" s="511">
        <v>4.5648609106156455</v>
      </c>
      <c r="EH66" s="511">
        <v>4.5648609106156455</v>
      </c>
      <c r="EI66" s="511">
        <v>4.5648609106156455</v>
      </c>
      <c r="EJ66" s="511">
        <v>4.5648609106156455</v>
      </c>
      <c r="EK66" s="511">
        <v>4.5648609106156455</v>
      </c>
      <c r="EL66" s="511">
        <v>4.5648609106156455</v>
      </c>
      <c r="EM66" s="511">
        <v>4.5648609106156455</v>
      </c>
      <c r="EN66" s="511">
        <v>4.5648609106156455</v>
      </c>
      <c r="EO66" s="511">
        <f t="shared" si="31"/>
        <v>82.167496391081613</v>
      </c>
      <c r="EP66" s="756">
        <f>DQ66-EO66</f>
        <v>328.74048654586875</v>
      </c>
    </row>
    <row r="67" spans="1:146" s="16" customFormat="1" x14ac:dyDescent="0.2">
      <c r="A67" s="100" t="s">
        <v>1069</v>
      </c>
      <c r="B67" s="100" t="s">
        <v>1102</v>
      </c>
      <c r="C67" s="100" t="s">
        <v>311</v>
      </c>
      <c r="D67" s="58">
        <v>10</v>
      </c>
      <c r="E67" s="130">
        <v>0.1</v>
      </c>
      <c r="F67" s="46">
        <v>42776</v>
      </c>
      <c r="G67" s="48">
        <v>120</v>
      </c>
      <c r="H67" s="145">
        <f>100/G67</f>
        <v>0.83333333333333337</v>
      </c>
      <c r="I67" s="165">
        <v>0</v>
      </c>
      <c r="J67" s="48">
        <v>0</v>
      </c>
      <c r="K67" s="165">
        <f>L67*H67</f>
        <v>100</v>
      </c>
      <c r="L67" s="48">
        <f>G67-J67</f>
        <v>120</v>
      </c>
      <c r="M67" s="165">
        <f>N67*H67</f>
        <v>0</v>
      </c>
      <c r="N67" s="48">
        <v>0</v>
      </c>
      <c r="O67" s="165">
        <f t="shared" si="109"/>
        <v>100</v>
      </c>
      <c r="P67" s="48">
        <f t="shared" si="109"/>
        <v>120</v>
      </c>
      <c r="Q67" s="48">
        <f t="shared" si="109"/>
        <v>-100</v>
      </c>
      <c r="R67" s="568" t="s">
        <v>1101</v>
      </c>
      <c r="S67" s="119">
        <v>42776</v>
      </c>
      <c r="T67" s="134">
        <v>1276</v>
      </c>
      <c r="U67" s="47">
        <v>664.07</v>
      </c>
      <c r="V67" s="106">
        <v>60.4</v>
      </c>
      <c r="W67" s="165">
        <v>0</v>
      </c>
      <c r="X67" s="57">
        <v>115.958</v>
      </c>
      <c r="Y67" s="80">
        <v>140.047</v>
      </c>
      <c r="Z67" s="57">
        <f>X67/Y67</f>
        <v>0.82799345933865065</v>
      </c>
      <c r="AA67" s="55">
        <f>U67*M67/100/K67*100/7</f>
        <v>0</v>
      </c>
      <c r="AB67" s="55">
        <f>AA67*Z67</f>
        <v>0</v>
      </c>
      <c r="AC67" s="55"/>
      <c r="AD67" s="55"/>
      <c r="AE67" s="55"/>
      <c r="AF67" s="55"/>
      <c r="AG67" s="55"/>
      <c r="AH67" s="55">
        <f>AB67</f>
        <v>0</v>
      </c>
      <c r="AI67" s="55">
        <v>9.9971930280548698</v>
      </c>
      <c r="AJ67" s="55">
        <v>9.9971930280548698</v>
      </c>
      <c r="AK67" s="55">
        <v>9.9971930280548698</v>
      </c>
      <c r="AL67" s="55">
        <v>9.9971930280548698</v>
      </c>
      <c r="AM67" s="55">
        <v>9.9971930280548698</v>
      </c>
      <c r="AN67" s="55">
        <v>9.9971930280548698</v>
      </c>
      <c r="AO67" s="55">
        <f>SUM(AC67:AN67)</f>
        <v>59.983158168329211</v>
      </c>
      <c r="AP67" s="72">
        <f>U67-AO67</f>
        <v>604.08684183167088</v>
      </c>
      <c r="AQ67" s="72"/>
      <c r="AR67" s="72"/>
      <c r="AS67" s="429">
        <f>$AN67</f>
        <v>9.9971930280548698</v>
      </c>
      <c r="AT67" s="429">
        <f t="shared" si="115"/>
        <v>9.9971930280548698</v>
      </c>
      <c r="AU67" s="429">
        <f t="shared" si="115"/>
        <v>9.9971930280548698</v>
      </c>
      <c r="AV67" s="429">
        <f t="shared" si="115"/>
        <v>9.9971930280548698</v>
      </c>
      <c r="AW67" s="429">
        <f t="shared" si="115"/>
        <v>9.9971930280548698</v>
      </c>
      <c r="AX67" s="57">
        <v>118.901</v>
      </c>
      <c r="AY67" s="80">
        <v>125.318</v>
      </c>
      <c r="AZ67" s="57">
        <f>AX67/AY67</f>
        <v>0.9487942673837757</v>
      </c>
      <c r="BA67" s="55">
        <f>T67/(D67*12)</f>
        <v>10.633333333333333</v>
      </c>
      <c r="BB67" s="55">
        <f>BA67*AZ67</f>
        <v>10.088845709847481</v>
      </c>
      <c r="BC67" s="429">
        <f t="shared" si="32"/>
        <v>10.088845709847481</v>
      </c>
      <c r="BD67" s="429">
        <f t="shared" si="32"/>
        <v>10.088845709847481</v>
      </c>
      <c r="BE67" s="429">
        <f t="shared" si="32"/>
        <v>10.088845709847481</v>
      </c>
      <c r="BF67" s="429">
        <f t="shared" si="32"/>
        <v>10.088845709847481</v>
      </c>
      <c r="BG67" s="32">
        <v>10.25</v>
      </c>
      <c r="BH67" s="32">
        <v>10.25</v>
      </c>
      <c r="BI67" s="32">
        <v>10.25</v>
      </c>
      <c r="BJ67" s="431">
        <v>0</v>
      </c>
      <c r="BK67" s="439">
        <v>1276</v>
      </c>
      <c r="BL67" s="32"/>
      <c r="BM67" s="32"/>
      <c r="BN67" s="429">
        <v>10.09</v>
      </c>
      <c r="BO67" s="429">
        <v>10.09</v>
      </c>
      <c r="BP67" s="429">
        <v>10.09</v>
      </c>
      <c r="BQ67" s="57">
        <v>118.901</v>
      </c>
      <c r="BR67" s="80">
        <v>140.047</v>
      </c>
      <c r="BS67" s="57">
        <f>BQ67/BR67</f>
        <v>0.84900783308460726</v>
      </c>
      <c r="BT67" s="55"/>
      <c r="BU67" s="55"/>
      <c r="BV67" s="429"/>
      <c r="BW67" s="429"/>
      <c r="BX67" s="429"/>
      <c r="BY67" s="429"/>
      <c r="BZ67" s="32"/>
      <c r="CA67" s="32"/>
      <c r="CB67" s="32"/>
      <c r="CC67" s="431">
        <f>SUM((BL67:BP67),(BV67:CB67))</f>
        <v>30.27</v>
      </c>
      <c r="CD67" s="442">
        <f>(BK67-CC67)</f>
        <v>1245.73</v>
      </c>
      <c r="CE67" s="58">
        <v>10</v>
      </c>
      <c r="CF67" s="130">
        <v>0.1</v>
      </c>
      <c r="CG67" s="46">
        <v>43281</v>
      </c>
      <c r="CH67" s="48">
        <v>120</v>
      </c>
      <c r="CI67" s="145">
        <f>CU67/CH67/100</f>
        <v>0.10633333333333334</v>
      </c>
      <c r="CJ67" s="165">
        <v>0</v>
      </c>
      <c r="CK67" s="48">
        <f>(YEAR(CG67)-YEAR(CT67))*12+MONTH(CG67)-MONTH(CT67)</f>
        <v>16</v>
      </c>
      <c r="CL67" s="165">
        <f>CM67*CI67</f>
        <v>11.058666666666667</v>
      </c>
      <c r="CM67" s="48">
        <f>CH67-CK67</f>
        <v>104</v>
      </c>
      <c r="CN67" s="165">
        <f>CO67*CI67</f>
        <v>11.058666666666667</v>
      </c>
      <c r="CO67" s="48">
        <f>CH67-CK67</f>
        <v>104</v>
      </c>
      <c r="CP67" s="165">
        <f>CL67-CN67</f>
        <v>0</v>
      </c>
      <c r="CQ67" s="48">
        <f>CH67-CK67</f>
        <v>104</v>
      </c>
      <c r="CR67" s="462">
        <f>DATE(YEAR(CT67),MONTH(CT67)+CH67,DAY(CT67))</f>
        <v>46428</v>
      </c>
      <c r="CS67" s="568" t="s">
        <v>1101</v>
      </c>
      <c r="CT67" s="119">
        <v>42776</v>
      </c>
      <c r="CU67" s="134">
        <v>1276</v>
      </c>
      <c r="CV67" s="764">
        <v>1245.73</v>
      </c>
      <c r="CW67" s="258">
        <v>126.408</v>
      </c>
      <c r="CX67" s="258">
        <v>125.318</v>
      </c>
      <c r="CY67" s="258">
        <f>CW67/CX67</f>
        <v>1.008697872612075</v>
      </c>
      <c r="CZ67" s="56">
        <f>CV67/CM67</f>
        <v>11.978173076923078</v>
      </c>
      <c r="DA67" s="56">
        <f>CZ67*CY67</f>
        <v>12.08235770047154</v>
      </c>
      <c r="DB67" s="725">
        <v>10.471376673742</v>
      </c>
      <c r="DC67" s="725">
        <v>10.471376673742</v>
      </c>
      <c r="DD67" s="725">
        <v>10.471376673742</v>
      </c>
      <c r="DE67" s="725">
        <v>10.471376673742</v>
      </c>
      <c r="DF67" s="725">
        <v>10.471376673742</v>
      </c>
      <c r="DG67" s="725">
        <v>10.471376673742</v>
      </c>
      <c r="DH67" s="725">
        <v>10.471376673742</v>
      </c>
      <c r="DI67" s="725">
        <f>SUM(DB67:DH67)</f>
        <v>73.299636716194001</v>
      </c>
      <c r="DJ67" s="764">
        <f>CV67-DI67</f>
        <v>1172.4303632838059</v>
      </c>
      <c r="DK67" s="725">
        <v>10.471376673742</v>
      </c>
      <c r="DL67" s="725">
        <v>10.471376673742</v>
      </c>
      <c r="DM67" s="725">
        <v>10.471376673742</v>
      </c>
      <c r="DN67" s="725">
        <v>10.471376673742</v>
      </c>
      <c r="DO67" s="725">
        <v>10.471376673742</v>
      </c>
      <c r="DP67" s="511">
        <f t="shared" si="110"/>
        <v>52.356883368710001</v>
      </c>
      <c r="DQ67" s="960">
        <f t="shared" si="111"/>
        <v>1120.073479915096</v>
      </c>
      <c r="DR67" s="656">
        <v>132.28200000000001</v>
      </c>
      <c r="DS67" s="1002">
        <v>125.318</v>
      </c>
      <c r="DT67" s="656">
        <f t="shared" si="112"/>
        <v>1.05557062832155</v>
      </c>
      <c r="DU67" s="511">
        <f>DQ67/CO67</f>
        <v>10.769937306875923</v>
      </c>
      <c r="DV67" s="511">
        <f t="shared" si="113"/>
        <v>11.36842949000272</v>
      </c>
      <c r="DW67" s="511">
        <v>11.36842949000272</v>
      </c>
      <c r="DX67" s="511">
        <v>11.36842949000272</v>
      </c>
      <c r="DY67" s="511">
        <v>11.36842949000272</v>
      </c>
      <c r="DZ67" s="511">
        <v>11.36842949000272</v>
      </c>
      <c r="EA67" s="511">
        <v>11.36842949000272</v>
      </c>
      <c r="EB67" s="511">
        <v>11.36842949000272</v>
      </c>
      <c r="EC67" s="511">
        <v>11.36842949000272</v>
      </c>
      <c r="ED67" s="511">
        <v>11.36842949000272</v>
      </c>
      <c r="EE67" s="511">
        <v>11.36842949000272</v>
      </c>
      <c r="EF67" s="511">
        <v>11.36842949000272</v>
      </c>
      <c r="EG67" s="511">
        <v>11.36842949000272</v>
      </c>
      <c r="EH67" s="511">
        <v>11.36842949000272</v>
      </c>
      <c r="EI67" s="511">
        <v>11.36842949000272</v>
      </c>
      <c r="EJ67" s="511">
        <v>11.36842949000272</v>
      </c>
      <c r="EK67" s="511">
        <v>11.36842949000272</v>
      </c>
      <c r="EL67" s="511">
        <v>11.36842949000272</v>
      </c>
      <c r="EM67" s="511">
        <v>11.36842949000272</v>
      </c>
      <c r="EN67" s="511">
        <v>11.36842949000272</v>
      </c>
      <c r="EO67" s="511">
        <f t="shared" si="31"/>
        <v>204.63173082004894</v>
      </c>
      <c r="EP67" s="756">
        <f>DQ67-EO67</f>
        <v>915.44174909504704</v>
      </c>
    </row>
    <row r="68" spans="1:146" s="16" customFormat="1" x14ac:dyDescent="0.2">
      <c r="A68" s="120" t="s">
        <v>70</v>
      </c>
      <c r="B68" s="120" t="s">
        <v>233</v>
      </c>
      <c r="C68" s="120"/>
      <c r="D68" s="131"/>
      <c r="E68" s="111"/>
      <c r="F68" s="17"/>
      <c r="G68" s="17"/>
      <c r="H68" s="188"/>
      <c r="I68" s="17"/>
      <c r="J68" s="17"/>
      <c r="K68" s="17"/>
      <c r="L68" s="17"/>
      <c r="M68" s="17"/>
      <c r="N68" s="17"/>
      <c r="O68" s="17"/>
      <c r="P68" s="17"/>
      <c r="Q68" s="17"/>
      <c r="R68" s="566"/>
      <c r="S68" s="132"/>
      <c r="T68" s="133"/>
      <c r="U68" s="14"/>
      <c r="V68" s="106"/>
      <c r="W68" s="66"/>
      <c r="X68" s="66"/>
      <c r="Y68" s="81"/>
      <c r="Z68" s="66"/>
      <c r="AA68" s="65"/>
      <c r="AB68" s="65"/>
      <c r="AC68" s="6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72"/>
      <c r="AQ68" s="72"/>
      <c r="AR68" s="72"/>
      <c r="AS68" s="32"/>
      <c r="AT68" s="32"/>
      <c r="AU68" s="32"/>
      <c r="AV68" s="32"/>
      <c r="AW68" s="32"/>
      <c r="AX68" s="66"/>
      <c r="AY68" s="81"/>
      <c r="AZ68" s="66"/>
      <c r="BA68" s="55"/>
      <c r="BB68" s="65"/>
      <c r="BC68" s="429"/>
      <c r="BD68" s="32"/>
      <c r="BE68" s="32"/>
      <c r="BF68" s="32"/>
      <c r="BG68" s="32"/>
      <c r="BH68" s="32"/>
      <c r="BI68" s="32"/>
      <c r="BJ68" s="431"/>
      <c r="BK68" s="439"/>
      <c r="BL68" s="32"/>
      <c r="BM68" s="32"/>
      <c r="BN68" s="32"/>
      <c r="BO68" s="32"/>
      <c r="BP68" s="32"/>
      <c r="BQ68" s="66"/>
      <c r="BR68" s="81"/>
      <c r="BS68" s="66"/>
      <c r="BT68" s="55"/>
      <c r="BU68" s="65"/>
      <c r="BV68" s="429"/>
      <c r="BW68" s="32"/>
      <c r="BX68" s="32"/>
      <c r="BY68" s="32"/>
      <c r="BZ68" s="32"/>
      <c r="CA68" s="32"/>
      <c r="CB68" s="32"/>
      <c r="CC68" s="431"/>
      <c r="CD68" s="442"/>
      <c r="CE68" s="131"/>
      <c r="CF68" s="111"/>
      <c r="CG68" s="17"/>
      <c r="CH68" s="17"/>
      <c r="CI68" s="188"/>
      <c r="CJ68" s="17"/>
      <c r="CK68" s="17"/>
      <c r="CL68" s="17"/>
      <c r="CM68" s="17"/>
      <c r="CN68" s="17"/>
      <c r="CO68" s="17"/>
      <c r="CP68" s="17"/>
      <c r="CQ68" s="17"/>
      <c r="CR68" s="17"/>
      <c r="CS68" s="566"/>
      <c r="CT68" s="132"/>
      <c r="CU68" s="133"/>
      <c r="CV68" s="764"/>
      <c r="CW68" s="257"/>
      <c r="CX68" s="757"/>
      <c r="CY68" s="257"/>
      <c r="CZ68" s="56"/>
      <c r="DA68" s="758"/>
      <c r="DB68" s="725"/>
      <c r="DC68" s="725"/>
      <c r="DD68" s="725"/>
      <c r="DE68" s="725"/>
      <c r="DF68" s="725"/>
      <c r="DG68" s="725"/>
      <c r="DH68" s="725"/>
      <c r="DI68" s="725"/>
      <c r="DJ68" s="764"/>
      <c r="DK68" s="725"/>
      <c r="DL68" s="725"/>
      <c r="DM68" s="725"/>
      <c r="DN68" s="725"/>
      <c r="DO68" s="725"/>
      <c r="DP68" s="511"/>
      <c r="DQ68" s="960"/>
      <c r="DR68" s="656"/>
      <c r="DS68" s="1032"/>
      <c r="DT68" s="656"/>
      <c r="DU68" s="511"/>
      <c r="DV68" s="511"/>
      <c r="DW68" s="511"/>
      <c r="DX68" s="511"/>
      <c r="DY68" s="511"/>
      <c r="DZ68" s="511"/>
      <c r="EA68" s="511"/>
      <c r="EB68" s="511"/>
      <c r="EC68" s="511"/>
      <c r="ED68" s="511"/>
      <c r="EE68" s="511"/>
      <c r="EF68" s="511"/>
      <c r="EG68" s="511"/>
      <c r="EH68" s="511"/>
      <c r="EI68" s="511"/>
      <c r="EJ68" s="511"/>
      <c r="EK68" s="511"/>
      <c r="EL68" s="511"/>
      <c r="EM68" s="511"/>
      <c r="EN68" s="511"/>
      <c r="EO68" s="511">
        <f t="shared" si="31"/>
        <v>0</v>
      </c>
      <c r="EP68" s="756"/>
    </row>
    <row r="69" spans="1:146" s="16" customFormat="1" x14ac:dyDescent="0.2">
      <c r="A69" s="120" t="s">
        <v>258</v>
      </c>
      <c r="B69" s="124"/>
      <c r="C69" s="124"/>
      <c r="D69" s="111"/>
      <c r="E69" s="111"/>
      <c r="F69" s="17"/>
      <c r="G69" s="17"/>
      <c r="H69" s="188"/>
      <c r="I69" s="17"/>
      <c r="J69" s="17"/>
      <c r="K69" s="17"/>
      <c r="L69" s="17"/>
      <c r="M69" s="17"/>
      <c r="N69" s="17"/>
      <c r="O69" s="17"/>
      <c r="P69" s="17"/>
      <c r="Q69" s="17"/>
      <c r="R69" s="566"/>
      <c r="S69" s="119"/>
      <c r="T69" s="134"/>
      <c r="U69" s="14"/>
      <c r="V69" s="106"/>
      <c r="W69" s="66"/>
      <c r="X69" s="66"/>
      <c r="Y69" s="82"/>
      <c r="Z69" s="66"/>
      <c r="AA69" s="65"/>
      <c r="AB69" s="65"/>
      <c r="AC69" s="6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72"/>
      <c r="AQ69" s="72"/>
      <c r="AR69" s="72"/>
      <c r="AS69" s="32"/>
      <c r="AT69" s="32"/>
      <c r="AU69" s="32"/>
      <c r="AV69" s="32"/>
      <c r="AW69" s="32"/>
      <c r="AX69" s="66"/>
      <c r="AY69" s="82"/>
      <c r="AZ69" s="66"/>
      <c r="BA69" s="55"/>
      <c r="BB69" s="65"/>
      <c r="BC69" s="429"/>
      <c r="BD69" s="32"/>
      <c r="BE69" s="32"/>
      <c r="BF69" s="32"/>
      <c r="BG69" s="32"/>
      <c r="BH69" s="32"/>
      <c r="BI69" s="32"/>
      <c r="BJ69" s="431"/>
      <c r="BK69" s="439"/>
      <c r="BL69" s="32"/>
      <c r="BM69" s="32"/>
      <c r="BN69" s="32"/>
      <c r="BO69" s="32"/>
      <c r="BP69" s="32"/>
      <c r="BQ69" s="66"/>
      <c r="BR69" s="82"/>
      <c r="BS69" s="66"/>
      <c r="BT69" s="55"/>
      <c r="BU69" s="65"/>
      <c r="BV69" s="429"/>
      <c r="BW69" s="32"/>
      <c r="BX69" s="32"/>
      <c r="BY69" s="32"/>
      <c r="BZ69" s="32"/>
      <c r="CA69" s="32"/>
      <c r="CB69" s="32"/>
      <c r="CC69" s="431"/>
      <c r="CD69" s="442"/>
      <c r="CE69" s="111"/>
      <c r="CF69" s="111"/>
      <c r="CG69" s="17"/>
      <c r="CH69" s="17"/>
      <c r="CI69" s="188"/>
      <c r="CJ69" s="17"/>
      <c r="CK69" s="17"/>
      <c r="CL69" s="17"/>
      <c r="CM69" s="17"/>
      <c r="CN69" s="17"/>
      <c r="CO69" s="17"/>
      <c r="CP69" s="17"/>
      <c r="CQ69" s="17"/>
      <c r="CR69" s="17"/>
      <c r="CS69" s="566"/>
      <c r="CT69" s="119"/>
      <c r="CU69" s="134"/>
      <c r="CV69" s="764"/>
      <c r="CW69" s="257"/>
      <c r="CX69" s="129"/>
      <c r="CY69" s="257"/>
      <c r="CZ69" s="56"/>
      <c r="DA69" s="758"/>
      <c r="DB69" s="725"/>
      <c r="DC69" s="725"/>
      <c r="DD69" s="725"/>
      <c r="DE69" s="725"/>
      <c r="DF69" s="725"/>
      <c r="DG69" s="725"/>
      <c r="DH69" s="725"/>
      <c r="DI69" s="725"/>
      <c r="DJ69" s="764"/>
      <c r="DK69" s="725"/>
      <c r="DL69" s="725"/>
      <c r="DM69" s="725"/>
      <c r="DN69" s="725"/>
      <c r="DO69" s="725"/>
      <c r="DP69" s="511"/>
      <c r="DQ69" s="960"/>
      <c r="DR69" s="656"/>
      <c r="DS69" s="1033"/>
      <c r="DT69" s="656"/>
      <c r="DU69" s="511"/>
      <c r="DV69" s="511"/>
      <c r="DW69" s="511"/>
      <c r="DX69" s="511"/>
      <c r="DY69" s="511"/>
      <c r="DZ69" s="511"/>
      <c r="EA69" s="511"/>
      <c r="EB69" s="511"/>
      <c r="EC69" s="511"/>
      <c r="ED69" s="511"/>
      <c r="EE69" s="511"/>
      <c r="EF69" s="511"/>
      <c r="EG69" s="511"/>
      <c r="EH69" s="511"/>
      <c r="EI69" s="511"/>
      <c r="EJ69" s="511"/>
      <c r="EK69" s="511"/>
      <c r="EL69" s="511"/>
      <c r="EM69" s="511"/>
      <c r="EN69" s="511"/>
      <c r="EO69" s="511">
        <f t="shared" si="31"/>
        <v>0</v>
      </c>
      <c r="EP69" s="756"/>
    </row>
    <row r="70" spans="1:146" s="16" customFormat="1" x14ac:dyDescent="0.2">
      <c r="A70" s="45" t="s">
        <v>259</v>
      </c>
      <c r="B70" s="45" t="s">
        <v>233</v>
      </c>
      <c r="C70" s="45" t="s">
        <v>311</v>
      </c>
      <c r="D70" s="58">
        <v>3</v>
      </c>
      <c r="E70" s="49">
        <v>0.33329999999999999</v>
      </c>
      <c r="F70" s="46">
        <v>42185</v>
      </c>
      <c r="G70" s="48">
        <v>36</v>
      </c>
      <c r="H70" s="145">
        <f>100/G70</f>
        <v>2.7777777777777777</v>
      </c>
      <c r="I70" s="165">
        <f>H70*J70</f>
        <v>36.111111111111107</v>
      </c>
      <c r="J70" s="48">
        <f>(YEAR(F70)-YEAR(S70))*12+MONTH(F70)-MONTH(S70)</f>
        <v>13</v>
      </c>
      <c r="K70" s="165">
        <f>L70*H70</f>
        <v>63.888888888888886</v>
      </c>
      <c r="L70" s="48">
        <f>G70-J70</f>
        <v>23</v>
      </c>
      <c r="M70" s="165">
        <f>N70*H70</f>
        <v>19.444444444444443</v>
      </c>
      <c r="N70" s="48">
        <v>7</v>
      </c>
      <c r="O70" s="165">
        <f>K70-M70</f>
        <v>44.444444444444443</v>
      </c>
      <c r="P70" s="48">
        <f>L70-N70</f>
        <v>16</v>
      </c>
      <c r="Q70" s="48">
        <f>M70-O70</f>
        <v>-25</v>
      </c>
      <c r="R70" s="568" t="s">
        <v>505</v>
      </c>
      <c r="S70" s="46">
        <v>41786</v>
      </c>
      <c r="T70" s="47">
        <v>249</v>
      </c>
      <c r="U70" s="47">
        <v>159.05000000000001</v>
      </c>
      <c r="V70" s="106">
        <v>34.6</v>
      </c>
      <c r="W70" s="165">
        <v>0</v>
      </c>
      <c r="X70" s="57">
        <v>115.958</v>
      </c>
      <c r="Y70" s="80">
        <v>112.527</v>
      </c>
      <c r="Z70" s="57">
        <f>X70/Y70</f>
        <v>1.0304904600673617</v>
      </c>
      <c r="AA70" s="55">
        <f>U70*M70/100/K70*100/7</f>
        <v>6.9152173913043482</v>
      </c>
      <c r="AB70" s="55">
        <f>AA70*Z70</f>
        <v>7.1260655510310382</v>
      </c>
      <c r="AC70" s="55"/>
      <c r="AD70" s="55"/>
      <c r="AE70" s="55"/>
      <c r="AF70" s="55"/>
      <c r="AG70" s="55"/>
      <c r="AH70" s="55">
        <f>AB70</f>
        <v>7.1260655510310382</v>
      </c>
      <c r="AI70" s="55">
        <v>7.1260655510310382</v>
      </c>
      <c r="AJ70" s="55">
        <v>7.1260655510310382</v>
      </c>
      <c r="AK70" s="55">
        <v>7.1260655510310382</v>
      </c>
      <c r="AL70" s="55">
        <v>7.1260655510310382</v>
      </c>
      <c r="AM70" s="55">
        <v>7.1260655510310382</v>
      </c>
      <c r="AN70" s="55">
        <v>7.1260655510310382</v>
      </c>
      <c r="AO70" s="55">
        <f>SUM(AC70:AN70)</f>
        <v>49.882458857217273</v>
      </c>
      <c r="AP70" s="72">
        <f>U70-AO70</f>
        <v>109.16754114278274</v>
      </c>
      <c r="AQ70" s="72"/>
      <c r="AR70" s="72"/>
      <c r="AS70" s="429">
        <f>$AN70</f>
        <v>7.1260655510310382</v>
      </c>
      <c r="AT70" s="429">
        <f>$AN70</f>
        <v>7.1260655510310382</v>
      </c>
      <c r="AU70" s="429">
        <f>$AN70</f>
        <v>7.1260655510310382</v>
      </c>
      <c r="AV70" s="429">
        <f>$AN70</f>
        <v>7.1260655510310382</v>
      </c>
      <c r="AW70" s="429">
        <f>$AN70</f>
        <v>7.1260655510310382</v>
      </c>
      <c r="AX70" s="57">
        <v>118.901</v>
      </c>
      <c r="AY70" s="80">
        <v>112.527</v>
      </c>
      <c r="AZ70" s="57">
        <f>AX70/AY70</f>
        <v>1.056644183173816</v>
      </c>
      <c r="BA70" s="55">
        <f t="shared" si="27"/>
        <v>6.916666666666667</v>
      </c>
      <c r="BB70" s="55">
        <f>BA70*AZ70</f>
        <v>7.3084556002855612</v>
      </c>
      <c r="BC70" s="429">
        <f t="shared" si="32"/>
        <v>7.3084556002855612</v>
      </c>
      <c r="BD70" s="429">
        <f t="shared" si="32"/>
        <v>7.3084556002855612</v>
      </c>
      <c r="BE70" s="429">
        <f t="shared" si="32"/>
        <v>7.3084556002855612</v>
      </c>
      <c r="BF70" s="429">
        <f t="shared" si="32"/>
        <v>7.3084556002855612</v>
      </c>
      <c r="BG70" s="32">
        <v>7.31</v>
      </c>
      <c r="BH70" s="32">
        <v>7.31</v>
      </c>
      <c r="BI70" s="32">
        <v>7.31</v>
      </c>
      <c r="BJ70" s="431">
        <f>SUM((AS70:AW70),(BC70:BI70))</f>
        <v>86.794150156297448</v>
      </c>
      <c r="BK70" s="439">
        <f t="shared" si="33"/>
        <v>22.37339098648529</v>
      </c>
      <c r="BL70" s="32">
        <v>7.31</v>
      </c>
      <c r="BM70" s="32">
        <v>7.31</v>
      </c>
      <c r="BN70" s="32">
        <v>6.75</v>
      </c>
      <c r="BO70" s="429">
        <f>-BO71</f>
        <v>0</v>
      </c>
      <c r="BP70" s="429">
        <f>-BP71</f>
        <v>0</v>
      </c>
      <c r="BQ70" s="57">
        <v>118.901</v>
      </c>
      <c r="BR70" s="80">
        <v>112.527</v>
      </c>
      <c r="BS70" s="57">
        <f>BQ70/BR70</f>
        <v>1.056644183173816</v>
      </c>
      <c r="BT70" s="55"/>
      <c r="BU70" s="55"/>
      <c r="BV70" s="429"/>
      <c r="BW70" s="429"/>
      <c r="BX70" s="429"/>
      <c r="BY70" s="429"/>
      <c r="BZ70" s="32"/>
      <c r="CA70" s="32"/>
      <c r="CB70" s="32"/>
      <c r="CC70" s="431">
        <f>SUM((BL70:BP70),(BV70:CB70))</f>
        <v>21.369999999999997</v>
      </c>
      <c r="CD70" s="442">
        <f t="shared" si="28"/>
        <v>1.003390986485293</v>
      </c>
      <c r="CE70" s="58">
        <v>3</v>
      </c>
      <c r="CF70" s="49">
        <v>0.33329999999999999</v>
      </c>
      <c r="CG70" s="46">
        <v>43281</v>
      </c>
      <c r="CH70" s="48">
        <v>36</v>
      </c>
      <c r="CI70" s="145">
        <f>CU70/CH70/100</f>
        <v>6.9166666666666668E-2</v>
      </c>
      <c r="CJ70" s="165">
        <f>CI70*CK70</f>
        <v>3.3891666666666667</v>
      </c>
      <c r="CK70" s="48">
        <f>(YEAR(CG70)-YEAR(CT70))*12+MONTH(CG70)-MONTH(CT70)</f>
        <v>49</v>
      </c>
      <c r="CL70" s="165">
        <f>CM70*CI70</f>
        <v>-0.89916666666666667</v>
      </c>
      <c r="CM70" s="48">
        <f>CH70-CK70</f>
        <v>-13</v>
      </c>
      <c r="CN70" s="165">
        <f>CO70*CI70</f>
        <v>-0.89916666666666667</v>
      </c>
      <c r="CO70" s="48">
        <f>CH70-CK70</f>
        <v>-13</v>
      </c>
      <c r="CP70" s="165">
        <f>CL70-CN70</f>
        <v>0</v>
      </c>
      <c r="CQ70" s="48">
        <f>CH70-CK70</f>
        <v>-13</v>
      </c>
      <c r="CR70" s="462">
        <f>DATE(YEAR(CT70),MONTH(CT70)+CH70,DAY(CT70))</f>
        <v>42882</v>
      </c>
      <c r="CS70" s="568" t="s">
        <v>505</v>
      </c>
      <c r="CT70" s="46">
        <v>41786</v>
      </c>
      <c r="CU70" s="47">
        <v>249</v>
      </c>
      <c r="CV70" s="764">
        <v>1.003390986485293</v>
      </c>
      <c r="CW70" s="258">
        <v>126.408</v>
      </c>
      <c r="CX70" s="258">
        <v>112.527</v>
      </c>
      <c r="CY70" s="258">
        <f>CW70/CX70</f>
        <v>1.1233570609720334</v>
      </c>
      <c r="CZ70" s="56">
        <v>0</v>
      </c>
      <c r="DA70" s="56">
        <f>CZ70*CY70</f>
        <v>0</v>
      </c>
      <c r="DB70" s="725">
        <v>0</v>
      </c>
      <c r="DC70" s="725">
        <v>0</v>
      </c>
      <c r="DD70" s="725">
        <v>0</v>
      </c>
      <c r="DE70" s="725">
        <v>0</v>
      </c>
      <c r="DF70" s="725">
        <v>0</v>
      </c>
      <c r="DG70" s="725">
        <v>0</v>
      </c>
      <c r="DH70" s="725">
        <v>0</v>
      </c>
      <c r="DI70" s="725">
        <f>SUM(DB70:DH70)</f>
        <v>0</v>
      </c>
      <c r="DJ70" s="764">
        <f>CV70-DI70</f>
        <v>1.003390986485293</v>
      </c>
      <c r="DK70" s="725">
        <v>0</v>
      </c>
      <c r="DL70" s="725">
        <v>0</v>
      </c>
      <c r="DM70" s="725">
        <v>0</v>
      </c>
      <c r="DN70" s="725">
        <v>0</v>
      </c>
      <c r="DO70" s="725">
        <v>0</v>
      </c>
      <c r="DP70" s="511">
        <f t="shared" si="110"/>
        <v>0</v>
      </c>
      <c r="DQ70" s="960">
        <f t="shared" si="111"/>
        <v>1.003390986485293</v>
      </c>
      <c r="DR70" s="656">
        <v>132.28200000000001</v>
      </c>
      <c r="DS70" s="1002">
        <v>112.527</v>
      </c>
      <c r="DT70" s="656">
        <f t="shared" si="112"/>
        <v>1.1755578661121331</v>
      </c>
      <c r="DU70" s="511">
        <v>0</v>
      </c>
      <c r="DV70" s="511">
        <f t="shared" si="113"/>
        <v>0</v>
      </c>
      <c r="DW70" s="511">
        <v>0</v>
      </c>
      <c r="DX70" s="511">
        <v>0</v>
      </c>
      <c r="DY70" s="511">
        <v>0</v>
      </c>
      <c r="DZ70" s="511">
        <v>0</v>
      </c>
      <c r="EA70" s="511">
        <v>0</v>
      </c>
      <c r="EB70" s="511">
        <v>0</v>
      </c>
      <c r="EC70" s="511">
        <v>0</v>
      </c>
      <c r="ED70" s="511">
        <v>0</v>
      </c>
      <c r="EE70" s="511">
        <v>0</v>
      </c>
      <c r="EF70" s="511">
        <v>0</v>
      </c>
      <c r="EG70" s="511">
        <v>0</v>
      </c>
      <c r="EH70" s="511">
        <v>0</v>
      </c>
      <c r="EI70" s="511">
        <v>0</v>
      </c>
      <c r="EJ70" s="511">
        <v>0</v>
      </c>
      <c r="EK70" s="511">
        <v>0</v>
      </c>
      <c r="EL70" s="511">
        <v>0</v>
      </c>
      <c r="EM70" s="511">
        <v>0</v>
      </c>
      <c r="EN70" s="511">
        <v>0</v>
      </c>
      <c r="EO70" s="511">
        <f t="shared" si="31"/>
        <v>0</v>
      </c>
      <c r="EP70" s="756">
        <f>DQ70-EO70</f>
        <v>1.003390986485293</v>
      </c>
    </row>
    <row r="71" spans="1:146" s="16" customFormat="1" x14ac:dyDescent="0.2">
      <c r="A71" s="120" t="s">
        <v>59</v>
      </c>
      <c r="B71" s="120" t="s">
        <v>104</v>
      </c>
      <c r="C71" s="120"/>
      <c r="D71" s="131"/>
      <c r="E71" s="111"/>
      <c r="F71" s="17"/>
      <c r="G71" s="17"/>
      <c r="H71" s="188"/>
      <c r="I71" s="17"/>
      <c r="J71" s="17"/>
      <c r="K71" s="17"/>
      <c r="L71" s="17"/>
      <c r="M71" s="17"/>
      <c r="N71" s="17"/>
      <c r="O71" s="17"/>
      <c r="P71" s="17"/>
      <c r="Q71" s="17"/>
      <c r="R71" s="566"/>
      <c r="S71" s="132"/>
      <c r="T71" s="133"/>
      <c r="U71" s="14"/>
      <c r="V71" s="106"/>
      <c r="W71" s="66"/>
      <c r="X71" s="66"/>
      <c r="Y71" s="81"/>
      <c r="Z71" s="66"/>
      <c r="AA71" s="65"/>
      <c r="AB71" s="65"/>
      <c r="AC71" s="6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72"/>
      <c r="AQ71" s="72"/>
      <c r="AR71" s="72"/>
      <c r="AS71" s="429">
        <f t="shared" ref="AS71:AW72" si="116">$AN71</f>
        <v>0</v>
      </c>
      <c r="AT71" s="429">
        <f t="shared" si="116"/>
        <v>0</v>
      </c>
      <c r="AU71" s="429">
        <f t="shared" si="116"/>
        <v>0</v>
      </c>
      <c r="AV71" s="429">
        <f t="shared" si="116"/>
        <v>0</v>
      </c>
      <c r="AW71" s="429">
        <f t="shared" si="116"/>
        <v>0</v>
      </c>
      <c r="AX71" s="66"/>
      <c r="AY71" s="81"/>
      <c r="AZ71" s="66"/>
      <c r="BA71" s="55"/>
      <c r="BB71" s="65"/>
      <c r="BC71" s="429"/>
      <c r="BD71" s="32"/>
      <c r="BE71" s="32"/>
      <c r="BF71" s="32"/>
      <c r="BG71" s="32"/>
      <c r="BH71" s="32"/>
      <c r="BI71" s="32"/>
      <c r="BJ71" s="431"/>
      <c r="BK71" s="439"/>
      <c r="BL71" s="32"/>
      <c r="BM71" s="32"/>
      <c r="BN71" s="429"/>
      <c r="BO71" s="429"/>
      <c r="BP71" s="429"/>
      <c r="BQ71" s="66"/>
      <c r="BR71" s="81"/>
      <c r="BS71" s="66"/>
      <c r="BT71" s="55"/>
      <c r="BU71" s="65"/>
      <c r="BV71" s="429"/>
      <c r="BW71" s="32"/>
      <c r="BX71" s="32"/>
      <c r="BY71" s="32"/>
      <c r="BZ71" s="32"/>
      <c r="CA71" s="32"/>
      <c r="CB71" s="32"/>
      <c r="CC71" s="431"/>
      <c r="CD71" s="442"/>
      <c r="CE71" s="131"/>
      <c r="CF71" s="111"/>
      <c r="CG71" s="17"/>
      <c r="CH71" s="17"/>
      <c r="CI71" s="188"/>
      <c r="CJ71" s="17"/>
      <c r="CK71" s="17"/>
      <c r="CL71" s="17"/>
      <c r="CM71" s="17"/>
      <c r="CN71" s="17"/>
      <c r="CO71" s="17"/>
      <c r="CP71" s="17"/>
      <c r="CQ71" s="17"/>
      <c r="CR71" s="17"/>
      <c r="CS71" s="566"/>
      <c r="CT71" s="132"/>
      <c r="CU71" s="133"/>
      <c r="CV71" s="764"/>
      <c r="CW71" s="257"/>
      <c r="CX71" s="757"/>
      <c r="CY71" s="257"/>
      <c r="CZ71" s="56"/>
      <c r="DA71" s="758"/>
      <c r="DB71" s="725"/>
      <c r="DC71" s="725"/>
      <c r="DD71" s="725"/>
      <c r="DE71" s="725"/>
      <c r="DF71" s="725"/>
      <c r="DG71" s="725"/>
      <c r="DH71" s="725"/>
      <c r="DI71" s="725"/>
      <c r="DJ71" s="764"/>
      <c r="DK71" s="725"/>
      <c r="DL71" s="725"/>
      <c r="DM71" s="725"/>
      <c r="DN71" s="725"/>
      <c r="DO71" s="725"/>
      <c r="DP71" s="511"/>
      <c r="DQ71" s="960"/>
      <c r="DR71" s="656"/>
      <c r="DS71" s="1032"/>
      <c r="DT71" s="656"/>
      <c r="DU71" s="511"/>
      <c r="DV71" s="511"/>
      <c r="DW71" s="511"/>
      <c r="DX71" s="511"/>
      <c r="DY71" s="511"/>
      <c r="DZ71" s="511"/>
      <c r="EA71" s="511"/>
      <c r="EB71" s="511"/>
      <c r="EC71" s="511"/>
      <c r="ED71" s="511"/>
      <c r="EE71" s="511"/>
      <c r="EF71" s="511"/>
      <c r="EG71" s="511"/>
      <c r="EH71" s="511"/>
      <c r="EI71" s="511"/>
      <c r="EJ71" s="511"/>
      <c r="EK71" s="511"/>
      <c r="EL71" s="511"/>
      <c r="EM71" s="511"/>
      <c r="EN71" s="511"/>
      <c r="EO71" s="511">
        <f t="shared" si="31"/>
        <v>0</v>
      </c>
      <c r="EP71" s="756"/>
    </row>
    <row r="72" spans="1:146" s="16" customFormat="1" x14ac:dyDescent="0.2">
      <c r="A72" s="120" t="s">
        <v>60</v>
      </c>
      <c r="B72" s="124"/>
      <c r="C72" s="124"/>
      <c r="D72" s="111"/>
      <c r="E72" s="111"/>
      <c r="F72" s="17"/>
      <c r="G72" s="17"/>
      <c r="H72" s="188"/>
      <c r="I72" s="17"/>
      <c r="J72" s="17"/>
      <c r="K72" s="17"/>
      <c r="L72" s="17"/>
      <c r="M72" s="17"/>
      <c r="N72" s="17"/>
      <c r="O72" s="17"/>
      <c r="P72" s="17"/>
      <c r="Q72" s="17"/>
      <c r="R72" s="566"/>
      <c r="S72" s="132"/>
      <c r="T72" s="133"/>
      <c r="U72" s="14"/>
      <c r="V72" s="106"/>
      <c r="W72" s="66"/>
      <c r="X72" s="66"/>
      <c r="Y72" s="81"/>
      <c r="Z72" s="66"/>
      <c r="AA72" s="65"/>
      <c r="AB72" s="65"/>
      <c r="AC72" s="6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72"/>
      <c r="AQ72" s="72"/>
      <c r="AR72" s="72"/>
      <c r="AS72" s="429">
        <f t="shared" si="116"/>
        <v>0</v>
      </c>
      <c r="AT72" s="429">
        <f t="shared" si="116"/>
        <v>0</v>
      </c>
      <c r="AU72" s="429">
        <f t="shared" si="116"/>
        <v>0</v>
      </c>
      <c r="AV72" s="429">
        <f t="shared" si="116"/>
        <v>0</v>
      </c>
      <c r="AW72" s="429">
        <f t="shared" si="116"/>
        <v>0</v>
      </c>
      <c r="AX72" s="66"/>
      <c r="AY72" s="81"/>
      <c r="AZ72" s="66"/>
      <c r="BA72" s="55"/>
      <c r="BB72" s="65"/>
      <c r="BC72" s="429"/>
      <c r="BD72" s="32"/>
      <c r="BE72" s="32"/>
      <c r="BF72" s="32"/>
      <c r="BG72" s="32"/>
      <c r="BH72" s="32"/>
      <c r="BI72" s="32"/>
      <c r="BJ72" s="431"/>
      <c r="BK72" s="439"/>
      <c r="BL72" s="32"/>
      <c r="BM72" s="32"/>
      <c r="BN72" s="429"/>
      <c r="BO72" s="429"/>
      <c r="BP72" s="429"/>
      <c r="BQ72" s="66"/>
      <c r="BR72" s="81"/>
      <c r="BS72" s="66"/>
      <c r="BT72" s="55"/>
      <c r="BU72" s="65"/>
      <c r="BV72" s="429"/>
      <c r="BW72" s="32"/>
      <c r="BX72" s="32"/>
      <c r="BY72" s="32"/>
      <c r="BZ72" s="32"/>
      <c r="CA72" s="32"/>
      <c r="CB72" s="32"/>
      <c r="CC72" s="431"/>
      <c r="CD72" s="442"/>
      <c r="CE72" s="111"/>
      <c r="CF72" s="111"/>
      <c r="CG72" s="17"/>
      <c r="CH72" s="17"/>
      <c r="CI72" s="188"/>
      <c r="CJ72" s="17"/>
      <c r="CK72" s="17"/>
      <c r="CL72" s="17"/>
      <c r="CM72" s="17"/>
      <c r="CN72" s="17"/>
      <c r="CO72" s="17"/>
      <c r="CP72" s="17"/>
      <c r="CQ72" s="17"/>
      <c r="CR72" s="17"/>
      <c r="CS72" s="566"/>
      <c r="CT72" s="132"/>
      <c r="CU72" s="133"/>
      <c r="CV72" s="764"/>
      <c r="CW72" s="257"/>
      <c r="CX72" s="757"/>
      <c r="CY72" s="257"/>
      <c r="CZ72" s="56"/>
      <c r="DA72" s="758"/>
      <c r="DB72" s="725"/>
      <c r="DC72" s="725"/>
      <c r="DD72" s="725"/>
      <c r="DE72" s="725"/>
      <c r="DF72" s="725"/>
      <c r="DG72" s="725"/>
      <c r="DH72" s="725"/>
      <c r="DI72" s="725"/>
      <c r="DJ72" s="764"/>
      <c r="DK72" s="725"/>
      <c r="DL72" s="725"/>
      <c r="DM72" s="725"/>
      <c r="DN72" s="725"/>
      <c r="DO72" s="725"/>
      <c r="DP72" s="511"/>
      <c r="DQ72" s="960"/>
      <c r="DR72" s="656"/>
      <c r="DS72" s="1032"/>
      <c r="DT72" s="656"/>
      <c r="DU72" s="511"/>
      <c r="DV72" s="511"/>
      <c r="DW72" s="511"/>
      <c r="DX72" s="511"/>
      <c r="DY72" s="511"/>
      <c r="DZ72" s="511"/>
      <c r="EA72" s="511"/>
      <c r="EB72" s="511"/>
      <c r="EC72" s="511"/>
      <c r="ED72" s="511"/>
      <c r="EE72" s="511"/>
      <c r="EF72" s="511"/>
      <c r="EG72" s="511"/>
      <c r="EH72" s="511"/>
      <c r="EI72" s="511"/>
      <c r="EJ72" s="511"/>
      <c r="EK72" s="511"/>
      <c r="EL72" s="511"/>
      <c r="EM72" s="511"/>
      <c r="EN72" s="511"/>
      <c r="EO72" s="511">
        <f t="shared" si="31"/>
        <v>0</v>
      </c>
      <c r="EP72" s="756"/>
    </row>
    <row r="73" spans="1:146" s="16" customFormat="1" x14ac:dyDescent="0.2">
      <c r="A73" s="54" t="s">
        <v>61</v>
      </c>
      <c r="B73" s="54" t="s">
        <v>485</v>
      </c>
      <c r="C73" s="54" t="s">
        <v>311</v>
      </c>
      <c r="D73" s="58">
        <v>1</v>
      </c>
      <c r="E73" s="53">
        <v>1</v>
      </c>
      <c r="F73" s="46">
        <v>42185</v>
      </c>
      <c r="G73" s="48">
        <v>12</v>
      </c>
      <c r="H73" s="145">
        <f>100/G73</f>
        <v>8.3333333333333339</v>
      </c>
      <c r="I73" s="165">
        <f>H73*J73</f>
        <v>133.33333333333334</v>
      </c>
      <c r="J73" s="48">
        <f>(YEAR(F73)-YEAR(S73))*12+MONTH(F73)-MONTH(S73)</f>
        <v>16</v>
      </c>
      <c r="K73" s="165">
        <f>L73*H73</f>
        <v>-33.333333333333336</v>
      </c>
      <c r="L73" s="48">
        <f>G73-J73</f>
        <v>-4</v>
      </c>
      <c r="M73" s="165">
        <f>N73*H73</f>
        <v>58.333333333333336</v>
      </c>
      <c r="N73" s="48">
        <v>7</v>
      </c>
      <c r="O73" s="165">
        <f t="shared" ref="O73:Q74" si="117">K73-M73</f>
        <v>-91.666666666666671</v>
      </c>
      <c r="P73" s="48">
        <f t="shared" si="117"/>
        <v>-11</v>
      </c>
      <c r="Q73" s="48">
        <f t="shared" si="117"/>
        <v>150</v>
      </c>
      <c r="R73" s="568" t="s">
        <v>506</v>
      </c>
      <c r="S73" s="173">
        <v>41689</v>
      </c>
      <c r="T73" s="174">
        <v>5877.72</v>
      </c>
      <c r="U73" s="47">
        <v>832.67</v>
      </c>
      <c r="V73" s="106">
        <v>244.9</v>
      </c>
      <c r="W73" s="165">
        <v>0</v>
      </c>
      <c r="X73" s="57">
        <v>115.958</v>
      </c>
      <c r="Y73" s="84">
        <v>112.79</v>
      </c>
      <c r="Z73" s="57">
        <f>X73/Y73</f>
        <v>1.0280875964181222</v>
      </c>
      <c r="AA73" s="55">
        <f>U73/7</f>
        <v>118.95285714285714</v>
      </c>
      <c r="AB73" s="55">
        <f>AA73*Z73</f>
        <v>122.29395698706826</v>
      </c>
      <c r="AC73" s="55"/>
      <c r="AD73" s="55"/>
      <c r="AE73" s="55"/>
      <c r="AF73" s="55"/>
      <c r="AG73" s="55"/>
      <c r="AH73" s="55">
        <v>122.29</v>
      </c>
      <c r="AI73" s="55">
        <v>122.29</v>
      </c>
      <c r="AJ73" s="55">
        <v>122.29</v>
      </c>
      <c r="AK73" s="55">
        <v>122.29</v>
      </c>
      <c r="AL73" s="55">
        <v>122.29</v>
      </c>
      <c r="AM73" s="55">
        <v>122.29</v>
      </c>
      <c r="AN73" s="55">
        <v>97.93</v>
      </c>
      <c r="AO73" s="55">
        <f>SUM(AC73:AN73)</f>
        <v>831.67000000000007</v>
      </c>
      <c r="AP73" s="72">
        <f>U73-AO73</f>
        <v>0.99999999999988631</v>
      </c>
      <c r="AQ73" s="72"/>
      <c r="AR73" s="72"/>
      <c r="AS73" s="32"/>
      <c r="AT73" s="32"/>
      <c r="AU73" s="32"/>
      <c r="AV73" s="32"/>
      <c r="AW73" s="32"/>
      <c r="AX73" s="57">
        <v>118.901</v>
      </c>
      <c r="AY73" s="84">
        <v>112.79</v>
      </c>
      <c r="AZ73" s="57">
        <f>AX73/AY73</f>
        <v>1.0541803351360934</v>
      </c>
      <c r="BA73" s="55">
        <f t="shared" si="27"/>
        <v>489.81</v>
      </c>
      <c r="BB73" s="55">
        <f>BA73*AZ73</f>
        <v>516.34806995300994</v>
      </c>
      <c r="BC73" s="429"/>
      <c r="BD73" s="32"/>
      <c r="BE73" s="32"/>
      <c r="BF73" s="32"/>
      <c r="BG73" s="32"/>
      <c r="BH73" s="32"/>
      <c r="BI73" s="32"/>
      <c r="BJ73" s="431">
        <f>SUM((AS73:AW73),(BC73:BI73))</f>
        <v>0</v>
      </c>
      <c r="BK73" s="439">
        <f t="shared" si="33"/>
        <v>0.99999999999988631</v>
      </c>
      <c r="BL73" s="32"/>
      <c r="BM73" s="32"/>
      <c r="BN73" s="32"/>
      <c r="BO73" s="32"/>
      <c r="BP73" s="32"/>
      <c r="BQ73" s="57">
        <v>118.901</v>
      </c>
      <c r="BR73" s="84">
        <v>112.79</v>
      </c>
      <c r="BS73" s="57">
        <f>BQ73/BR73</f>
        <v>1.0541803351360934</v>
      </c>
      <c r="BT73" s="55"/>
      <c r="BU73" s="55"/>
      <c r="BV73" s="429"/>
      <c r="BW73" s="32"/>
      <c r="BX73" s="32"/>
      <c r="BY73" s="32"/>
      <c r="BZ73" s="32"/>
      <c r="CA73" s="32"/>
      <c r="CB73" s="32"/>
      <c r="CC73" s="431">
        <f>SUM((BL73:BP73),(BV73:CB73))</f>
        <v>0</v>
      </c>
      <c r="CD73" s="442">
        <f t="shared" si="28"/>
        <v>0.99999999999988631</v>
      </c>
      <c r="CE73" s="58">
        <v>1</v>
      </c>
      <c r="CF73" s="53">
        <v>1</v>
      </c>
      <c r="CG73" s="46">
        <v>43281</v>
      </c>
      <c r="CH73" s="48">
        <v>12</v>
      </c>
      <c r="CI73" s="145">
        <f>CU73/CH73/100</f>
        <v>4.8981000000000003</v>
      </c>
      <c r="CJ73" s="165">
        <f>CI73*CK73</f>
        <v>254.70120000000003</v>
      </c>
      <c r="CK73" s="48">
        <f>(YEAR(CG73)-YEAR(CT73))*12+MONTH(CG73)-MONTH(CT73)</f>
        <v>52</v>
      </c>
      <c r="CL73" s="165">
        <f>CM73*CI73</f>
        <v>-195.92400000000001</v>
      </c>
      <c r="CM73" s="48">
        <f>CH73-CK73</f>
        <v>-40</v>
      </c>
      <c r="CN73" s="165">
        <f>CO73*CI73</f>
        <v>-195.92400000000001</v>
      </c>
      <c r="CO73" s="48">
        <f>CH73-CK73</f>
        <v>-40</v>
      </c>
      <c r="CP73" s="165">
        <f>CL73-CN73</f>
        <v>0</v>
      </c>
      <c r="CQ73" s="48">
        <f>CH73-CK73</f>
        <v>-40</v>
      </c>
      <c r="CR73" s="462">
        <f>DATE(YEAR(CT73),MONTH(CT73)+CH73,DAY(CT73))</f>
        <v>42054</v>
      </c>
      <c r="CS73" s="568" t="s">
        <v>506</v>
      </c>
      <c r="CT73" s="173">
        <v>41689</v>
      </c>
      <c r="CU73" s="174">
        <v>5877.72</v>
      </c>
      <c r="CV73" s="764">
        <v>0.99999999999988631</v>
      </c>
      <c r="CW73" s="258">
        <v>126.408</v>
      </c>
      <c r="CX73" s="765">
        <v>112.79</v>
      </c>
      <c r="CY73" s="258">
        <f>CW73/CX73</f>
        <v>1.1207376540473446</v>
      </c>
      <c r="CZ73" s="56">
        <v>0</v>
      </c>
      <c r="DA73" s="56">
        <f>CZ73*CY73</f>
        <v>0</v>
      </c>
      <c r="DB73" s="725">
        <v>0</v>
      </c>
      <c r="DC73" s="725">
        <v>0</v>
      </c>
      <c r="DD73" s="725">
        <v>0</v>
      </c>
      <c r="DE73" s="725">
        <v>0</v>
      </c>
      <c r="DF73" s="725">
        <v>0</v>
      </c>
      <c r="DG73" s="725">
        <v>0</v>
      </c>
      <c r="DH73" s="725">
        <v>0</v>
      </c>
      <c r="DI73" s="725">
        <f>SUM(DB73:DH73)</f>
        <v>0</v>
      </c>
      <c r="DJ73" s="764">
        <f>CV73-DI73</f>
        <v>0.99999999999988631</v>
      </c>
      <c r="DK73" s="725">
        <v>0</v>
      </c>
      <c r="DL73" s="725">
        <v>0</v>
      </c>
      <c r="DM73" s="725">
        <v>0</v>
      </c>
      <c r="DN73" s="725">
        <v>0</v>
      </c>
      <c r="DO73" s="725">
        <v>0</v>
      </c>
      <c r="DP73" s="511">
        <f t="shared" si="110"/>
        <v>0</v>
      </c>
      <c r="DQ73" s="960">
        <f t="shared" si="111"/>
        <v>0.99999999999988631</v>
      </c>
      <c r="DR73" s="656">
        <v>132.28200000000001</v>
      </c>
      <c r="DS73" s="1035">
        <v>112.79</v>
      </c>
      <c r="DT73" s="656">
        <f t="shared" si="112"/>
        <v>1.1728167390726127</v>
      </c>
      <c r="DU73" s="511">
        <v>0</v>
      </c>
      <c r="DV73" s="511">
        <f t="shared" si="113"/>
        <v>0</v>
      </c>
      <c r="DW73" s="511">
        <v>0</v>
      </c>
      <c r="DX73" s="511">
        <v>0</v>
      </c>
      <c r="DY73" s="511">
        <v>0</v>
      </c>
      <c r="DZ73" s="511">
        <v>0</v>
      </c>
      <c r="EA73" s="511">
        <v>0</v>
      </c>
      <c r="EB73" s="511">
        <v>0</v>
      </c>
      <c r="EC73" s="511">
        <v>0</v>
      </c>
      <c r="ED73" s="511">
        <v>0</v>
      </c>
      <c r="EE73" s="511">
        <v>0</v>
      </c>
      <c r="EF73" s="511">
        <v>0</v>
      </c>
      <c r="EG73" s="511">
        <v>0</v>
      </c>
      <c r="EH73" s="511">
        <v>0</v>
      </c>
      <c r="EI73" s="511">
        <v>0</v>
      </c>
      <c r="EJ73" s="511">
        <v>0</v>
      </c>
      <c r="EK73" s="511">
        <v>0</v>
      </c>
      <c r="EL73" s="511">
        <v>0</v>
      </c>
      <c r="EM73" s="511">
        <v>0</v>
      </c>
      <c r="EN73" s="511">
        <v>0</v>
      </c>
      <c r="EO73" s="511">
        <f t="shared" si="31"/>
        <v>0</v>
      </c>
      <c r="EP73" s="756">
        <f>DQ73-EO73</f>
        <v>0.99999999999988631</v>
      </c>
    </row>
    <row r="74" spans="1:146" s="16" customFormat="1" x14ac:dyDescent="0.2">
      <c r="A74" s="54" t="s">
        <v>61</v>
      </c>
      <c r="B74" s="45" t="s">
        <v>486</v>
      </c>
      <c r="C74" s="45" t="s">
        <v>311</v>
      </c>
      <c r="D74" s="58">
        <v>1</v>
      </c>
      <c r="E74" s="53">
        <v>1</v>
      </c>
      <c r="F74" s="46">
        <v>42185</v>
      </c>
      <c r="G74" s="17">
        <v>12</v>
      </c>
      <c r="H74" s="145">
        <f>100/G74</f>
        <v>8.3333333333333339</v>
      </c>
      <c r="I74" s="165">
        <f>H74*J74</f>
        <v>133.33333333333334</v>
      </c>
      <c r="J74" s="48">
        <f>(YEAR(F74)-YEAR(S74))*12+MONTH(F74)-MONTH(S74)</f>
        <v>16</v>
      </c>
      <c r="K74" s="165">
        <f>L74*H74</f>
        <v>-33.333333333333336</v>
      </c>
      <c r="L74" s="48">
        <f>G74-J74</f>
        <v>-4</v>
      </c>
      <c r="M74" s="165">
        <f>N74*H74</f>
        <v>58.333333333333336</v>
      </c>
      <c r="N74" s="48">
        <v>7</v>
      </c>
      <c r="O74" s="165">
        <f t="shared" si="117"/>
        <v>-91.666666666666671</v>
      </c>
      <c r="P74" s="48">
        <f t="shared" si="117"/>
        <v>-11</v>
      </c>
      <c r="Q74" s="48">
        <f t="shared" si="117"/>
        <v>150</v>
      </c>
      <c r="R74" s="566">
        <v>119</v>
      </c>
      <c r="S74" s="46">
        <v>41689</v>
      </c>
      <c r="T74" s="47">
        <v>2644.8</v>
      </c>
      <c r="U74" s="14">
        <v>374.68</v>
      </c>
      <c r="V74" s="106">
        <v>110.2</v>
      </c>
      <c r="W74" s="66"/>
      <c r="X74" s="57">
        <v>115.958</v>
      </c>
      <c r="Y74" s="84">
        <v>112.79</v>
      </c>
      <c r="Z74" s="57">
        <f>X74/Y74</f>
        <v>1.0280875964181222</v>
      </c>
      <c r="AA74" s="55">
        <f>U74/7</f>
        <v>53.525714285714287</v>
      </c>
      <c r="AB74" s="55">
        <f>AA74*Z74</f>
        <v>55.029122946563149</v>
      </c>
      <c r="AC74" s="55"/>
      <c r="AD74" s="55"/>
      <c r="AE74" s="55"/>
      <c r="AF74" s="55"/>
      <c r="AG74" s="55"/>
      <c r="AH74" s="55">
        <v>53.53</v>
      </c>
      <c r="AI74" s="55">
        <v>53.53</v>
      </c>
      <c r="AJ74" s="55">
        <v>53.53</v>
      </c>
      <c r="AK74" s="55">
        <v>53.53</v>
      </c>
      <c r="AL74" s="55">
        <v>53.53</v>
      </c>
      <c r="AM74" s="55">
        <v>53.53</v>
      </c>
      <c r="AN74" s="55">
        <v>52.5</v>
      </c>
      <c r="AO74" s="55">
        <f>SUM(AC74:AN74)</f>
        <v>373.67999999999995</v>
      </c>
      <c r="AP74" s="72">
        <f>U74-AO74</f>
        <v>1.0000000000000568</v>
      </c>
      <c r="AQ74" s="72"/>
      <c r="AR74" s="72"/>
      <c r="AS74" s="32"/>
      <c r="AT74" s="32"/>
      <c r="AU74" s="32"/>
      <c r="AV74" s="32"/>
      <c r="AW74" s="32"/>
      <c r="AX74" s="57">
        <v>118.901</v>
      </c>
      <c r="AY74" s="84">
        <v>112.79</v>
      </c>
      <c r="AZ74" s="57">
        <f>AX74/AY74</f>
        <v>1.0541803351360934</v>
      </c>
      <c r="BA74" s="55">
        <f t="shared" si="27"/>
        <v>220.4</v>
      </c>
      <c r="BB74" s="55">
        <f>BA74*AZ74</f>
        <v>232.341345863995</v>
      </c>
      <c r="BC74" s="429"/>
      <c r="BD74" s="32"/>
      <c r="BE74" s="32"/>
      <c r="BF74" s="32"/>
      <c r="BG74" s="32"/>
      <c r="BH74" s="32"/>
      <c r="BI74" s="32"/>
      <c r="BJ74" s="431">
        <f>SUM((AS74:AW74),(BC74:BI74))</f>
        <v>0</v>
      </c>
      <c r="BK74" s="439">
        <f t="shared" si="33"/>
        <v>1.0000000000000568</v>
      </c>
      <c r="BL74" s="32"/>
      <c r="BM74" s="32"/>
      <c r="BN74" s="32"/>
      <c r="BO74" s="32"/>
      <c r="BP74" s="32"/>
      <c r="BQ74" s="57">
        <v>118.901</v>
      </c>
      <c r="BR74" s="84">
        <v>112.79</v>
      </c>
      <c r="BS74" s="57">
        <f>BQ74/BR74</f>
        <v>1.0541803351360934</v>
      </c>
      <c r="BT74" s="55"/>
      <c r="BU74" s="55"/>
      <c r="BV74" s="429"/>
      <c r="BW74" s="32"/>
      <c r="BX74" s="32"/>
      <c r="BY74" s="32"/>
      <c r="BZ74" s="32"/>
      <c r="CA74" s="32"/>
      <c r="CB74" s="32"/>
      <c r="CC74" s="431">
        <f>SUM((BL74:BP74),(BV74:CB74))</f>
        <v>0</v>
      </c>
      <c r="CD74" s="442">
        <f t="shared" si="28"/>
        <v>1.0000000000000568</v>
      </c>
      <c r="CE74" s="58">
        <v>1</v>
      </c>
      <c r="CF74" s="53">
        <v>1</v>
      </c>
      <c r="CG74" s="46">
        <v>43281</v>
      </c>
      <c r="CH74" s="17">
        <v>12</v>
      </c>
      <c r="CI74" s="145">
        <f>CU74/CH74/100</f>
        <v>2.2040000000000002</v>
      </c>
      <c r="CJ74" s="165">
        <f>CI74*CK74</f>
        <v>114.608</v>
      </c>
      <c r="CK74" s="48">
        <f>(YEAR(CG74)-YEAR(CT74))*12+MONTH(CG74)-MONTH(CT74)</f>
        <v>52</v>
      </c>
      <c r="CL74" s="165">
        <f>CM74*CI74</f>
        <v>-88.160000000000011</v>
      </c>
      <c r="CM74" s="48">
        <f>CH74-CK74</f>
        <v>-40</v>
      </c>
      <c r="CN74" s="165">
        <f>CO74*CI74</f>
        <v>-88.160000000000011</v>
      </c>
      <c r="CO74" s="48">
        <f>CH74-CK74</f>
        <v>-40</v>
      </c>
      <c r="CP74" s="165">
        <f>CL74-CN74</f>
        <v>0</v>
      </c>
      <c r="CQ74" s="48">
        <f>CH74-CK74</f>
        <v>-40</v>
      </c>
      <c r="CR74" s="462">
        <f>DATE(YEAR(CT74),MONTH(CT74)+CH74,DAY(CT74))</f>
        <v>42054</v>
      </c>
      <c r="CS74" s="566">
        <v>119</v>
      </c>
      <c r="CT74" s="46">
        <v>41689</v>
      </c>
      <c r="CU74" s="47">
        <v>2644.8</v>
      </c>
      <c r="CV74" s="764">
        <v>1.0000000000000568</v>
      </c>
      <c r="CW74" s="258">
        <v>126.408</v>
      </c>
      <c r="CX74" s="765">
        <v>112.79</v>
      </c>
      <c r="CY74" s="258">
        <f>CW74/CX74</f>
        <v>1.1207376540473446</v>
      </c>
      <c r="CZ74" s="56">
        <v>0</v>
      </c>
      <c r="DA74" s="56">
        <f>CZ74*CY74</f>
        <v>0</v>
      </c>
      <c r="DB74" s="725">
        <v>0</v>
      </c>
      <c r="DC74" s="725">
        <v>0</v>
      </c>
      <c r="DD74" s="725">
        <v>0</v>
      </c>
      <c r="DE74" s="725">
        <v>0</v>
      </c>
      <c r="DF74" s="725">
        <v>0</v>
      </c>
      <c r="DG74" s="725">
        <v>0</v>
      </c>
      <c r="DH74" s="725">
        <v>0</v>
      </c>
      <c r="DI74" s="725">
        <f>SUM(DB74:DH74)</f>
        <v>0</v>
      </c>
      <c r="DJ74" s="764">
        <f>CV74-DI74</f>
        <v>1.0000000000000568</v>
      </c>
      <c r="DK74" s="725">
        <v>0</v>
      </c>
      <c r="DL74" s="725">
        <v>0</v>
      </c>
      <c r="DM74" s="725">
        <v>0</v>
      </c>
      <c r="DN74" s="725">
        <v>0</v>
      </c>
      <c r="DO74" s="725">
        <v>0</v>
      </c>
      <c r="DP74" s="511">
        <f t="shared" si="110"/>
        <v>0</v>
      </c>
      <c r="DQ74" s="960">
        <f t="shared" si="111"/>
        <v>1.0000000000000568</v>
      </c>
      <c r="DR74" s="656">
        <v>132.28200000000001</v>
      </c>
      <c r="DS74" s="1035">
        <v>112.79</v>
      </c>
      <c r="DT74" s="656">
        <f t="shared" si="112"/>
        <v>1.1728167390726127</v>
      </c>
      <c r="DU74" s="511">
        <v>0</v>
      </c>
      <c r="DV74" s="511">
        <f t="shared" si="113"/>
        <v>0</v>
      </c>
      <c r="DW74" s="511">
        <v>0</v>
      </c>
      <c r="DX74" s="511">
        <v>0</v>
      </c>
      <c r="DY74" s="511">
        <v>0</v>
      </c>
      <c r="DZ74" s="511">
        <v>0</v>
      </c>
      <c r="EA74" s="511">
        <v>0</v>
      </c>
      <c r="EB74" s="511">
        <v>0</v>
      </c>
      <c r="EC74" s="511">
        <v>0</v>
      </c>
      <c r="ED74" s="511">
        <v>0</v>
      </c>
      <c r="EE74" s="511">
        <v>0</v>
      </c>
      <c r="EF74" s="511">
        <v>0</v>
      </c>
      <c r="EG74" s="511">
        <v>0</v>
      </c>
      <c r="EH74" s="511">
        <v>0</v>
      </c>
      <c r="EI74" s="511">
        <v>0</v>
      </c>
      <c r="EJ74" s="511">
        <v>0</v>
      </c>
      <c r="EK74" s="511">
        <v>0</v>
      </c>
      <c r="EL74" s="511">
        <v>0</v>
      </c>
      <c r="EM74" s="511">
        <v>0</v>
      </c>
      <c r="EN74" s="511">
        <v>0</v>
      </c>
      <c r="EO74" s="511">
        <f t="shared" si="31"/>
        <v>0</v>
      </c>
      <c r="EP74" s="756">
        <f>DQ74-EO74</f>
        <v>1.0000000000000568</v>
      </c>
    </row>
    <row r="75" spans="1:146" ht="15" x14ac:dyDescent="0.2">
      <c r="R75" s="175"/>
      <c r="V75" s="254"/>
      <c r="AB75" s="195"/>
      <c r="AH75" s="195">
        <f>SUM(AH15:AH74)</f>
        <v>951.83781677354443</v>
      </c>
      <c r="AI75" s="195"/>
      <c r="AJ75" s="195"/>
      <c r="AK75" s="195"/>
      <c r="AL75" s="195"/>
      <c r="AM75" s="195"/>
      <c r="AN75" s="195">
        <f>SUM(AN15:AN74)</f>
        <v>1134.6562806078625</v>
      </c>
      <c r="AO75" s="195">
        <f>SUM(AO15:AO74)</f>
        <v>7582.2158494517471</v>
      </c>
      <c r="AP75" s="195">
        <f>SUM(AP15:AP74)</f>
        <v>38636.984150548247</v>
      </c>
      <c r="AQ75" s="195"/>
      <c r="AR75" s="195"/>
      <c r="AS75" s="444">
        <f>SUM(AS14:AS74)</f>
        <v>969.7062806078626</v>
      </c>
      <c r="AT75" s="444">
        <f>SUM(AT14:AT74)</f>
        <v>825.48095059353068</v>
      </c>
      <c r="AU75" s="444">
        <f>SUM(AU14:AU74)</f>
        <v>700.27095059353076</v>
      </c>
      <c r="AV75" s="443">
        <f>SUM(AV14:AV74)</f>
        <v>700.27095059353076</v>
      </c>
      <c r="AW75" s="289">
        <f>SUM(AW15:AW74)</f>
        <v>700.27095059353076</v>
      </c>
      <c r="BB75" s="104">
        <f t="shared" ref="BB75:BI75" si="118">SUM(BB15:BB74)</f>
        <v>1846.0971167029377</v>
      </c>
      <c r="BC75" s="104">
        <f t="shared" si="118"/>
        <v>977.65155815871856</v>
      </c>
      <c r="BD75" s="104">
        <f t="shared" si="118"/>
        <v>977.65155815871856</v>
      </c>
      <c r="BE75" s="104">
        <f t="shared" si="118"/>
        <v>977.65155815871856</v>
      </c>
      <c r="BF75" s="104">
        <f t="shared" si="118"/>
        <v>982.99155815871859</v>
      </c>
      <c r="BG75" s="104">
        <f t="shared" si="118"/>
        <v>988.04999999999973</v>
      </c>
      <c r="BH75" s="104">
        <f t="shared" si="118"/>
        <v>988.04999999999973</v>
      </c>
      <c r="BI75" s="104">
        <f t="shared" si="118"/>
        <v>968.76999999999975</v>
      </c>
      <c r="BJ75" s="104">
        <f>SUM(BJ15:BJ74)</f>
        <v>10610.106517247716</v>
      </c>
      <c r="BK75" s="104">
        <f>SUM(BK15:BK74)</f>
        <v>29342.790791468877</v>
      </c>
      <c r="BL75" s="444">
        <f>SUM(BL14:BL74)</f>
        <v>792.10999999999979</v>
      </c>
      <c r="BM75" s="444">
        <f t="shared" ref="BM75:CC75" si="119">SUM(BM14:BM74)</f>
        <v>776.05999999999983</v>
      </c>
      <c r="BN75" s="444">
        <f t="shared" si="119"/>
        <v>785.58999999999992</v>
      </c>
      <c r="BO75" s="444">
        <f t="shared" si="119"/>
        <v>778.83999999999992</v>
      </c>
      <c r="BP75" s="444">
        <f t="shared" si="119"/>
        <v>778.83999999999992</v>
      </c>
      <c r="BQ75" s="444">
        <f t="shared" si="119"/>
        <v>4518.2379999999976</v>
      </c>
      <c r="BR75" s="444">
        <f t="shared" si="119"/>
        <v>4401.2910000000002</v>
      </c>
      <c r="BS75" s="444">
        <f t="shared" si="119"/>
        <v>39.34989939013041</v>
      </c>
      <c r="BT75" s="444">
        <f t="shared" si="119"/>
        <v>0</v>
      </c>
      <c r="BU75" s="444">
        <f t="shared" si="119"/>
        <v>0</v>
      </c>
      <c r="BV75" s="444">
        <f t="shared" si="119"/>
        <v>0</v>
      </c>
      <c r="BW75" s="444">
        <f t="shared" si="119"/>
        <v>0</v>
      </c>
      <c r="BX75" s="444">
        <f t="shared" si="119"/>
        <v>0</v>
      </c>
      <c r="BY75" s="444">
        <f t="shared" si="119"/>
        <v>0</v>
      </c>
      <c r="BZ75" s="444">
        <f t="shared" si="119"/>
        <v>0</v>
      </c>
      <c r="CA75" s="444">
        <f t="shared" si="119"/>
        <v>0</v>
      </c>
      <c r="CB75" s="444">
        <f t="shared" si="119"/>
        <v>0</v>
      </c>
      <c r="CC75" s="444">
        <f t="shared" si="119"/>
        <v>3911.4399999999996</v>
      </c>
      <c r="CD75" s="104">
        <f>SUM(CD15:CD74)</f>
        <v>25431.350791468863</v>
      </c>
      <c r="CS75" s="175"/>
      <c r="CV75" s="104">
        <f>SUM(CV15:CV74)</f>
        <v>25431.350791468863</v>
      </c>
      <c r="CW75" s="104"/>
      <c r="CX75" s="104"/>
      <c r="CY75" s="104"/>
      <c r="CZ75" s="104">
        <f>SUM(CZ15:CZ74)</f>
        <v>868.15253123469631</v>
      </c>
      <c r="DA75" s="104">
        <f t="shared" ref="DA75:DI75" si="120">SUM(DA15:DA74)</f>
        <v>978.01888987424286</v>
      </c>
      <c r="DB75" s="104">
        <f t="shared" si="120"/>
        <v>933.80164293380653</v>
      </c>
      <c r="DC75" s="104">
        <f>SUM(DC15:DC74)</f>
        <v>933.80164293380653</v>
      </c>
      <c r="DD75" s="104">
        <f t="shared" si="120"/>
        <v>933.80164293380653</v>
      </c>
      <c r="DE75" s="104">
        <f>SUM(DE13:DE74)</f>
        <v>933.80164293380653</v>
      </c>
      <c r="DF75" s="104">
        <f t="shared" si="120"/>
        <v>933.80164293380653</v>
      </c>
      <c r="DG75" s="522">
        <f t="shared" si="120"/>
        <v>933.80164293380653</v>
      </c>
      <c r="DH75" s="104">
        <f t="shared" si="120"/>
        <v>930.2147193749538</v>
      </c>
      <c r="DI75" s="104">
        <f t="shared" si="120"/>
        <v>6533.0245769777948</v>
      </c>
      <c r="DJ75" s="104">
        <f>SUM(DJ15:DJ74)</f>
        <v>18898.32621449108</v>
      </c>
      <c r="DK75" s="104">
        <f t="shared" ref="DK75:DQ75" si="121">SUM(DK13:DK74)</f>
        <v>927.39471937495387</v>
      </c>
      <c r="DL75" s="104">
        <f t="shared" si="121"/>
        <v>927.39471937495387</v>
      </c>
      <c r="DM75" s="522">
        <f t="shared" si="121"/>
        <v>927.39471937495387</v>
      </c>
      <c r="DN75" s="522">
        <f t="shared" si="121"/>
        <v>885.68331977598268</v>
      </c>
      <c r="DO75" s="522">
        <f t="shared" si="121"/>
        <v>881.93331977598268</v>
      </c>
      <c r="DP75" s="104">
        <f t="shared" si="121"/>
        <v>4549.8007976768276</v>
      </c>
      <c r="DQ75" s="104">
        <f t="shared" si="121"/>
        <v>14348.525416814247</v>
      </c>
      <c r="DR75" s="104"/>
      <c r="DS75" s="104"/>
      <c r="DT75" s="104"/>
      <c r="DU75" s="104">
        <f>SUM(DU13:DU74)</f>
        <v>893.15828571125655</v>
      </c>
      <c r="DV75" s="104"/>
      <c r="DW75" s="104">
        <f>SUM(DW13:DW74)</f>
        <v>987.01969838421508</v>
      </c>
      <c r="DX75" s="104">
        <f t="shared" ref="DX75:EO75" si="122">SUM(DX13:DX74)</f>
        <v>912.09819888371874</v>
      </c>
      <c r="DY75" s="104">
        <f t="shared" si="122"/>
        <v>395.06819888371888</v>
      </c>
      <c r="DZ75" s="104">
        <f t="shared" si="122"/>
        <v>395.06819888371888</v>
      </c>
      <c r="EA75" s="104">
        <f t="shared" si="122"/>
        <v>361.93323049673148</v>
      </c>
      <c r="EB75" s="104">
        <f t="shared" si="122"/>
        <v>237.34323049673142</v>
      </c>
      <c r="EC75" s="104">
        <f t="shared" si="122"/>
        <v>237.34323049673142</v>
      </c>
      <c r="ED75" s="104">
        <f t="shared" ref="ED75:EE75" si="123">SUM(ED13:ED74)</f>
        <v>223.58468998771676</v>
      </c>
      <c r="EE75" s="104">
        <f t="shared" si="123"/>
        <v>223.58468998771676</v>
      </c>
      <c r="EF75" s="104">
        <f t="shared" ref="EF75:EG75" si="124">SUM(EF13:EF74)</f>
        <v>222.92468998771673</v>
      </c>
      <c r="EG75" s="104">
        <f t="shared" si="124"/>
        <v>223.25468998771672</v>
      </c>
      <c r="EH75" s="104">
        <f t="shared" ref="EH75:EN75" si="125">SUM(EH13:EH74)</f>
        <v>223.25468998771672</v>
      </c>
      <c r="EI75" s="104">
        <f t="shared" ref="EI75:EM75" si="126">SUM(EI13:EI74)</f>
        <v>223.25468998771672</v>
      </c>
      <c r="EJ75" s="104">
        <f t="shared" si="126"/>
        <v>223.25468998771672</v>
      </c>
      <c r="EK75" s="104">
        <f t="shared" si="126"/>
        <v>223.25468998771672</v>
      </c>
      <c r="EL75" s="104">
        <f t="shared" si="126"/>
        <v>223.25468998771672</v>
      </c>
      <c r="EM75" s="104">
        <f t="shared" si="126"/>
        <v>223.25468998771672</v>
      </c>
      <c r="EN75" s="104">
        <f t="shared" si="125"/>
        <v>223.25468998771672</v>
      </c>
      <c r="EO75" s="104">
        <f t="shared" si="122"/>
        <v>5982.0055763904502</v>
      </c>
      <c r="EP75" s="13">
        <f>SUM(EP13:EP74)</f>
        <v>8366.5198404237944</v>
      </c>
    </row>
    <row r="76" spans="1:146" s="104" customFormat="1" x14ac:dyDescent="0.2">
      <c r="A76" s="579"/>
      <c r="B76" s="16"/>
      <c r="C76" s="16"/>
      <c r="D76" s="38"/>
      <c r="E76" s="38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37"/>
      <c r="S76" s="37"/>
      <c r="T76" s="35"/>
      <c r="U76" s="35"/>
      <c r="V76" s="103"/>
      <c r="W76" s="16"/>
      <c r="X76" s="16"/>
      <c r="Y76" s="388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68"/>
      <c r="AQ76" s="68"/>
      <c r="AR76" s="68"/>
      <c r="AS76" s="103"/>
      <c r="AT76" s="103"/>
      <c r="AU76" s="103"/>
      <c r="AV76" s="103"/>
      <c r="AW76" s="103"/>
      <c r="AX76" s="16"/>
      <c r="AY76" s="388"/>
      <c r="AZ76" s="16"/>
      <c r="BA76" s="16"/>
      <c r="BB76" s="16"/>
      <c r="BC76" s="103"/>
      <c r="BD76" s="103"/>
      <c r="BE76" s="103"/>
      <c r="BF76" s="103"/>
      <c r="BG76" s="103"/>
      <c r="BH76" s="103"/>
      <c r="BI76" s="103"/>
      <c r="BJ76" s="103"/>
      <c r="BK76" s="981"/>
      <c r="BL76" s="103"/>
      <c r="BM76" s="103"/>
      <c r="BN76" s="103"/>
      <c r="BO76" s="103"/>
      <c r="BP76" s="103"/>
      <c r="BQ76" s="16"/>
      <c r="BR76" s="388"/>
      <c r="BS76" s="16"/>
      <c r="BT76" s="16"/>
      <c r="BU76" s="16"/>
      <c r="BV76" s="103"/>
      <c r="BW76" s="103"/>
      <c r="BX76" s="103"/>
      <c r="BY76" s="103"/>
      <c r="BZ76" s="103"/>
      <c r="CA76" s="103"/>
      <c r="CB76" s="103"/>
      <c r="CC76" s="103"/>
      <c r="CD76" s="981"/>
      <c r="CE76" s="38"/>
      <c r="CF76" s="38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37"/>
      <c r="CT76" s="37"/>
      <c r="CU76" s="35"/>
      <c r="CV76" s="981"/>
      <c r="CW76" s="16"/>
      <c r="CX76" s="388"/>
      <c r="CY76" s="16"/>
      <c r="CZ76" s="16"/>
      <c r="DA76" s="16"/>
      <c r="DJ76" s="504">
        <f>CV75-DI75</f>
        <v>18898.32621449107</v>
      </c>
      <c r="DQ76" s="104">
        <f>DJ75-DP75</f>
        <v>14348.525416814253</v>
      </c>
      <c r="EP76" s="104">
        <f>DQ75-EO75</f>
        <v>8366.5198404237963</v>
      </c>
    </row>
    <row r="77" spans="1:146" s="104" customFormat="1" x14ac:dyDescent="0.2">
      <c r="A77" s="10"/>
      <c r="B77"/>
      <c r="C77"/>
      <c r="D77" s="18"/>
      <c r="E77" s="18"/>
      <c r="F77"/>
      <c r="G77"/>
      <c r="H77"/>
      <c r="I77"/>
      <c r="J77"/>
      <c r="K77"/>
      <c r="L77"/>
      <c r="M77"/>
      <c r="N77"/>
      <c r="O77"/>
      <c r="P77"/>
      <c r="Q77"/>
      <c r="R77" s="19"/>
      <c r="S77" s="19"/>
      <c r="T77" s="12"/>
      <c r="U77" s="12"/>
      <c r="W77"/>
      <c r="X77"/>
      <c r="Y77" s="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 s="398">
        <f>AN75-AN61-AN56-AN55-AN20</f>
        <v>862.39628060786231</v>
      </c>
      <c r="AO77"/>
      <c r="AP77" s="69"/>
      <c r="AQ77" s="69"/>
      <c r="AR77" s="69"/>
      <c r="AS77" s="103"/>
      <c r="AT77" s="103"/>
      <c r="AU77" s="103"/>
      <c r="AX77"/>
      <c r="AY77" s="77"/>
      <c r="AZ77"/>
      <c r="BA77"/>
      <c r="BB77"/>
      <c r="BK77" s="441"/>
      <c r="BL77" s="103"/>
      <c r="BM77" s="103"/>
      <c r="BN77" s="103"/>
      <c r="BQ77"/>
      <c r="BR77" s="77"/>
      <c r="BS77"/>
      <c r="BT77"/>
      <c r="BU77"/>
      <c r="CD77" s="441"/>
      <c r="CE77" s="18"/>
      <c r="CF77" s="18"/>
      <c r="CG77"/>
      <c r="CH77"/>
      <c r="CI77"/>
      <c r="CJ77"/>
      <c r="CK77"/>
      <c r="CL77"/>
      <c r="CM77"/>
      <c r="CN77"/>
      <c r="CO77"/>
      <c r="CP77"/>
      <c r="CQ77"/>
      <c r="CR77"/>
      <c r="CS77" s="19"/>
      <c r="CT77" s="19"/>
      <c r="CU77" s="12"/>
      <c r="CV77" s="441"/>
      <c r="CW77"/>
      <c r="CX77" s="77"/>
      <c r="CY77"/>
      <c r="CZ77"/>
      <c r="DA77"/>
    </row>
    <row r="78" spans="1:146" ht="30.75" hidden="1" customHeight="1" x14ac:dyDescent="0.2">
      <c r="A78" s="1271" t="s">
        <v>462</v>
      </c>
      <c r="B78" s="1271"/>
      <c r="C78" s="1271"/>
      <c r="D78" s="1271"/>
      <c r="E78" s="1271"/>
      <c r="F78" s="1271"/>
      <c r="G78" s="1271"/>
      <c r="H78" s="1271"/>
      <c r="I78" s="1271"/>
      <c r="J78" s="1271"/>
      <c r="K78" s="1271"/>
      <c r="L78" s="1271"/>
      <c r="M78" s="1271"/>
      <c r="N78" s="1271"/>
      <c r="O78" s="1271"/>
      <c r="P78" s="1271"/>
      <c r="Q78" s="1271"/>
      <c r="R78" s="1271"/>
      <c r="S78" s="1271"/>
      <c r="T78" s="1271"/>
      <c r="U78" s="1271"/>
      <c r="V78" s="1271"/>
      <c r="W78" s="1271"/>
      <c r="X78" s="1271"/>
      <c r="Y78" s="171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Y78" s="171"/>
      <c r="AZ78" s="170"/>
      <c r="BA78" s="170"/>
      <c r="BB78" s="170"/>
      <c r="BR78" s="171"/>
      <c r="BS78" s="170"/>
      <c r="BT78" s="170"/>
      <c r="BU78" s="170"/>
      <c r="CE78"/>
      <c r="CF78"/>
      <c r="CS78"/>
      <c r="CT78"/>
      <c r="CU78"/>
      <c r="CX78" s="171"/>
      <c r="CY78" s="170"/>
      <c r="CZ78" s="170"/>
      <c r="DA78" s="170"/>
    </row>
    <row r="79" spans="1:146" ht="12.75" hidden="1" customHeight="1" x14ac:dyDescent="0.2">
      <c r="A79" s="1271"/>
      <c r="B79" s="1271"/>
      <c r="C79" s="1271"/>
      <c r="D79" s="1271"/>
      <c r="E79" s="1271"/>
      <c r="F79" s="1271"/>
      <c r="G79" s="1271"/>
      <c r="H79" s="1271"/>
      <c r="I79" s="1271"/>
      <c r="J79" s="1271"/>
      <c r="K79" s="1271"/>
      <c r="L79" s="1271"/>
      <c r="M79" s="1271"/>
      <c r="N79" s="1271"/>
      <c r="O79" s="1271"/>
      <c r="P79" s="1271"/>
      <c r="Q79" s="1271"/>
      <c r="R79" s="1271"/>
      <c r="S79" s="1271"/>
      <c r="T79" s="1271"/>
      <c r="U79" s="1271"/>
      <c r="V79" s="1271"/>
      <c r="W79" s="1271"/>
      <c r="X79" s="1271"/>
      <c r="CE79"/>
      <c r="CF79"/>
      <c r="CS79"/>
      <c r="CT79"/>
      <c r="CU79"/>
    </row>
    <row r="80" spans="1:146" x14ac:dyDescent="0.2">
      <c r="X80" s="1266"/>
      <c r="Y80" s="1270"/>
      <c r="Z80" s="1270"/>
      <c r="AA80" s="1270"/>
      <c r="AB80" s="1270"/>
      <c r="AN80" s="289"/>
      <c r="AO80" s="104"/>
      <c r="AX80" s="1266"/>
      <c r="AY80" s="1270"/>
      <c r="AZ80" s="1270"/>
      <c r="BA80" s="1270"/>
      <c r="BB80" s="1270"/>
      <c r="BQ80" s="1266"/>
      <c r="BR80" s="1270"/>
      <c r="BS80" s="1270"/>
      <c r="BT80" s="1270"/>
      <c r="BU80" s="1270"/>
      <c r="CW80" s="1266"/>
      <c r="CX80" s="1266"/>
      <c r="CY80" s="1266"/>
      <c r="CZ80" s="1266"/>
      <c r="DA80" s="1266"/>
      <c r="EB80" t="s">
        <v>1271</v>
      </c>
    </row>
    <row r="81" spans="24:105" x14ac:dyDescent="0.2">
      <c r="X81" s="1270"/>
      <c r="Y81" s="1270"/>
      <c r="Z81" s="1270"/>
      <c r="AA81" s="1270"/>
      <c r="AB81" s="1270"/>
      <c r="AX81" s="1270"/>
      <c r="AY81" s="1270"/>
      <c r="AZ81" s="1270"/>
      <c r="BA81" s="1270"/>
      <c r="BB81" s="1270"/>
      <c r="BQ81" s="1270"/>
      <c r="BR81" s="1270"/>
      <c r="BS81" s="1270"/>
      <c r="BT81" s="1270"/>
      <c r="BU81" s="1270"/>
      <c r="CW81" s="1266"/>
      <c r="CX81" s="1266"/>
      <c r="CY81" s="1266"/>
      <c r="CZ81" s="1266"/>
      <c r="DA81" s="1266"/>
    </row>
    <row r="82" spans="24:105" x14ac:dyDescent="0.2">
      <c r="X82" s="1270"/>
      <c r="Y82" s="1270"/>
      <c r="Z82" s="1270"/>
      <c r="AA82" s="1270"/>
      <c r="AB82" s="1270"/>
      <c r="AX82" s="1270"/>
      <c r="AY82" s="1270"/>
      <c r="AZ82" s="1270"/>
      <c r="BA82" s="1270"/>
      <c r="BB82" s="1270"/>
      <c r="BQ82" s="1270"/>
      <c r="BR82" s="1270"/>
      <c r="BS82" s="1270"/>
      <c r="BT82" s="1270"/>
      <c r="BU82" s="1270"/>
      <c r="CW82" s="1266"/>
      <c r="CX82" s="1266"/>
      <c r="CY82" s="1266"/>
      <c r="CZ82" s="1266"/>
      <c r="DA82" s="1266"/>
    </row>
    <row r="83" spans="24:105" x14ac:dyDescent="0.2">
      <c r="X83" s="1270"/>
      <c r="Y83" s="1270"/>
      <c r="Z83" s="1270"/>
      <c r="AA83" s="1270"/>
      <c r="AB83" s="1270"/>
      <c r="AX83" s="1270"/>
      <c r="AY83" s="1270"/>
      <c r="AZ83" s="1270"/>
      <c r="BA83" s="1270"/>
      <c r="BB83" s="1270"/>
      <c r="BQ83" s="1270"/>
      <c r="BR83" s="1270"/>
      <c r="BS83" s="1270"/>
      <c r="BT83" s="1270"/>
      <c r="BU83" s="1270"/>
      <c r="CW83" s="1266"/>
      <c r="CX83" s="1266"/>
      <c r="CY83" s="1266"/>
      <c r="CZ83" s="1266"/>
      <c r="DA83" s="1266"/>
    </row>
  </sheetData>
  <mergeCells count="62">
    <mergeCell ref="BT11:BT12"/>
    <mergeCell ref="BU11:BU12"/>
    <mergeCell ref="BQ80:BU83"/>
    <mergeCell ref="A78:X79"/>
    <mergeCell ref="R11:R12"/>
    <mergeCell ref="S11:S12"/>
    <mergeCell ref="T11:T12"/>
    <mergeCell ref="U11:U12"/>
    <mergeCell ref="V11:V12"/>
    <mergeCell ref="W11:W12"/>
    <mergeCell ref="H11:H12"/>
    <mergeCell ref="Q11:Q12"/>
    <mergeCell ref="A11:A12"/>
    <mergeCell ref="B11:B12"/>
    <mergeCell ref="E11:E12"/>
    <mergeCell ref="F11:F12"/>
    <mergeCell ref="BA11:BA12"/>
    <mergeCell ref="BB11:BB12"/>
    <mergeCell ref="AX80:BB83"/>
    <mergeCell ref="X80:AB83"/>
    <mergeCell ref="AQ11:AQ12"/>
    <mergeCell ref="AR11:AR12"/>
    <mergeCell ref="D10:P10"/>
    <mergeCell ref="R10:T10"/>
    <mergeCell ref="U10:AP10"/>
    <mergeCell ref="J11:J12"/>
    <mergeCell ref="M11:M12"/>
    <mergeCell ref="O11:O12"/>
    <mergeCell ref="K11:K12"/>
    <mergeCell ref="L11:L12"/>
    <mergeCell ref="AA11:AA12"/>
    <mergeCell ref="AB11:AB12"/>
    <mergeCell ref="I11:I12"/>
    <mergeCell ref="G11:G12"/>
    <mergeCell ref="CD11:CD12"/>
    <mergeCell ref="CE10:CQ10"/>
    <mergeCell ref="CS10:CU10"/>
    <mergeCell ref="CF11:CF12"/>
    <mergeCell ref="CG11:CG12"/>
    <mergeCell ref="CH11:CH12"/>
    <mergeCell ref="CI11:CI12"/>
    <mergeCell ref="CJ11:CJ12"/>
    <mergeCell ref="CK11:CK12"/>
    <mergeCell ref="CL11:CL12"/>
    <mergeCell ref="CM11:CM12"/>
    <mergeCell ref="CN11:CN12"/>
    <mergeCell ref="CP11:CP12"/>
    <mergeCell ref="CR11:CR12"/>
    <mergeCell ref="CS11:CS12"/>
    <mergeCell ref="CT11:CT12"/>
    <mergeCell ref="CW80:DA83"/>
    <mergeCell ref="CV11:CV12"/>
    <mergeCell ref="DI11:DI12"/>
    <mergeCell ref="CU11:CU12"/>
    <mergeCell ref="CZ11:CZ12"/>
    <mergeCell ref="DA11:DA12"/>
    <mergeCell ref="EP11:EP12"/>
    <mergeCell ref="DP11:DP12"/>
    <mergeCell ref="DQ11:DQ12"/>
    <mergeCell ref="DU11:DU12"/>
    <mergeCell ref="DV11:DV12"/>
    <mergeCell ref="EO11:EO12"/>
  </mergeCells>
  <printOptions horizontalCentered="1"/>
  <pageMargins left="0.39370078740157483" right="0.19685039370078741" top="0.39370078740157483" bottom="0.39370078740157483" header="0" footer="0"/>
  <pageSetup scale="45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DL24"/>
  <sheetViews>
    <sheetView topLeftCell="B4" workbookViewId="0">
      <selection activeCell="DJ24" sqref="DJ24"/>
    </sheetView>
  </sheetViews>
  <sheetFormatPr baseColWidth="10" defaultRowHeight="12.75" x14ac:dyDescent="0.2"/>
  <cols>
    <col min="1" max="1" width="18.28515625" customWidth="1"/>
    <col min="2" max="2" width="17.85546875" customWidth="1"/>
    <col min="3" max="3" width="16.28515625" customWidth="1"/>
    <col min="4" max="4" width="5.5703125" customWidth="1"/>
    <col min="5" max="5" width="9.140625" customWidth="1"/>
    <col min="6" max="6" width="8.7109375" bestFit="1" customWidth="1"/>
    <col min="7" max="7" width="5.7109375" customWidth="1"/>
    <col min="8" max="8" width="9.7109375" hidden="1" customWidth="1"/>
    <col min="9" max="9" width="8.7109375" hidden="1" customWidth="1"/>
    <col min="10" max="10" width="8.42578125" hidden="1" customWidth="1"/>
    <col min="11" max="11" width="8.5703125" hidden="1" customWidth="1"/>
    <col min="12" max="12" width="7" customWidth="1"/>
    <col min="13" max="15" width="9.28515625" hidden="1" customWidth="1"/>
    <col min="16" max="16" width="9.85546875" hidden="1" customWidth="1"/>
    <col min="17" max="17" width="8.7109375" bestFit="1" customWidth="1"/>
    <col min="18" max="18" width="7.42578125" customWidth="1"/>
    <col min="19" max="19" width="10.42578125" customWidth="1"/>
    <col min="20" max="20" width="8.42578125" customWidth="1"/>
    <col min="21" max="21" width="9.28515625" hidden="1" customWidth="1"/>
    <col min="22" max="23" width="8.42578125" hidden="1" customWidth="1"/>
    <col min="24" max="24" width="9.140625" hidden="1" customWidth="1"/>
    <col min="25" max="25" width="9.42578125" hidden="1" customWidth="1"/>
    <col min="26" max="26" width="8.140625" hidden="1" customWidth="1"/>
    <col min="27" max="27" width="10.28515625" hidden="1" customWidth="1"/>
    <col min="28" max="28" width="10.5703125" hidden="1" customWidth="1"/>
    <col min="29" max="39" width="11.42578125" hidden="1" customWidth="1"/>
    <col min="40" max="40" width="7.42578125" hidden="1" customWidth="1"/>
    <col min="41" max="41" width="9.85546875" hidden="1" customWidth="1"/>
    <col min="42" max="42" width="11.42578125" hidden="1" customWidth="1"/>
    <col min="43" max="43" width="7.42578125" hidden="1" customWidth="1"/>
    <col min="44" max="44" width="6.140625" hidden="1" customWidth="1"/>
    <col min="45" max="45" width="8.28515625" hidden="1" customWidth="1"/>
    <col min="46" max="46" width="9.85546875" hidden="1" customWidth="1"/>
    <col min="47" max="47" width="11.42578125" hidden="1" customWidth="1"/>
    <col min="48" max="48" width="10.42578125" hidden="1" customWidth="1"/>
    <col min="49" max="49" width="10.28515625" hidden="1" customWidth="1"/>
    <col min="50" max="50" width="9.140625" hidden="1" customWidth="1"/>
    <col min="51" max="51" width="7.7109375" hidden="1" customWidth="1"/>
    <col min="52" max="52" width="8.28515625" hidden="1" customWidth="1"/>
    <col min="53" max="53" width="10.28515625" hidden="1" customWidth="1"/>
    <col min="54" max="54" width="10.5703125" hidden="1" customWidth="1"/>
    <col min="55" max="61" width="9" hidden="1" customWidth="1"/>
    <col min="62" max="62" width="7.7109375" hidden="1" customWidth="1"/>
    <col min="63" max="63" width="9.7109375" hidden="1" customWidth="1"/>
    <col min="64" max="64" width="8.28515625" hidden="1" customWidth="1"/>
    <col min="65" max="65" width="9.85546875" hidden="1" customWidth="1"/>
    <col min="66" max="66" width="11.42578125" hidden="1" customWidth="1"/>
    <col min="67" max="67" width="10.42578125" hidden="1" customWidth="1"/>
    <col min="68" max="68" width="7.42578125" hidden="1" customWidth="1"/>
    <col min="69" max="69" width="9.7109375" hidden="1" customWidth="1"/>
    <col min="70" max="70" width="9.28515625" hidden="1" customWidth="1"/>
    <col min="71" max="71" width="9.140625" hidden="1" customWidth="1"/>
    <col min="72" max="72" width="10.85546875" hidden="1" customWidth="1"/>
    <col min="73" max="73" width="14.28515625" hidden="1" customWidth="1"/>
    <col min="74" max="74" width="10.28515625" hidden="1" customWidth="1"/>
    <col min="75" max="75" width="10.5703125" hidden="1" customWidth="1"/>
    <col min="76" max="82" width="9" hidden="1" customWidth="1"/>
    <col min="83" max="83" width="7.7109375" hidden="1" customWidth="1"/>
    <col min="84" max="84" width="0" hidden="1" customWidth="1"/>
    <col min="85" max="85" width="8.28515625" hidden="1" customWidth="1"/>
    <col min="86" max="86" width="9.85546875" hidden="1" customWidth="1"/>
    <col min="87" max="87" width="11.42578125" hidden="1" customWidth="1"/>
    <col min="88" max="88" width="10.42578125" hidden="1" customWidth="1"/>
    <col min="89" max="89" width="9.85546875" hidden="1" customWidth="1"/>
    <col min="90" max="90" width="9.7109375" hidden="1" customWidth="1"/>
    <col min="91" max="91" width="10.28515625" bestFit="1" customWidth="1"/>
    <col min="92" max="92" width="9.140625" customWidth="1"/>
    <col min="93" max="93" width="10.85546875" customWidth="1"/>
    <col min="94" max="94" width="8.85546875" customWidth="1"/>
    <col min="95" max="95" width="10.28515625" customWidth="1"/>
    <col min="96" max="96" width="10.5703125" customWidth="1"/>
    <col min="97" max="102" width="9" hidden="1" customWidth="1"/>
    <col min="103" max="113" width="9.85546875" hidden="1" customWidth="1"/>
    <col min="114" max="114" width="9.85546875" customWidth="1"/>
    <col min="115" max="115" width="9.7109375" customWidth="1"/>
    <col min="116" max="116" width="10.140625" customWidth="1"/>
  </cols>
  <sheetData>
    <row r="1" spans="1:116" x14ac:dyDescent="0.2">
      <c r="A1" s="637"/>
      <c r="B1" s="638" t="s">
        <v>27</v>
      </c>
      <c r="C1" s="637"/>
      <c r="D1" s="639"/>
      <c r="E1" s="639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40"/>
      <c r="S1" s="640"/>
      <c r="T1" s="637"/>
      <c r="U1" s="637"/>
      <c r="V1" s="661"/>
      <c r="W1" s="662"/>
      <c r="X1" s="662"/>
      <c r="Y1" s="663"/>
      <c r="Z1" s="662"/>
      <c r="AA1" s="662"/>
      <c r="AB1" s="662"/>
      <c r="AC1" s="662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62"/>
      <c r="AO1" s="637"/>
      <c r="AP1" s="664"/>
      <c r="AQ1" s="637"/>
      <c r="AR1" s="637"/>
      <c r="AS1" s="637"/>
      <c r="AT1" s="637"/>
      <c r="AU1" s="637"/>
      <c r="AV1" s="637"/>
      <c r="AW1" s="637"/>
      <c r="AX1" s="662"/>
      <c r="AY1" s="663"/>
      <c r="AZ1" s="662"/>
      <c r="BA1" s="662"/>
      <c r="BB1" s="662"/>
      <c r="BC1" s="637"/>
      <c r="BD1" s="637"/>
      <c r="BE1" s="637"/>
      <c r="BF1" s="637"/>
      <c r="BG1" s="637"/>
      <c r="BH1" s="637"/>
      <c r="BI1" s="637"/>
      <c r="BJ1" s="637"/>
      <c r="BK1" s="637"/>
      <c r="BL1" s="637"/>
      <c r="BM1" s="637"/>
      <c r="BN1" s="637"/>
      <c r="BO1" s="637"/>
      <c r="BP1" s="637"/>
      <c r="BQ1" s="637"/>
      <c r="BR1" s="637"/>
      <c r="BS1" s="662"/>
      <c r="BT1" s="663"/>
      <c r="BU1" s="662"/>
      <c r="BV1" s="662"/>
      <c r="BW1" s="662"/>
      <c r="BX1" s="637"/>
      <c r="BY1" s="637"/>
      <c r="BZ1" s="637"/>
      <c r="CA1" s="637"/>
      <c r="CB1" s="637"/>
      <c r="CC1" s="637"/>
      <c r="CD1" s="637"/>
      <c r="CE1" s="637"/>
      <c r="CF1" s="637"/>
      <c r="CG1" s="637"/>
      <c r="CH1" s="637"/>
      <c r="CI1" s="637"/>
      <c r="CJ1" s="637"/>
      <c r="CK1" s="637"/>
      <c r="CL1" s="637"/>
      <c r="CM1" s="637"/>
      <c r="CN1" s="662"/>
      <c r="CO1" s="663"/>
      <c r="CP1" s="662"/>
      <c r="CQ1" s="662"/>
      <c r="CR1" s="662"/>
      <c r="CS1" s="637"/>
      <c r="CT1" s="637"/>
      <c r="CU1" s="637"/>
      <c r="CV1" s="637"/>
      <c r="CW1" s="637"/>
      <c r="CX1" s="637"/>
      <c r="CY1" s="637"/>
      <c r="CZ1" s="637"/>
      <c r="DA1" s="637"/>
      <c r="DB1" s="637"/>
      <c r="DC1" s="637"/>
      <c r="DD1" s="637"/>
      <c r="DE1" s="637"/>
      <c r="DF1" s="637"/>
      <c r="DG1" s="637"/>
      <c r="DH1" s="637"/>
      <c r="DI1" s="637"/>
      <c r="DJ1" s="637"/>
      <c r="DK1" s="637"/>
      <c r="DL1" s="637"/>
    </row>
    <row r="2" spans="1:116" x14ac:dyDescent="0.2">
      <c r="A2" s="637"/>
      <c r="B2" s="638" t="s">
        <v>1273</v>
      </c>
      <c r="C2" s="637"/>
      <c r="D2" s="639"/>
      <c r="E2" s="639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40"/>
      <c r="S2" s="640"/>
      <c r="T2" s="637"/>
      <c r="U2" s="637"/>
      <c r="V2" s="661"/>
      <c r="W2" s="662"/>
      <c r="X2" s="662"/>
      <c r="Y2" s="663"/>
      <c r="Z2" s="662"/>
      <c r="AA2" s="662"/>
      <c r="AB2" s="662"/>
      <c r="AC2" s="662"/>
      <c r="AD2" s="637"/>
      <c r="AE2" s="637"/>
      <c r="AF2" s="637"/>
      <c r="AG2" s="637"/>
      <c r="AH2" s="637"/>
      <c r="AI2" s="637"/>
      <c r="AJ2" s="637"/>
      <c r="AK2" s="637"/>
      <c r="AL2" s="637"/>
      <c r="AM2" s="637"/>
      <c r="AN2" s="637"/>
      <c r="AO2" s="637"/>
      <c r="AP2" s="664"/>
      <c r="AQ2" s="637"/>
      <c r="AR2" s="637"/>
      <c r="AS2" s="637"/>
      <c r="AT2" s="637"/>
      <c r="AU2" s="637"/>
      <c r="AV2" s="637"/>
      <c r="AW2" s="637"/>
      <c r="AX2" s="662"/>
      <c r="AY2" s="663"/>
      <c r="AZ2" s="662"/>
      <c r="BA2" s="662"/>
      <c r="BB2" s="662"/>
      <c r="BC2" s="637"/>
      <c r="BD2" s="637"/>
      <c r="BE2" s="637"/>
      <c r="BF2" s="637"/>
      <c r="BG2" s="637"/>
      <c r="BH2" s="637"/>
      <c r="BI2" s="637"/>
      <c r="BJ2" s="637"/>
      <c r="BK2" s="637"/>
      <c r="BL2" s="637"/>
      <c r="BM2" s="637"/>
      <c r="BN2" s="637"/>
      <c r="BO2" s="637"/>
      <c r="BP2" s="637"/>
      <c r="BQ2" s="637"/>
      <c r="BR2" s="637"/>
      <c r="BS2" s="662"/>
      <c r="BT2" s="663"/>
      <c r="BU2" s="662"/>
      <c r="BV2" s="662"/>
      <c r="BW2" s="662"/>
      <c r="BX2" s="637"/>
      <c r="BY2" s="637"/>
      <c r="BZ2" s="637"/>
      <c r="CA2" s="637"/>
      <c r="CB2" s="637"/>
      <c r="CC2" s="637"/>
      <c r="CD2" s="637"/>
      <c r="CE2" s="637"/>
      <c r="CF2" s="637"/>
      <c r="CG2" s="637"/>
      <c r="CH2" s="637"/>
      <c r="CI2" s="637"/>
      <c r="CJ2" s="637"/>
      <c r="CK2" s="637"/>
      <c r="CL2" s="637"/>
      <c r="CM2" s="637"/>
      <c r="CN2" s="662"/>
      <c r="CO2" s="663"/>
      <c r="CP2" s="662"/>
      <c r="CQ2" s="662"/>
      <c r="CR2" s="662"/>
      <c r="CS2" s="637"/>
      <c r="CT2" s="637"/>
      <c r="CU2" s="637"/>
      <c r="CV2" s="637"/>
      <c r="CW2" s="637"/>
      <c r="CX2" s="637"/>
      <c r="CY2" s="637"/>
      <c r="CZ2" s="637"/>
      <c r="DA2" s="637"/>
      <c r="DB2" s="637"/>
      <c r="DC2" s="637"/>
      <c r="DD2" s="637"/>
      <c r="DE2" s="637"/>
      <c r="DF2" s="637"/>
      <c r="DG2" s="637"/>
      <c r="DH2" s="637"/>
      <c r="DI2" s="637"/>
      <c r="DJ2" s="637"/>
      <c r="DK2" s="637"/>
      <c r="DL2" s="637"/>
    </row>
    <row r="3" spans="1:116" x14ac:dyDescent="0.2">
      <c r="A3" s="637"/>
      <c r="B3" s="637"/>
      <c r="C3" s="638"/>
      <c r="D3" s="641"/>
      <c r="E3" s="639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38"/>
      <c r="S3" s="638"/>
      <c r="T3" s="642"/>
      <c r="U3" s="642"/>
      <c r="V3" s="665"/>
      <c r="W3" s="662"/>
      <c r="X3" s="662"/>
      <c r="Y3" s="663"/>
      <c r="Z3" s="662"/>
      <c r="AA3" s="662"/>
      <c r="AB3" s="662"/>
      <c r="AC3" s="662"/>
      <c r="AD3" s="637"/>
      <c r="AE3" s="637"/>
      <c r="AF3" s="637"/>
      <c r="AG3" s="637"/>
      <c r="AH3" s="637"/>
      <c r="AI3" s="637"/>
      <c r="AJ3" s="637"/>
      <c r="AK3" s="637"/>
      <c r="AL3" s="637"/>
      <c r="AM3" s="637"/>
      <c r="AN3" s="637"/>
      <c r="AO3" s="637"/>
      <c r="AP3" s="664"/>
      <c r="AQ3" s="637"/>
      <c r="AR3" s="637"/>
      <c r="AS3" s="637"/>
      <c r="AT3" s="637"/>
      <c r="AU3" s="637"/>
      <c r="AV3" s="637"/>
      <c r="AW3" s="637"/>
      <c r="AX3" s="662"/>
      <c r="AY3" s="663"/>
      <c r="AZ3" s="662"/>
      <c r="BA3" s="662"/>
      <c r="BB3" s="662"/>
      <c r="BC3" s="637"/>
      <c r="BD3" s="637"/>
      <c r="BE3" s="637"/>
      <c r="BF3" s="637"/>
      <c r="BG3" s="637"/>
      <c r="BH3" s="637"/>
      <c r="BI3" s="637"/>
      <c r="BJ3" s="637"/>
      <c r="BK3" s="637"/>
      <c r="BL3" s="637"/>
      <c r="BM3" s="637"/>
      <c r="BN3" s="637"/>
      <c r="BO3" s="637"/>
      <c r="BP3" s="637"/>
      <c r="BQ3" s="637"/>
      <c r="BR3" s="637"/>
      <c r="BS3" s="662"/>
      <c r="BT3" s="663"/>
      <c r="BU3" s="662"/>
      <c r="BV3" s="662"/>
      <c r="BW3" s="662"/>
      <c r="BX3" s="637"/>
      <c r="BY3" s="637"/>
      <c r="BZ3" s="637"/>
      <c r="CA3" s="637"/>
      <c r="CB3" s="637"/>
      <c r="CC3" s="637"/>
      <c r="CD3" s="637"/>
      <c r="CE3" s="637"/>
      <c r="CF3" s="637"/>
      <c r="CG3" s="637"/>
      <c r="CH3" s="637"/>
      <c r="CI3" s="637"/>
      <c r="CJ3" s="637"/>
      <c r="CK3" s="637"/>
      <c r="CL3" s="637"/>
      <c r="CM3" s="637"/>
      <c r="CN3" s="662"/>
      <c r="CO3" s="663"/>
      <c r="CP3" s="662"/>
      <c r="CQ3" s="662"/>
      <c r="CR3" s="662"/>
      <c r="CS3" s="637"/>
      <c r="CT3" s="637"/>
      <c r="CU3" s="637"/>
      <c r="CV3" s="637"/>
      <c r="CW3" s="637"/>
      <c r="CX3" s="637"/>
      <c r="CY3" s="637"/>
      <c r="CZ3" s="637"/>
      <c r="DA3" s="637"/>
      <c r="DB3" s="637"/>
      <c r="DC3" s="637"/>
      <c r="DD3" s="637"/>
      <c r="DE3" s="637"/>
      <c r="DF3" s="637"/>
      <c r="DG3" s="637"/>
      <c r="DH3" s="637"/>
      <c r="DI3" s="637"/>
      <c r="DJ3" s="637"/>
      <c r="DK3" s="637"/>
      <c r="DL3" s="637"/>
    </row>
    <row r="4" spans="1:116" x14ac:dyDescent="0.2">
      <c r="A4" s="637"/>
      <c r="B4" s="637" t="s">
        <v>309</v>
      </c>
      <c r="C4" s="638"/>
      <c r="D4" s="641"/>
      <c r="E4" s="639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38"/>
      <c r="S4" s="638"/>
      <c r="T4" s="642"/>
      <c r="U4" s="642"/>
      <c r="V4" s="665"/>
      <c r="W4" s="662"/>
      <c r="X4" s="662"/>
      <c r="Y4" s="663"/>
      <c r="Z4" s="662"/>
      <c r="AA4" s="662"/>
      <c r="AB4" s="662"/>
      <c r="AC4" s="662"/>
      <c r="AD4" s="637"/>
      <c r="AE4" s="637"/>
      <c r="AF4" s="637"/>
      <c r="AG4" s="637"/>
      <c r="AH4" s="637"/>
      <c r="AI4" s="637"/>
      <c r="AJ4" s="637"/>
      <c r="AK4" s="637"/>
      <c r="AL4" s="637"/>
      <c r="AM4" s="637"/>
      <c r="AN4" s="637"/>
      <c r="AO4" s="637"/>
      <c r="AP4" s="664"/>
      <c r="AQ4" s="637"/>
      <c r="AR4" s="637"/>
      <c r="AS4" s="637"/>
      <c r="AT4" s="637"/>
      <c r="AU4" s="637"/>
      <c r="AV4" s="637"/>
      <c r="AW4" s="637"/>
      <c r="AX4" s="662"/>
      <c r="AY4" s="663"/>
      <c r="AZ4" s="662"/>
      <c r="BA4" s="662"/>
      <c r="BB4" s="662"/>
      <c r="BC4" s="637"/>
      <c r="BD4" s="637"/>
      <c r="BE4" s="637"/>
      <c r="BF4" s="637"/>
      <c r="BG4" s="637"/>
      <c r="BH4" s="637"/>
      <c r="BI4" s="637"/>
      <c r="BJ4" s="637"/>
      <c r="BK4" s="637"/>
      <c r="BL4" s="637"/>
      <c r="BM4" s="637"/>
      <c r="BN4" s="637"/>
      <c r="BO4" s="637"/>
      <c r="BP4" s="637"/>
      <c r="BQ4" s="637"/>
      <c r="BR4" s="637"/>
      <c r="BS4" s="662"/>
      <c r="BT4" s="663"/>
      <c r="BU4" s="662"/>
      <c r="BV4" s="662"/>
      <c r="BW4" s="662"/>
      <c r="BX4" s="637"/>
      <c r="BY4" s="637"/>
      <c r="BZ4" s="637"/>
      <c r="CA4" s="637"/>
      <c r="CB4" s="637"/>
      <c r="CC4" s="637"/>
      <c r="CD4" s="637"/>
      <c r="CE4" s="637"/>
      <c r="CF4" s="637"/>
      <c r="CG4" s="637"/>
      <c r="CH4" s="637"/>
      <c r="CI4" s="637"/>
      <c r="CJ4" s="637"/>
      <c r="CK4" s="637"/>
      <c r="CL4" s="637"/>
      <c r="CM4" s="637"/>
      <c r="CN4" s="662"/>
      <c r="CO4" s="663"/>
      <c r="CP4" s="662"/>
      <c r="CQ4" s="662"/>
      <c r="CR4" s="662"/>
      <c r="CS4" s="637"/>
      <c r="CT4" s="637"/>
      <c r="CU4" s="637"/>
      <c r="CV4" s="637"/>
      <c r="CW4" s="637"/>
      <c r="CX4" s="637"/>
      <c r="CY4" s="637"/>
      <c r="CZ4" s="637"/>
      <c r="DA4" s="637"/>
      <c r="DB4" s="637"/>
      <c r="DC4" s="637"/>
      <c r="DD4" s="637"/>
      <c r="DE4" s="637"/>
      <c r="DF4" s="637"/>
      <c r="DG4" s="637"/>
      <c r="DH4" s="637"/>
      <c r="DI4" s="637"/>
      <c r="DJ4" s="637"/>
      <c r="DK4" s="637"/>
      <c r="DL4" s="637"/>
    </row>
    <row r="5" spans="1:116" x14ac:dyDescent="0.2">
      <c r="A5" s="637"/>
      <c r="B5" s="642" t="s">
        <v>722</v>
      </c>
      <c r="C5" s="637"/>
      <c r="D5" s="639"/>
      <c r="E5" s="639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40"/>
      <c r="S5" s="640"/>
      <c r="T5" s="637"/>
      <c r="U5" s="637"/>
      <c r="V5" s="661"/>
      <c r="W5" s="662"/>
      <c r="X5" s="662"/>
      <c r="Y5" s="663"/>
      <c r="Z5" s="662"/>
      <c r="AA5" s="662"/>
      <c r="AB5" s="662"/>
      <c r="AC5" s="662"/>
      <c r="AD5" s="637"/>
      <c r="AE5" s="637"/>
      <c r="AF5" s="637"/>
      <c r="AG5" s="637"/>
      <c r="AH5" s="637"/>
      <c r="AI5" s="637"/>
      <c r="AJ5" s="637"/>
      <c r="AK5" s="637"/>
      <c r="AL5" s="637"/>
      <c r="AM5" s="637"/>
      <c r="AN5" s="637"/>
      <c r="AO5" s="637"/>
      <c r="AP5" s="664"/>
      <c r="AQ5" s="637"/>
      <c r="AR5" s="637"/>
      <c r="AS5" s="637"/>
      <c r="AT5" s="637"/>
      <c r="AU5" s="637"/>
      <c r="AV5" s="637"/>
      <c r="AW5" s="637"/>
      <c r="AX5" s="662"/>
      <c r="AY5" s="663"/>
      <c r="AZ5" s="662"/>
      <c r="BA5" s="662"/>
      <c r="BB5" s="662"/>
      <c r="BC5" s="637"/>
      <c r="BD5" s="637"/>
      <c r="BE5" s="637"/>
      <c r="BF5" s="637"/>
      <c r="BG5" s="637"/>
      <c r="BH5" s="637"/>
      <c r="BI5" s="637"/>
      <c r="BJ5" s="637"/>
      <c r="BK5" s="637"/>
      <c r="BL5" s="637"/>
      <c r="BM5" s="637"/>
      <c r="BN5" s="637"/>
      <c r="BO5" s="637"/>
      <c r="BP5" s="637"/>
      <c r="BQ5" s="637"/>
      <c r="BR5" s="637"/>
      <c r="BS5" s="662"/>
      <c r="BT5" s="663"/>
      <c r="BU5" s="662"/>
      <c r="BV5" s="662"/>
      <c r="BW5" s="662"/>
      <c r="BX5" s="637"/>
      <c r="BY5" s="637"/>
      <c r="BZ5" s="637"/>
      <c r="CA5" s="637"/>
      <c r="CB5" s="637"/>
      <c r="CC5" s="637"/>
      <c r="CD5" s="637"/>
      <c r="CE5" s="637"/>
      <c r="CF5" s="637"/>
      <c r="CG5" s="637"/>
      <c r="CH5" s="637"/>
      <c r="CI5" s="637"/>
      <c r="CJ5" s="637"/>
      <c r="CK5" s="637"/>
      <c r="CL5" s="637"/>
      <c r="CM5" s="637"/>
      <c r="CN5" s="662"/>
      <c r="CO5" s="663"/>
      <c r="CP5" s="662"/>
      <c r="CQ5" s="662"/>
      <c r="CR5" s="662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</row>
    <row r="6" spans="1:116" x14ac:dyDescent="0.2">
      <c r="A6" s="637"/>
      <c r="B6" s="637" t="s">
        <v>1272</v>
      </c>
      <c r="C6" s="637"/>
      <c r="D6" s="639"/>
      <c r="E6" s="639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40"/>
      <c r="S6" s="640"/>
      <c r="T6" s="637"/>
      <c r="U6" s="637"/>
      <c r="V6" s="661"/>
      <c r="W6" s="662"/>
      <c r="X6" s="662"/>
      <c r="Y6" s="663"/>
      <c r="Z6" s="662"/>
      <c r="AA6" s="662"/>
      <c r="AB6" s="662"/>
      <c r="AC6" s="662"/>
      <c r="AD6" s="637"/>
      <c r="AE6" s="637"/>
      <c r="AF6" s="637"/>
      <c r="AG6" s="637"/>
      <c r="AH6" s="637"/>
      <c r="AI6" s="637"/>
      <c r="AJ6" s="637"/>
      <c r="AK6" s="637"/>
      <c r="AL6" s="637"/>
      <c r="AM6" s="637"/>
      <c r="AN6" s="637"/>
      <c r="AO6" s="637"/>
      <c r="AP6" s="664"/>
      <c r="AQ6" s="637"/>
      <c r="AR6" s="637"/>
      <c r="AS6" s="637"/>
      <c r="AT6" s="637"/>
      <c r="AU6" s="637"/>
      <c r="AV6" s="637"/>
      <c r="AW6" s="637"/>
      <c r="AX6" s="662"/>
      <c r="AY6" s="663"/>
      <c r="AZ6" s="662"/>
      <c r="BA6" s="662"/>
      <c r="BB6" s="662"/>
      <c r="BC6" s="637"/>
      <c r="BD6" s="637"/>
      <c r="BE6" s="637"/>
      <c r="BF6" s="637"/>
      <c r="BG6" s="637"/>
      <c r="BH6" s="637"/>
      <c r="BI6" s="637"/>
      <c r="BJ6" s="637"/>
      <c r="BK6" s="637"/>
      <c r="BL6" s="637"/>
      <c r="BM6" s="637"/>
      <c r="BN6" s="637"/>
      <c r="BO6" s="637"/>
      <c r="BP6" s="637"/>
      <c r="BQ6" s="637"/>
      <c r="BR6" s="637"/>
      <c r="BS6" s="662"/>
      <c r="BT6" s="663"/>
      <c r="BU6" s="662"/>
      <c r="BV6" s="662"/>
      <c r="BW6" s="662"/>
      <c r="BX6" s="637"/>
      <c r="BY6" s="637"/>
      <c r="BZ6" s="637"/>
      <c r="CA6" s="637"/>
      <c r="CB6" s="637"/>
      <c r="CC6" s="637"/>
      <c r="CD6" s="637"/>
      <c r="CE6" s="637"/>
      <c r="CF6" s="637"/>
      <c r="CG6" s="637"/>
      <c r="CH6" s="637"/>
      <c r="CI6" s="637"/>
      <c r="CJ6" s="637"/>
      <c r="CK6" s="637"/>
      <c r="CL6" s="637"/>
      <c r="CM6" s="637"/>
      <c r="CN6" s="662"/>
      <c r="CO6" s="663"/>
      <c r="CP6" s="662"/>
      <c r="CQ6" s="662"/>
      <c r="CR6" s="662"/>
      <c r="CS6" s="637"/>
      <c r="CT6" s="637"/>
      <c r="CU6" s="637"/>
      <c r="CV6" s="637"/>
      <c r="CW6" s="637"/>
      <c r="CX6" s="637"/>
      <c r="CY6" s="637"/>
      <c r="CZ6" s="637"/>
      <c r="DA6" s="637"/>
      <c r="DB6" s="637"/>
      <c r="DC6" s="637"/>
      <c r="DD6" s="637"/>
      <c r="DE6" s="637"/>
      <c r="DF6" s="637"/>
      <c r="DG6" s="637"/>
      <c r="DH6" s="637"/>
      <c r="DI6" s="637"/>
      <c r="DJ6" s="637"/>
      <c r="DK6" s="637"/>
      <c r="DL6" s="637"/>
    </row>
    <row r="7" spans="1:116" x14ac:dyDescent="0.2">
      <c r="A7" s="637"/>
      <c r="B7" s="637"/>
      <c r="C7" s="637"/>
      <c r="D7" s="639"/>
      <c r="E7" s="639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40"/>
      <c r="S7" s="640"/>
      <c r="T7" s="637"/>
      <c r="U7" s="637"/>
      <c r="V7" s="661"/>
      <c r="W7" s="662"/>
      <c r="X7" s="662"/>
      <c r="Y7" s="663"/>
      <c r="Z7" s="662"/>
      <c r="AA7" s="662"/>
      <c r="AB7" s="662"/>
      <c r="AC7" s="662"/>
      <c r="AD7" s="637"/>
      <c r="AE7" s="637"/>
      <c r="AF7" s="637"/>
      <c r="AG7" s="637"/>
      <c r="AH7" s="637"/>
      <c r="AI7" s="637"/>
      <c r="AJ7" s="637"/>
      <c r="AK7" s="637"/>
      <c r="AL7" s="637"/>
      <c r="AM7" s="637"/>
      <c r="AN7" s="637"/>
      <c r="AO7" s="637"/>
      <c r="AP7" s="664"/>
      <c r="AQ7" s="637"/>
      <c r="AR7" s="637"/>
      <c r="AS7" s="637"/>
      <c r="AT7" s="637"/>
      <c r="AU7" s="637"/>
      <c r="AV7" s="637"/>
      <c r="AW7" s="637"/>
      <c r="AX7" s="662"/>
      <c r="AY7" s="663"/>
      <c r="AZ7" s="662"/>
      <c r="BA7" s="662"/>
      <c r="BB7" s="662"/>
      <c r="BC7" s="637"/>
      <c r="BD7" s="637"/>
      <c r="BE7" s="637"/>
      <c r="BF7" s="637"/>
      <c r="BG7" s="637"/>
      <c r="BH7" s="637"/>
      <c r="BI7" s="637"/>
      <c r="BJ7" s="637"/>
      <c r="BK7" s="637"/>
      <c r="BL7" s="637"/>
      <c r="BM7" s="637"/>
      <c r="BN7" s="637"/>
      <c r="BO7" s="637"/>
      <c r="BP7" s="637"/>
      <c r="BQ7" s="637"/>
      <c r="BR7" s="637"/>
      <c r="BS7" s="662"/>
      <c r="BT7" s="663"/>
      <c r="BU7" s="662"/>
      <c r="BV7" s="662"/>
      <c r="BW7" s="662"/>
      <c r="BX7" s="637"/>
      <c r="BY7" s="637"/>
      <c r="BZ7" s="637"/>
      <c r="CA7" s="637"/>
      <c r="CB7" s="637"/>
      <c r="CC7" s="637"/>
      <c r="CD7" s="637"/>
      <c r="CE7" s="637"/>
      <c r="CF7" s="637"/>
      <c r="CG7" s="637"/>
      <c r="CH7" s="637"/>
      <c r="CI7" s="637"/>
      <c r="CJ7" s="637"/>
      <c r="CK7" s="637"/>
      <c r="CL7" s="637"/>
      <c r="CM7" s="637"/>
      <c r="CN7" s="662"/>
      <c r="CO7" s="663"/>
      <c r="CP7" s="662"/>
      <c r="CQ7" s="662"/>
      <c r="CR7" s="662"/>
      <c r="CS7" s="637"/>
      <c r="CT7" s="637"/>
      <c r="CU7" s="637"/>
      <c r="CV7" s="637"/>
      <c r="CW7" s="637"/>
      <c r="CX7" s="637"/>
      <c r="CY7" s="637"/>
      <c r="CZ7" s="637"/>
      <c r="DA7" s="637"/>
      <c r="DB7" s="637"/>
      <c r="DC7" s="637"/>
      <c r="DD7" s="637"/>
      <c r="DE7" s="637"/>
      <c r="DF7" s="637"/>
      <c r="DG7" s="637"/>
      <c r="DH7" s="637"/>
      <c r="DI7" s="637"/>
      <c r="DJ7" s="637"/>
      <c r="DK7" s="637"/>
      <c r="DL7" s="637"/>
    </row>
    <row r="8" spans="1:116" x14ac:dyDescent="0.2">
      <c r="A8" s="16"/>
      <c r="B8" s="16"/>
      <c r="C8" s="16"/>
      <c r="D8" s="38"/>
      <c r="E8" s="38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37"/>
      <c r="S8" s="37"/>
      <c r="T8" s="35"/>
      <c r="U8" s="35"/>
      <c r="V8" s="103"/>
      <c r="W8" s="39"/>
      <c r="X8" s="39"/>
      <c r="Y8" s="76"/>
      <c r="Z8" s="39"/>
      <c r="AA8" s="39"/>
      <c r="AB8" s="39"/>
      <c r="AC8" s="39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68"/>
      <c r="AX8" s="39"/>
      <c r="AY8" s="76"/>
      <c r="AZ8" s="39"/>
      <c r="BA8" s="39"/>
      <c r="BB8" s="39"/>
      <c r="BS8" s="39"/>
      <c r="BT8" s="76"/>
      <c r="BU8" s="39"/>
      <c r="BV8" s="39"/>
      <c r="BW8" s="39"/>
      <c r="CN8" s="39"/>
      <c r="CO8" s="76"/>
      <c r="CP8" s="39"/>
      <c r="CQ8" s="39"/>
      <c r="CR8" s="39"/>
    </row>
    <row r="9" spans="1:116" x14ac:dyDescent="0.2">
      <c r="A9" s="16"/>
      <c r="B9" s="16"/>
      <c r="C9" s="16"/>
      <c r="D9" s="38"/>
      <c r="E9" s="38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37"/>
      <c r="S9" s="37"/>
      <c r="T9" s="35"/>
      <c r="U9" s="35"/>
      <c r="V9" s="103"/>
      <c r="W9" s="39"/>
      <c r="X9" s="39"/>
      <c r="Y9" s="76"/>
      <c r="Z9" s="39"/>
      <c r="AA9" s="39"/>
      <c r="AB9" s="39"/>
      <c r="AC9" s="39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68"/>
      <c r="AX9" s="39"/>
      <c r="AY9" s="76"/>
      <c r="AZ9" s="39"/>
      <c r="BA9" s="39"/>
      <c r="BB9" s="39"/>
      <c r="BS9" s="39"/>
      <c r="BT9" s="76"/>
      <c r="BU9" s="39"/>
      <c r="BV9" s="39"/>
      <c r="BW9" s="39"/>
      <c r="CN9" s="39"/>
      <c r="CO9" s="76"/>
      <c r="CP9" s="39"/>
      <c r="CQ9" s="39"/>
      <c r="CR9" s="39"/>
    </row>
    <row r="10" spans="1:116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1260" t="s">
        <v>450</v>
      </c>
      <c r="V10" s="1260"/>
      <c r="W10" s="1260"/>
      <c r="X10" s="1260"/>
      <c r="Y10" s="1260"/>
      <c r="Z10" s="1260"/>
      <c r="AA10" s="1260"/>
      <c r="AB10" s="1260"/>
      <c r="AC10" s="1260"/>
      <c r="AD10" s="1260"/>
      <c r="AE10" s="1260"/>
      <c r="AF10" s="1260"/>
      <c r="AG10" s="1260"/>
      <c r="AH10" s="1260"/>
      <c r="AI10" s="1260"/>
      <c r="AJ10" s="1260"/>
      <c r="AK10" s="1260"/>
      <c r="AL10" s="1260"/>
      <c r="AM10" s="1260"/>
      <c r="AN10" s="1260"/>
      <c r="AO10" s="1260"/>
      <c r="AP10" s="1260"/>
    </row>
    <row r="11" spans="1:116" ht="63.75" customHeight="1" x14ac:dyDescent="0.25">
      <c r="A11" s="1261" t="s">
        <v>57</v>
      </c>
      <c r="B11" s="1261" t="s">
        <v>0</v>
      </c>
      <c r="C11" s="321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1126</v>
      </c>
      <c r="J11" s="1254" t="s">
        <v>1127</v>
      </c>
      <c r="K11" s="1254" t="s">
        <v>534</v>
      </c>
      <c r="L11" s="1254" t="s">
        <v>493</v>
      </c>
      <c r="M11" s="1254" t="s">
        <v>1148</v>
      </c>
      <c r="N11" s="319" t="s">
        <v>529</v>
      </c>
      <c r="O11" s="1254" t="s">
        <v>492</v>
      </c>
      <c r="P11" s="320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1245" t="s">
        <v>447</v>
      </c>
      <c r="V11" s="1268" t="s">
        <v>452</v>
      </c>
      <c r="W11" s="1245" t="s">
        <v>439</v>
      </c>
      <c r="X11" s="158" t="s">
        <v>15</v>
      </c>
      <c r="Y11" s="159" t="s">
        <v>15</v>
      </c>
      <c r="Z11" s="158" t="s">
        <v>16</v>
      </c>
      <c r="AA11" s="1245" t="s">
        <v>527</v>
      </c>
      <c r="AB11" s="1245" t="s">
        <v>536</v>
      </c>
      <c r="AC11" s="158" t="s">
        <v>3</v>
      </c>
      <c r="AD11" s="158" t="s">
        <v>4</v>
      </c>
      <c r="AE11" s="158" t="s">
        <v>5</v>
      </c>
      <c r="AF11" s="158" t="s">
        <v>6</v>
      </c>
      <c r="AG11" s="158" t="s">
        <v>7</v>
      </c>
      <c r="AH11" s="158" t="s">
        <v>8</v>
      </c>
      <c r="AI11" s="158" t="s">
        <v>9</v>
      </c>
      <c r="AJ11" s="158" t="s">
        <v>10</v>
      </c>
      <c r="AK11" s="158" t="s">
        <v>11</v>
      </c>
      <c r="AL11" s="158" t="s">
        <v>12</v>
      </c>
      <c r="AM11" s="158" t="s">
        <v>13</v>
      </c>
      <c r="AN11" s="158" t="s">
        <v>14</v>
      </c>
      <c r="AO11" s="196" t="s">
        <v>531</v>
      </c>
      <c r="AP11" s="160" t="s">
        <v>63</v>
      </c>
      <c r="AQ11" s="1245" t="s">
        <v>976</v>
      </c>
      <c r="AR11" s="1245" t="s">
        <v>536</v>
      </c>
      <c r="AS11" s="158" t="s">
        <v>3</v>
      </c>
      <c r="AT11" s="158" t="s">
        <v>4</v>
      </c>
      <c r="AU11" s="158" t="s">
        <v>5</v>
      </c>
      <c r="AV11" s="158" t="s">
        <v>6</v>
      </c>
      <c r="AW11" s="158" t="s">
        <v>7</v>
      </c>
      <c r="AX11" s="158" t="s">
        <v>15</v>
      </c>
      <c r="AY11" s="159" t="s">
        <v>15</v>
      </c>
      <c r="AZ11" s="158" t="s">
        <v>16</v>
      </c>
      <c r="BA11" s="1245" t="s">
        <v>1004</v>
      </c>
      <c r="BB11" s="1245" t="s">
        <v>536</v>
      </c>
      <c r="BC11" s="158" t="s">
        <v>8</v>
      </c>
      <c r="BD11" s="158" t="s">
        <v>9</v>
      </c>
      <c r="BE11" s="158" t="s">
        <v>10</v>
      </c>
      <c r="BF11" s="158" t="s">
        <v>11</v>
      </c>
      <c r="BG11" s="158" t="s">
        <v>12</v>
      </c>
      <c r="BH11" s="158" t="s">
        <v>13</v>
      </c>
      <c r="BI11" s="158" t="s">
        <v>14</v>
      </c>
      <c r="BJ11" s="196" t="s">
        <v>989</v>
      </c>
      <c r="BK11" s="160" t="s">
        <v>63</v>
      </c>
      <c r="BL11" s="158" t="s">
        <v>3</v>
      </c>
      <c r="BM11" s="158" t="s">
        <v>4</v>
      </c>
      <c r="BN11" s="158" t="s">
        <v>5</v>
      </c>
      <c r="BO11" s="158" t="s">
        <v>6</v>
      </c>
      <c r="BP11" s="158" t="s">
        <v>7</v>
      </c>
      <c r="BQ11" s="1247" t="s">
        <v>1150</v>
      </c>
      <c r="BR11" s="1247" t="s">
        <v>1157</v>
      </c>
      <c r="BS11" s="158" t="s">
        <v>15</v>
      </c>
      <c r="BT11" s="159" t="s">
        <v>15</v>
      </c>
      <c r="BU11" s="158" t="s">
        <v>16</v>
      </c>
      <c r="BV11" s="1245" t="s">
        <v>1004</v>
      </c>
      <c r="BW11" s="1245" t="s">
        <v>536</v>
      </c>
      <c r="BX11" s="158" t="s">
        <v>8</v>
      </c>
      <c r="BY11" s="158" t="s">
        <v>9</v>
      </c>
      <c r="BZ11" s="158" t="s">
        <v>10</v>
      </c>
      <c r="CA11" s="158" t="s">
        <v>11</v>
      </c>
      <c r="CB11" s="158" t="s">
        <v>12</v>
      </c>
      <c r="CC11" s="158" t="s">
        <v>13</v>
      </c>
      <c r="CD11" s="158" t="s">
        <v>14</v>
      </c>
      <c r="CE11" s="196" t="s">
        <v>1058</v>
      </c>
      <c r="CF11" s="160" t="s">
        <v>63</v>
      </c>
      <c r="CG11" s="158" t="s">
        <v>3</v>
      </c>
      <c r="CH11" s="158" t="s">
        <v>4</v>
      </c>
      <c r="CI11" s="158" t="s">
        <v>5</v>
      </c>
      <c r="CJ11" s="158" t="s">
        <v>6</v>
      </c>
      <c r="CK11" s="158" t="s">
        <v>7</v>
      </c>
      <c r="CL11" s="1247" t="s">
        <v>1252</v>
      </c>
      <c r="CM11" s="1247" t="s">
        <v>1253</v>
      </c>
      <c r="CN11" s="158" t="s">
        <v>15</v>
      </c>
      <c r="CO11" s="159" t="s">
        <v>15</v>
      </c>
      <c r="CP11" s="158" t="s">
        <v>16</v>
      </c>
      <c r="CQ11" s="1245" t="s">
        <v>1254</v>
      </c>
      <c r="CR11" s="1245" t="s">
        <v>536</v>
      </c>
      <c r="CS11" s="158" t="s">
        <v>8</v>
      </c>
      <c r="CT11" s="158" t="s">
        <v>9</v>
      </c>
      <c r="CU11" s="158" t="s">
        <v>10</v>
      </c>
      <c r="CV11" s="158" t="s">
        <v>11</v>
      </c>
      <c r="CW11" s="158" t="s">
        <v>12</v>
      </c>
      <c r="CX11" s="158" t="s">
        <v>13</v>
      </c>
      <c r="CY11" s="158" t="s">
        <v>14</v>
      </c>
      <c r="CZ11" s="158" t="s">
        <v>3</v>
      </c>
      <c r="DA11" s="158" t="s">
        <v>4</v>
      </c>
      <c r="DB11" s="158" t="s">
        <v>5</v>
      </c>
      <c r="DC11" s="158" t="s">
        <v>6</v>
      </c>
      <c r="DD11" s="158" t="s">
        <v>7</v>
      </c>
      <c r="DE11" s="158" t="s">
        <v>8</v>
      </c>
      <c r="DF11" s="158" t="s">
        <v>9</v>
      </c>
      <c r="DG11" s="158" t="s">
        <v>10</v>
      </c>
      <c r="DH11" s="158" t="s">
        <v>11</v>
      </c>
      <c r="DI11" s="158" t="s">
        <v>12</v>
      </c>
      <c r="DJ11" s="158" t="s">
        <v>13</v>
      </c>
      <c r="DK11" s="1247" t="s">
        <v>1274</v>
      </c>
      <c r="DL11" s="1247" t="s">
        <v>1263</v>
      </c>
    </row>
    <row r="12" spans="1:116" ht="25.5" x14ac:dyDescent="0.25">
      <c r="A12" s="1262"/>
      <c r="B12" s="1262"/>
      <c r="C12" s="161" t="s">
        <v>722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43281</v>
      </c>
      <c r="O12" s="1255"/>
      <c r="P12" s="194">
        <v>43281</v>
      </c>
      <c r="Q12" s="1257"/>
      <c r="R12" s="1251" t="s">
        <v>18</v>
      </c>
      <c r="S12" s="1251" t="s">
        <v>18</v>
      </c>
      <c r="T12" s="1253"/>
      <c r="U12" s="1267"/>
      <c r="V12" s="1269">
        <v>41639</v>
      </c>
      <c r="W12" s="1246"/>
      <c r="X12" s="162" t="s">
        <v>20</v>
      </c>
      <c r="Y12" s="163" t="s">
        <v>21</v>
      </c>
      <c r="Z12" s="162" t="s">
        <v>22</v>
      </c>
      <c r="AA12" s="1246"/>
      <c r="AB12" s="1246"/>
      <c r="AC12" s="162">
        <v>2015</v>
      </c>
      <c r="AD12" s="162">
        <v>2015</v>
      </c>
      <c r="AE12" s="162">
        <v>2015</v>
      </c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 t="s">
        <v>64</v>
      </c>
      <c r="AQ12" s="1246"/>
      <c r="AR12" s="1246"/>
      <c r="AS12" s="162">
        <v>2016</v>
      </c>
      <c r="AT12" s="162">
        <v>2016</v>
      </c>
      <c r="AU12" s="162">
        <v>2016</v>
      </c>
      <c r="AV12" s="162">
        <v>2016</v>
      </c>
      <c r="AW12" s="162">
        <v>2016</v>
      </c>
      <c r="AX12" s="162" t="s">
        <v>20</v>
      </c>
      <c r="AY12" s="163" t="s">
        <v>21</v>
      </c>
      <c r="AZ12" s="162" t="s">
        <v>22</v>
      </c>
      <c r="BA12" s="1246"/>
      <c r="BB12" s="1246"/>
      <c r="BC12" s="162">
        <v>2016</v>
      </c>
      <c r="BD12" s="162">
        <v>2016</v>
      </c>
      <c r="BE12" s="162">
        <v>2016</v>
      </c>
      <c r="BF12" s="162">
        <v>2016</v>
      </c>
      <c r="BG12" s="162">
        <v>2016</v>
      </c>
      <c r="BH12" s="162">
        <v>2016</v>
      </c>
      <c r="BI12" s="162">
        <v>2016</v>
      </c>
      <c r="BJ12" s="162">
        <v>2016</v>
      </c>
      <c r="BK12" s="162" t="s">
        <v>64</v>
      </c>
      <c r="BL12" s="162">
        <v>2017</v>
      </c>
      <c r="BM12" s="162">
        <v>2017</v>
      </c>
      <c r="BN12" s="162">
        <v>2017</v>
      </c>
      <c r="BO12" s="162">
        <v>2017</v>
      </c>
      <c r="BP12" s="162">
        <v>2017</v>
      </c>
      <c r="BQ12" s="1248"/>
      <c r="BR12" s="1248"/>
      <c r="BS12" s="162" t="s">
        <v>20</v>
      </c>
      <c r="BT12" s="163" t="s">
        <v>21</v>
      </c>
      <c r="BU12" s="162" t="s">
        <v>22</v>
      </c>
      <c r="BV12" s="1246"/>
      <c r="BW12" s="1246"/>
      <c r="BX12" s="162">
        <v>2017</v>
      </c>
      <c r="BY12" s="162">
        <v>2017</v>
      </c>
      <c r="BZ12" s="162">
        <v>2017</v>
      </c>
      <c r="CA12" s="162">
        <v>2017</v>
      </c>
      <c r="CB12" s="162">
        <v>2017</v>
      </c>
      <c r="CC12" s="162">
        <v>2017</v>
      </c>
      <c r="CD12" s="162">
        <v>2017</v>
      </c>
      <c r="CE12" s="162">
        <v>2017</v>
      </c>
      <c r="CF12" s="162" t="s">
        <v>64</v>
      </c>
      <c r="CG12" s="162">
        <v>2018</v>
      </c>
      <c r="CH12" s="162">
        <v>2018</v>
      </c>
      <c r="CI12" s="162">
        <v>2018</v>
      </c>
      <c r="CJ12" s="162">
        <v>2018</v>
      </c>
      <c r="CK12" s="162">
        <v>2018</v>
      </c>
      <c r="CL12" s="1248"/>
      <c r="CM12" s="1248"/>
      <c r="CN12" s="162" t="s">
        <v>20</v>
      </c>
      <c r="CO12" s="163" t="s">
        <v>21</v>
      </c>
      <c r="CP12" s="162" t="s">
        <v>22</v>
      </c>
      <c r="CQ12" s="1246"/>
      <c r="CR12" s="1246"/>
      <c r="CS12" s="162">
        <v>2018</v>
      </c>
      <c r="CT12" s="162">
        <v>2018</v>
      </c>
      <c r="CU12" s="162">
        <v>2018</v>
      </c>
      <c r="CV12" s="162">
        <v>2018</v>
      </c>
      <c r="CW12" s="162">
        <v>2018</v>
      </c>
      <c r="CX12" s="162">
        <v>2018</v>
      </c>
      <c r="CY12" s="162">
        <v>2018</v>
      </c>
      <c r="CZ12" s="162">
        <v>2019</v>
      </c>
      <c r="DA12" s="162">
        <v>2019</v>
      </c>
      <c r="DB12" s="162">
        <v>2019</v>
      </c>
      <c r="DC12" s="162">
        <v>2019</v>
      </c>
      <c r="DD12" s="162">
        <v>2019</v>
      </c>
      <c r="DE12" s="162">
        <v>2019</v>
      </c>
      <c r="DF12" s="162">
        <v>2019</v>
      </c>
      <c r="DG12" s="162">
        <v>2019</v>
      </c>
      <c r="DH12" s="162">
        <v>2019</v>
      </c>
      <c r="DI12" s="162">
        <v>2019</v>
      </c>
      <c r="DJ12" s="162">
        <v>2019</v>
      </c>
      <c r="DK12" s="1248"/>
      <c r="DL12" s="1248"/>
    </row>
    <row r="13" spans="1:116" x14ac:dyDescent="0.2">
      <c r="A13" s="120" t="s">
        <v>65</v>
      </c>
      <c r="B13" s="120"/>
      <c r="C13" s="45"/>
      <c r="D13" s="27"/>
      <c r="E13" s="25"/>
      <c r="F13" s="46"/>
      <c r="G13" s="17"/>
      <c r="H13" s="145"/>
      <c r="I13" s="48"/>
      <c r="J13" s="48"/>
      <c r="K13" s="48"/>
      <c r="L13" s="48"/>
      <c r="M13" s="48"/>
      <c r="N13" s="48"/>
      <c r="O13" s="48"/>
      <c r="P13" s="48"/>
      <c r="Q13" s="48"/>
      <c r="R13" s="20"/>
      <c r="S13" s="20"/>
      <c r="T13" s="14"/>
      <c r="U13" s="66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72"/>
      <c r="AL13" s="72"/>
      <c r="AM13" s="72"/>
      <c r="AN13" s="72"/>
      <c r="AO13" s="72"/>
      <c r="AP13" s="72"/>
      <c r="AQ13" s="338"/>
      <c r="AR13" s="338"/>
      <c r="AS13" s="338"/>
      <c r="AT13" s="338"/>
      <c r="AU13" s="338"/>
      <c r="AV13" s="338"/>
      <c r="AW13" s="338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</row>
    <row r="14" spans="1:116" x14ac:dyDescent="0.2">
      <c r="A14" s="120" t="s">
        <v>1242</v>
      </c>
      <c r="B14" s="120"/>
      <c r="C14" s="45"/>
      <c r="D14" s="27"/>
      <c r="E14" s="25"/>
      <c r="F14" s="46"/>
      <c r="G14" s="17"/>
      <c r="H14" s="145"/>
      <c r="I14" s="48"/>
      <c r="J14" s="48"/>
      <c r="K14" s="48"/>
      <c r="L14" s="48"/>
      <c r="M14" s="48"/>
      <c r="N14" s="48"/>
      <c r="O14" s="48"/>
      <c r="P14" s="48"/>
      <c r="Q14" s="48"/>
      <c r="R14" s="20"/>
      <c r="S14" s="20"/>
      <c r="T14" s="14"/>
      <c r="U14" s="66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72"/>
      <c r="AL14" s="72"/>
      <c r="AM14" s="72"/>
      <c r="AN14" s="72"/>
      <c r="AO14" s="72"/>
      <c r="AP14" s="72"/>
      <c r="AQ14" s="338"/>
      <c r="AR14" s="338"/>
      <c r="AS14" s="338"/>
      <c r="AT14" s="338"/>
      <c r="AU14" s="338"/>
      <c r="AV14" s="338"/>
      <c r="AW14" s="338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</row>
    <row r="15" spans="1:116" x14ac:dyDescent="0.2">
      <c r="A15" s="100" t="s">
        <v>1243</v>
      </c>
      <c r="B15" s="100" t="s">
        <v>1244</v>
      </c>
      <c r="C15" s="45" t="s">
        <v>722</v>
      </c>
      <c r="D15" s="795">
        <v>3</v>
      </c>
      <c r="E15" s="796">
        <v>0.33329999999999999</v>
      </c>
      <c r="F15" s="219">
        <v>43464</v>
      </c>
      <c r="G15" s="217">
        <v>36</v>
      </c>
      <c r="H15" s="221">
        <f>100/G15</f>
        <v>2.7777777777777777</v>
      </c>
      <c r="I15" s="222">
        <f>H15*J15</f>
        <v>0</v>
      </c>
      <c r="J15" s="220">
        <v>0</v>
      </c>
      <c r="K15" s="222">
        <f>L15*H15</f>
        <v>100</v>
      </c>
      <c r="L15" s="220">
        <f>G15-J15</f>
        <v>36</v>
      </c>
      <c r="M15" s="222">
        <f>N15*H15</f>
        <v>16.666666666666664</v>
      </c>
      <c r="N15" s="220">
        <v>6</v>
      </c>
      <c r="O15" s="222">
        <f>K15-M15</f>
        <v>83.333333333333343</v>
      </c>
      <c r="P15" s="220">
        <f>L15-N15</f>
        <v>30</v>
      </c>
      <c r="Q15" s="219">
        <f>DATE(YEAR(S15),MONTH(S15)+G15,DAY(S15))</f>
        <v>44196</v>
      </c>
      <c r="R15" s="214" t="s">
        <v>1245</v>
      </c>
      <c r="S15" s="828">
        <v>43100</v>
      </c>
      <c r="T15" s="829">
        <v>11251.97</v>
      </c>
      <c r="U15" s="66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72"/>
      <c r="AL15" s="72"/>
      <c r="AM15" s="72"/>
      <c r="AN15" s="72"/>
      <c r="AO15" s="72"/>
      <c r="AP15" s="72"/>
      <c r="AQ15" s="338"/>
      <c r="AR15" s="338"/>
      <c r="AS15" s="338"/>
      <c r="AT15" s="338"/>
      <c r="AU15" s="338"/>
      <c r="AV15" s="338"/>
      <c r="AW15" s="338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939">
        <v>11251.97</v>
      </c>
      <c r="BS15" s="940">
        <v>126.408</v>
      </c>
      <c r="BT15" s="940">
        <v>130.81299999999999</v>
      </c>
      <c r="BU15" s="941">
        <f>BS15/BT15</f>
        <v>0.96632597677600862</v>
      </c>
      <c r="BV15" s="227">
        <f>BR15/L15</f>
        <v>312.55472222222221</v>
      </c>
      <c r="BW15" s="227">
        <f>BV15*BU15</f>
        <v>302.02974724734293</v>
      </c>
      <c r="BX15" s="227"/>
      <c r="BY15" s="227"/>
      <c r="BZ15" s="227"/>
      <c r="CA15" s="227"/>
      <c r="CB15" s="227"/>
      <c r="CC15" s="227"/>
      <c r="CD15" s="227">
        <v>0</v>
      </c>
      <c r="CE15" s="227">
        <f>SUM(BX15:CD15)</f>
        <v>0</v>
      </c>
      <c r="CF15" s="800">
        <f>BR15-CE15</f>
        <v>11251.97</v>
      </c>
      <c r="CG15" s="227">
        <v>302.02999999999997</v>
      </c>
      <c r="CH15" s="227">
        <v>302.02999999999997</v>
      </c>
      <c r="CI15" s="227">
        <v>302.02999999999997</v>
      </c>
      <c r="CJ15" s="227">
        <v>302.02999999999997</v>
      </c>
      <c r="CK15" s="227">
        <v>302.02999999999997</v>
      </c>
      <c r="CL15" s="55">
        <f>SUM(CG15:CK15)</f>
        <v>1510.1499999999999</v>
      </c>
      <c r="CM15" s="1003">
        <f>CF15-CL15</f>
        <v>9741.82</v>
      </c>
      <c r="CN15" s="940">
        <v>132.28200000000001</v>
      </c>
      <c r="CO15" s="940">
        <v>130.81299999999999</v>
      </c>
      <c r="CP15" s="1056">
        <f>CN15/CO15</f>
        <v>1.0112297707414402</v>
      </c>
      <c r="CQ15" s="55">
        <f>CM15/L15</f>
        <v>270.60611111111109</v>
      </c>
      <c r="CR15" s="227">
        <f>CQ15*CP15</f>
        <v>273.64495570012156</v>
      </c>
      <c r="CS15" s="227">
        <v>273.64495570012156</v>
      </c>
      <c r="CT15" s="227">
        <v>273.64495570012156</v>
      </c>
      <c r="CU15" s="227">
        <v>273.64495570012156</v>
      </c>
      <c r="CV15" s="227">
        <v>273.64495570012156</v>
      </c>
      <c r="CW15" s="227">
        <v>273.64495570012156</v>
      </c>
      <c r="CX15" s="227">
        <v>273.64495570012156</v>
      </c>
      <c r="CY15" s="227">
        <v>273.64495570012156</v>
      </c>
      <c r="CZ15" s="227">
        <v>273.64495570012156</v>
      </c>
      <c r="DA15" s="227">
        <v>273.64495570012156</v>
      </c>
      <c r="DB15" s="227">
        <v>273.64495570012156</v>
      </c>
      <c r="DC15" s="227">
        <v>273.64495570012156</v>
      </c>
      <c r="DD15" s="227">
        <v>273.64495570012156</v>
      </c>
      <c r="DE15" s="227">
        <v>273.64495570012156</v>
      </c>
      <c r="DF15" s="227">
        <v>273.64495570012156</v>
      </c>
      <c r="DG15" s="227">
        <v>273.64495570012156</v>
      </c>
      <c r="DH15" s="227">
        <v>273.64495570012156</v>
      </c>
      <c r="DI15" s="227">
        <v>273.64495570012156</v>
      </c>
      <c r="DJ15" s="227">
        <v>273.64495570012156</v>
      </c>
      <c r="DK15" s="55">
        <f>SUM(CS15:DJ15)</f>
        <v>4925.6092026021879</v>
      </c>
      <c r="DL15" s="939">
        <f>CM15-DK15</f>
        <v>4816.2107973978118</v>
      </c>
    </row>
    <row r="16" spans="1:116" x14ac:dyDescent="0.2">
      <c r="A16" s="120" t="s">
        <v>65</v>
      </c>
      <c r="B16" s="120"/>
      <c r="C16" s="45"/>
      <c r="D16" s="27"/>
      <c r="E16" s="25"/>
      <c r="F16" s="46"/>
      <c r="G16" s="17"/>
      <c r="H16" s="145"/>
      <c r="I16" s="48"/>
      <c r="J16" s="48"/>
      <c r="K16" s="48"/>
      <c r="L16" s="48"/>
      <c r="M16" s="48"/>
      <c r="N16" s="48"/>
      <c r="O16" s="48"/>
      <c r="P16" s="48"/>
      <c r="Q16" s="48"/>
      <c r="R16" s="20"/>
      <c r="S16" s="20"/>
      <c r="T16" s="14"/>
      <c r="U16" s="66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72"/>
      <c r="AL16" s="72"/>
      <c r="AM16" s="72"/>
      <c r="AN16" s="72"/>
      <c r="AO16" s="72"/>
      <c r="AP16" s="72"/>
      <c r="AQ16" s="338"/>
      <c r="AR16" s="338"/>
      <c r="AS16" s="338"/>
      <c r="AT16" s="338"/>
      <c r="AU16" s="338"/>
      <c r="AV16" s="338"/>
      <c r="AW16" s="338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6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>
        <f t="shared" ref="DK16:DK20" si="0">SUM(CS16:DJ16)</f>
        <v>0</v>
      </c>
      <c r="DL16" s="55"/>
    </row>
    <row r="17" spans="1:116" x14ac:dyDescent="0.2">
      <c r="A17" s="120" t="s">
        <v>109</v>
      </c>
      <c r="B17" s="100"/>
      <c r="C17" s="45"/>
      <c r="D17" s="4"/>
      <c r="E17" s="25"/>
      <c r="F17" s="17"/>
      <c r="G17" s="17"/>
      <c r="H17" s="188"/>
      <c r="I17" s="17"/>
      <c r="J17" s="17"/>
      <c r="K17" s="17"/>
      <c r="L17" s="17"/>
      <c r="M17" s="17"/>
      <c r="N17" s="17"/>
      <c r="O17" s="17"/>
      <c r="P17" s="17"/>
      <c r="Q17" s="17"/>
      <c r="R17" s="20"/>
      <c r="S17" s="20"/>
      <c r="T17" s="14"/>
      <c r="U17" s="66"/>
      <c r="V17" s="65"/>
      <c r="W17" s="65"/>
      <c r="X17" s="6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72"/>
      <c r="AL17" s="72"/>
      <c r="AM17" s="72"/>
      <c r="AN17" s="72"/>
      <c r="AO17" s="72"/>
      <c r="AP17" s="72"/>
      <c r="AQ17" s="338"/>
      <c r="AR17" s="338"/>
      <c r="AS17" s="338"/>
      <c r="AT17" s="338"/>
      <c r="AU17" s="338"/>
      <c r="AV17" s="338"/>
      <c r="AW17" s="338"/>
      <c r="AX17" s="6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6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6"/>
      <c r="CN17" s="6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>
        <f t="shared" si="0"/>
        <v>0</v>
      </c>
      <c r="DL17" s="55"/>
    </row>
    <row r="18" spans="1:116" x14ac:dyDescent="0.2">
      <c r="A18" s="100" t="s">
        <v>723</v>
      </c>
      <c r="B18" s="100" t="s">
        <v>719</v>
      </c>
      <c r="C18" s="45" t="s">
        <v>722</v>
      </c>
      <c r="D18" s="58">
        <v>10</v>
      </c>
      <c r="E18" s="53">
        <v>0.1</v>
      </c>
      <c r="F18" s="219">
        <v>43464</v>
      </c>
      <c r="G18" s="48">
        <v>120</v>
      </c>
      <c r="H18" s="145">
        <f>100/G18</f>
        <v>0.83333333333333337</v>
      </c>
      <c r="I18" s="165">
        <f>H18*J18</f>
        <v>30</v>
      </c>
      <c r="J18" s="48">
        <f>(YEAR(F18)-YEAR(S18))*12+MONTH(F18)-MONTH(S18)</f>
        <v>36</v>
      </c>
      <c r="K18" s="165">
        <f>L18*H18</f>
        <v>70</v>
      </c>
      <c r="L18" s="48">
        <f>G18-J18</f>
        <v>84</v>
      </c>
      <c r="M18" s="165">
        <f>N18*H18</f>
        <v>0.83333333333333337</v>
      </c>
      <c r="N18" s="48">
        <v>1</v>
      </c>
      <c r="O18" s="165">
        <f>P18*H18</f>
        <v>69.166666666666671</v>
      </c>
      <c r="P18" s="48">
        <f>L18-N18</f>
        <v>83</v>
      </c>
      <c r="Q18" s="46">
        <f>DATE(YEAR(S18),MONTH(S18)+G18,DAY(S18))</f>
        <v>45997</v>
      </c>
      <c r="R18" s="48">
        <v>3337</v>
      </c>
      <c r="S18" s="46">
        <v>42344</v>
      </c>
      <c r="T18" s="47">
        <f>2*734</f>
        <v>1468</v>
      </c>
      <c r="U18" s="57">
        <v>0</v>
      </c>
      <c r="V18" s="55">
        <v>0</v>
      </c>
      <c r="W18" s="55">
        <v>0</v>
      </c>
      <c r="X18" s="57">
        <v>115.958</v>
      </c>
      <c r="Y18" s="55">
        <v>118.532</v>
      </c>
      <c r="Z18" s="55">
        <f>X18/Y18</f>
        <v>0.97828434515573859</v>
      </c>
      <c r="AA18" s="55">
        <f>T18*H18/100</f>
        <v>12.233333333333334</v>
      </c>
      <c r="AB18" s="55">
        <f>AA18*Z18</f>
        <v>11.96767848907187</v>
      </c>
      <c r="AC18" s="55"/>
      <c r="AD18" s="55"/>
      <c r="AE18" s="55"/>
      <c r="AF18" s="55"/>
      <c r="AG18" s="55"/>
      <c r="AH18" s="55"/>
      <c r="AI18" s="55"/>
      <c r="AJ18" s="55"/>
      <c r="AK18" s="72"/>
      <c r="AL18" s="72">
        <v>0</v>
      </c>
      <c r="AM18" s="72">
        <v>0</v>
      </c>
      <c r="AN18" s="55">
        <v>0</v>
      </c>
      <c r="AO18" s="55"/>
      <c r="AP18" s="72">
        <f>T18</f>
        <v>1468</v>
      </c>
      <c r="AQ18" s="55"/>
      <c r="AR18" s="55"/>
      <c r="AS18" s="55">
        <f>11.97</f>
        <v>11.97</v>
      </c>
      <c r="AT18" s="55">
        <f t="shared" ref="AT18:AW20" si="1">11.97</f>
        <v>11.97</v>
      </c>
      <c r="AU18" s="55">
        <f t="shared" si="1"/>
        <v>11.97</v>
      </c>
      <c r="AV18" s="55">
        <f t="shared" si="1"/>
        <v>11.97</v>
      </c>
      <c r="AW18" s="55">
        <f t="shared" si="1"/>
        <v>11.97</v>
      </c>
      <c r="AX18" s="57">
        <v>118.901</v>
      </c>
      <c r="AY18" s="55">
        <v>118.532</v>
      </c>
      <c r="AZ18" s="501">
        <f>AX18/AY18</f>
        <v>1.0031130833867647</v>
      </c>
      <c r="BA18" s="55">
        <f>T18/(D18*12)</f>
        <v>12.233333333333333</v>
      </c>
      <c r="BB18" s="55">
        <f>BA18*AZ18</f>
        <v>12.271416720098088</v>
      </c>
      <c r="BC18" s="55">
        <f>$BB18</f>
        <v>12.271416720098088</v>
      </c>
      <c r="BD18" s="55">
        <f>$BB18</f>
        <v>12.271416720098088</v>
      </c>
      <c r="BE18" s="55">
        <f>$BB18</f>
        <v>12.271416720098088</v>
      </c>
      <c r="BF18" s="55">
        <f>$BB18</f>
        <v>12.271416720098088</v>
      </c>
      <c r="BG18" s="55">
        <v>12.27</v>
      </c>
      <c r="BH18" s="55">
        <v>12.27</v>
      </c>
      <c r="BI18" s="55">
        <v>12.27</v>
      </c>
      <c r="BJ18" s="55">
        <f>SUM((AS18:AW18),(BC18:BI18))</f>
        <v>145.74566688039238</v>
      </c>
      <c r="BK18" s="448">
        <f>(AP18-BJ18)</f>
        <v>1322.2543331196075</v>
      </c>
      <c r="BL18" s="55">
        <v>12.27</v>
      </c>
      <c r="BM18" s="55">
        <v>12.27</v>
      </c>
      <c r="BN18" s="55">
        <v>12.27</v>
      </c>
      <c r="BO18" s="55">
        <v>12.27</v>
      </c>
      <c r="BP18" s="55">
        <v>12.27</v>
      </c>
      <c r="BQ18" s="55">
        <f>SUM(BL18:BP18)</f>
        <v>61.349999999999994</v>
      </c>
      <c r="BR18" s="55">
        <f>BK18-BQ18</f>
        <v>1260.9043331196076</v>
      </c>
      <c r="BS18" s="57">
        <v>126.408</v>
      </c>
      <c r="BT18" s="55">
        <v>118.532</v>
      </c>
      <c r="BU18" s="501">
        <f>BS18/BT18</f>
        <v>1.0664461917456889</v>
      </c>
      <c r="BV18" s="55">
        <f>BR18/L18</f>
        <v>15.01076587047152</v>
      </c>
      <c r="BW18" s="55">
        <f>BV18*BU18</f>
        <v>16.008174097750512</v>
      </c>
      <c r="BX18" s="55">
        <v>13.18</v>
      </c>
      <c r="BY18" s="55">
        <v>13.18</v>
      </c>
      <c r="BZ18" s="55">
        <v>13.18</v>
      </c>
      <c r="CA18" s="55">
        <v>13.18</v>
      </c>
      <c r="CB18" s="55">
        <v>13.18</v>
      </c>
      <c r="CC18" s="55">
        <v>13.18</v>
      </c>
      <c r="CD18" s="55">
        <v>13.18</v>
      </c>
      <c r="CE18" s="55">
        <f>SUM(BX18:CD18)</f>
        <v>92.260000000000019</v>
      </c>
      <c r="CF18" s="448">
        <f>BR18-CE18</f>
        <v>1168.6443331196076</v>
      </c>
      <c r="CG18" s="55">
        <v>13.18</v>
      </c>
      <c r="CH18" s="55">
        <v>13.18</v>
      </c>
      <c r="CI18" s="55">
        <v>13.18</v>
      </c>
      <c r="CJ18" s="55">
        <v>13.18</v>
      </c>
      <c r="CK18" s="55">
        <v>13.18</v>
      </c>
      <c r="CL18" s="55">
        <f>SUM(CG18:CK18)</f>
        <v>65.900000000000006</v>
      </c>
      <c r="CM18" s="56">
        <f>CF18-CL18</f>
        <v>1102.7443331196075</v>
      </c>
      <c r="CN18" s="940">
        <v>132.28200000000001</v>
      </c>
      <c r="CO18" s="55">
        <v>118.532</v>
      </c>
      <c r="CP18" s="1056">
        <f>CN18/CO18</f>
        <v>1.1160024297236191</v>
      </c>
      <c r="CQ18" s="55">
        <f>CM18/L18</f>
        <v>13.127908727614376</v>
      </c>
      <c r="CR18" s="227">
        <f>CQ18*CP18</f>
        <v>14.650778037207548</v>
      </c>
      <c r="CS18" s="55">
        <v>14.650778037207548</v>
      </c>
      <c r="CT18" s="55">
        <v>14.650778037207548</v>
      </c>
      <c r="CU18" s="55">
        <v>14.650778037207548</v>
      </c>
      <c r="CV18" s="55">
        <v>14.650778037207548</v>
      </c>
      <c r="CW18" s="55">
        <v>14.650778037207548</v>
      </c>
      <c r="CX18" s="55">
        <v>14.650778037207548</v>
      </c>
      <c r="CY18" s="55">
        <v>14.650778037207548</v>
      </c>
      <c r="CZ18" s="55">
        <v>14.650778037207548</v>
      </c>
      <c r="DA18" s="55">
        <v>14.650778037207548</v>
      </c>
      <c r="DB18" s="55">
        <v>14.650778037207548</v>
      </c>
      <c r="DC18" s="55">
        <v>14.650778037207548</v>
      </c>
      <c r="DD18" s="55">
        <v>14.650778037207548</v>
      </c>
      <c r="DE18" s="55">
        <v>14.650778037207548</v>
      </c>
      <c r="DF18" s="55">
        <v>14.650778037207548</v>
      </c>
      <c r="DG18" s="55">
        <v>14.650778037207548</v>
      </c>
      <c r="DH18" s="55">
        <v>14.650778037207548</v>
      </c>
      <c r="DI18" s="55">
        <v>14.650778037207548</v>
      </c>
      <c r="DJ18" s="55">
        <v>14.650778037207548</v>
      </c>
      <c r="DK18" s="55">
        <f t="shared" si="0"/>
        <v>263.71400466973586</v>
      </c>
      <c r="DL18" s="939">
        <f>CM18-DK18</f>
        <v>839.0303284498716</v>
      </c>
    </row>
    <row r="19" spans="1:116" x14ac:dyDescent="0.2">
      <c r="A19" s="120" t="s">
        <v>456</v>
      </c>
      <c r="B19" s="100"/>
      <c r="C19" s="45"/>
      <c r="D19" s="4"/>
      <c r="E19" s="25"/>
      <c r="F19" s="17"/>
      <c r="G19" s="17"/>
      <c r="H19" s="188"/>
      <c r="I19" s="17"/>
      <c r="J19" s="17"/>
      <c r="K19" s="17"/>
      <c r="L19" s="17"/>
      <c r="M19" s="17"/>
      <c r="N19" s="17"/>
      <c r="O19" s="17"/>
      <c r="P19" s="17"/>
      <c r="Q19" s="17"/>
      <c r="R19" s="20"/>
      <c r="S19" s="20"/>
      <c r="T19" s="14"/>
      <c r="U19" s="66"/>
      <c r="V19" s="65"/>
      <c r="W19" s="65"/>
      <c r="X19" s="6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72"/>
      <c r="AL19" s="72"/>
      <c r="AM19" s="72"/>
      <c r="AN19" s="72"/>
      <c r="AO19" s="72"/>
      <c r="AP19" s="72"/>
      <c r="AQ19" s="338"/>
      <c r="AR19" s="338"/>
      <c r="AS19" s="338"/>
      <c r="AT19" s="338"/>
      <c r="AU19" s="338"/>
      <c r="AV19" s="338"/>
      <c r="AW19" s="338"/>
      <c r="AX19" s="6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6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6"/>
      <c r="CN19" s="6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>
        <f t="shared" si="0"/>
        <v>0</v>
      </c>
      <c r="DL19" s="55"/>
    </row>
    <row r="20" spans="1:116" x14ac:dyDescent="0.2">
      <c r="A20" s="100" t="s">
        <v>1114</v>
      </c>
      <c r="B20" s="100" t="s">
        <v>1115</v>
      </c>
      <c r="C20" s="45" t="s">
        <v>722</v>
      </c>
      <c r="D20" s="58">
        <v>10</v>
      </c>
      <c r="E20" s="53">
        <v>0.1</v>
      </c>
      <c r="F20" s="219">
        <v>43464</v>
      </c>
      <c r="G20" s="48">
        <v>120</v>
      </c>
      <c r="H20" s="145">
        <f>100/G20</f>
        <v>0.83333333333333337</v>
      </c>
      <c r="I20" s="165">
        <f>H20*J20</f>
        <v>17.5</v>
      </c>
      <c r="J20" s="48">
        <f>(YEAR(F20)-YEAR(S20))*12+MONTH(F20)-MONTH(S20)</f>
        <v>21</v>
      </c>
      <c r="K20" s="165">
        <f>L20*H20</f>
        <v>82.5</v>
      </c>
      <c r="L20" s="48">
        <f>G20-J20</f>
        <v>99</v>
      </c>
      <c r="M20" s="165">
        <f>N20*H20</f>
        <v>0.83333333333333337</v>
      </c>
      <c r="N20" s="48">
        <v>1</v>
      </c>
      <c r="O20" s="165">
        <f>P20*H20</f>
        <v>81.666666666666671</v>
      </c>
      <c r="P20" s="48">
        <f>L20-N20</f>
        <v>98</v>
      </c>
      <c r="Q20" s="46">
        <f>DATE(YEAR(S20),MONTH(S20)+G20,DAY(S20))</f>
        <v>46474</v>
      </c>
      <c r="R20" s="48">
        <v>3723</v>
      </c>
      <c r="S20" s="46">
        <v>42822</v>
      </c>
      <c r="T20" s="47">
        <v>1738.09</v>
      </c>
      <c r="U20" s="57">
        <v>0</v>
      </c>
      <c r="V20" s="55">
        <v>0</v>
      </c>
      <c r="W20" s="55">
        <v>0</v>
      </c>
      <c r="X20" s="57">
        <v>115.958</v>
      </c>
      <c r="Y20" s="55">
        <v>118.532</v>
      </c>
      <c r="Z20" s="55">
        <f>X20/Y20</f>
        <v>0.97828434515573859</v>
      </c>
      <c r="AA20" s="55">
        <f>T20*H20/100</f>
        <v>14.484083333333333</v>
      </c>
      <c r="AB20" s="55">
        <f>AA20*Z20</f>
        <v>14.169551978931146</v>
      </c>
      <c r="AC20" s="55"/>
      <c r="AD20" s="55"/>
      <c r="AE20" s="55"/>
      <c r="AF20" s="55"/>
      <c r="AG20" s="55"/>
      <c r="AH20" s="55"/>
      <c r="AI20" s="55"/>
      <c r="AJ20" s="55"/>
      <c r="AK20" s="72"/>
      <c r="AL20" s="72">
        <v>0</v>
      </c>
      <c r="AM20" s="72">
        <v>0</v>
      </c>
      <c r="AN20" s="55">
        <v>0</v>
      </c>
      <c r="AO20" s="55"/>
      <c r="AP20" s="72">
        <f>T20</f>
        <v>1738.09</v>
      </c>
      <c r="AQ20" s="55"/>
      <c r="AR20" s="55"/>
      <c r="AS20" s="55">
        <f>11.97</f>
        <v>11.97</v>
      </c>
      <c r="AT20" s="55">
        <f t="shared" si="1"/>
        <v>11.97</v>
      </c>
      <c r="AU20" s="55">
        <f t="shared" si="1"/>
        <v>11.97</v>
      </c>
      <c r="AV20" s="55">
        <f t="shared" si="1"/>
        <v>11.97</v>
      </c>
      <c r="AW20" s="55">
        <f t="shared" si="1"/>
        <v>11.97</v>
      </c>
      <c r="AX20" s="57">
        <v>118.901</v>
      </c>
      <c r="AY20" s="55">
        <v>126.087</v>
      </c>
      <c r="AZ20" s="501">
        <f>AX20/AY20</f>
        <v>0.94300760585944621</v>
      </c>
      <c r="BA20" s="55">
        <f>T20/(D20*12)</f>
        <v>14.484083333333333</v>
      </c>
      <c r="BB20" s="55">
        <f>BA20*AZ20</f>
        <v>13.658600747235374</v>
      </c>
      <c r="BC20" s="55">
        <f>$BB20</f>
        <v>13.658600747235374</v>
      </c>
      <c r="BD20" s="55">
        <f>$BB20</f>
        <v>13.658600747235374</v>
      </c>
      <c r="BE20" s="55">
        <f>$BB20</f>
        <v>13.658600747235374</v>
      </c>
      <c r="BF20" s="55">
        <f>$BB20</f>
        <v>13.658600747235374</v>
      </c>
      <c r="BG20" s="55">
        <v>12.27</v>
      </c>
      <c r="BH20" s="55">
        <v>12.27</v>
      </c>
      <c r="BI20" s="55">
        <v>12.27</v>
      </c>
      <c r="BJ20" s="55">
        <v>0</v>
      </c>
      <c r="BK20" s="448">
        <f>(AP20-BJ20)</f>
        <v>1738.09</v>
      </c>
      <c r="BL20" s="55"/>
      <c r="BM20" s="55"/>
      <c r="BN20" s="55"/>
      <c r="BO20" s="55">
        <v>13.66</v>
      </c>
      <c r="BP20" s="55">
        <v>13.66</v>
      </c>
      <c r="BQ20" s="55">
        <f>SUM(BL20:BP20)</f>
        <v>27.32</v>
      </c>
      <c r="BR20" s="55">
        <f>BK20-BQ20</f>
        <v>1710.77</v>
      </c>
      <c r="BS20" s="57">
        <v>126.408</v>
      </c>
      <c r="BT20" s="55">
        <v>118.532</v>
      </c>
      <c r="BU20" s="501">
        <f>BS20/BT20</f>
        <v>1.0664461917456889</v>
      </c>
      <c r="BV20" s="55">
        <f>BR20/L20</f>
        <v>17.280505050505049</v>
      </c>
      <c r="BW20" s="55">
        <f>BV20*BU20</f>
        <v>18.428728802553252</v>
      </c>
      <c r="BX20" s="55">
        <v>15.2</v>
      </c>
      <c r="BY20" s="55">
        <v>15.2</v>
      </c>
      <c r="BZ20" s="55">
        <v>15.2</v>
      </c>
      <c r="CA20" s="55">
        <v>15.2</v>
      </c>
      <c r="CB20" s="55">
        <v>15.2</v>
      </c>
      <c r="CC20" s="55">
        <v>15.2</v>
      </c>
      <c r="CD20" s="55">
        <v>15.2</v>
      </c>
      <c r="CE20" s="55">
        <f>SUM(BX20:CD20)</f>
        <v>106.4</v>
      </c>
      <c r="CF20" s="448">
        <f>BR20-CE20</f>
        <v>1604.37</v>
      </c>
      <c r="CG20" s="55">
        <v>15.2</v>
      </c>
      <c r="CH20" s="55">
        <v>15.2</v>
      </c>
      <c r="CI20" s="55">
        <v>15.2</v>
      </c>
      <c r="CJ20" s="55">
        <v>15.2</v>
      </c>
      <c r="CK20" s="55">
        <v>15.2</v>
      </c>
      <c r="CL20" s="55">
        <f>SUM(CG20:CK20)</f>
        <v>76</v>
      </c>
      <c r="CM20" s="56">
        <f>CF20-CL20</f>
        <v>1528.37</v>
      </c>
      <c r="CN20" s="940">
        <v>132.28200000000001</v>
      </c>
      <c r="CO20" s="55">
        <v>118.532</v>
      </c>
      <c r="CP20" s="1056">
        <f>CN20/CO20</f>
        <v>1.1160024297236191</v>
      </c>
      <c r="CQ20" s="55">
        <f>CM20/L20</f>
        <v>15.438080808080807</v>
      </c>
      <c r="CR20" s="227">
        <f>CQ20*CP20</f>
        <v>17.228935692087752</v>
      </c>
      <c r="CS20" s="55">
        <v>17.228935692087752</v>
      </c>
      <c r="CT20" s="55">
        <v>17.228935692087752</v>
      </c>
      <c r="CU20" s="55">
        <v>17.228935692087752</v>
      </c>
      <c r="CV20" s="55">
        <v>17.228935692087752</v>
      </c>
      <c r="CW20" s="55">
        <v>17.228935692087752</v>
      </c>
      <c r="CX20" s="55">
        <v>17.228935692087752</v>
      </c>
      <c r="CY20" s="55">
        <v>17.228935692087752</v>
      </c>
      <c r="CZ20" s="55">
        <v>17.228935692087752</v>
      </c>
      <c r="DA20" s="55">
        <v>17.228935692087752</v>
      </c>
      <c r="DB20" s="55">
        <v>17.228935692087752</v>
      </c>
      <c r="DC20" s="55">
        <v>17.228935692087752</v>
      </c>
      <c r="DD20" s="55">
        <v>17.228935692087752</v>
      </c>
      <c r="DE20" s="55">
        <v>17.228935692087752</v>
      </c>
      <c r="DF20" s="55">
        <v>17.228935692087752</v>
      </c>
      <c r="DG20" s="55">
        <v>17.228935692087752</v>
      </c>
      <c r="DH20" s="55">
        <v>17.228935692087752</v>
      </c>
      <c r="DI20" s="55">
        <v>17.228935692087752</v>
      </c>
      <c r="DJ20" s="55">
        <v>17.228935692087752</v>
      </c>
      <c r="DK20" s="55">
        <f t="shared" si="0"/>
        <v>310.12084245757961</v>
      </c>
      <c r="DL20" s="939">
        <f>CM20-DK20</f>
        <v>1218.2491575424203</v>
      </c>
    </row>
    <row r="21" spans="1:116" ht="15" x14ac:dyDescent="0.2">
      <c r="D21" s="18"/>
      <c r="E21" s="18"/>
      <c r="R21" s="175"/>
      <c r="S21" s="19"/>
      <c r="T21" s="12"/>
      <c r="U21" s="12"/>
      <c r="V21" s="254"/>
      <c r="Y21" s="77"/>
      <c r="AB21" s="195"/>
      <c r="AH21" s="195" t="e">
        <f>SUM(#REF!)</f>
        <v>#REF!</v>
      </c>
      <c r="AI21" s="195"/>
      <c r="AJ21" s="195"/>
      <c r="AK21" s="195"/>
      <c r="AL21" s="195"/>
      <c r="AM21" s="195"/>
      <c r="AN21" s="195">
        <f>SUM(AN19:AN20)</f>
        <v>0</v>
      </c>
      <c r="AO21" s="195">
        <f>SUM(AO19:AO20)</f>
        <v>0</v>
      </c>
      <c r="AP21" s="195">
        <f>SUM(AP19:AP20)</f>
        <v>1738.09</v>
      </c>
      <c r="AS21" s="13">
        <f>SUM(AS19:AS20)</f>
        <v>11.97</v>
      </c>
      <c r="AT21" s="13">
        <f>SUM(AT19:AT20)</f>
        <v>11.97</v>
      </c>
      <c r="AU21" s="13">
        <f>SUM(AU19:AU20)</f>
        <v>11.97</v>
      </c>
      <c r="AV21" s="13">
        <f>SUM(AV13:AV20)</f>
        <v>23.94</v>
      </c>
      <c r="AW21" s="13">
        <f>SUM(AW19:AW20)</f>
        <v>11.97</v>
      </c>
      <c r="AY21" s="77"/>
      <c r="BB21" s="195"/>
      <c r="BC21" s="13">
        <f>SUM(BC20)</f>
        <v>13.658600747235374</v>
      </c>
      <c r="BD21" s="13">
        <f t="shared" ref="BD21:BJ21" si="2">SUM(BD19:BD20)</f>
        <v>13.658600747235374</v>
      </c>
      <c r="BE21" s="13">
        <f t="shared" si="2"/>
        <v>13.658600747235374</v>
      </c>
      <c r="BF21" s="13">
        <f t="shared" si="2"/>
        <v>13.658600747235374</v>
      </c>
      <c r="BG21" s="13">
        <f t="shared" si="2"/>
        <v>12.27</v>
      </c>
      <c r="BH21" s="13">
        <f t="shared" si="2"/>
        <v>12.27</v>
      </c>
      <c r="BI21" s="13">
        <f t="shared" si="2"/>
        <v>12.27</v>
      </c>
      <c r="BJ21" s="13">
        <f t="shared" si="2"/>
        <v>0</v>
      </c>
      <c r="BK21" s="13">
        <f>SUM(BK13:BK20)</f>
        <v>3060.3443331196077</v>
      </c>
      <c r="BL21" s="13">
        <f>SUM(BL19:BL20)</f>
        <v>0</v>
      </c>
      <c r="BM21" s="13">
        <f>SUM(BM19:BM20)</f>
        <v>0</v>
      </c>
      <c r="BN21" s="13">
        <f>SUM(BN13:BN20)</f>
        <v>12.27</v>
      </c>
      <c r="BO21" s="13">
        <f>SUM(BO13:BO20)</f>
        <v>25.93</v>
      </c>
      <c r="BP21" s="13">
        <f>SUM(BP19:BP20)</f>
        <v>13.66</v>
      </c>
      <c r="BQ21" s="13"/>
      <c r="BR21" s="13">
        <f>SUM(BR17:BR20)</f>
        <v>2971.6743331196076</v>
      </c>
      <c r="BT21" s="77"/>
      <c r="BW21" s="13">
        <f>SUM(BW13:BW20)</f>
        <v>336.46665014764665</v>
      </c>
      <c r="BX21" s="13">
        <f>SUM(BX13:BX20)</f>
        <v>28.38</v>
      </c>
      <c r="BY21" s="13">
        <f>SUM(BY13:BY20)</f>
        <v>28.38</v>
      </c>
      <c r="BZ21" s="13">
        <f>SUM(BZ17:BZ20)</f>
        <v>28.38</v>
      </c>
      <c r="CA21" s="13">
        <f>SUM(CA13:CA20)</f>
        <v>28.38</v>
      </c>
      <c r="CB21" s="13">
        <f>SUM(CB13:CB20)</f>
        <v>28.38</v>
      </c>
      <c r="CC21" s="524">
        <f>SUM(CC18:CC20)</f>
        <v>28.38</v>
      </c>
      <c r="CD21" s="524">
        <f>SUM(CD19:CD20)</f>
        <v>15.2</v>
      </c>
      <c r="CE21" s="13">
        <f>SUM(CE13:CE20)</f>
        <v>198.66000000000003</v>
      </c>
      <c r="CF21" s="290">
        <f>SUM(CF13:CF20)</f>
        <v>14024.984333119606</v>
      </c>
      <c r="CG21" s="290">
        <f t="shared" ref="CG21:CM21" si="3">SUM(CG13:CG20)</f>
        <v>330.40999999999997</v>
      </c>
      <c r="CH21" s="290">
        <f t="shared" si="3"/>
        <v>330.40999999999997</v>
      </c>
      <c r="CI21" s="524">
        <f>SUM(CI13:CI20)</f>
        <v>330.40999999999997</v>
      </c>
      <c r="CJ21" s="524">
        <f>SUM(CJ13:CJ20)</f>
        <v>330.40999999999997</v>
      </c>
      <c r="CK21" s="524">
        <f>SUM(CK13:CK20)</f>
        <v>330.40999999999997</v>
      </c>
      <c r="CL21" s="290">
        <f t="shared" si="3"/>
        <v>1652.05</v>
      </c>
      <c r="CM21" s="290">
        <f t="shared" si="3"/>
        <v>12372.934333119607</v>
      </c>
      <c r="CO21" s="77"/>
      <c r="CR21" s="13">
        <f t="shared" ref="CR21:CX21" si="4">SUM(CR13:CR20)</f>
        <v>305.52466942941686</v>
      </c>
      <c r="CS21" s="13">
        <f t="shared" si="4"/>
        <v>305.52466942941686</v>
      </c>
      <c r="CT21" s="13">
        <f t="shared" si="4"/>
        <v>305.52466942941686</v>
      </c>
      <c r="CU21" s="13">
        <f t="shared" si="4"/>
        <v>305.52466942941686</v>
      </c>
      <c r="CV21" s="13">
        <f t="shared" si="4"/>
        <v>305.52466942941686</v>
      </c>
      <c r="CW21" s="13">
        <f t="shared" si="4"/>
        <v>305.52466942941686</v>
      </c>
      <c r="CX21" s="13">
        <f t="shared" si="4"/>
        <v>305.52466942941686</v>
      </c>
      <c r="CY21" s="524">
        <f t="shared" ref="CY21:DJ21" si="5">SUM(CY14:CY20)</f>
        <v>305.52466942941686</v>
      </c>
      <c r="CZ21" s="524">
        <f t="shared" si="5"/>
        <v>305.52466942941686</v>
      </c>
      <c r="DA21" s="524">
        <f t="shared" si="5"/>
        <v>305.52466942941686</v>
      </c>
      <c r="DB21" s="524">
        <f t="shared" si="5"/>
        <v>305.52466942941686</v>
      </c>
      <c r="DC21" s="524">
        <f t="shared" si="5"/>
        <v>305.52466942941686</v>
      </c>
      <c r="DD21" s="524">
        <f t="shared" ref="DD21:DI21" si="6">SUM(DD14:DD20)</f>
        <v>305.52466942941686</v>
      </c>
      <c r="DE21" s="524">
        <f t="shared" si="6"/>
        <v>305.52466942941686</v>
      </c>
      <c r="DF21" s="524">
        <f t="shared" si="6"/>
        <v>305.52466942941686</v>
      </c>
      <c r="DG21" s="524">
        <f t="shared" si="6"/>
        <v>305.52466942941686</v>
      </c>
      <c r="DH21" s="524">
        <f t="shared" si="6"/>
        <v>305.52466942941686</v>
      </c>
      <c r="DI21" s="524">
        <f t="shared" si="6"/>
        <v>305.52466942941686</v>
      </c>
      <c r="DJ21" s="524">
        <f t="shared" si="5"/>
        <v>305.52466942941686</v>
      </c>
      <c r="DK21" s="13">
        <f>SUM(DK13:DK20)</f>
        <v>5499.4440497295036</v>
      </c>
      <c r="DL21" s="13">
        <f>SUM(DL13:DL20)</f>
        <v>6873.4902833901033</v>
      </c>
    </row>
    <row r="22" spans="1:116" x14ac:dyDescent="0.2">
      <c r="A22" s="110" t="s">
        <v>315</v>
      </c>
      <c r="B22" s="87"/>
      <c r="C22" s="87"/>
      <c r="D22" s="88"/>
      <c r="E22" s="88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9"/>
      <c r="S22" s="89"/>
      <c r="T22" s="90"/>
      <c r="U22" s="90"/>
      <c r="V22" s="104"/>
      <c r="Y22" s="77"/>
      <c r="AP22" s="69"/>
      <c r="AY22" s="77"/>
      <c r="BK22" s="13">
        <f>BK21-BL21-BM21</f>
        <v>3060.3443331196077</v>
      </c>
      <c r="BT22" s="77"/>
      <c r="CB22" s="13"/>
      <c r="CM22" s="289">
        <f>CF21-CL21</f>
        <v>12372.934333119607</v>
      </c>
      <c r="CO22" s="77"/>
      <c r="CW22" s="13"/>
      <c r="DL22" s="289">
        <f>CM22-DK21</f>
        <v>6873.4902833901033</v>
      </c>
    </row>
    <row r="23" spans="1:116" x14ac:dyDescent="0.2">
      <c r="A23" s="10"/>
      <c r="D23" s="18"/>
      <c r="E23" s="18"/>
      <c r="R23" s="19"/>
      <c r="S23" s="19"/>
      <c r="T23" s="12"/>
      <c r="U23" s="12"/>
      <c r="V23" s="104"/>
      <c r="Y23" s="77"/>
      <c r="AP23" s="69"/>
      <c r="AY23" s="77"/>
      <c r="BT23" s="77"/>
      <c r="CF23" s="289">
        <f>BR21-CE21</f>
        <v>2773.0143331196077</v>
      </c>
      <c r="CO23" s="77"/>
    </row>
    <row r="24" spans="1:116" x14ac:dyDescent="0.2">
      <c r="D24" s="18"/>
      <c r="E24" s="18"/>
      <c r="R24" s="19"/>
      <c r="S24" s="19"/>
      <c r="T24" s="12"/>
      <c r="U24" s="12"/>
      <c r="V24" s="104"/>
      <c r="Y24" s="77"/>
      <c r="AA24" s="12"/>
      <c r="AO24" s="104"/>
      <c r="AP24" s="69"/>
      <c r="AY24" s="77"/>
      <c r="BA24" s="12"/>
      <c r="BT24" s="77"/>
      <c r="BV24" s="12"/>
      <c r="CO24" s="77"/>
      <c r="CQ24" s="12"/>
    </row>
  </sheetData>
  <mergeCells count="38">
    <mergeCell ref="DL11:DL12"/>
    <mergeCell ref="CL11:CL12"/>
    <mergeCell ref="CM11:CM12"/>
    <mergeCell ref="CQ11:CQ12"/>
    <mergeCell ref="CR11:CR12"/>
    <mergeCell ref="DK11:DK12"/>
    <mergeCell ref="D10:P10"/>
    <mergeCell ref="R10:T10"/>
    <mergeCell ref="U10:AP10"/>
    <mergeCell ref="H11:H12"/>
    <mergeCell ref="I11:I12"/>
    <mergeCell ref="AA11:AA12"/>
    <mergeCell ref="AB11:AB12"/>
    <mergeCell ref="W11:W12"/>
    <mergeCell ref="J11:J12"/>
    <mergeCell ref="K11:K12"/>
    <mergeCell ref="L11:L12"/>
    <mergeCell ref="M11:M12"/>
    <mergeCell ref="O11:O12"/>
    <mergeCell ref="Q11:Q12"/>
    <mergeCell ref="A11:A12"/>
    <mergeCell ref="B11:B12"/>
    <mergeCell ref="E11:E12"/>
    <mergeCell ref="F11:F12"/>
    <mergeCell ref="G11:G12"/>
    <mergeCell ref="BV11:BV12"/>
    <mergeCell ref="BW11:BW12"/>
    <mergeCell ref="R11:R12"/>
    <mergeCell ref="S11:S12"/>
    <mergeCell ref="AQ11:AQ12"/>
    <mergeCell ref="AR11:AR12"/>
    <mergeCell ref="T11:T12"/>
    <mergeCell ref="U11:U12"/>
    <mergeCell ref="V11:V12"/>
    <mergeCell ref="BA11:BA12"/>
    <mergeCell ref="BB11:BB12"/>
    <mergeCell ref="BQ11:BQ12"/>
    <mergeCell ref="BR11:BR12"/>
  </mergeCells>
  <pageMargins left="0.19685039370078741" right="0.19685039370078741" top="0.78740157480314965" bottom="0.39370078740157483" header="0.31496062992125984" footer="0.31496062992125984"/>
  <pageSetup scale="60" orientation="landscape" r:id="rId1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DN94"/>
  <sheetViews>
    <sheetView topLeftCell="C56" zoomScaleNormal="100" workbookViewId="0">
      <selection activeCell="DL91" sqref="DL91"/>
    </sheetView>
  </sheetViews>
  <sheetFormatPr baseColWidth="10" defaultRowHeight="12.75" x14ac:dyDescent="0.2"/>
  <cols>
    <col min="1" max="1" width="16.28515625" customWidth="1"/>
    <col min="2" max="2" width="17.140625" customWidth="1"/>
    <col min="3" max="3" width="14" customWidth="1"/>
    <col min="4" max="4" width="7" customWidth="1"/>
    <col min="5" max="5" width="12" customWidth="1"/>
    <col min="6" max="6" width="9.140625" customWidth="1"/>
    <col min="7" max="7" width="5.5703125" customWidth="1"/>
    <col min="8" max="8" width="6.85546875" hidden="1" customWidth="1"/>
    <col min="9" max="9" width="7.7109375" hidden="1" customWidth="1"/>
    <col min="10" max="10" width="8" hidden="1" customWidth="1"/>
    <col min="11" max="11" width="9.140625" hidden="1" customWidth="1"/>
    <col min="12" max="12" width="7.7109375" hidden="1" customWidth="1"/>
    <col min="13" max="13" width="8.85546875" hidden="1" customWidth="1"/>
    <col min="14" max="14" width="7.85546875" hidden="1" customWidth="1"/>
    <col min="15" max="15" width="9.7109375" hidden="1" customWidth="1"/>
    <col min="16" max="16" width="8.42578125" customWidth="1"/>
    <col min="17" max="17" width="10.85546875" customWidth="1"/>
    <col min="18" max="18" width="11.42578125" customWidth="1"/>
    <col min="19" max="19" width="11.5703125" customWidth="1"/>
    <col min="20" max="20" width="9" customWidth="1"/>
    <col min="21" max="22" width="8.7109375" hidden="1" customWidth="1"/>
    <col min="23" max="23" width="8" hidden="1" customWidth="1"/>
    <col min="24" max="24" width="8.140625" hidden="1" customWidth="1"/>
    <col min="25" max="25" width="10" hidden="1" customWidth="1"/>
    <col min="26" max="27" width="8.5703125" hidden="1" customWidth="1"/>
    <col min="28" max="28" width="6.42578125" hidden="1" customWidth="1"/>
    <col min="29" max="29" width="9.42578125" hidden="1" customWidth="1"/>
    <col min="30" max="30" width="9.28515625" hidden="1" customWidth="1"/>
    <col min="31" max="41" width="11.42578125" hidden="1" customWidth="1"/>
    <col min="42" max="42" width="11.7109375" hidden="1" customWidth="1"/>
    <col min="43" max="43" width="10.140625" hidden="1" customWidth="1"/>
    <col min="44" max="44" width="11.140625" hidden="1" customWidth="1"/>
    <col min="45" max="45" width="7.42578125" hidden="1" customWidth="1"/>
    <col min="46" max="46" width="6.5703125" hidden="1" customWidth="1"/>
    <col min="47" max="47" width="9" hidden="1" customWidth="1"/>
    <col min="48" max="48" width="10" hidden="1" customWidth="1"/>
    <col min="49" max="49" width="11.42578125" hidden="1" customWidth="1"/>
    <col min="50" max="50" width="10.28515625" hidden="1" customWidth="1"/>
    <col min="51" max="51" width="10.140625" hidden="1" customWidth="1"/>
    <col min="52" max="53" width="8.5703125" hidden="1" customWidth="1"/>
    <col min="54" max="54" width="6.42578125" hidden="1" customWidth="1"/>
    <col min="55" max="55" width="8" hidden="1" customWidth="1"/>
    <col min="56" max="56" width="9.140625" hidden="1" customWidth="1"/>
    <col min="57" max="62" width="9" hidden="1" customWidth="1"/>
    <col min="63" max="63" width="11.42578125" hidden="1" customWidth="1"/>
    <col min="64" max="64" width="9.7109375" hidden="1" customWidth="1"/>
    <col min="65" max="65" width="11" style="436" hidden="1" customWidth="1"/>
    <col min="66" max="66" width="9" hidden="1" customWidth="1"/>
    <col min="67" max="67" width="10" hidden="1" customWidth="1"/>
    <col min="68" max="69" width="11.42578125" hidden="1" customWidth="1"/>
    <col min="70" max="70" width="7.7109375" hidden="1" customWidth="1"/>
    <col min="71" max="71" width="11.140625" hidden="1" customWidth="1"/>
    <col min="72" max="72" width="9.85546875" hidden="1" customWidth="1"/>
    <col min="73" max="74" width="8.5703125" hidden="1" customWidth="1"/>
    <col min="75" max="75" width="6.85546875" hidden="1" customWidth="1"/>
    <col min="76" max="76" width="9.42578125" hidden="1" customWidth="1"/>
    <col min="77" max="77" width="9.140625" hidden="1" customWidth="1"/>
    <col min="78" max="80" width="9" hidden="1" customWidth="1"/>
    <col min="81" max="81" width="13.42578125" hidden="1" customWidth="1"/>
    <col min="82" max="82" width="12.28515625" hidden="1" customWidth="1"/>
    <col min="83" max="83" width="11.85546875" hidden="1" customWidth="1"/>
    <col min="84" max="84" width="11.42578125" hidden="1" customWidth="1"/>
    <col min="85" max="85" width="9.7109375" hidden="1" customWidth="1"/>
    <col min="86" max="86" width="12.5703125" style="436" hidden="1" customWidth="1"/>
    <col min="87" max="87" width="9.7109375" hidden="1" customWidth="1"/>
    <col min="88" max="91" width="11.42578125" hidden="1" customWidth="1"/>
    <col min="92" max="92" width="8.85546875" hidden="1" customWidth="1"/>
    <col min="93" max="93" width="12.28515625" customWidth="1"/>
    <col min="94" max="98" width="11.42578125" customWidth="1"/>
    <col min="99" max="115" width="11.42578125" hidden="1" customWidth="1"/>
    <col min="116" max="118" width="11.42578125" customWidth="1"/>
  </cols>
  <sheetData>
    <row r="1" spans="1:118" x14ac:dyDescent="0.2">
      <c r="A1" s="637"/>
      <c r="B1" s="638" t="s">
        <v>27</v>
      </c>
      <c r="C1" s="637"/>
      <c r="D1" s="639"/>
      <c r="E1" s="639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40"/>
      <c r="S1" s="640"/>
      <c r="T1" s="637"/>
      <c r="U1" s="637"/>
      <c r="V1" s="661"/>
      <c r="W1" s="662"/>
      <c r="X1" s="662"/>
      <c r="Y1" s="663"/>
      <c r="Z1" s="662"/>
      <c r="AA1" s="662"/>
      <c r="AB1" s="662"/>
      <c r="AC1" s="662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62" t="s">
        <v>1072</v>
      </c>
      <c r="AO1" s="637"/>
      <c r="AP1" s="664"/>
      <c r="AQ1" s="637"/>
      <c r="AR1" s="637"/>
      <c r="AS1" s="637"/>
      <c r="AT1" s="637"/>
      <c r="AU1" s="637"/>
      <c r="AV1" s="637"/>
      <c r="AW1" s="637"/>
      <c r="AX1" s="637"/>
      <c r="AY1" s="637"/>
      <c r="AZ1" s="662"/>
      <c r="BA1" s="662"/>
      <c r="BB1" s="662"/>
      <c r="BC1" s="662"/>
      <c r="BD1" s="637"/>
      <c r="BE1" s="637"/>
      <c r="BF1" s="637"/>
      <c r="BG1" s="637"/>
      <c r="BH1" s="637"/>
      <c r="BI1" s="637"/>
      <c r="BJ1" s="637"/>
      <c r="BK1" s="637"/>
      <c r="BL1" s="637"/>
      <c r="BM1" s="642"/>
      <c r="BN1" s="637"/>
      <c r="BO1" s="637"/>
      <c r="BP1" s="637"/>
      <c r="BQ1" s="637"/>
      <c r="BR1" s="637"/>
      <c r="BS1" s="637"/>
      <c r="BT1" s="637"/>
      <c r="BU1" s="662"/>
      <c r="BV1" s="662"/>
      <c r="BW1" s="662"/>
      <c r="BX1" s="662"/>
      <c r="BY1" s="637"/>
      <c r="BZ1" s="637"/>
      <c r="CA1" s="637"/>
      <c r="CB1" s="637"/>
      <c r="CC1" s="637"/>
      <c r="CD1" s="637"/>
      <c r="CE1" s="637"/>
      <c r="CF1" s="637"/>
      <c r="CG1" s="637"/>
      <c r="CH1" s="642"/>
    </row>
    <row r="2" spans="1:118" x14ac:dyDescent="0.2">
      <c r="A2" s="637"/>
      <c r="B2" s="638" t="s">
        <v>1273</v>
      </c>
      <c r="C2" s="637"/>
      <c r="D2" s="639"/>
      <c r="E2" s="639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40"/>
      <c r="S2" s="640"/>
      <c r="T2" s="637"/>
      <c r="U2" s="637"/>
      <c r="V2" s="661"/>
      <c r="W2" s="662"/>
      <c r="X2" s="662"/>
      <c r="Y2" s="663"/>
      <c r="Z2" s="662"/>
      <c r="AA2" s="662"/>
      <c r="AB2" s="662"/>
      <c r="AC2" s="662"/>
      <c r="AD2" s="637"/>
      <c r="AE2" s="637"/>
      <c r="AF2" s="637"/>
      <c r="AG2" s="637"/>
      <c r="AH2" s="637"/>
      <c r="AI2" s="637"/>
      <c r="AJ2" s="637"/>
      <c r="AK2" s="637"/>
      <c r="AL2" s="637"/>
      <c r="AM2" s="637"/>
      <c r="AN2" s="637"/>
      <c r="AO2" s="637"/>
      <c r="AP2" s="664"/>
      <c r="AQ2" s="637"/>
      <c r="AR2" s="637"/>
      <c r="AS2" s="637"/>
      <c r="AT2" s="637"/>
      <c r="AU2" s="637"/>
      <c r="AV2" s="637"/>
      <c r="AW2" s="637"/>
      <c r="AX2" s="637"/>
      <c r="AY2" s="637"/>
      <c r="AZ2" s="662"/>
      <c r="BA2" s="662"/>
      <c r="BB2" s="662"/>
      <c r="BC2" s="662"/>
      <c r="BD2" s="637"/>
      <c r="BE2" s="637"/>
      <c r="BF2" s="637"/>
      <c r="BG2" s="637"/>
      <c r="BH2" s="637"/>
      <c r="BI2" s="637"/>
      <c r="BJ2" s="637"/>
      <c r="BK2" s="637"/>
      <c r="BL2" s="637"/>
      <c r="BM2" s="642"/>
      <c r="BN2" s="637"/>
      <c r="BO2" s="637"/>
      <c r="BP2" s="637"/>
      <c r="BQ2" s="637"/>
      <c r="BR2" s="637"/>
      <c r="BS2" s="637"/>
      <c r="BT2" s="637"/>
      <c r="BU2" s="662"/>
      <c r="BV2" s="662"/>
      <c r="BW2" s="662"/>
      <c r="BX2" s="662"/>
      <c r="BY2" s="637"/>
      <c r="BZ2" s="637"/>
      <c r="CA2" s="637"/>
      <c r="CB2" s="637"/>
      <c r="CC2" s="637"/>
      <c r="CD2" s="637"/>
      <c r="CE2" s="637"/>
      <c r="CF2" s="637"/>
      <c r="CG2" s="637"/>
      <c r="CH2" s="642"/>
    </row>
    <row r="3" spans="1:118" x14ac:dyDescent="0.2">
      <c r="A3" s="637"/>
      <c r="B3" s="637"/>
      <c r="C3" s="638"/>
      <c r="D3" s="641"/>
      <c r="E3" s="639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38"/>
      <c r="S3" s="638"/>
      <c r="T3" s="642"/>
      <c r="U3" s="642"/>
      <c r="V3" s="665"/>
      <c r="W3" s="662"/>
      <c r="X3" s="662"/>
      <c r="Y3" s="663"/>
      <c r="Z3" s="662"/>
      <c r="AA3" s="662"/>
      <c r="AB3" s="662"/>
      <c r="AC3" s="662"/>
      <c r="AD3" s="637"/>
      <c r="AE3" s="637"/>
      <c r="AF3" s="637"/>
      <c r="AG3" s="637"/>
      <c r="AH3" s="637"/>
      <c r="AI3" s="637"/>
      <c r="AJ3" s="637"/>
      <c r="AK3" s="637"/>
      <c r="AL3" s="637"/>
      <c r="AM3" s="637"/>
      <c r="AN3" s="637"/>
      <c r="AO3" s="637"/>
      <c r="AP3" s="664"/>
      <c r="AQ3" s="637"/>
      <c r="AR3" s="637"/>
      <c r="AS3" s="637"/>
      <c r="AT3" s="637"/>
      <c r="AU3" s="637"/>
      <c r="AV3" s="637"/>
      <c r="AW3" s="637"/>
      <c r="AX3" s="637"/>
      <c r="AY3" s="637"/>
      <c r="AZ3" s="662"/>
      <c r="BA3" s="662"/>
      <c r="BB3" s="662"/>
      <c r="BC3" s="662"/>
      <c r="BD3" s="637"/>
      <c r="BE3" s="637"/>
      <c r="BF3" s="637"/>
      <c r="BG3" s="637"/>
      <c r="BH3" s="637"/>
      <c r="BI3" s="637"/>
      <c r="BJ3" s="637"/>
      <c r="BK3" s="637"/>
      <c r="BL3" s="637"/>
      <c r="BM3" s="642"/>
      <c r="BN3" s="637"/>
      <c r="BO3" s="637"/>
      <c r="BP3" s="637"/>
      <c r="BQ3" s="637"/>
      <c r="BR3" s="637"/>
      <c r="BS3" s="637"/>
      <c r="BT3" s="637"/>
      <c r="BU3" s="662"/>
      <c r="BV3" s="662"/>
      <c r="BW3" s="662"/>
      <c r="BX3" s="662"/>
      <c r="BY3" s="637"/>
      <c r="BZ3" s="637"/>
      <c r="CA3" s="637"/>
      <c r="CB3" s="637"/>
      <c r="CC3" s="637"/>
      <c r="CD3" s="637"/>
      <c r="CE3" s="637"/>
      <c r="CF3" s="637"/>
      <c r="CG3" s="637"/>
      <c r="CH3" s="642"/>
    </row>
    <row r="4" spans="1:118" x14ac:dyDescent="0.2">
      <c r="A4" s="637"/>
      <c r="B4" s="637" t="s">
        <v>309</v>
      </c>
      <c r="C4" s="638"/>
      <c r="D4" s="641"/>
      <c r="E4" s="639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38"/>
      <c r="S4" s="638"/>
      <c r="T4" s="642"/>
      <c r="U4" s="642"/>
      <c r="V4" s="665"/>
      <c r="W4" s="662"/>
      <c r="X4" s="662"/>
      <c r="Y4" s="663"/>
      <c r="Z4" s="662"/>
      <c r="AA4" s="662"/>
      <c r="AB4" s="662"/>
      <c r="AC4" s="662"/>
      <c r="AD4" s="637"/>
      <c r="AE4" s="637"/>
      <c r="AF4" s="637"/>
      <c r="AG4" s="637"/>
      <c r="AH4" s="637"/>
      <c r="AI4" s="637"/>
      <c r="AJ4" s="637"/>
      <c r="AK4" s="637"/>
      <c r="AL4" s="637"/>
      <c r="AM4" s="637"/>
      <c r="AN4" s="637"/>
      <c r="AO4" s="637"/>
      <c r="AP4" s="664"/>
      <c r="AQ4" s="637"/>
      <c r="AR4" s="637"/>
      <c r="AS4" s="637"/>
      <c r="AT4" s="637"/>
      <c r="AU4" s="637"/>
      <c r="AV4" s="637"/>
      <c r="AW4" s="637"/>
      <c r="AX4" s="637"/>
      <c r="AY4" s="637"/>
      <c r="AZ4" s="662"/>
      <c r="BA4" s="662"/>
      <c r="BB4" s="662"/>
      <c r="BC4" s="662"/>
      <c r="BD4" s="637"/>
      <c r="BE4" s="637"/>
      <c r="BF4" s="637"/>
      <c r="BG4" s="637"/>
      <c r="BH4" s="637"/>
      <c r="BI4" s="637"/>
      <c r="BJ4" s="637"/>
      <c r="BK4" s="637"/>
      <c r="BL4" s="637"/>
      <c r="BM4" s="642"/>
      <c r="BN4" s="637"/>
      <c r="BO4" s="637"/>
      <c r="BP4" s="637"/>
      <c r="BQ4" s="637"/>
      <c r="BR4" s="637"/>
      <c r="BS4" s="637"/>
      <c r="BT4" s="637"/>
      <c r="BU4" s="662"/>
      <c r="BV4" s="662"/>
      <c r="BW4" s="662"/>
      <c r="BX4" s="662"/>
      <c r="BY4" s="637"/>
      <c r="BZ4" s="637"/>
      <c r="CA4" s="637"/>
      <c r="CB4" s="637"/>
      <c r="CC4" s="637"/>
      <c r="CD4" s="637"/>
      <c r="CE4" s="637"/>
      <c r="CF4" s="637"/>
      <c r="CG4" s="637"/>
      <c r="CH4" s="642"/>
    </row>
    <row r="5" spans="1:118" x14ac:dyDescent="0.2">
      <c r="A5" s="637"/>
      <c r="B5" s="642" t="s">
        <v>427</v>
      </c>
      <c r="C5" s="637"/>
      <c r="D5" s="639"/>
      <c r="E5" s="639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40"/>
      <c r="S5" s="640"/>
      <c r="T5" s="637"/>
      <c r="U5" s="637"/>
      <c r="V5" s="661"/>
      <c r="W5" s="662"/>
      <c r="X5" s="662"/>
      <c r="Y5" s="663"/>
      <c r="Z5" s="662"/>
      <c r="AA5" s="662"/>
      <c r="AB5" s="662"/>
      <c r="AC5" s="662"/>
      <c r="AD5" s="637"/>
      <c r="AE5" s="637"/>
      <c r="AF5" s="637"/>
      <c r="AG5" s="637"/>
      <c r="AH5" s="637"/>
      <c r="AI5" s="637"/>
      <c r="AJ5" s="637"/>
      <c r="AK5" s="637"/>
      <c r="AL5" s="637"/>
      <c r="AM5" s="637"/>
      <c r="AN5" s="637"/>
      <c r="AO5" s="637"/>
      <c r="AP5" s="664"/>
      <c r="AQ5" s="637"/>
      <c r="AR5" s="637"/>
      <c r="AS5" s="637"/>
      <c r="AT5" s="637"/>
      <c r="AU5" s="637"/>
      <c r="AV5" s="637"/>
      <c r="AW5" s="637"/>
      <c r="AX5" s="637"/>
      <c r="AY5" s="637"/>
      <c r="AZ5" s="662"/>
      <c r="BA5" s="662"/>
      <c r="BB5" s="662"/>
      <c r="BC5" s="662"/>
      <c r="BD5" s="637"/>
      <c r="BE5" s="637"/>
      <c r="BF5" s="637"/>
      <c r="BG5" s="637"/>
      <c r="BH5" s="637"/>
      <c r="BI5" s="637"/>
      <c r="BJ5" s="637"/>
      <c r="BK5" s="637"/>
      <c r="BL5" s="637"/>
      <c r="BM5" s="642"/>
      <c r="BN5" s="637"/>
      <c r="BO5" s="637"/>
      <c r="BP5" s="637"/>
      <c r="BQ5" s="637"/>
      <c r="BR5" s="637"/>
      <c r="BS5" s="637"/>
      <c r="BT5" s="637"/>
      <c r="BU5" s="662"/>
      <c r="BV5" s="662"/>
      <c r="BW5" s="662"/>
      <c r="BX5" s="662"/>
      <c r="BY5" s="637"/>
      <c r="BZ5" s="637"/>
      <c r="CA5" s="637"/>
      <c r="CB5" s="637"/>
      <c r="CC5" s="637"/>
      <c r="CD5" s="637"/>
      <c r="CE5" s="637"/>
      <c r="CF5" s="637"/>
      <c r="CG5" s="637"/>
      <c r="CH5" s="642"/>
    </row>
    <row r="6" spans="1:118" x14ac:dyDescent="0.2">
      <c r="A6" s="637"/>
      <c r="B6" s="637" t="s">
        <v>1272</v>
      </c>
      <c r="C6" s="637"/>
      <c r="D6" s="639"/>
      <c r="E6" s="639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40"/>
      <c r="S6" s="640"/>
      <c r="T6" s="637"/>
      <c r="U6" s="637"/>
      <c r="V6" s="661"/>
      <c r="W6" s="662"/>
      <c r="X6" s="662"/>
      <c r="Y6" s="663"/>
      <c r="Z6" s="662"/>
      <c r="AA6" s="662"/>
      <c r="AB6" s="662"/>
      <c r="AC6" s="662"/>
      <c r="AD6" s="637"/>
      <c r="AE6" s="637"/>
      <c r="AF6" s="637"/>
      <c r="AG6" s="637"/>
      <c r="AH6" s="637"/>
      <c r="AI6" s="637"/>
      <c r="AJ6" s="637"/>
      <c r="AK6" s="637"/>
      <c r="AL6" s="637"/>
      <c r="AM6" s="637"/>
      <c r="AN6" s="637"/>
      <c r="AO6" s="637"/>
      <c r="AP6" s="664"/>
      <c r="AQ6" s="637"/>
      <c r="AR6" s="637"/>
      <c r="AS6" s="637"/>
      <c r="AT6" s="637"/>
      <c r="AU6" s="637"/>
      <c r="AV6" s="637"/>
      <c r="AW6" s="637"/>
      <c r="AX6" s="637"/>
      <c r="AY6" s="637"/>
      <c r="AZ6" s="662"/>
      <c r="BA6" s="662"/>
      <c r="BB6" s="662"/>
      <c r="BC6" s="662"/>
      <c r="BD6" s="637"/>
      <c r="BE6" s="637"/>
      <c r="BF6" s="637"/>
      <c r="BG6" s="637"/>
      <c r="BH6" s="637"/>
      <c r="BI6" s="637"/>
      <c r="BJ6" s="637"/>
      <c r="BK6" s="637"/>
      <c r="BL6" s="637"/>
      <c r="BM6" s="642"/>
      <c r="BN6" s="637"/>
      <c r="BO6" s="637"/>
      <c r="BP6" s="637"/>
      <c r="BQ6" s="637"/>
      <c r="BR6" s="637"/>
      <c r="BS6" s="637"/>
      <c r="BT6" s="637"/>
      <c r="BU6" s="662"/>
      <c r="BV6" s="662"/>
      <c r="BW6" s="662"/>
      <c r="BX6" s="662"/>
      <c r="BY6" s="637"/>
      <c r="BZ6" s="637"/>
      <c r="CA6" s="637"/>
      <c r="CB6" s="637"/>
      <c r="CC6" s="637"/>
      <c r="CD6" s="637"/>
      <c r="CE6" s="637"/>
      <c r="CF6" s="637"/>
      <c r="CG6" s="637"/>
      <c r="CH6" s="642"/>
    </row>
    <row r="7" spans="1:118" x14ac:dyDescent="0.2">
      <c r="A7" s="637"/>
      <c r="B7" s="637"/>
      <c r="C7" s="637"/>
      <c r="D7" s="639"/>
      <c r="E7" s="639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40"/>
      <c r="S7" s="640"/>
      <c r="T7" s="637"/>
      <c r="U7" s="637"/>
      <c r="V7" s="661"/>
      <c r="W7" s="662"/>
      <c r="X7" s="662"/>
      <c r="Y7" s="663"/>
      <c r="Z7" s="662"/>
      <c r="AA7" s="662"/>
      <c r="AB7" s="662"/>
      <c r="AC7" s="662"/>
      <c r="AD7" s="637"/>
      <c r="AE7" s="637"/>
      <c r="AF7" s="637"/>
      <c r="AG7" s="637"/>
      <c r="AH7" s="637"/>
      <c r="AI7" s="637"/>
      <c r="AJ7" s="637"/>
      <c r="AK7" s="637"/>
      <c r="AL7" s="637"/>
      <c r="AM7" s="637"/>
      <c r="AN7" s="637"/>
      <c r="AO7" s="637"/>
      <c r="AP7" s="664"/>
      <c r="AQ7" s="637"/>
      <c r="AR7" s="637"/>
      <c r="AS7" s="637"/>
      <c r="AT7" s="637"/>
      <c r="AU7" s="637"/>
      <c r="AV7" s="637"/>
      <c r="AW7" s="637"/>
      <c r="AX7" s="637"/>
      <c r="AY7" s="637"/>
      <c r="AZ7" s="662"/>
      <c r="BA7" s="662"/>
      <c r="BB7" s="662"/>
      <c r="BC7" s="662"/>
      <c r="BD7" s="637"/>
      <c r="BE7" s="637"/>
      <c r="BF7" s="637"/>
      <c r="BG7" s="637"/>
      <c r="BH7" s="637"/>
      <c r="BI7" s="637"/>
      <c r="BJ7" s="637"/>
      <c r="BK7" s="637"/>
      <c r="BL7" s="637"/>
      <c r="BM7" s="642"/>
      <c r="BN7" s="637"/>
      <c r="BO7" s="637"/>
      <c r="BP7" s="637"/>
      <c r="BQ7" s="637"/>
      <c r="BR7" s="637"/>
      <c r="BS7" s="637"/>
      <c r="BT7" s="637"/>
      <c r="BU7" s="662"/>
      <c r="BV7" s="662"/>
      <c r="BW7" s="662"/>
      <c r="BX7" s="662"/>
      <c r="BY7" s="637"/>
      <c r="BZ7" s="637"/>
      <c r="CA7" s="637"/>
      <c r="CB7" s="637"/>
      <c r="CC7" s="637" t="s">
        <v>1100</v>
      </c>
      <c r="CD7" s="637"/>
      <c r="CE7" s="637"/>
      <c r="CF7" s="637"/>
      <c r="CG7" s="637"/>
      <c r="CH7" s="642"/>
    </row>
    <row r="8" spans="1:118" ht="12.75" customHeight="1" x14ac:dyDescent="0.2">
      <c r="A8" s="16"/>
      <c r="B8" s="16"/>
      <c r="C8" s="16"/>
      <c r="D8" s="38"/>
      <c r="E8" s="38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37"/>
      <c r="S8" s="37"/>
      <c r="T8" s="35"/>
      <c r="U8" s="35"/>
      <c r="V8" s="103"/>
      <c r="W8" s="39"/>
      <c r="X8" s="39"/>
      <c r="Y8" s="76"/>
      <c r="Z8" s="39"/>
      <c r="AA8" s="39"/>
      <c r="AB8" s="39"/>
      <c r="AC8" s="39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68"/>
      <c r="AZ8" s="39"/>
      <c r="BA8" s="39"/>
      <c r="BB8" s="39"/>
      <c r="BC8" s="39"/>
      <c r="BD8" s="16"/>
      <c r="BU8" s="39"/>
      <c r="BV8" s="39"/>
      <c r="BW8" s="39"/>
      <c r="BX8" s="39"/>
      <c r="BY8" s="16"/>
    </row>
    <row r="9" spans="1:118" ht="12.75" hidden="1" customHeight="1" x14ac:dyDescent="0.2">
      <c r="A9" s="16"/>
      <c r="B9" s="16"/>
      <c r="C9" s="16"/>
      <c r="D9" s="38"/>
      <c r="E9" s="38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37"/>
      <c r="S9" s="37"/>
      <c r="T9" s="35"/>
      <c r="U9" s="35"/>
      <c r="V9" s="103"/>
      <c r="W9" s="39"/>
      <c r="X9" s="39"/>
      <c r="Y9" s="76"/>
      <c r="Z9" s="39"/>
      <c r="AA9" s="39"/>
      <c r="AB9" s="39"/>
      <c r="AC9" s="39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68"/>
      <c r="AZ9" s="39"/>
      <c r="BA9" s="39"/>
      <c r="BB9" s="39"/>
      <c r="BC9" s="39"/>
      <c r="BD9" s="16"/>
      <c r="BU9" s="39"/>
      <c r="BV9" s="39"/>
      <c r="BW9" s="39"/>
      <c r="BX9" s="39"/>
      <c r="BY9" s="16"/>
    </row>
    <row r="10" spans="1:118" ht="12.75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1260" t="s">
        <v>450</v>
      </c>
      <c r="V10" s="1260"/>
      <c r="W10" s="1260"/>
      <c r="X10" s="1260"/>
      <c r="Y10" s="1260"/>
      <c r="Z10" s="1260"/>
      <c r="AA10" s="1260"/>
      <c r="AB10" s="1260"/>
      <c r="AC10" s="1260"/>
      <c r="AD10" s="1260"/>
      <c r="AE10" s="1260"/>
      <c r="AF10" s="1260"/>
      <c r="AG10" s="1260"/>
      <c r="AH10" s="1260"/>
      <c r="AI10" s="1260"/>
      <c r="AJ10" s="1260"/>
      <c r="AK10" s="1260"/>
      <c r="AL10" s="1260"/>
      <c r="AM10" s="1260"/>
      <c r="AN10" s="1260"/>
      <c r="AO10" s="1260"/>
      <c r="AP10" s="1260"/>
    </row>
    <row r="11" spans="1:118" ht="40.5" customHeight="1" x14ac:dyDescent="0.25">
      <c r="A11" s="1261" t="s">
        <v>57</v>
      </c>
      <c r="B11" s="1261" t="s">
        <v>0</v>
      </c>
      <c r="C11" s="323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1126</v>
      </c>
      <c r="J11" s="1254" t="s">
        <v>1127</v>
      </c>
      <c r="K11" s="1254" t="s">
        <v>534</v>
      </c>
      <c r="L11" s="1254" t="s">
        <v>493</v>
      </c>
      <c r="M11" s="1254" t="s">
        <v>1148</v>
      </c>
      <c r="N11" s="769" t="s">
        <v>529</v>
      </c>
      <c r="O11" s="1254" t="s">
        <v>492</v>
      </c>
      <c r="P11" s="770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1245" t="s">
        <v>595</v>
      </c>
      <c r="V11" s="1245" t="s">
        <v>596</v>
      </c>
      <c r="W11" s="325"/>
      <c r="X11" s="1268" t="s">
        <v>569</v>
      </c>
      <c r="Y11" s="1245" t="s">
        <v>599</v>
      </c>
      <c r="Z11" s="158" t="s">
        <v>15</v>
      </c>
      <c r="AA11" s="159" t="s">
        <v>15</v>
      </c>
      <c r="AB11" s="158" t="s">
        <v>16</v>
      </c>
      <c r="AC11" s="1245" t="s">
        <v>527</v>
      </c>
      <c r="AD11" s="1245" t="s">
        <v>536</v>
      </c>
      <c r="AE11" s="158" t="s">
        <v>3</v>
      </c>
      <c r="AF11" s="158" t="s">
        <v>4</v>
      </c>
      <c r="AG11" s="158" t="s">
        <v>5</v>
      </c>
      <c r="AH11" s="158" t="s">
        <v>6</v>
      </c>
      <c r="AI11" s="158" t="s">
        <v>7</v>
      </c>
      <c r="AJ11" s="158" t="s">
        <v>8</v>
      </c>
      <c r="AK11" s="158" t="s">
        <v>9</v>
      </c>
      <c r="AL11" s="158" t="s">
        <v>10</v>
      </c>
      <c r="AM11" s="158" t="s">
        <v>11</v>
      </c>
      <c r="AN11" s="158" t="s">
        <v>12</v>
      </c>
      <c r="AO11" s="158" t="s">
        <v>13</v>
      </c>
      <c r="AP11" s="158" t="s">
        <v>14</v>
      </c>
      <c r="AQ11" s="196" t="s">
        <v>531</v>
      </c>
      <c r="AR11" s="160" t="s">
        <v>63</v>
      </c>
      <c r="AS11" s="1245" t="s">
        <v>976</v>
      </c>
      <c r="AT11" s="1245" t="s">
        <v>536</v>
      </c>
      <c r="AU11" s="158" t="s">
        <v>3</v>
      </c>
      <c r="AV11" s="158" t="s">
        <v>4</v>
      </c>
      <c r="AW11" s="158" t="s">
        <v>5</v>
      </c>
      <c r="AX11" s="158" t="s">
        <v>6</v>
      </c>
      <c r="AY11" s="158" t="s">
        <v>7</v>
      </c>
      <c r="AZ11" s="158" t="s">
        <v>15</v>
      </c>
      <c r="BA11" s="159" t="s">
        <v>15</v>
      </c>
      <c r="BB11" s="158" t="s">
        <v>16</v>
      </c>
      <c r="BC11" s="1245" t="s">
        <v>1059</v>
      </c>
      <c r="BD11" s="1245" t="s">
        <v>536</v>
      </c>
      <c r="BE11" s="158" t="s">
        <v>8</v>
      </c>
      <c r="BF11" s="158" t="s">
        <v>9</v>
      </c>
      <c r="BG11" s="158" t="s">
        <v>10</v>
      </c>
      <c r="BH11" s="158" t="s">
        <v>11</v>
      </c>
      <c r="BI11" s="158" t="s">
        <v>12</v>
      </c>
      <c r="BJ11" s="158" t="s">
        <v>13</v>
      </c>
      <c r="BK11" s="158" t="s">
        <v>14</v>
      </c>
      <c r="BL11" s="196" t="s">
        <v>989</v>
      </c>
      <c r="BM11" s="196" t="s">
        <v>63</v>
      </c>
      <c r="BN11" s="158" t="s">
        <v>3</v>
      </c>
      <c r="BO11" s="158" t="s">
        <v>4</v>
      </c>
      <c r="BP11" s="158" t="s">
        <v>5</v>
      </c>
      <c r="BQ11" s="158" t="s">
        <v>6</v>
      </c>
      <c r="BR11" s="158" t="s">
        <v>7</v>
      </c>
      <c r="BS11" s="1247" t="s">
        <v>1150</v>
      </c>
      <c r="BT11" s="1247" t="s">
        <v>1134</v>
      </c>
      <c r="BU11" s="158" t="s">
        <v>15</v>
      </c>
      <c r="BV11" s="159" t="s">
        <v>15</v>
      </c>
      <c r="BW11" s="158" t="s">
        <v>16</v>
      </c>
      <c r="BX11" s="1245" t="s">
        <v>1159</v>
      </c>
      <c r="BY11" s="1245" t="s">
        <v>536</v>
      </c>
      <c r="BZ11" s="158" t="s">
        <v>8</v>
      </c>
      <c r="CA11" s="158" t="s">
        <v>9</v>
      </c>
      <c r="CB11" s="158" t="s">
        <v>10</v>
      </c>
      <c r="CC11" s="158" t="s">
        <v>11</v>
      </c>
      <c r="CD11" s="158" t="s">
        <v>12</v>
      </c>
      <c r="CE11" s="158" t="s">
        <v>13</v>
      </c>
      <c r="CF11" s="158" t="s">
        <v>14</v>
      </c>
      <c r="CG11" s="196" t="s">
        <v>1058</v>
      </c>
      <c r="CH11" s="196" t="s">
        <v>63</v>
      </c>
      <c r="CI11" s="158" t="s">
        <v>3</v>
      </c>
      <c r="CJ11" s="158" t="s">
        <v>4</v>
      </c>
      <c r="CK11" s="158" t="s">
        <v>5</v>
      </c>
      <c r="CL11" s="158" t="s">
        <v>6</v>
      </c>
      <c r="CM11" s="158" t="s">
        <v>7</v>
      </c>
      <c r="CN11" s="1247" t="s">
        <v>1252</v>
      </c>
      <c r="CO11" s="1247" t="s">
        <v>1253</v>
      </c>
      <c r="CP11" s="158" t="s">
        <v>15</v>
      </c>
      <c r="CQ11" s="159" t="s">
        <v>15</v>
      </c>
      <c r="CR11" s="158" t="s">
        <v>16</v>
      </c>
      <c r="CS11" s="1245" t="s">
        <v>1254</v>
      </c>
      <c r="CT11" s="1245" t="s">
        <v>536</v>
      </c>
      <c r="CU11" s="158" t="s">
        <v>8</v>
      </c>
      <c r="CV11" s="158" t="s">
        <v>9</v>
      </c>
      <c r="CW11" s="158" t="s">
        <v>10</v>
      </c>
      <c r="CX11" s="158" t="s">
        <v>11</v>
      </c>
      <c r="CY11" s="158" t="s">
        <v>12</v>
      </c>
      <c r="CZ11" s="158" t="s">
        <v>13</v>
      </c>
      <c r="DA11" s="158" t="s">
        <v>14</v>
      </c>
      <c r="DB11" s="158" t="s">
        <v>3</v>
      </c>
      <c r="DC11" s="158" t="s">
        <v>4</v>
      </c>
      <c r="DD11" s="158" t="s">
        <v>5</v>
      </c>
      <c r="DE11" s="158" t="s">
        <v>6</v>
      </c>
      <c r="DF11" s="158" t="s">
        <v>7</v>
      </c>
      <c r="DG11" s="158" t="s">
        <v>8</v>
      </c>
      <c r="DH11" s="158" t="s">
        <v>9</v>
      </c>
      <c r="DI11" s="158" t="s">
        <v>10</v>
      </c>
      <c r="DJ11" s="158" t="s">
        <v>11</v>
      </c>
      <c r="DK11" s="158" t="s">
        <v>12</v>
      </c>
      <c r="DL11" s="158" t="s">
        <v>13</v>
      </c>
      <c r="DM11" s="1247" t="s">
        <v>1274</v>
      </c>
      <c r="DN11" s="1247" t="s">
        <v>1263</v>
      </c>
    </row>
    <row r="12" spans="1:118" ht="33" customHeight="1" x14ac:dyDescent="0.25">
      <c r="A12" s="1262"/>
      <c r="B12" s="1262"/>
      <c r="C12" s="161" t="s">
        <v>427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42916</v>
      </c>
      <c r="O12" s="1255"/>
      <c r="P12" s="194"/>
      <c r="Q12" s="1257"/>
      <c r="R12" s="1251" t="s">
        <v>18</v>
      </c>
      <c r="S12" s="1251" t="s">
        <v>18</v>
      </c>
      <c r="T12" s="1253"/>
      <c r="U12" s="1267"/>
      <c r="V12" s="1267"/>
      <c r="W12" s="326" t="s">
        <v>570</v>
      </c>
      <c r="X12" s="1272"/>
      <c r="Y12" s="1246"/>
      <c r="Z12" s="162" t="s">
        <v>20</v>
      </c>
      <c r="AA12" s="163" t="s">
        <v>21</v>
      </c>
      <c r="AB12" s="162" t="s">
        <v>22</v>
      </c>
      <c r="AC12" s="1246"/>
      <c r="AD12" s="1246"/>
      <c r="AE12" s="162">
        <v>2015</v>
      </c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>
        <v>2015</v>
      </c>
      <c r="AQ12" s="162">
        <v>2015</v>
      </c>
      <c r="AR12" s="162" t="s">
        <v>64</v>
      </c>
      <c r="AS12" s="1246"/>
      <c r="AT12" s="1246"/>
      <c r="AU12" s="162">
        <v>2016</v>
      </c>
      <c r="AV12" s="162">
        <v>2016</v>
      </c>
      <c r="AW12" s="162">
        <v>2016</v>
      </c>
      <c r="AX12" s="162">
        <v>2016</v>
      </c>
      <c r="AY12" s="162">
        <v>2016</v>
      </c>
      <c r="AZ12" s="162" t="s">
        <v>20</v>
      </c>
      <c r="BA12" s="163" t="s">
        <v>21</v>
      </c>
      <c r="BB12" s="162" t="s">
        <v>22</v>
      </c>
      <c r="BC12" s="1246"/>
      <c r="BD12" s="1246"/>
      <c r="BE12" s="162">
        <v>2016</v>
      </c>
      <c r="BF12" s="162">
        <v>2016</v>
      </c>
      <c r="BG12" s="162">
        <v>2016</v>
      </c>
      <c r="BH12" s="162">
        <v>2016</v>
      </c>
      <c r="BI12" s="162">
        <v>2016</v>
      </c>
      <c r="BJ12" s="162">
        <v>2016</v>
      </c>
      <c r="BK12" s="162">
        <v>2016</v>
      </c>
      <c r="BL12" s="162">
        <v>2016</v>
      </c>
      <c r="BM12" s="162" t="s">
        <v>64</v>
      </c>
      <c r="BN12" s="162">
        <v>2017</v>
      </c>
      <c r="BO12" s="162">
        <v>2017</v>
      </c>
      <c r="BP12" s="162">
        <v>2017</v>
      </c>
      <c r="BQ12" s="162">
        <v>2017</v>
      </c>
      <c r="BR12" s="162">
        <v>2017</v>
      </c>
      <c r="BS12" s="1248"/>
      <c r="BT12" s="1248"/>
      <c r="BU12" s="162" t="s">
        <v>20</v>
      </c>
      <c r="BV12" s="163" t="s">
        <v>21</v>
      </c>
      <c r="BW12" s="162" t="s">
        <v>22</v>
      </c>
      <c r="BX12" s="1246"/>
      <c r="BY12" s="1246"/>
      <c r="BZ12" s="162">
        <v>2017</v>
      </c>
      <c r="CA12" s="162">
        <v>2017</v>
      </c>
      <c r="CB12" s="162">
        <v>2017</v>
      </c>
      <c r="CC12" s="162">
        <v>2017</v>
      </c>
      <c r="CD12" s="162">
        <v>2017</v>
      </c>
      <c r="CE12" s="162">
        <v>2017</v>
      </c>
      <c r="CF12" s="162">
        <v>2017</v>
      </c>
      <c r="CG12" s="162">
        <v>2017</v>
      </c>
      <c r="CH12" s="162" t="s">
        <v>64</v>
      </c>
      <c r="CI12" s="162">
        <v>2018</v>
      </c>
      <c r="CJ12" s="162">
        <v>2018</v>
      </c>
      <c r="CK12" s="162">
        <v>2018</v>
      </c>
      <c r="CL12" s="162">
        <v>2018</v>
      </c>
      <c r="CM12" s="162">
        <v>2018</v>
      </c>
      <c r="CN12" s="1248"/>
      <c r="CO12" s="1248"/>
      <c r="CP12" s="162" t="s">
        <v>20</v>
      </c>
      <c r="CQ12" s="163" t="s">
        <v>21</v>
      </c>
      <c r="CR12" s="162" t="s">
        <v>22</v>
      </c>
      <c r="CS12" s="1246"/>
      <c r="CT12" s="1246"/>
      <c r="CU12" s="162">
        <v>2018</v>
      </c>
      <c r="CV12" s="162">
        <v>2018</v>
      </c>
      <c r="CW12" s="162">
        <v>2018</v>
      </c>
      <c r="CX12" s="162">
        <v>2018</v>
      </c>
      <c r="CY12" s="162">
        <v>2018</v>
      </c>
      <c r="CZ12" s="162">
        <v>2018</v>
      </c>
      <c r="DA12" s="162">
        <v>2018</v>
      </c>
      <c r="DB12" s="162">
        <v>2019</v>
      </c>
      <c r="DC12" s="162">
        <v>2019</v>
      </c>
      <c r="DD12" s="162">
        <v>2019</v>
      </c>
      <c r="DE12" s="162">
        <v>2019</v>
      </c>
      <c r="DF12" s="162">
        <v>2019</v>
      </c>
      <c r="DG12" s="162">
        <v>2019</v>
      </c>
      <c r="DH12" s="162">
        <v>2019</v>
      </c>
      <c r="DI12" s="162">
        <v>2019</v>
      </c>
      <c r="DJ12" s="162">
        <v>2019</v>
      </c>
      <c r="DK12" s="162">
        <v>2019</v>
      </c>
      <c r="DL12" s="162">
        <v>2019</v>
      </c>
      <c r="DM12" s="1248"/>
      <c r="DN12" s="1248"/>
    </row>
    <row r="13" spans="1:118" x14ac:dyDescent="0.2">
      <c r="A13" s="120" t="s">
        <v>65</v>
      </c>
      <c r="B13" s="120"/>
      <c r="C13" s="120"/>
      <c r="D13" s="131"/>
      <c r="E13" s="130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19"/>
      <c r="S13" s="119"/>
      <c r="T13" s="134"/>
      <c r="U13" s="134"/>
      <c r="V13" s="108"/>
      <c r="W13" s="66"/>
      <c r="X13" s="66"/>
      <c r="Y13" s="81"/>
      <c r="Z13" s="66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73"/>
      <c r="AR13" s="73"/>
      <c r="AS13" s="55"/>
      <c r="AT13" s="55"/>
      <c r="AU13" s="55"/>
      <c r="AV13" s="55"/>
      <c r="AW13" s="55"/>
      <c r="AX13" s="55"/>
      <c r="AY13" s="55"/>
      <c r="AZ13" s="66"/>
      <c r="BA13" s="65"/>
      <c r="BB13" s="65"/>
      <c r="BC13" s="65"/>
      <c r="BD13" s="65"/>
      <c r="BE13" s="55"/>
      <c r="BF13" s="55"/>
      <c r="BG13" s="55"/>
      <c r="BH13" s="55"/>
      <c r="BI13" s="55"/>
      <c r="BJ13" s="55"/>
      <c r="BK13" s="55"/>
      <c r="BL13" s="55"/>
      <c r="BM13" s="668"/>
      <c r="BN13" s="55"/>
      <c r="BO13" s="55"/>
      <c r="BP13" s="55"/>
      <c r="BQ13" s="55"/>
      <c r="BR13" s="55"/>
      <c r="BS13" s="55"/>
      <c r="BT13" s="55"/>
      <c r="BU13" s="66"/>
      <c r="BV13" s="65"/>
      <c r="BW13" s="65"/>
      <c r="BX13" s="65"/>
      <c r="BY13" s="65"/>
      <c r="BZ13" s="55"/>
      <c r="CA13" s="55"/>
      <c r="CB13" s="55"/>
      <c r="CC13" s="55"/>
      <c r="CD13" s="55"/>
      <c r="CE13" s="55"/>
      <c r="CF13" s="55"/>
      <c r="CG13" s="55"/>
      <c r="CH13" s="448"/>
      <c r="CI13" s="55"/>
      <c r="CJ13" s="505"/>
      <c r="CK13" s="505"/>
      <c r="CL13" s="505"/>
      <c r="CM13" s="505"/>
      <c r="CN13" s="505"/>
      <c r="CO13" s="505"/>
      <c r="CP13" s="55"/>
      <c r="CQ13" s="6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</row>
    <row r="14" spans="1:118" x14ac:dyDescent="0.2">
      <c r="A14" s="120" t="s">
        <v>66</v>
      </c>
      <c r="B14" s="172"/>
      <c r="C14" s="120"/>
      <c r="D14" s="8"/>
      <c r="E14" s="130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19"/>
      <c r="S14" s="119"/>
      <c r="T14" s="134"/>
      <c r="U14" s="134"/>
      <c r="V14" s="108"/>
      <c r="W14" s="66"/>
      <c r="X14" s="66"/>
      <c r="Y14" s="112"/>
      <c r="Z14" s="66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73"/>
      <c r="AR14" s="73"/>
      <c r="AS14" s="55"/>
      <c r="AT14" s="55"/>
      <c r="AU14" s="55"/>
      <c r="AV14" s="55"/>
      <c r="AW14" s="55"/>
      <c r="AX14" s="55"/>
      <c r="AY14" s="55"/>
      <c r="AZ14" s="66"/>
      <c r="BA14" s="65"/>
      <c r="BB14" s="65"/>
      <c r="BC14" s="65"/>
      <c r="BD14" s="65"/>
      <c r="BE14" s="55"/>
      <c r="BF14" s="55"/>
      <c r="BG14" s="55"/>
      <c r="BH14" s="55"/>
      <c r="BI14" s="55"/>
      <c r="BJ14" s="55"/>
      <c r="BK14" s="55"/>
      <c r="BL14" s="55"/>
      <c r="BM14" s="668"/>
      <c r="BN14" s="55"/>
      <c r="BO14" s="55"/>
      <c r="BP14" s="55"/>
      <c r="BQ14" s="55"/>
      <c r="BR14" s="55"/>
      <c r="BS14" s="55"/>
      <c r="BT14" s="55"/>
      <c r="BU14" s="66"/>
      <c r="BV14" s="65"/>
      <c r="BW14" s="65"/>
      <c r="BX14" s="65"/>
      <c r="BY14" s="65"/>
      <c r="BZ14" s="55"/>
      <c r="CA14" s="55"/>
      <c r="CB14" s="55"/>
      <c r="CC14" s="55"/>
      <c r="CD14" s="55"/>
      <c r="CE14" s="55"/>
      <c r="CF14" s="55"/>
      <c r="CG14" s="55"/>
      <c r="CH14" s="448"/>
      <c r="CI14" s="55"/>
      <c r="CJ14" s="55"/>
      <c r="CK14" s="55"/>
      <c r="CL14" s="55"/>
      <c r="CM14" s="55"/>
      <c r="CN14" s="505"/>
      <c r="CO14" s="505"/>
      <c r="CP14" s="55"/>
      <c r="CQ14" s="6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</row>
    <row r="15" spans="1:118" s="12" customFormat="1" x14ac:dyDescent="0.2">
      <c r="A15" s="119" t="s">
        <v>803</v>
      </c>
      <c r="B15" s="100" t="s">
        <v>802</v>
      </c>
      <c r="C15" s="100" t="s">
        <v>427</v>
      </c>
      <c r="D15" s="8">
        <v>3</v>
      </c>
      <c r="E15" s="127">
        <v>0.33329999999999999</v>
      </c>
      <c r="F15" s="119">
        <v>43281</v>
      </c>
      <c r="G15" s="125">
        <f>D15*12</f>
        <v>36</v>
      </c>
      <c r="H15" s="146">
        <f>100/G15</f>
        <v>2.7777777777777777</v>
      </c>
      <c r="I15" s="1167">
        <f>H15*J15</f>
        <v>147.22222222222223</v>
      </c>
      <c r="J15" s="125">
        <f>(YEAR(F15)-YEAR(S15))*12+MONTH(F15)-MONTH(S15)</f>
        <v>53</v>
      </c>
      <c r="K15" s="1167">
        <f>L15*H15</f>
        <v>-47.222222222222221</v>
      </c>
      <c r="L15" s="125">
        <f>G15-J15</f>
        <v>-17</v>
      </c>
      <c r="M15" s="1167">
        <f>N15*H15</f>
        <v>19.444444444444443</v>
      </c>
      <c r="N15" s="125">
        <v>7</v>
      </c>
      <c r="O15" s="1167">
        <f t="shared" ref="O15:O21" si="0">P15*H15</f>
        <v>-66.666666666666657</v>
      </c>
      <c r="P15" s="125">
        <f t="shared" ref="P15:P21" si="1">L15-N15</f>
        <v>-24</v>
      </c>
      <c r="Q15" s="119">
        <v>42370</v>
      </c>
      <c r="R15" s="119" t="s">
        <v>445</v>
      </c>
      <c r="S15" s="119">
        <v>41640</v>
      </c>
      <c r="T15" s="134">
        <v>799</v>
      </c>
      <c r="U15" s="134">
        <f>T15*I15%</f>
        <v>1176.3055555555557</v>
      </c>
      <c r="V15" s="7">
        <f>T15-U15</f>
        <v>-377.30555555555566</v>
      </c>
      <c r="W15" s="1167">
        <f>T15*H15%</f>
        <v>22.194444444444443</v>
      </c>
      <c r="X15" s="64">
        <f>W15*5</f>
        <v>110.97222222222221</v>
      </c>
      <c r="Y15" s="82">
        <f>V15-X15</f>
        <v>-488.27777777777789</v>
      </c>
      <c r="Z15" s="64">
        <v>115.958</v>
      </c>
      <c r="AA15" s="1234">
        <v>112.505</v>
      </c>
      <c r="AB15" s="62">
        <f>Z15/AA15</f>
        <v>1.0306919692458114</v>
      </c>
      <c r="AC15" s="62">
        <f>Y15*M15/100/K15*100/7</f>
        <v>28.722222222222229</v>
      </c>
      <c r="AD15" s="62">
        <f>AC15*AB15</f>
        <v>29.603763783338035</v>
      </c>
      <c r="AE15" s="62"/>
      <c r="AF15" s="62"/>
      <c r="AG15" s="62"/>
      <c r="AH15" s="62"/>
      <c r="AI15" s="62"/>
      <c r="AJ15" s="62">
        <f t="shared" ref="AJ15:AP15" si="2">$AD15</f>
        <v>29.603763783338035</v>
      </c>
      <c r="AK15" s="62">
        <f t="shared" si="2"/>
        <v>29.603763783338035</v>
      </c>
      <c r="AL15" s="62">
        <f t="shared" si="2"/>
        <v>29.603763783338035</v>
      </c>
      <c r="AM15" s="62">
        <f t="shared" si="2"/>
        <v>29.603763783338035</v>
      </c>
      <c r="AN15" s="62">
        <f t="shared" si="2"/>
        <v>29.603763783338035</v>
      </c>
      <c r="AO15" s="62">
        <f t="shared" si="2"/>
        <v>29.603763783338035</v>
      </c>
      <c r="AP15" s="62">
        <f t="shared" si="2"/>
        <v>29.603763783338035</v>
      </c>
      <c r="AQ15" s="1169">
        <f>SUM(AE15:AP15)</f>
        <v>207.22634648336623</v>
      </c>
      <c r="AR15" s="1169">
        <f>Y15-AQ15</f>
        <v>-695.50412426114417</v>
      </c>
      <c r="AS15" s="62"/>
      <c r="AT15" s="62"/>
      <c r="AU15" s="62">
        <f>$AP15</f>
        <v>29.603763783338035</v>
      </c>
      <c r="AV15" s="62">
        <f>$AP15</f>
        <v>29.603763783338035</v>
      </c>
      <c r="AW15" s="62">
        <f>$AP15</f>
        <v>29.603763783338035</v>
      </c>
      <c r="AX15" s="62">
        <f>$AP15</f>
        <v>29.603763783338035</v>
      </c>
      <c r="AY15" s="62">
        <f>$AP15</f>
        <v>29.603763783338035</v>
      </c>
      <c r="AZ15" s="64">
        <v>118.901</v>
      </c>
      <c r="BA15" s="1234">
        <v>112.505</v>
      </c>
      <c r="BB15" s="62">
        <f>AZ15/BA15</f>
        <v>1.0568508066308164</v>
      </c>
      <c r="BC15" s="62">
        <f>T15/(D15*12)</f>
        <v>22.194444444444443</v>
      </c>
      <c r="BD15" s="62">
        <f>BC15*BB15</f>
        <v>23.456216513833951</v>
      </c>
      <c r="BE15" s="62">
        <f>$BD15</f>
        <v>23.456216513833951</v>
      </c>
      <c r="BF15" s="62">
        <f>$BD15</f>
        <v>23.456216513833951</v>
      </c>
      <c r="BG15" s="62">
        <f>$BD15</f>
        <v>23.456216513833951</v>
      </c>
      <c r="BH15" s="62">
        <f>$BD15</f>
        <v>23.456216513833951</v>
      </c>
      <c r="BI15" s="62">
        <v>13.63</v>
      </c>
      <c r="BJ15" s="62">
        <v>0</v>
      </c>
      <c r="BK15" s="62">
        <v>0</v>
      </c>
      <c r="BL15" s="62">
        <f>SUM((AU15:AY15),(BE15:BK15))</f>
        <v>255.47368497202604</v>
      </c>
      <c r="BM15" s="1213">
        <f>(AR15-BL15)</f>
        <v>-950.97780923317021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f>SUM(BN15:BR15)</f>
        <v>0</v>
      </c>
      <c r="BT15" s="927">
        <f>BM15-BS15</f>
        <v>-950.97780923317021</v>
      </c>
      <c r="BU15" s="64">
        <v>126.408</v>
      </c>
      <c r="BV15" s="1234">
        <v>112.505</v>
      </c>
      <c r="BW15" s="62">
        <f>BU15/BV15</f>
        <v>1.1235767299231145</v>
      </c>
      <c r="BX15" s="62">
        <v>0</v>
      </c>
      <c r="BY15" s="62">
        <f>BW15*BX15</f>
        <v>0</v>
      </c>
      <c r="BZ15" s="62">
        <v>0</v>
      </c>
      <c r="CA15" s="62"/>
      <c r="CB15" s="62"/>
      <c r="CC15" s="62"/>
      <c r="CD15" s="62"/>
      <c r="CE15" s="62"/>
      <c r="CF15" s="62"/>
      <c r="CG15" s="62">
        <f>SUM((BN15:BR15),(BZ15:CF15))</f>
        <v>0</v>
      </c>
      <c r="CH15" s="927">
        <f>BM15-CG15</f>
        <v>-950.97780923317021</v>
      </c>
      <c r="CI15" s="62"/>
      <c r="CJ15" s="62"/>
      <c r="CK15" s="62"/>
      <c r="CL15" s="62"/>
      <c r="CM15" s="62"/>
      <c r="CN15" s="1170">
        <f>SUM(CI15:CM15)</f>
        <v>0</v>
      </c>
      <c r="CO15" s="679">
        <v>1</v>
      </c>
      <c r="CP15" s="1171">
        <v>132.28200000000001</v>
      </c>
      <c r="CQ15" s="1234">
        <v>112.505</v>
      </c>
      <c r="CR15" s="1200">
        <f>CP15/CQ15</f>
        <v>1.1757877427669883</v>
      </c>
      <c r="CS15" s="510">
        <v>0</v>
      </c>
      <c r="CT15" s="510">
        <v>0</v>
      </c>
      <c r="CU15" s="510">
        <v>0</v>
      </c>
      <c r="CV15" s="510">
        <v>0</v>
      </c>
      <c r="CW15" s="510">
        <v>0</v>
      </c>
      <c r="CX15" s="510">
        <v>0</v>
      </c>
      <c r="CY15" s="510">
        <v>0</v>
      </c>
      <c r="CZ15" s="510">
        <v>0</v>
      </c>
      <c r="DA15" s="510">
        <v>0</v>
      </c>
      <c r="DB15" s="510">
        <v>0</v>
      </c>
      <c r="DC15" s="510">
        <v>0</v>
      </c>
      <c r="DD15" s="510">
        <v>0</v>
      </c>
      <c r="DE15" s="510">
        <v>0</v>
      </c>
      <c r="DF15" s="510">
        <v>0</v>
      </c>
      <c r="DG15" s="510">
        <v>0</v>
      </c>
      <c r="DH15" s="510">
        <v>0</v>
      </c>
      <c r="DI15" s="510">
        <v>0</v>
      </c>
      <c r="DJ15" s="510">
        <v>0</v>
      </c>
      <c r="DK15" s="510">
        <v>0</v>
      </c>
      <c r="DL15" s="510">
        <v>0</v>
      </c>
      <c r="DM15" s="510"/>
      <c r="DN15" s="756">
        <f>CO15-DM15</f>
        <v>1</v>
      </c>
    </row>
    <row r="16" spans="1:118" x14ac:dyDescent="0.2">
      <c r="A16" s="120" t="s">
        <v>801</v>
      </c>
      <c r="B16" s="120"/>
      <c r="C16" s="120"/>
      <c r="D16" s="131"/>
      <c r="E16" s="49"/>
      <c r="F16" s="46"/>
      <c r="G16" s="48"/>
      <c r="H16" s="145"/>
      <c r="I16" s="165"/>
      <c r="J16" s="48"/>
      <c r="K16" s="165"/>
      <c r="L16" s="48"/>
      <c r="M16" s="165"/>
      <c r="N16" s="48"/>
      <c r="O16" s="165">
        <f t="shared" si="0"/>
        <v>0</v>
      </c>
      <c r="P16" s="48">
        <f t="shared" si="1"/>
        <v>0</v>
      </c>
      <c r="Q16" s="48"/>
      <c r="R16" s="46"/>
      <c r="S16" s="46"/>
      <c r="T16" s="47"/>
      <c r="U16" s="47"/>
      <c r="V16" s="106"/>
      <c r="W16" s="165"/>
      <c r="X16" s="57"/>
      <c r="Y16" s="80"/>
      <c r="Z16" s="57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72"/>
      <c r="AR16" s="72"/>
      <c r="AS16" s="55"/>
      <c r="AT16" s="55"/>
      <c r="AU16" s="55">
        <f t="shared" ref="AU16:AY87" si="3">$AP16</f>
        <v>0</v>
      </c>
      <c r="AV16" s="55">
        <f t="shared" si="3"/>
        <v>0</v>
      </c>
      <c r="AW16" s="55">
        <f t="shared" si="3"/>
        <v>0</v>
      </c>
      <c r="AX16" s="55">
        <f t="shared" si="3"/>
        <v>0</v>
      </c>
      <c r="AY16" s="55">
        <f t="shared" si="3"/>
        <v>0</v>
      </c>
      <c r="AZ16" s="57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668"/>
      <c r="BN16" s="55"/>
      <c r="BO16" s="55"/>
      <c r="BP16" s="55"/>
      <c r="BQ16" s="55"/>
      <c r="BR16" s="55"/>
      <c r="BS16" s="55"/>
      <c r="BT16" s="448"/>
      <c r="BU16" s="57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448"/>
      <c r="CI16" s="55"/>
      <c r="CJ16" s="55"/>
      <c r="CK16" s="55"/>
      <c r="CL16" s="55"/>
      <c r="CM16" s="55"/>
      <c r="CN16" s="505"/>
      <c r="CO16" s="679"/>
      <c r="CP16" s="511"/>
      <c r="CQ16" s="55"/>
      <c r="CR16" s="957"/>
      <c r="CS16" s="511"/>
      <c r="CT16" s="511"/>
      <c r="CU16" s="511"/>
      <c r="CV16" s="511"/>
      <c r="CW16" s="511"/>
      <c r="CX16" s="511"/>
      <c r="CY16" s="511"/>
      <c r="CZ16" s="511"/>
      <c r="DA16" s="511"/>
      <c r="DB16" s="511"/>
      <c r="DC16" s="511"/>
      <c r="DD16" s="511"/>
      <c r="DE16" s="511"/>
      <c r="DF16" s="511"/>
      <c r="DG16" s="511"/>
      <c r="DH16" s="511"/>
      <c r="DI16" s="511"/>
      <c r="DJ16" s="511"/>
      <c r="DK16" s="511"/>
      <c r="DL16" s="511"/>
      <c r="DM16" s="511"/>
      <c r="DN16" s="511"/>
    </row>
    <row r="17" spans="1:118" x14ac:dyDescent="0.2">
      <c r="A17" s="120" t="s">
        <v>800</v>
      </c>
      <c r="B17" s="120"/>
      <c r="C17" s="120"/>
      <c r="D17" s="131"/>
      <c r="E17" s="49"/>
      <c r="F17" s="46"/>
      <c r="G17" s="48"/>
      <c r="H17" s="145"/>
      <c r="I17" s="165"/>
      <c r="J17" s="48"/>
      <c r="K17" s="165"/>
      <c r="L17" s="48"/>
      <c r="M17" s="165"/>
      <c r="N17" s="48"/>
      <c r="O17" s="165">
        <f t="shared" si="0"/>
        <v>0</v>
      </c>
      <c r="P17" s="48">
        <f t="shared" si="1"/>
        <v>0</v>
      </c>
      <c r="Q17" s="48"/>
      <c r="R17" s="46"/>
      <c r="S17" s="46"/>
      <c r="T17" s="47"/>
      <c r="U17" s="47"/>
      <c r="V17" s="106"/>
      <c r="W17" s="165"/>
      <c r="X17" s="57"/>
      <c r="Y17" s="80"/>
      <c r="Z17" s="57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72"/>
      <c r="AR17" s="72"/>
      <c r="AS17" s="55"/>
      <c r="AT17" s="55"/>
      <c r="AU17" s="55">
        <f t="shared" si="3"/>
        <v>0</v>
      </c>
      <c r="AV17" s="55">
        <f t="shared" si="3"/>
        <v>0</v>
      </c>
      <c r="AW17" s="55">
        <f t="shared" si="3"/>
        <v>0</v>
      </c>
      <c r="AX17" s="55">
        <f t="shared" si="3"/>
        <v>0</v>
      </c>
      <c r="AY17" s="55">
        <f t="shared" si="3"/>
        <v>0</v>
      </c>
      <c r="AZ17" s="57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668"/>
      <c r="BN17" s="55"/>
      <c r="BO17" s="55"/>
      <c r="BP17" s="55"/>
      <c r="BQ17" s="55"/>
      <c r="BR17" s="55"/>
      <c r="BS17" s="55"/>
      <c r="BT17" s="448"/>
      <c r="BU17" s="57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448"/>
      <c r="CI17" s="55"/>
      <c r="CJ17" s="55"/>
      <c r="CK17" s="55"/>
      <c r="CL17" s="55"/>
      <c r="CM17" s="55"/>
      <c r="CN17" s="505"/>
      <c r="CO17" s="679"/>
      <c r="CP17" s="623"/>
      <c r="CQ17" s="55"/>
      <c r="CR17" s="957"/>
      <c r="CS17" s="511"/>
      <c r="CT17" s="511"/>
      <c r="CU17" s="511"/>
      <c r="CV17" s="511"/>
      <c r="CW17" s="511"/>
      <c r="CX17" s="511"/>
      <c r="CY17" s="511"/>
      <c r="CZ17" s="511"/>
      <c r="DA17" s="511"/>
      <c r="DB17" s="511"/>
      <c r="DC17" s="511"/>
      <c r="DD17" s="511"/>
      <c r="DE17" s="511"/>
      <c r="DF17" s="511"/>
      <c r="DG17" s="511"/>
      <c r="DH17" s="511"/>
      <c r="DI17" s="511"/>
      <c r="DJ17" s="511"/>
      <c r="DK17" s="511"/>
      <c r="DL17" s="511"/>
      <c r="DM17" s="511"/>
      <c r="DN17" s="511"/>
    </row>
    <row r="18" spans="1:118" x14ac:dyDescent="0.2">
      <c r="A18" s="100" t="s">
        <v>799</v>
      </c>
      <c r="B18" s="100" t="s">
        <v>798</v>
      </c>
      <c r="C18" s="100" t="s">
        <v>427</v>
      </c>
      <c r="D18" s="58">
        <v>10</v>
      </c>
      <c r="E18" s="49">
        <v>0.1</v>
      </c>
      <c r="F18" s="46">
        <v>43281</v>
      </c>
      <c r="G18" s="48">
        <f>D18*12</f>
        <v>120</v>
      </c>
      <c r="H18" s="145">
        <f>100/G18</f>
        <v>0.83333333333333337</v>
      </c>
      <c r="I18" s="165">
        <f>H18*J18</f>
        <v>44.166666666666671</v>
      </c>
      <c r="J18" s="48">
        <f>(YEAR(F18)-YEAR(S18))*12+MONTH(F18)-MONTH(S18)</f>
        <v>53</v>
      </c>
      <c r="K18" s="165">
        <f>L18*H18</f>
        <v>55.833333333333336</v>
      </c>
      <c r="L18" s="48">
        <f>G18-J18</f>
        <v>67</v>
      </c>
      <c r="M18" s="165">
        <f>N18*H18</f>
        <v>5.8333333333333339</v>
      </c>
      <c r="N18" s="48">
        <v>7</v>
      </c>
      <c r="O18" s="165">
        <f t="shared" si="0"/>
        <v>50</v>
      </c>
      <c r="P18" s="48">
        <f t="shared" si="1"/>
        <v>60</v>
      </c>
      <c r="Q18" s="46">
        <v>45292</v>
      </c>
      <c r="R18" s="46" t="s">
        <v>445</v>
      </c>
      <c r="S18" s="46">
        <v>41640</v>
      </c>
      <c r="T18" s="47">
        <f>1190*5</f>
        <v>5950</v>
      </c>
      <c r="U18" s="47">
        <f>T18*I18%</f>
        <v>2627.916666666667</v>
      </c>
      <c r="V18" s="106">
        <f>T18-U18</f>
        <v>3322.083333333333</v>
      </c>
      <c r="W18" s="165">
        <f>T18*H18%</f>
        <v>49.583333333333336</v>
      </c>
      <c r="X18" s="57">
        <f>W18*5</f>
        <v>247.91666666666669</v>
      </c>
      <c r="Y18" s="80">
        <f>V18-X18</f>
        <v>3074.1666666666665</v>
      </c>
      <c r="Z18" s="57">
        <v>115.958</v>
      </c>
      <c r="AA18" s="350">
        <v>112.505</v>
      </c>
      <c r="AB18" s="55">
        <f>Z18/AA18</f>
        <v>1.0306919692458114</v>
      </c>
      <c r="AC18" s="55">
        <f>Y18*M18/100/K18*100/7</f>
        <v>45.883084577114438</v>
      </c>
      <c r="AD18" s="55">
        <f>AC18*AB18</f>
        <v>47.291326797858197</v>
      </c>
      <c r="AE18" s="55"/>
      <c r="AF18" s="55"/>
      <c r="AG18" s="55"/>
      <c r="AH18" s="55"/>
      <c r="AI18" s="55"/>
      <c r="AJ18" s="55">
        <f t="shared" ref="AJ18:AP21" si="4">$AD18</f>
        <v>47.291326797858197</v>
      </c>
      <c r="AK18" s="55">
        <f t="shared" si="4"/>
        <v>47.291326797858197</v>
      </c>
      <c r="AL18" s="55">
        <f t="shared" si="4"/>
        <v>47.291326797858197</v>
      </c>
      <c r="AM18" s="55">
        <f t="shared" si="4"/>
        <v>47.291326797858197</v>
      </c>
      <c r="AN18" s="55">
        <f t="shared" si="4"/>
        <v>47.291326797858197</v>
      </c>
      <c r="AO18" s="55">
        <f t="shared" si="4"/>
        <v>47.291326797858197</v>
      </c>
      <c r="AP18" s="55">
        <f t="shared" si="4"/>
        <v>47.291326797858197</v>
      </c>
      <c r="AQ18" s="72">
        <f>SUM(AE18:AP18)</f>
        <v>331.03928758500734</v>
      </c>
      <c r="AR18" s="72">
        <f>Y18-AQ18</f>
        <v>2743.127379081659</v>
      </c>
      <c r="AS18" s="55"/>
      <c r="AT18" s="55"/>
      <c r="AU18" s="55">
        <f t="shared" si="3"/>
        <v>47.291326797858197</v>
      </c>
      <c r="AV18" s="55">
        <f t="shared" si="3"/>
        <v>47.291326797858197</v>
      </c>
      <c r="AW18" s="55">
        <f t="shared" si="3"/>
        <v>47.291326797858197</v>
      </c>
      <c r="AX18" s="55">
        <f t="shared" si="3"/>
        <v>47.291326797858197</v>
      </c>
      <c r="AY18" s="55">
        <f t="shared" si="3"/>
        <v>47.291326797858197</v>
      </c>
      <c r="AZ18" s="57">
        <v>118.901</v>
      </c>
      <c r="BA18" s="350">
        <v>112.505</v>
      </c>
      <c r="BB18" s="55">
        <f>AZ18/BA18</f>
        <v>1.0568508066308164</v>
      </c>
      <c r="BC18" s="55">
        <f>T18/(D18*12)</f>
        <v>49.583333333333336</v>
      </c>
      <c r="BD18" s="55">
        <f>BC18*BB18</f>
        <v>52.402185828777981</v>
      </c>
      <c r="BE18" s="55">
        <f t="shared" ref="BE18:BK21" si="5">$BD18</f>
        <v>52.402185828777981</v>
      </c>
      <c r="BF18" s="55">
        <f t="shared" si="5"/>
        <v>52.402185828777981</v>
      </c>
      <c r="BG18" s="55">
        <f t="shared" si="5"/>
        <v>52.402185828777981</v>
      </c>
      <c r="BH18" s="55">
        <f t="shared" si="5"/>
        <v>52.402185828777981</v>
      </c>
      <c r="BI18" s="55">
        <f t="shared" si="5"/>
        <v>52.402185828777981</v>
      </c>
      <c r="BJ18" s="55">
        <f t="shared" si="5"/>
        <v>52.402185828777981</v>
      </c>
      <c r="BK18" s="55">
        <f t="shared" si="5"/>
        <v>52.402185828777981</v>
      </c>
      <c r="BL18" s="55">
        <f>SUM((AU18:AY18),(BE18:BK18))</f>
        <v>603.27193479073685</v>
      </c>
      <c r="BM18" s="668">
        <f>(AR18-BL18)</f>
        <v>2139.8554442909222</v>
      </c>
      <c r="BN18" s="55">
        <f t="shared" ref="BN18:BR21" si="6">$BD18</f>
        <v>52.402185828777981</v>
      </c>
      <c r="BO18" s="55">
        <f t="shared" si="6"/>
        <v>52.402185828777981</v>
      </c>
      <c r="BP18" s="55">
        <f t="shared" si="6"/>
        <v>52.402185828777981</v>
      </c>
      <c r="BQ18" s="55">
        <f t="shared" si="6"/>
        <v>52.402185828777981</v>
      </c>
      <c r="BR18" s="55">
        <f t="shared" si="6"/>
        <v>52.402185828777981</v>
      </c>
      <c r="BS18" s="55">
        <f>SUM(BN18:BR18)</f>
        <v>262.01092914388988</v>
      </c>
      <c r="BT18" s="448">
        <f>BM18-BS18</f>
        <v>1877.8445151470323</v>
      </c>
      <c r="BU18" s="57">
        <v>126.408</v>
      </c>
      <c r="BV18" s="350">
        <v>112.505</v>
      </c>
      <c r="BW18" s="55">
        <f>BU18/BV18</f>
        <v>1.1235767299231145</v>
      </c>
      <c r="BX18" s="55">
        <f>BT18/L18</f>
        <v>28.027530076821378</v>
      </c>
      <c r="BY18" s="55">
        <f>BW18*BX18</f>
        <v>31.491080591536704</v>
      </c>
      <c r="BZ18" s="55">
        <v>39.781692607450864</v>
      </c>
      <c r="CA18" s="55">
        <v>39.781692607450864</v>
      </c>
      <c r="CB18" s="55">
        <v>39.781692607450864</v>
      </c>
      <c r="CC18" s="55">
        <v>39.781692607450864</v>
      </c>
      <c r="CD18" s="55">
        <v>39.781692607450864</v>
      </c>
      <c r="CE18" s="55">
        <v>39.781692607450864</v>
      </c>
      <c r="CF18" s="55">
        <v>39.781692607450864</v>
      </c>
      <c r="CG18" s="55">
        <f>SUM(BZ18:CF18)</f>
        <v>278.47184825215601</v>
      </c>
      <c r="CH18" s="448">
        <f>BT18-CG18</f>
        <v>1599.3726668948764</v>
      </c>
      <c r="CI18" s="55">
        <v>39.781692607450864</v>
      </c>
      <c r="CJ18" s="55">
        <v>39.781692607450864</v>
      </c>
      <c r="CK18" s="55">
        <v>39.781692607450864</v>
      </c>
      <c r="CL18" s="55">
        <v>39.781692607450864</v>
      </c>
      <c r="CM18" s="55">
        <v>39.781692607450864</v>
      </c>
      <c r="CN18" s="505">
        <f t="shared" ref="CN18:CN78" si="7">SUM(CI18:CM18)</f>
        <v>198.90846303725431</v>
      </c>
      <c r="CO18" s="679">
        <f t="shared" ref="CO18:CO78" si="8">CH18-CN18</f>
        <v>1400.4642038576221</v>
      </c>
      <c r="CP18" s="956">
        <v>132.28200000000001</v>
      </c>
      <c r="CQ18" s="350">
        <v>112.505</v>
      </c>
      <c r="CR18" s="957">
        <f>CP18/CQ18</f>
        <v>1.1757877427669883</v>
      </c>
      <c r="CS18" s="511">
        <f>CO18/P18</f>
        <v>23.341070064293703</v>
      </c>
      <c r="CT18" s="511">
        <f>CS18*CR18</f>
        <v>27.444144084662014</v>
      </c>
      <c r="CU18" s="511">
        <v>27.444144084662014</v>
      </c>
      <c r="CV18" s="511">
        <v>27.444144084662014</v>
      </c>
      <c r="CW18" s="511">
        <v>27.444144084662014</v>
      </c>
      <c r="CX18" s="511">
        <v>27.444144084662014</v>
      </c>
      <c r="CY18" s="511">
        <v>27.444144084662014</v>
      </c>
      <c r="CZ18" s="511">
        <v>27.444144084662014</v>
      </c>
      <c r="DA18" s="511">
        <v>27.444144084662014</v>
      </c>
      <c r="DB18" s="511">
        <v>27.444144084662014</v>
      </c>
      <c r="DC18" s="511">
        <v>27.444144084662014</v>
      </c>
      <c r="DD18" s="511">
        <v>27.444144084662014</v>
      </c>
      <c r="DE18" s="511">
        <v>27.444144084662014</v>
      </c>
      <c r="DF18" s="511">
        <v>27.444144084662014</v>
      </c>
      <c r="DG18" s="511">
        <v>27.444144084662014</v>
      </c>
      <c r="DH18" s="511">
        <v>27.444144084662014</v>
      </c>
      <c r="DI18" s="511">
        <v>27.444144084662014</v>
      </c>
      <c r="DJ18" s="511">
        <v>27.444144084662014</v>
      </c>
      <c r="DK18" s="511">
        <v>27.444144084662014</v>
      </c>
      <c r="DL18" s="511">
        <v>27.444144084662014</v>
      </c>
      <c r="DM18" s="511">
        <f>SUM(CU18:DL18)</f>
        <v>493.99459352391625</v>
      </c>
      <c r="DN18" s="756">
        <f>CO18-DM18</f>
        <v>906.46961033370587</v>
      </c>
    </row>
    <row r="19" spans="1:118" x14ac:dyDescent="0.2">
      <c r="A19" s="100" t="s">
        <v>797</v>
      </c>
      <c r="B19" s="100" t="s">
        <v>796</v>
      </c>
      <c r="C19" s="100" t="s">
        <v>427</v>
      </c>
      <c r="D19" s="58">
        <v>10</v>
      </c>
      <c r="E19" s="49">
        <v>0.1</v>
      </c>
      <c r="F19" s="46">
        <v>43281</v>
      </c>
      <c r="G19" s="48">
        <f>D19*12</f>
        <v>120</v>
      </c>
      <c r="H19" s="145">
        <f>100/G19</f>
        <v>0.83333333333333337</v>
      </c>
      <c r="I19" s="165">
        <f>H19*J19</f>
        <v>44.166666666666671</v>
      </c>
      <c r="J19" s="48">
        <f>(YEAR(F19)-YEAR(S19))*12+MONTH(F19)-MONTH(S19)</f>
        <v>53</v>
      </c>
      <c r="K19" s="165">
        <f>L19*H19</f>
        <v>55.833333333333336</v>
      </c>
      <c r="L19" s="48">
        <f>G19-J19</f>
        <v>67</v>
      </c>
      <c r="M19" s="165">
        <f>N19*H19</f>
        <v>5.8333333333333339</v>
      </c>
      <c r="N19" s="48">
        <v>7</v>
      </c>
      <c r="O19" s="165">
        <f t="shared" si="0"/>
        <v>50</v>
      </c>
      <c r="P19" s="48">
        <f t="shared" si="1"/>
        <v>60</v>
      </c>
      <c r="Q19" s="46">
        <v>45292</v>
      </c>
      <c r="R19" s="46" t="s">
        <v>445</v>
      </c>
      <c r="S19" s="46">
        <v>41640</v>
      </c>
      <c r="T19" s="47">
        <v>1140</v>
      </c>
      <c r="U19" s="47">
        <f>T19*I19%</f>
        <v>503.50000000000006</v>
      </c>
      <c r="V19" s="106">
        <f>T19-U19</f>
        <v>636.5</v>
      </c>
      <c r="W19" s="165">
        <f>T19*H19%</f>
        <v>9.5</v>
      </c>
      <c r="X19" s="57">
        <f>W19*5</f>
        <v>47.5</v>
      </c>
      <c r="Y19" s="80">
        <f>V19-X19</f>
        <v>589</v>
      </c>
      <c r="Z19" s="57">
        <v>115.958</v>
      </c>
      <c r="AA19" s="350">
        <v>112.505</v>
      </c>
      <c r="AB19" s="55">
        <f>Z19/AA19</f>
        <v>1.0306919692458114</v>
      </c>
      <c r="AC19" s="55">
        <f>Y19*M19/100/K19*100/7</f>
        <v>8.7910447761194028</v>
      </c>
      <c r="AD19" s="55">
        <f>AC19*AB19</f>
        <v>9.06085925202661</v>
      </c>
      <c r="AE19" s="55"/>
      <c r="AF19" s="55"/>
      <c r="AG19" s="55"/>
      <c r="AH19" s="55"/>
      <c r="AI19" s="55"/>
      <c r="AJ19" s="55">
        <f t="shared" si="4"/>
        <v>9.06085925202661</v>
      </c>
      <c r="AK19" s="55">
        <f t="shared" si="4"/>
        <v>9.06085925202661</v>
      </c>
      <c r="AL19" s="55">
        <f t="shared" si="4"/>
        <v>9.06085925202661</v>
      </c>
      <c r="AM19" s="55">
        <f t="shared" si="4"/>
        <v>9.06085925202661</v>
      </c>
      <c r="AN19" s="55">
        <f t="shared" si="4"/>
        <v>9.06085925202661</v>
      </c>
      <c r="AO19" s="55">
        <f t="shared" si="4"/>
        <v>9.06085925202661</v>
      </c>
      <c r="AP19" s="55">
        <f t="shared" si="4"/>
        <v>9.06085925202661</v>
      </c>
      <c r="AQ19" s="72">
        <f>SUM(AE19:AP19)</f>
        <v>63.42601476418627</v>
      </c>
      <c r="AR19" s="72">
        <f>Y19-AQ19</f>
        <v>525.57398523581378</v>
      </c>
      <c r="AS19" s="55"/>
      <c r="AT19" s="55"/>
      <c r="AU19" s="55">
        <f>$AP19</f>
        <v>9.06085925202661</v>
      </c>
      <c r="AV19" s="55">
        <f t="shared" si="3"/>
        <v>9.06085925202661</v>
      </c>
      <c r="AW19" s="55">
        <f t="shared" si="3"/>
        <v>9.06085925202661</v>
      </c>
      <c r="AX19" s="55">
        <f t="shared" si="3"/>
        <v>9.06085925202661</v>
      </c>
      <c r="AY19" s="55">
        <f t="shared" si="3"/>
        <v>9.06085925202661</v>
      </c>
      <c r="AZ19" s="57">
        <v>118.901</v>
      </c>
      <c r="BA19" s="350">
        <v>112.505</v>
      </c>
      <c r="BB19" s="55">
        <f>AZ19/BA19</f>
        <v>1.0568508066308164</v>
      </c>
      <c r="BC19" s="55">
        <f>T19/(D19*12)</f>
        <v>9.5</v>
      </c>
      <c r="BD19" s="55">
        <f>BC19*BB19</f>
        <v>10.040082662992756</v>
      </c>
      <c r="BE19" s="55">
        <f t="shared" si="5"/>
        <v>10.040082662992756</v>
      </c>
      <c r="BF19" s="55">
        <f t="shared" si="5"/>
        <v>10.040082662992756</v>
      </c>
      <c r="BG19" s="55">
        <f t="shared" si="5"/>
        <v>10.040082662992756</v>
      </c>
      <c r="BH19" s="55">
        <f t="shared" si="5"/>
        <v>10.040082662992756</v>
      </c>
      <c r="BI19" s="55">
        <f t="shared" si="5"/>
        <v>10.040082662992756</v>
      </c>
      <c r="BJ19" s="55">
        <f t="shared" si="5"/>
        <v>10.040082662992756</v>
      </c>
      <c r="BK19" s="55">
        <f t="shared" si="5"/>
        <v>10.040082662992756</v>
      </c>
      <c r="BL19" s="55">
        <f>SUM((AU19:AY19),(BE19:BK19))</f>
        <v>115.58487490108236</v>
      </c>
      <c r="BM19" s="668">
        <f>(AR19-BL19)</f>
        <v>409.98911033473144</v>
      </c>
      <c r="BN19" s="55">
        <f t="shared" si="6"/>
        <v>10.040082662992756</v>
      </c>
      <c r="BO19" s="55">
        <f t="shared" si="6"/>
        <v>10.040082662992756</v>
      </c>
      <c r="BP19" s="55">
        <f t="shared" si="6"/>
        <v>10.040082662992756</v>
      </c>
      <c r="BQ19" s="55">
        <f t="shared" si="6"/>
        <v>10.040082662992756</v>
      </c>
      <c r="BR19" s="55">
        <f t="shared" si="6"/>
        <v>10.040082662992756</v>
      </c>
      <c r="BS19" s="55">
        <f>SUM(BN19:BR19)</f>
        <v>50.200413314963782</v>
      </c>
      <c r="BT19" s="448">
        <f>BM19-BS19</f>
        <v>359.78869701976765</v>
      </c>
      <c r="BU19" s="57">
        <v>126.408</v>
      </c>
      <c r="BV19" s="350">
        <v>112.505</v>
      </c>
      <c r="BW19" s="55">
        <f>BU19/BV19</f>
        <v>1.1235767299231145</v>
      </c>
      <c r="BX19" s="55">
        <f>BT19/L19</f>
        <v>5.3699805525338453</v>
      </c>
      <c r="BY19" s="55">
        <f>BW19*BX19</f>
        <v>6.0335851889666978</v>
      </c>
      <c r="BZ19" s="55">
        <v>7.6220385836124365</v>
      </c>
      <c r="CA19" s="55">
        <v>7.6220385836124365</v>
      </c>
      <c r="CB19" s="55">
        <v>7.6220385836124365</v>
      </c>
      <c r="CC19" s="55">
        <v>7.6220385836124365</v>
      </c>
      <c r="CD19" s="55">
        <v>7.6220385836124365</v>
      </c>
      <c r="CE19" s="55">
        <v>7.6220385836124365</v>
      </c>
      <c r="CF19" s="55">
        <v>7.6220385836124365</v>
      </c>
      <c r="CG19" s="55">
        <f>SUM(BZ19:CF19)</f>
        <v>53.354270085287055</v>
      </c>
      <c r="CH19" s="448">
        <f>BT19-CG19</f>
        <v>306.4344269344806</v>
      </c>
      <c r="CI19" s="55">
        <v>7.6220385836124365</v>
      </c>
      <c r="CJ19" s="55">
        <v>7.6220385836124365</v>
      </c>
      <c r="CK19" s="55">
        <v>7.6220385836124365</v>
      </c>
      <c r="CL19" s="55">
        <v>7.6220385836124365</v>
      </c>
      <c r="CM19" s="55">
        <v>7.6220385836124365</v>
      </c>
      <c r="CN19" s="505">
        <f t="shared" si="7"/>
        <v>38.110192918062182</v>
      </c>
      <c r="CO19" s="679">
        <f t="shared" si="8"/>
        <v>268.32423401641842</v>
      </c>
      <c r="CP19" s="956">
        <v>132.28200000000001</v>
      </c>
      <c r="CQ19" s="350">
        <v>112.505</v>
      </c>
      <c r="CR19" s="957">
        <f>CP19/CQ19</f>
        <v>1.1757877427669883</v>
      </c>
      <c r="CS19" s="511">
        <f>CO19/P19</f>
        <v>4.4720705669403067</v>
      </c>
      <c r="CT19" s="511">
        <f>CS19*CR19</f>
        <v>5.2582057573974286</v>
      </c>
      <c r="CU19" s="511">
        <v>5.2582057573974286</v>
      </c>
      <c r="CV19" s="511">
        <v>5.2582057573974286</v>
      </c>
      <c r="CW19" s="511">
        <v>5.2582057573974286</v>
      </c>
      <c r="CX19" s="511">
        <v>5.2582057573974286</v>
      </c>
      <c r="CY19" s="511">
        <v>5.2582057573974286</v>
      </c>
      <c r="CZ19" s="511">
        <v>5.2582057573974286</v>
      </c>
      <c r="DA19" s="511">
        <v>5.2582057573974286</v>
      </c>
      <c r="DB19" s="511">
        <v>5.2582057573974286</v>
      </c>
      <c r="DC19" s="511">
        <v>5.2582057573974286</v>
      </c>
      <c r="DD19" s="511">
        <v>5.2582057573974286</v>
      </c>
      <c r="DE19" s="511">
        <v>5.2582057573974286</v>
      </c>
      <c r="DF19" s="511">
        <v>5.2582057573974286</v>
      </c>
      <c r="DG19" s="511">
        <v>5.2582057573974286</v>
      </c>
      <c r="DH19" s="511">
        <v>5.2582057573974286</v>
      </c>
      <c r="DI19" s="511">
        <v>5.2582057573974286</v>
      </c>
      <c r="DJ19" s="511">
        <v>5.2582057573974286</v>
      </c>
      <c r="DK19" s="511">
        <v>5.2582057573974286</v>
      </c>
      <c r="DL19" s="511">
        <v>5.2582057573974286</v>
      </c>
      <c r="DM19" s="511">
        <f t="shared" ref="DM19:DM82" si="9">SUM(CU19:DL19)</f>
        <v>94.647703633153725</v>
      </c>
      <c r="DN19" s="756">
        <f>CO19-DM19</f>
        <v>173.67653038326469</v>
      </c>
    </row>
    <row r="20" spans="1:118" x14ac:dyDescent="0.2">
      <c r="A20" s="100" t="s">
        <v>793</v>
      </c>
      <c r="B20" s="100" t="s">
        <v>792</v>
      </c>
      <c r="C20" s="100" t="s">
        <v>427</v>
      </c>
      <c r="D20" s="58">
        <v>10</v>
      </c>
      <c r="E20" s="49">
        <v>0.1</v>
      </c>
      <c r="F20" s="46">
        <v>43281</v>
      </c>
      <c r="G20" s="48">
        <f>D20*12</f>
        <v>120</v>
      </c>
      <c r="H20" s="145">
        <f>100/G20</f>
        <v>0.83333333333333337</v>
      </c>
      <c r="I20" s="165">
        <f>H20*J20</f>
        <v>44.166666666666671</v>
      </c>
      <c r="J20" s="48">
        <f>(YEAR(F20)-YEAR(S20))*12+MONTH(F20)-MONTH(S20)</f>
        <v>53</v>
      </c>
      <c r="K20" s="165">
        <f>L20*H20</f>
        <v>55.833333333333336</v>
      </c>
      <c r="L20" s="48">
        <f>G20-J20</f>
        <v>67</v>
      </c>
      <c r="M20" s="165">
        <f>N20*H20</f>
        <v>5.8333333333333339</v>
      </c>
      <c r="N20" s="48">
        <v>7</v>
      </c>
      <c r="O20" s="165">
        <f>P20*H20</f>
        <v>50</v>
      </c>
      <c r="P20" s="48">
        <f>L20-N20</f>
        <v>60</v>
      </c>
      <c r="Q20" s="46">
        <v>45292</v>
      </c>
      <c r="R20" s="46" t="s">
        <v>445</v>
      </c>
      <c r="S20" s="46">
        <v>41640</v>
      </c>
      <c r="T20" s="47">
        <f>2*1300</f>
        <v>2600</v>
      </c>
      <c r="U20" s="47">
        <f>T20*I20%</f>
        <v>1148.3333333333335</v>
      </c>
      <c r="V20" s="106">
        <f>T20-U20</f>
        <v>1451.6666666666665</v>
      </c>
      <c r="W20" s="165">
        <f>T20*H20%</f>
        <v>21.666666666666668</v>
      </c>
      <c r="X20" s="57">
        <f>W20*5</f>
        <v>108.33333333333334</v>
      </c>
      <c r="Y20" s="80">
        <f>V20-X20</f>
        <v>1343.3333333333333</v>
      </c>
      <c r="Z20" s="57">
        <v>115.958</v>
      </c>
      <c r="AA20" s="350">
        <v>112.505</v>
      </c>
      <c r="AB20" s="55">
        <f>Z20/AA20</f>
        <v>1.0306919692458114</v>
      </c>
      <c r="AC20" s="55">
        <f>Y20*M20/100/K20*100/7</f>
        <v>20.049751243781092</v>
      </c>
      <c r="AD20" s="55">
        <f>AC20*AB20</f>
        <v>20.665117592341389</v>
      </c>
      <c r="AE20" s="55"/>
      <c r="AF20" s="55"/>
      <c r="AG20" s="55"/>
      <c r="AH20" s="55"/>
      <c r="AI20" s="55"/>
      <c r="AJ20" s="55">
        <f t="shared" si="4"/>
        <v>20.665117592341389</v>
      </c>
      <c r="AK20" s="55">
        <f t="shared" si="4"/>
        <v>20.665117592341389</v>
      </c>
      <c r="AL20" s="55">
        <f t="shared" si="4"/>
        <v>20.665117592341389</v>
      </c>
      <c r="AM20" s="55">
        <f t="shared" si="4"/>
        <v>20.665117592341389</v>
      </c>
      <c r="AN20" s="55">
        <f t="shared" si="4"/>
        <v>20.665117592341389</v>
      </c>
      <c r="AO20" s="55">
        <f t="shared" si="4"/>
        <v>20.665117592341389</v>
      </c>
      <c r="AP20" s="55">
        <f t="shared" si="4"/>
        <v>20.665117592341389</v>
      </c>
      <c r="AQ20" s="72">
        <f>SUM(AE20:AP20)</f>
        <v>144.65582314638971</v>
      </c>
      <c r="AR20" s="72">
        <f>Y20-AQ20</f>
        <v>1198.6775101869434</v>
      </c>
      <c r="AS20" s="55"/>
      <c r="AT20" s="55"/>
      <c r="AU20" s="55">
        <f t="shared" si="3"/>
        <v>20.665117592341389</v>
      </c>
      <c r="AV20" s="55">
        <f t="shared" si="3"/>
        <v>20.665117592341389</v>
      </c>
      <c r="AW20" s="55">
        <f t="shared" si="3"/>
        <v>20.665117592341389</v>
      </c>
      <c r="AX20" s="55">
        <f t="shared" si="3"/>
        <v>20.665117592341389</v>
      </c>
      <c r="AY20" s="55">
        <f t="shared" si="3"/>
        <v>20.665117592341389</v>
      </c>
      <c r="AZ20" s="57">
        <v>118.901</v>
      </c>
      <c r="BA20" s="350">
        <v>112.505</v>
      </c>
      <c r="BB20" s="55">
        <f>AZ20/BA20</f>
        <v>1.0568508066308164</v>
      </c>
      <c r="BC20" s="55">
        <f>T20/(D20*12)</f>
        <v>21.666666666666668</v>
      </c>
      <c r="BD20" s="55">
        <f>BC20*BB20</f>
        <v>22.898434143667689</v>
      </c>
      <c r="BE20" s="55">
        <f t="shared" si="5"/>
        <v>22.898434143667689</v>
      </c>
      <c r="BF20" s="55">
        <f t="shared" si="5"/>
        <v>22.898434143667689</v>
      </c>
      <c r="BG20" s="55">
        <f t="shared" si="5"/>
        <v>22.898434143667689</v>
      </c>
      <c r="BH20" s="55">
        <f t="shared" si="5"/>
        <v>22.898434143667689</v>
      </c>
      <c r="BI20" s="55">
        <f t="shared" si="5"/>
        <v>22.898434143667689</v>
      </c>
      <c r="BJ20" s="55">
        <f t="shared" si="5"/>
        <v>22.898434143667689</v>
      </c>
      <c r="BK20" s="55">
        <f t="shared" si="5"/>
        <v>22.898434143667689</v>
      </c>
      <c r="BL20" s="55">
        <f>SUM((AU20:AY20),(BE20:BK20))</f>
        <v>263.61462696738079</v>
      </c>
      <c r="BM20" s="668">
        <f>(AR20-BL20)</f>
        <v>935.06288321956265</v>
      </c>
      <c r="BN20" s="55">
        <f t="shared" si="6"/>
        <v>22.898434143667689</v>
      </c>
      <c r="BO20" s="55">
        <f t="shared" si="6"/>
        <v>22.898434143667689</v>
      </c>
      <c r="BP20" s="55">
        <f t="shared" si="6"/>
        <v>22.898434143667689</v>
      </c>
      <c r="BQ20" s="55">
        <f t="shared" si="6"/>
        <v>22.898434143667689</v>
      </c>
      <c r="BR20" s="55">
        <f t="shared" si="6"/>
        <v>22.898434143667689</v>
      </c>
      <c r="BS20" s="55">
        <f>SUM(BN20:BR20)</f>
        <v>114.49217071833844</v>
      </c>
      <c r="BT20" s="448">
        <f>BM20-BS20</f>
        <v>820.57071250122419</v>
      </c>
      <c r="BU20" s="57">
        <v>126.408</v>
      </c>
      <c r="BV20" s="350">
        <v>112.505</v>
      </c>
      <c r="BW20" s="55">
        <f>BU20/BV20</f>
        <v>1.1235767299231145</v>
      </c>
      <c r="BX20" s="55">
        <f>BT20/L20</f>
        <v>12.247324067182451</v>
      </c>
      <c r="BY20" s="55">
        <f>BW20*BX20</f>
        <v>13.760808325713517</v>
      </c>
      <c r="BZ20" s="55">
        <v>17.383596769642399</v>
      </c>
      <c r="CA20" s="55">
        <v>17.383596769642399</v>
      </c>
      <c r="CB20" s="55">
        <v>17.383596769642399</v>
      </c>
      <c r="CC20" s="55">
        <v>17.383596769642399</v>
      </c>
      <c r="CD20" s="55">
        <v>17.383596769642399</v>
      </c>
      <c r="CE20" s="55">
        <v>17.383596769642399</v>
      </c>
      <c r="CF20" s="55">
        <v>17.383596769642399</v>
      </c>
      <c r="CG20" s="55">
        <f>SUM(BZ20:CF20)</f>
        <v>121.68517738749678</v>
      </c>
      <c r="CH20" s="448">
        <f>BT20-CG20</f>
        <v>698.88553511372743</v>
      </c>
      <c r="CI20" s="55">
        <v>17.383596769642399</v>
      </c>
      <c r="CJ20" s="55">
        <v>17.383596769642399</v>
      </c>
      <c r="CK20" s="55">
        <v>17.383596769642399</v>
      </c>
      <c r="CL20" s="55">
        <v>17.383596769642399</v>
      </c>
      <c r="CM20" s="55">
        <v>17.383596769642399</v>
      </c>
      <c r="CN20" s="505">
        <f t="shared" si="7"/>
        <v>86.917983848211989</v>
      </c>
      <c r="CO20" s="679">
        <f t="shared" si="8"/>
        <v>611.96755126551545</v>
      </c>
      <c r="CP20" s="956">
        <v>132.28200000000001</v>
      </c>
      <c r="CQ20" s="350">
        <v>112.505</v>
      </c>
      <c r="CR20" s="957">
        <f>CP20/CQ20</f>
        <v>1.1757877427669883</v>
      </c>
      <c r="CS20" s="511">
        <f>CO20/P20</f>
        <v>10.19945918775859</v>
      </c>
      <c r="CT20" s="511">
        <f>CS20*CR20</f>
        <v>11.992399095818692</v>
      </c>
      <c r="CU20" s="55">
        <v>11.992399095818692</v>
      </c>
      <c r="CV20" s="55">
        <v>11.992399095818692</v>
      </c>
      <c r="CW20" s="55">
        <v>11.992399095818692</v>
      </c>
      <c r="CX20" s="55">
        <v>11.992399095818692</v>
      </c>
      <c r="CY20" s="55">
        <v>11.992399095818692</v>
      </c>
      <c r="CZ20" s="55">
        <v>11.992399095818692</v>
      </c>
      <c r="DA20" s="55">
        <v>11.992399095818692</v>
      </c>
      <c r="DB20" s="55">
        <v>11.992399095818692</v>
      </c>
      <c r="DC20" s="55">
        <v>11.992399095818692</v>
      </c>
      <c r="DD20" s="55">
        <v>11.992399095818692</v>
      </c>
      <c r="DE20" s="55">
        <v>11.992399095818692</v>
      </c>
      <c r="DF20" s="55">
        <v>11.992399095818692</v>
      </c>
      <c r="DG20" s="55">
        <v>11.992399095818692</v>
      </c>
      <c r="DH20" s="55">
        <v>11.992399095818692</v>
      </c>
      <c r="DI20" s="55">
        <v>11.992399095818692</v>
      </c>
      <c r="DJ20" s="55">
        <v>11.992399095818692</v>
      </c>
      <c r="DK20" s="55">
        <v>11.992399095818692</v>
      </c>
      <c r="DL20" s="55">
        <v>11.992399095818692</v>
      </c>
      <c r="DM20" s="511">
        <f t="shared" si="9"/>
        <v>215.86318372473642</v>
      </c>
      <c r="DN20" s="756">
        <f>CO20-DM20</f>
        <v>396.10436754077904</v>
      </c>
    </row>
    <row r="21" spans="1:118" x14ac:dyDescent="0.2">
      <c r="A21" s="100" t="s">
        <v>795</v>
      </c>
      <c r="B21" s="100" t="s">
        <v>794</v>
      </c>
      <c r="C21" s="100" t="s">
        <v>427</v>
      </c>
      <c r="D21" s="58">
        <v>10</v>
      </c>
      <c r="E21" s="49">
        <v>0.1</v>
      </c>
      <c r="F21" s="46">
        <v>43281</v>
      </c>
      <c r="G21" s="48">
        <f>D21*12</f>
        <v>120</v>
      </c>
      <c r="H21" s="145">
        <f>100/G21</f>
        <v>0.83333333333333337</v>
      </c>
      <c r="I21" s="165">
        <f>H21*J21</f>
        <v>44.166666666666671</v>
      </c>
      <c r="J21" s="48">
        <f>(YEAR(F21)-YEAR(S21))*12+MONTH(F21)-MONTH(S21)</f>
        <v>53</v>
      </c>
      <c r="K21" s="165">
        <f>L21*H21</f>
        <v>55.833333333333336</v>
      </c>
      <c r="L21" s="48">
        <f>G21-J21</f>
        <v>67</v>
      </c>
      <c r="M21" s="165">
        <f>N21*H21</f>
        <v>5.8333333333333339</v>
      </c>
      <c r="N21" s="48">
        <v>7</v>
      </c>
      <c r="O21" s="165">
        <f t="shared" si="0"/>
        <v>50</v>
      </c>
      <c r="P21" s="48">
        <f t="shared" si="1"/>
        <v>60</v>
      </c>
      <c r="Q21" s="46">
        <v>45292</v>
      </c>
      <c r="R21" s="46" t="s">
        <v>445</v>
      </c>
      <c r="S21" s="46">
        <v>41640</v>
      </c>
      <c r="T21" s="47">
        <v>1380</v>
      </c>
      <c r="U21" s="47">
        <f>T21*I21%</f>
        <v>609.5</v>
      </c>
      <c r="V21" s="106">
        <f>T21-U21</f>
        <v>770.5</v>
      </c>
      <c r="W21" s="165">
        <f>T21*H21%</f>
        <v>11.5</v>
      </c>
      <c r="X21" s="57">
        <f>W21*5</f>
        <v>57.5</v>
      </c>
      <c r="Y21" s="80">
        <f>V21-X21</f>
        <v>713</v>
      </c>
      <c r="Z21" s="57">
        <v>115.958</v>
      </c>
      <c r="AA21" s="350">
        <v>112.505</v>
      </c>
      <c r="AB21" s="55">
        <f>Z21/AA21</f>
        <v>1.0306919692458114</v>
      </c>
      <c r="AC21" s="55">
        <f>Y21*M21/100/K21*100/7</f>
        <v>10.641791044776118</v>
      </c>
      <c r="AD21" s="55">
        <f>AC21*AB21</f>
        <v>10.968408568242738</v>
      </c>
      <c r="AE21" s="55"/>
      <c r="AF21" s="55"/>
      <c r="AG21" s="55"/>
      <c r="AH21" s="55"/>
      <c r="AI21" s="55"/>
      <c r="AJ21" s="55">
        <f t="shared" si="4"/>
        <v>10.968408568242738</v>
      </c>
      <c r="AK21" s="55">
        <f t="shared" si="4"/>
        <v>10.968408568242738</v>
      </c>
      <c r="AL21" s="55">
        <f t="shared" si="4"/>
        <v>10.968408568242738</v>
      </c>
      <c r="AM21" s="55">
        <f t="shared" si="4"/>
        <v>10.968408568242738</v>
      </c>
      <c r="AN21" s="55">
        <f t="shared" si="4"/>
        <v>10.968408568242738</v>
      </c>
      <c r="AO21" s="55">
        <f t="shared" si="4"/>
        <v>10.968408568242738</v>
      </c>
      <c r="AP21" s="55">
        <f t="shared" si="4"/>
        <v>10.968408568242738</v>
      </c>
      <c r="AQ21" s="72">
        <f>SUM(AE21:AP21)</f>
        <v>76.77885997769917</v>
      </c>
      <c r="AR21" s="72">
        <f>Y21-AQ21</f>
        <v>636.2211400223008</v>
      </c>
      <c r="AS21" s="55"/>
      <c r="AT21" s="55"/>
      <c r="AU21" s="55">
        <f t="shared" si="3"/>
        <v>10.968408568242738</v>
      </c>
      <c r="AV21" s="55">
        <f t="shared" si="3"/>
        <v>10.968408568242738</v>
      </c>
      <c r="AW21" s="55">
        <f t="shared" si="3"/>
        <v>10.968408568242738</v>
      </c>
      <c r="AX21" s="55">
        <f t="shared" si="3"/>
        <v>10.968408568242738</v>
      </c>
      <c r="AY21" s="55">
        <f t="shared" si="3"/>
        <v>10.968408568242738</v>
      </c>
      <c r="AZ21" s="57">
        <v>118.901</v>
      </c>
      <c r="BA21" s="350">
        <v>112.505</v>
      </c>
      <c r="BB21" s="55">
        <f>AZ21/BA21</f>
        <v>1.0568508066308164</v>
      </c>
      <c r="BC21" s="55">
        <f>T21/(D21*12)</f>
        <v>11.5</v>
      </c>
      <c r="BD21" s="55">
        <f>BC21*BB21</f>
        <v>12.153784276254388</v>
      </c>
      <c r="BE21" s="55">
        <f t="shared" si="5"/>
        <v>12.153784276254388</v>
      </c>
      <c r="BF21" s="55">
        <f t="shared" si="5"/>
        <v>12.153784276254388</v>
      </c>
      <c r="BG21" s="55">
        <f t="shared" si="5"/>
        <v>12.153784276254388</v>
      </c>
      <c r="BH21" s="55">
        <f t="shared" si="5"/>
        <v>12.153784276254388</v>
      </c>
      <c r="BI21" s="55">
        <f t="shared" si="5"/>
        <v>12.153784276254388</v>
      </c>
      <c r="BJ21" s="55">
        <f t="shared" si="5"/>
        <v>12.153784276254388</v>
      </c>
      <c r="BK21" s="55">
        <f t="shared" si="5"/>
        <v>12.153784276254388</v>
      </c>
      <c r="BL21" s="55">
        <f>SUM((AU21:AY21),(BE21:BK21))</f>
        <v>139.91853277499439</v>
      </c>
      <c r="BM21" s="668">
        <f>(AR21-BL21)</f>
        <v>496.30260724730641</v>
      </c>
      <c r="BN21" s="55">
        <f t="shared" si="6"/>
        <v>12.153784276254388</v>
      </c>
      <c r="BO21" s="55">
        <f t="shared" si="6"/>
        <v>12.153784276254388</v>
      </c>
      <c r="BP21" s="55">
        <f t="shared" si="6"/>
        <v>12.153784276254388</v>
      </c>
      <c r="BQ21" s="55">
        <f t="shared" si="6"/>
        <v>12.153784276254388</v>
      </c>
      <c r="BR21" s="55">
        <f t="shared" si="6"/>
        <v>12.153784276254388</v>
      </c>
      <c r="BS21" s="55">
        <f>SUM(BN21:BR21)</f>
        <v>60.768921381271937</v>
      </c>
      <c r="BT21" s="448">
        <f>BM21-BS21</f>
        <v>435.53368586603449</v>
      </c>
      <c r="BU21" s="57">
        <v>126.408</v>
      </c>
      <c r="BV21" s="350">
        <v>112.505</v>
      </c>
      <c r="BW21" s="55">
        <f>BU21/BV21</f>
        <v>1.1235767299231145</v>
      </c>
      <c r="BX21" s="55">
        <f>BT21/L21</f>
        <v>6.5005027741199175</v>
      </c>
      <c r="BY21" s="55">
        <f>BW21*BX21</f>
        <v>7.3038136498017909</v>
      </c>
      <c r="BZ21" s="55">
        <v>9.2266782854255815</v>
      </c>
      <c r="CA21" s="55">
        <v>9.2266782854255815</v>
      </c>
      <c r="CB21" s="55">
        <v>9.2266782854255815</v>
      </c>
      <c r="CC21" s="55">
        <v>9.2266782854255815</v>
      </c>
      <c r="CD21" s="55">
        <v>9.2266782854255815</v>
      </c>
      <c r="CE21" s="55">
        <v>9.2266782854255815</v>
      </c>
      <c r="CF21" s="55">
        <v>9.2266782854255815</v>
      </c>
      <c r="CG21" s="55">
        <f>SUM(BZ21:CF21)</f>
        <v>64.58674799797906</v>
      </c>
      <c r="CH21" s="448">
        <f>BT21-CG21</f>
        <v>370.94693786805544</v>
      </c>
      <c r="CI21" s="55">
        <v>9.2266782854255815</v>
      </c>
      <c r="CJ21" s="55">
        <v>9.2266782854255815</v>
      </c>
      <c r="CK21" s="55">
        <v>9.2266782854255815</v>
      </c>
      <c r="CL21" s="55">
        <v>9.2266782854255815</v>
      </c>
      <c r="CM21" s="55">
        <v>9.2266782854255815</v>
      </c>
      <c r="CN21" s="505">
        <f t="shared" si="7"/>
        <v>46.133391427127904</v>
      </c>
      <c r="CO21" s="679">
        <f t="shared" si="8"/>
        <v>324.81354644092755</v>
      </c>
      <c r="CP21" s="956">
        <v>132.28200000000001</v>
      </c>
      <c r="CQ21" s="350">
        <v>112.505</v>
      </c>
      <c r="CR21" s="957">
        <f>CP21/CQ21</f>
        <v>1.1757877427669883</v>
      </c>
      <c r="CS21" s="511">
        <f>CO21/P21</f>
        <v>5.4135591073487923</v>
      </c>
      <c r="CT21" s="511">
        <f>CS21*CR21</f>
        <v>6.3651964431653081</v>
      </c>
      <c r="CU21" s="55">
        <v>6.3651964431653081</v>
      </c>
      <c r="CV21" s="55">
        <v>6.3651964431653081</v>
      </c>
      <c r="CW21" s="55">
        <v>6.3651964431653081</v>
      </c>
      <c r="CX21" s="55">
        <v>6.3651964431653081</v>
      </c>
      <c r="CY21" s="55">
        <v>6.3651964431653081</v>
      </c>
      <c r="CZ21" s="55">
        <v>6.3651964431653081</v>
      </c>
      <c r="DA21" s="55">
        <v>6.3651964431653081</v>
      </c>
      <c r="DB21" s="55">
        <v>6.3651964431653081</v>
      </c>
      <c r="DC21" s="55">
        <v>6.3651964431653081</v>
      </c>
      <c r="DD21" s="55">
        <v>6.3651964431653081</v>
      </c>
      <c r="DE21" s="55">
        <v>6.3651964431653081</v>
      </c>
      <c r="DF21" s="55">
        <v>6.3651964431653081</v>
      </c>
      <c r="DG21" s="55">
        <v>6.3651964431653081</v>
      </c>
      <c r="DH21" s="55">
        <v>6.3651964431653081</v>
      </c>
      <c r="DI21" s="55">
        <v>6.3651964431653081</v>
      </c>
      <c r="DJ21" s="55">
        <v>6.3651964431653081</v>
      </c>
      <c r="DK21" s="55">
        <v>6.3651964431653081</v>
      </c>
      <c r="DL21" s="55">
        <v>6.3651964431653081</v>
      </c>
      <c r="DM21" s="511">
        <f t="shared" si="9"/>
        <v>114.57353597697552</v>
      </c>
      <c r="DN21" s="756">
        <f>CO21-DM21</f>
        <v>210.24001046395205</v>
      </c>
    </row>
    <row r="22" spans="1:118" x14ac:dyDescent="0.2">
      <c r="A22" s="120" t="s">
        <v>71</v>
      </c>
      <c r="B22" s="120"/>
      <c r="C22" s="120"/>
      <c r="D22" s="58"/>
      <c r="E22" s="49"/>
      <c r="F22" s="46"/>
      <c r="G22" s="48"/>
      <c r="H22" s="145"/>
      <c r="I22" s="165"/>
      <c r="J22" s="48"/>
      <c r="K22" s="165"/>
      <c r="L22" s="48"/>
      <c r="M22" s="165"/>
      <c r="N22" s="48"/>
      <c r="O22" s="165"/>
      <c r="P22" s="48"/>
      <c r="Q22" s="46"/>
      <c r="R22" s="46"/>
      <c r="S22" s="46"/>
      <c r="T22" s="47"/>
      <c r="U22" s="47"/>
      <c r="V22" s="106"/>
      <c r="W22" s="165"/>
      <c r="X22" s="57"/>
      <c r="Y22" s="80"/>
      <c r="Z22" s="57"/>
      <c r="AA22" s="350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72"/>
      <c r="AR22" s="72"/>
      <c r="AS22" s="55"/>
      <c r="AT22" s="55"/>
      <c r="AU22" s="55">
        <f t="shared" si="3"/>
        <v>0</v>
      </c>
      <c r="AV22" s="55">
        <f t="shared" si="3"/>
        <v>0</v>
      </c>
      <c r="AW22" s="55">
        <f t="shared" si="3"/>
        <v>0</v>
      </c>
      <c r="AX22" s="55">
        <f t="shared" si="3"/>
        <v>0</v>
      </c>
      <c r="AY22" s="55">
        <f t="shared" si="3"/>
        <v>0</v>
      </c>
      <c r="AZ22" s="57"/>
      <c r="BA22" s="350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668"/>
      <c r="BN22" s="55"/>
      <c r="BO22" s="55"/>
      <c r="BP22" s="55"/>
      <c r="BQ22" s="55"/>
      <c r="BR22" s="55"/>
      <c r="BS22" s="55"/>
      <c r="BT22" s="448"/>
      <c r="BU22" s="57"/>
      <c r="BV22" s="350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448"/>
      <c r="CI22" s="55"/>
      <c r="CJ22" s="55"/>
      <c r="CK22" s="55"/>
      <c r="CL22" s="55"/>
      <c r="CM22" s="55"/>
      <c r="CN22" s="505"/>
      <c r="CO22" s="679"/>
      <c r="CP22" s="956"/>
      <c r="CQ22" s="350"/>
      <c r="CR22" s="957"/>
      <c r="CS22" s="511"/>
      <c r="CT22" s="511"/>
      <c r="CU22" s="511"/>
      <c r="CV22" s="511"/>
      <c r="CW22" s="511"/>
      <c r="CX22" s="511"/>
      <c r="CY22" s="511"/>
      <c r="CZ22" s="511"/>
      <c r="DA22" s="511"/>
      <c r="DB22" s="511"/>
      <c r="DC22" s="511"/>
      <c r="DD22" s="511"/>
      <c r="DE22" s="511"/>
      <c r="DF22" s="511"/>
      <c r="DG22" s="511"/>
      <c r="DH22" s="511"/>
      <c r="DI22" s="511"/>
      <c r="DJ22" s="511"/>
      <c r="DK22" s="511"/>
      <c r="DL22" s="511"/>
      <c r="DM22" s="511">
        <f t="shared" si="9"/>
        <v>0</v>
      </c>
      <c r="DN22" s="756"/>
    </row>
    <row r="23" spans="1:118" x14ac:dyDescent="0.2">
      <c r="A23" s="120" t="s">
        <v>915</v>
      </c>
      <c r="B23" s="100"/>
      <c r="C23" s="100"/>
      <c r="D23" s="58"/>
      <c r="E23" s="49"/>
      <c r="F23" s="46"/>
      <c r="G23" s="48"/>
      <c r="H23" s="145"/>
      <c r="I23" s="165"/>
      <c r="J23" s="48"/>
      <c r="K23" s="165"/>
      <c r="L23" s="48"/>
      <c r="M23" s="165"/>
      <c r="N23" s="48"/>
      <c r="O23" s="165"/>
      <c r="P23" s="48"/>
      <c r="Q23" s="46"/>
      <c r="R23" s="46"/>
      <c r="S23" s="46"/>
      <c r="T23" s="47"/>
      <c r="U23" s="47"/>
      <c r="V23" s="106"/>
      <c r="W23" s="165"/>
      <c r="X23" s="57"/>
      <c r="Y23" s="80"/>
      <c r="Z23" s="57"/>
      <c r="AA23" s="350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72"/>
      <c r="AR23" s="72"/>
      <c r="AS23" s="55"/>
      <c r="AT23" s="55"/>
      <c r="AU23" s="55">
        <f t="shared" si="3"/>
        <v>0</v>
      </c>
      <c r="AV23" s="55">
        <f t="shared" si="3"/>
        <v>0</v>
      </c>
      <c r="AW23" s="55">
        <f t="shared" si="3"/>
        <v>0</v>
      </c>
      <c r="AX23" s="55">
        <f t="shared" si="3"/>
        <v>0</v>
      </c>
      <c r="AY23" s="55">
        <f t="shared" si="3"/>
        <v>0</v>
      </c>
      <c r="AZ23" s="57"/>
      <c r="BA23" s="350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668"/>
      <c r="BN23" s="55"/>
      <c r="BO23" s="55"/>
      <c r="BP23" s="55"/>
      <c r="BQ23" s="55"/>
      <c r="BR23" s="55"/>
      <c r="BS23" s="55"/>
      <c r="BT23" s="448"/>
      <c r="BU23" s="57"/>
      <c r="BV23" s="350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448"/>
      <c r="CI23" s="55"/>
      <c r="CJ23" s="55"/>
      <c r="CK23" s="55"/>
      <c r="CL23" s="55"/>
      <c r="CM23" s="55"/>
      <c r="CN23" s="505"/>
      <c r="CO23" s="679"/>
      <c r="CP23" s="511"/>
      <c r="CQ23" s="350"/>
      <c r="CR23" s="957"/>
      <c r="CS23" s="511"/>
      <c r="CT23" s="511"/>
      <c r="CU23" s="511"/>
      <c r="CV23" s="511"/>
      <c r="CW23" s="511"/>
      <c r="CX23" s="511"/>
      <c r="CY23" s="511"/>
      <c r="CZ23" s="511"/>
      <c r="DA23" s="511"/>
      <c r="DB23" s="511"/>
      <c r="DC23" s="511"/>
      <c r="DD23" s="511"/>
      <c r="DE23" s="511"/>
      <c r="DF23" s="511"/>
      <c r="DG23" s="511"/>
      <c r="DH23" s="511"/>
      <c r="DI23" s="511"/>
      <c r="DJ23" s="511"/>
      <c r="DK23" s="511"/>
      <c r="DL23" s="511"/>
      <c r="DM23" s="511">
        <f t="shared" si="9"/>
        <v>0</v>
      </c>
      <c r="DN23" s="511"/>
    </row>
    <row r="24" spans="1:118" s="16" customFormat="1" x14ac:dyDescent="0.2">
      <c r="A24" s="100" t="s">
        <v>916</v>
      </c>
      <c r="B24" s="100" t="s">
        <v>917</v>
      </c>
      <c r="C24" s="100" t="s">
        <v>427</v>
      </c>
      <c r="D24" s="58">
        <v>3</v>
      </c>
      <c r="E24" s="49">
        <v>0.33329999999999999</v>
      </c>
      <c r="F24" s="46">
        <v>43281</v>
      </c>
      <c r="G24" s="48">
        <f>D24*12</f>
        <v>36</v>
      </c>
      <c r="H24" s="145">
        <f>100/G24</f>
        <v>2.7777777777777777</v>
      </c>
      <c r="I24" s="165">
        <f>H24*J24</f>
        <v>0</v>
      </c>
      <c r="J24" s="48">
        <v>0</v>
      </c>
      <c r="K24" s="165">
        <f>L24*H24</f>
        <v>100</v>
      </c>
      <c r="L24" s="48">
        <f>G24-J24</f>
        <v>36</v>
      </c>
      <c r="M24" s="165">
        <f>N24*H24</f>
        <v>8.3333333333333321</v>
      </c>
      <c r="N24" s="48">
        <v>3</v>
      </c>
      <c r="O24" s="165">
        <f>P24*H24</f>
        <v>91.666666666666657</v>
      </c>
      <c r="P24" s="48">
        <f>L24-N24</f>
        <v>33</v>
      </c>
      <c r="Q24" s="46">
        <v>43466</v>
      </c>
      <c r="R24" s="46" t="s">
        <v>914</v>
      </c>
      <c r="S24" s="46">
        <v>42254</v>
      </c>
      <c r="T24" s="47">
        <v>3427</v>
      </c>
      <c r="U24" s="47">
        <f>T24*I24%</f>
        <v>0</v>
      </c>
      <c r="V24" s="106">
        <v>0</v>
      </c>
      <c r="W24" s="165">
        <v>0</v>
      </c>
      <c r="X24" s="57">
        <f>W24*5</f>
        <v>0</v>
      </c>
      <c r="Y24" s="80">
        <v>0</v>
      </c>
      <c r="Z24" s="57">
        <v>115.958</v>
      </c>
      <c r="AA24" s="350">
        <v>116.809</v>
      </c>
      <c r="AB24" s="55">
        <f>Z24/AA24</f>
        <v>0.99271460247070009</v>
      </c>
      <c r="AC24" s="55">
        <f>T24*M24/100/K24*100/7</f>
        <v>40.797619047619037</v>
      </c>
      <c r="AD24" s="55">
        <f>AC24*AB24</f>
        <v>40.500392174608194</v>
      </c>
      <c r="AE24" s="55"/>
      <c r="AF24" s="55"/>
      <c r="AG24" s="55"/>
      <c r="AH24" s="55"/>
      <c r="AI24" s="55"/>
      <c r="AJ24" s="55"/>
      <c r="AK24" s="55"/>
      <c r="AL24" s="55"/>
      <c r="AM24" s="55"/>
      <c r="AN24" s="55">
        <f>$AD24</f>
        <v>40.500392174608194</v>
      </c>
      <c r="AO24" s="55">
        <f>$AD24</f>
        <v>40.500392174608194</v>
      </c>
      <c r="AP24" s="55">
        <f>$AD24</f>
        <v>40.500392174608194</v>
      </c>
      <c r="AQ24" s="72">
        <f>SUM(AE24:AP24)</f>
        <v>121.50117652382458</v>
      </c>
      <c r="AR24" s="72">
        <f>T24-AQ24</f>
        <v>3305.4988234761754</v>
      </c>
      <c r="AS24" s="55"/>
      <c r="AT24" s="55"/>
      <c r="AU24" s="55">
        <f t="shared" si="3"/>
        <v>40.500392174608194</v>
      </c>
      <c r="AV24" s="55">
        <f t="shared" si="3"/>
        <v>40.500392174608194</v>
      </c>
      <c r="AW24" s="55">
        <f t="shared" si="3"/>
        <v>40.500392174608194</v>
      </c>
      <c r="AX24" s="55">
        <f t="shared" si="3"/>
        <v>40.500392174608194</v>
      </c>
      <c r="AY24" s="55">
        <f t="shared" si="3"/>
        <v>40.500392174608194</v>
      </c>
      <c r="AZ24" s="57">
        <v>118.901</v>
      </c>
      <c r="BA24" s="350">
        <v>116.809</v>
      </c>
      <c r="BB24" s="55">
        <f>AZ24/BA24</f>
        <v>1.0179095788851886</v>
      </c>
      <c r="BC24" s="55">
        <f>T24/(D24*12)</f>
        <v>95.194444444444443</v>
      </c>
      <c r="BD24" s="55">
        <f>BC24*BB24</f>
        <v>96.899336856653932</v>
      </c>
      <c r="BE24" s="55">
        <f t="shared" ref="BE24:BK24" si="10">$BD24</f>
        <v>96.899336856653932</v>
      </c>
      <c r="BF24" s="55">
        <f t="shared" si="10"/>
        <v>96.899336856653932</v>
      </c>
      <c r="BG24" s="55">
        <f t="shared" si="10"/>
        <v>96.899336856653932</v>
      </c>
      <c r="BH24" s="55">
        <f t="shared" si="10"/>
        <v>96.899336856653932</v>
      </c>
      <c r="BI24" s="55">
        <f t="shared" si="10"/>
        <v>96.899336856653932</v>
      </c>
      <c r="BJ24" s="55">
        <f t="shared" si="10"/>
        <v>96.899336856653932</v>
      </c>
      <c r="BK24" s="55">
        <f t="shared" si="10"/>
        <v>96.899336856653932</v>
      </c>
      <c r="BL24" s="55">
        <f>SUM((AU24:AY24),(BE24:BK24))</f>
        <v>880.79731886961838</v>
      </c>
      <c r="BM24" s="668">
        <f>(AR24-BL24)</f>
        <v>2424.7015046065571</v>
      </c>
      <c r="BN24" s="55">
        <f>$BD24</f>
        <v>96.899336856653932</v>
      </c>
      <c r="BO24" s="55">
        <f>$BD24</f>
        <v>96.899336856653932</v>
      </c>
      <c r="BP24" s="55">
        <f>$BD24</f>
        <v>96.899336856653932</v>
      </c>
      <c r="BQ24" s="55">
        <f>$BD24</f>
        <v>96.899336856653932</v>
      </c>
      <c r="BR24" s="55">
        <f>$BD24</f>
        <v>96.899336856653932</v>
      </c>
      <c r="BS24" s="55">
        <f>SUM(BN24:BR24)</f>
        <v>484.49668428326964</v>
      </c>
      <c r="BT24" s="448">
        <f>BM24-BS24</f>
        <v>1940.2048203232875</v>
      </c>
      <c r="BU24" s="57">
        <v>126.408</v>
      </c>
      <c r="BV24" s="350">
        <v>116.809</v>
      </c>
      <c r="BW24" s="55">
        <f>BU24/BV24</f>
        <v>1.082176887054936</v>
      </c>
      <c r="BX24" s="55">
        <f>BT24/L24</f>
        <v>53.894578342313544</v>
      </c>
      <c r="BY24" s="55">
        <f>BW24*BX24</f>
        <v>58.323467019623244</v>
      </c>
      <c r="BZ24" s="55">
        <v>58.323467019623244</v>
      </c>
      <c r="CA24" s="55">
        <v>58.323467019623244</v>
      </c>
      <c r="CB24" s="55">
        <v>58.323467019623244</v>
      </c>
      <c r="CC24" s="55">
        <v>58.323467019623244</v>
      </c>
      <c r="CD24" s="55">
        <v>58.323467019623244</v>
      </c>
      <c r="CE24" s="55">
        <v>58.323467019623244</v>
      </c>
      <c r="CF24" s="55">
        <v>58.323467019623244</v>
      </c>
      <c r="CG24" s="55">
        <f>SUM(BZ24:CF24)</f>
        <v>408.2642691373627</v>
      </c>
      <c r="CH24" s="448">
        <f>BT24-CG24</f>
        <v>1531.940551185925</v>
      </c>
      <c r="CI24" s="55">
        <v>58.323467019623244</v>
      </c>
      <c r="CJ24" s="55">
        <v>58.323467019623244</v>
      </c>
      <c r="CK24" s="55">
        <v>58.323467019623244</v>
      </c>
      <c r="CL24" s="55">
        <v>58.323467019623244</v>
      </c>
      <c r="CM24" s="55">
        <v>58.323467019623244</v>
      </c>
      <c r="CN24" s="505">
        <f t="shared" si="7"/>
        <v>291.6173350981162</v>
      </c>
      <c r="CO24" s="679">
        <f t="shared" si="8"/>
        <v>1240.3232160878088</v>
      </c>
      <c r="CP24" s="956">
        <v>132.28200000000001</v>
      </c>
      <c r="CQ24" s="350">
        <v>116.809</v>
      </c>
      <c r="CR24" s="957">
        <f>CP24/CQ24</f>
        <v>1.1324641080738642</v>
      </c>
      <c r="CS24" s="511">
        <f>CO24/P24</f>
        <v>37.585552002660869</v>
      </c>
      <c r="CT24" s="511">
        <f>CS24*CR24</f>
        <v>42.564288625157182</v>
      </c>
      <c r="CU24" s="511">
        <v>42.564288625157182</v>
      </c>
      <c r="CV24" s="511">
        <v>42.564288625157182</v>
      </c>
      <c r="CW24" s="511">
        <v>42.564288625157182</v>
      </c>
      <c r="CX24" s="511">
        <v>42.564288625157182</v>
      </c>
      <c r="CY24" s="511">
        <v>42.564288625157182</v>
      </c>
      <c r="CZ24" s="511">
        <v>42.564288625157182</v>
      </c>
      <c r="DA24" s="511">
        <v>42.564288625157182</v>
      </c>
      <c r="DB24" s="511">
        <v>42.564288625157182</v>
      </c>
      <c r="DC24" s="511">
        <v>42.564288625157182</v>
      </c>
      <c r="DD24" s="511">
        <v>42.564288625157182</v>
      </c>
      <c r="DE24" s="511">
        <v>42.564288625157182</v>
      </c>
      <c r="DF24" s="511">
        <v>42.564288625157182</v>
      </c>
      <c r="DG24" s="511">
        <v>42.564288625157182</v>
      </c>
      <c r="DH24" s="511">
        <v>42.564288625157182</v>
      </c>
      <c r="DI24" s="511">
        <v>42.564288625157182</v>
      </c>
      <c r="DJ24" s="511">
        <v>42.564288625157182</v>
      </c>
      <c r="DK24" s="511">
        <v>42.564288625157182</v>
      </c>
      <c r="DL24" s="511">
        <v>42.564288625157182</v>
      </c>
      <c r="DM24" s="511">
        <f t="shared" si="9"/>
        <v>766.15719525282907</v>
      </c>
      <c r="DN24" s="756">
        <f>CO24-DM24</f>
        <v>474.16602083497969</v>
      </c>
    </row>
    <row r="25" spans="1:118" x14ac:dyDescent="0.2">
      <c r="A25" s="120" t="s">
        <v>71</v>
      </c>
      <c r="B25" s="120"/>
      <c r="C25" s="120"/>
      <c r="D25" s="58"/>
      <c r="E25" s="49"/>
      <c r="F25" s="46"/>
      <c r="G25" s="48"/>
      <c r="H25" s="145"/>
      <c r="I25" s="165"/>
      <c r="J25" s="48"/>
      <c r="K25" s="165"/>
      <c r="L25" s="48"/>
      <c r="M25" s="165"/>
      <c r="N25" s="48"/>
      <c r="O25" s="165"/>
      <c r="P25" s="48"/>
      <c r="Q25" s="46"/>
      <c r="R25" s="46"/>
      <c r="S25" s="46"/>
      <c r="T25" s="47"/>
      <c r="U25" s="47"/>
      <c r="V25" s="106"/>
      <c r="W25" s="165"/>
      <c r="X25" s="57"/>
      <c r="Y25" s="80"/>
      <c r="Z25" s="57"/>
      <c r="AA25" s="350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72"/>
      <c r="AR25" s="72"/>
      <c r="AS25" s="55"/>
      <c r="AT25" s="55"/>
      <c r="AU25" s="55">
        <f t="shared" ref="AU25:AY27" si="11">$AP25</f>
        <v>0</v>
      </c>
      <c r="AV25" s="55">
        <f t="shared" si="11"/>
        <v>0</v>
      </c>
      <c r="AW25" s="55">
        <f t="shared" si="11"/>
        <v>0</v>
      </c>
      <c r="AX25" s="55">
        <f t="shared" si="11"/>
        <v>0</v>
      </c>
      <c r="AY25" s="55">
        <f t="shared" si="11"/>
        <v>0</v>
      </c>
      <c r="AZ25" s="57"/>
      <c r="BA25" s="350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668"/>
      <c r="BN25" s="55"/>
      <c r="BO25" s="55"/>
      <c r="BP25" s="55"/>
      <c r="BQ25" s="55"/>
      <c r="BR25" s="55"/>
      <c r="BS25" s="55"/>
      <c r="BT25" s="448"/>
      <c r="BU25" s="57"/>
      <c r="BV25" s="350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448"/>
      <c r="CI25" s="55"/>
      <c r="CJ25" s="55"/>
      <c r="CK25" s="55"/>
      <c r="CL25" s="55"/>
      <c r="CM25" s="55"/>
      <c r="CN25" s="505"/>
      <c r="CO25" s="679"/>
      <c r="CP25" s="656"/>
      <c r="CQ25" s="350"/>
      <c r="CR25" s="957"/>
      <c r="CS25" s="511"/>
      <c r="CT25" s="511"/>
      <c r="CU25" s="511"/>
      <c r="CV25" s="511"/>
      <c r="CW25" s="511"/>
      <c r="CX25" s="511"/>
      <c r="CY25" s="511"/>
      <c r="CZ25" s="511"/>
      <c r="DA25" s="511"/>
      <c r="DB25" s="511"/>
      <c r="DC25" s="511"/>
      <c r="DD25" s="511"/>
      <c r="DE25" s="511"/>
      <c r="DF25" s="511"/>
      <c r="DG25" s="511"/>
      <c r="DH25" s="511"/>
      <c r="DI25" s="511"/>
      <c r="DJ25" s="511"/>
      <c r="DK25" s="511"/>
      <c r="DL25" s="511"/>
      <c r="DM25" s="511">
        <f t="shared" si="9"/>
        <v>0</v>
      </c>
      <c r="DN25" s="511">
        <f>CV25-DM25</f>
        <v>0</v>
      </c>
    </row>
    <row r="26" spans="1:118" x14ac:dyDescent="0.2">
      <c r="A26" s="120" t="s">
        <v>1021</v>
      </c>
      <c r="B26" s="100"/>
      <c r="C26" s="100"/>
      <c r="D26" s="58"/>
      <c r="E26" s="49"/>
      <c r="F26" s="46"/>
      <c r="G26" s="48"/>
      <c r="H26" s="145"/>
      <c r="I26" s="165"/>
      <c r="J26" s="48"/>
      <c r="K26" s="165"/>
      <c r="L26" s="48"/>
      <c r="M26" s="165"/>
      <c r="N26" s="48"/>
      <c r="O26" s="165"/>
      <c r="P26" s="48"/>
      <c r="Q26" s="46"/>
      <c r="R26" s="46"/>
      <c r="S26" s="46"/>
      <c r="T26" s="47"/>
      <c r="U26" s="47"/>
      <c r="V26" s="106"/>
      <c r="W26" s="165"/>
      <c r="X26" s="57"/>
      <c r="Y26" s="80"/>
      <c r="Z26" s="57"/>
      <c r="AA26" s="350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72"/>
      <c r="AR26" s="72"/>
      <c r="AS26" s="55"/>
      <c r="AT26" s="55"/>
      <c r="AU26" s="55">
        <f t="shared" si="11"/>
        <v>0</v>
      </c>
      <c r="AV26" s="55">
        <f t="shared" si="11"/>
        <v>0</v>
      </c>
      <c r="AW26" s="55">
        <f t="shared" si="11"/>
        <v>0</v>
      </c>
      <c r="AX26" s="55">
        <f t="shared" si="11"/>
        <v>0</v>
      </c>
      <c r="AY26" s="55">
        <f t="shared" si="11"/>
        <v>0</v>
      </c>
      <c r="AZ26" s="57"/>
      <c r="BA26" s="350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668"/>
      <c r="BN26" s="55"/>
      <c r="BO26" s="55"/>
      <c r="BP26" s="55"/>
      <c r="BQ26" s="55"/>
      <c r="BR26" s="55"/>
      <c r="BS26" s="55"/>
      <c r="BT26" s="448"/>
      <c r="BU26" s="57"/>
      <c r="BV26" s="350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448"/>
      <c r="CI26" s="55"/>
      <c r="CJ26" s="55"/>
      <c r="CK26" s="55"/>
      <c r="CL26" s="55"/>
      <c r="CM26" s="55"/>
      <c r="CN26" s="505"/>
      <c r="CO26" s="679"/>
      <c r="CP26" s="623"/>
      <c r="CQ26" s="350"/>
      <c r="CR26" s="957"/>
      <c r="CS26" s="511"/>
      <c r="CT26" s="511"/>
      <c r="CU26" s="511"/>
      <c r="CV26" s="511"/>
      <c r="CW26" s="511"/>
      <c r="CX26" s="511"/>
      <c r="CY26" s="511"/>
      <c r="CZ26" s="511"/>
      <c r="DA26" s="511"/>
      <c r="DB26" s="511"/>
      <c r="DC26" s="511"/>
      <c r="DD26" s="511"/>
      <c r="DE26" s="511"/>
      <c r="DF26" s="511"/>
      <c r="DG26" s="511"/>
      <c r="DH26" s="511"/>
      <c r="DI26" s="511"/>
      <c r="DJ26" s="511"/>
      <c r="DK26" s="511"/>
      <c r="DL26" s="511"/>
      <c r="DM26" s="511">
        <f t="shared" si="9"/>
        <v>0</v>
      </c>
      <c r="DN26" s="511"/>
    </row>
    <row r="27" spans="1:118" x14ac:dyDescent="0.2">
      <c r="A27" s="100" t="s">
        <v>1022</v>
      </c>
      <c r="B27" s="100" t="s">
        <v>1023</v>
      </c>
      <c r="C27" s="100" t="s">
        <v>427</v>
      </c>
      <c r="D27" s="58">
        <v>10</v>
      </c>
      <c r="E27" s="49">
        <v>0.1</v>
      </c>
      <c r="F27" s="46">
        <v>43281</v>
      </c>
      <c r="G27" s="48">
        <f>D27*12</f>
        <v>120</v>
      </c>
      <c r="H27" s="145">
        <f>100/G27</f>
        <v>0.83333333333333337</v>
      </c>
      <c r="I27" s="165">
        <f>H27*J27</f>
        <v>18.333333333333336</v>
      </c>
      <c r="J27" s="48">
        <f>(YEAR(F27)-YEAR(S27))*12+MONTH(F27)-MONTH(S27)</f>
        <v>22</v>
      </c>
      <c r="K27" s="165">
        <f>L27*H27</f>
        <v>81.666666666666671</v>
      </c>
      <c r="L27" s="48">
        <f>G27-J27</f>
        <v>98</v>
      </c>
      <c r="M27" s="165">
        <f>N27*H27</f>
        <v>0</v>
      </c>
      <c r="N27" s="48">
        <v>0</v>
      </c>
      <c r="O27" s="165">
        <f>P27*H27</f>
        <v>81.666666666666671</v>
      </c>
      <c r="P27" s="48">
        <f>L27-N27</f>
        <v>98</v>
      </c>
      <c r="Q27" s="46">
        <v>45292</v>
      </c>
      <c r="R27" s="46" t="s">
        <v>1025</v>
      </c>
      <c r="S27" s="46">
        <v>42613</v>
      </c>
      <c r="T27" s="47">
        <v>2320</v>
      </c>
      <c r="U27" s="47">
        <f>T27*I27%</f>
        <v>425.33333333333337</v>
      </c>
      <c r="V27" s="106">
        <f>T27-U27</f>
        <v>1894.6666666666665</v>
      </c>
      <c r="W27" s="165">
        <v>0</v>
      </c>
      <c r="X27" s="57">
        <v>0</v>
      </c>
      <c r="Y27" s="80">
        <v>0</v>
      </c>
      <c r="Z27" s="57">
        <v>115.958</v>
      </c>
      <c r="AA27" s="350">
        <v>112.505</v>
      </c>
      <c r="AB27" s="55">
        <v>0</v>
      </c>
      <c r="AC27" s="55">
        <f>Y27*M27/100/K27*100/7</f>
        <v>0</v>
      </c>
      <c r="AD27" s="55">
        <f>AC27*AB27</f>
        <v>0</v>
      </c>
      <c r="AE27" s="55"/>
      <c r="AF27" s="55"/>
      <c r="AG27" s="55"/>
      <c r="AH27" s="55"/>
      <c r="AI27" s="55"/>
      <c r="AJ27" s="55">
        <f t="shared" ref="AJ27:AP27" si="12">$AD27</f>
        <v>0</v>
      </c>
      <c r="AK27" s="55">
        <f t="shared" si="12"/>
        <v>0</v>
      </c>
      <c r="AL27" s="55">
        <f t="shared" si="12"/>
        <v>0</v>
      </c>
      <c r="AM27" s="55">
        <f t="shared" si="12"/>
        <v>0</v>
      </c>
      <c r="AN27" s="55">
        <f t="shared" si="12"/>
        <v>0</v>
      </c>
      <c r="AO27" s="55">
        <f t="shared" si="12"/>
        <v>0</v>
      </c>
      <c r="AP27" s="55">
        <f t="shared" si="12"/>
        <v>0</v>
      </c>
      <c r="AQ27" s="72">
        <f>SUM(AE27:AP27)</f>
        <v>0</v>
      </c>
      <c r="AR27" s="72">
        <f>Y27-AQ27</f>
        <v>0</v>
      </c>
      <c r="AS27" s="55"/>
      <c r="AT27" s="55"/>
      <c r="AU27" s="55">
        <f t="shared" si="11"/>
        <v>0</v>
      </c>
      <c r="AV27" s="55">
        <f t="shared" si="11"/>
        <v>0</v>
      </c>
      <c r="AW27" s="55">
        <f t="shared" si="11"/>
        <v>0</v>
      </c>
      <c r="AX27" s="55">
        <f t="shared" si="11"/>
        <v>0</v>
      </c>
      <c r="AY27" s="55">
        <f t="shared" si="11"/>
        <v>0</v>
      </c>
      <c r="AZ27" s="57">
        <v>118.901</v>
      </c>
      <c r="BA27" s="350">
        <v>119.547</v>
      </c>
      <c r="BB27" s="55">
        <f>AZ27/BA27</f>
        <v>0.994596267576769</v>
      </c>
      <c r="BC27" s="55">
        <f>T27/(D27*12)</f>
        <v>19.333333333333332</v>
      </c>
      <c r="BD27" s="55">
        <f>BC27*BB27</f>
        <v>19.228861173150865</v>
      </c>
      <c r="BE27" s="55"/>
      <c r="BF27" s="55"/>
      <c r="BG27" s="55"/>
      <c r="BH27" s="55">
        <f>$BD27</f>
        <v>19.228861173150865</v>
      </c>
      <c r="BI27" s="55">
        <f>$BD27</f>
        <v>19.228861173150865</v>
      </c>
      <c r="BJ27" s="55">
        <f>$BD27</f>
        <v>19.228861173150865</v>
      </c>
      <c r="BK27" s="55">
        <f>$BD27</f>
        <v>19.228861173150865</v>
      </c>
      <c r="BL27" s="55">
        <f>SUM((AU27:AY27),(BE27:BK27))</f>
        <v>76.915444692603458</v>
      </c>
      <c r="BM27" s="668">
        <f>(T27-BL27)</f>
        <v>2243.0845553073964</v>
      </c>
      <c r="BN27" s="55">
        <f>$BD27</f>
        <v>19.228861173150865</v>
      </c>
      <c r="BO27" s="55">
        <f>$BD27</f>
        <v>19.228861173150865</v>
      </c>
      <c r="BP27" s="55">
        <f>$BD27</f>
        <v>19.228861173150865</v>
      </c>
      <c r="BQ27" s="55">
        <f>$BD27</f>
        <v>19.228861173150865</v>
      </c>
      <c r="BR27" s="55">
        <f>$BD27</f>
        <v>19.228861173150865</v>
      </c>
      <c r="BS27" s="55">
        <f>SUM(BN27:BR27)</f>
        <v>96.144305865754319</v>
      </c>
      <c r="BT27" s="448">
        <f>BM27-BS27</f>
        <v>2146.9402494416422</v>
      </c>
      <c r="BU27" s="57">
        <v>126.408</v>
      </c>
      <c r="BV27" s="350">
        <v>119.547</v>
      </c>
      <c r="BW27" s="55">
        <f>BU27/BV27</f>
        <v>1.0573916534919321</v>
      </c>
      <c r="BX27" s="55">
        <f>BT27/L27</f>
        <v>21.907553565731043</v>
      </c>
      <c r="BY27" s="55">
        <f>BW27*BX27</f>
        <v>23.164864288831421</v>
      </c>
      <c r="BZ27" s="55">
        <v>18.917972502545663</v>
      </c>
      <c r="CA27" s="55">
        <v>18.917972502545663</v>
      </c>
      <c r="CB27" s="55">
        <v>18.917972502545663</v>
      </c>
      <c r="CC27" s="55">
        <v>18.917972502545663</v>
      </c>
      <c r="CD27" s="55">
        <v>18.917972502545663</v>
      </c>
      <c r="CE27" s="55">
        <v>18.917972502545663</v>
      </c>
      <c r="CF27" s="55">
        <v>18.917972502545663</v>
      </c>
      <c r="CG27" s="55">
        <f>SUM(BZ27:CF27)</f>
        <v>132.42580751781963</v>
      </c>
      <c r="CH27" s="448">
        <f>BT27-CG27</f>
        <v>2014.5144419238227</v>
      </c>
      <c r="CI27" s="55">
        <v>18.917972502545663</v>
      </c>
      <c r="CJ27" s="55">
        <v>18.917972502545663</v>
      </c>
      <c r="CK27" s="55">
        <v>18.917972502545663</v>
      </c>
      <c r="CL27" s="55">
        <v>18.917972502545663</v>
      </c>
      <c r="CM27" s="55">
        <v>18.917972502545663</v>
      </c>
      <c r="CN27" s="505">
        <f t="shared" si="7"/>
        <v>94.589862512728317</v>
      </c>
      <c r="CO27" s="679">
        <f t="shared" si="8"/>
        <v>1919.9245794110943</v>
      </c>
      <c r="CP27" s="956">
        <v>132.28200000000001</v>
      </c>
      <c r="CQ27" s="350">
        <v>119.547</v>
      </c>
      <c r="CR27" s="957">
        <f>CP27/CQ27</f>
        <v>1.1065271399533239</v>
      </c>
      <c r="CS27" s="511">
        <f>CO27/P27</f>
        <v>19.591067136847901</v>
      </c>
      <c r="CT27" s="511">
        <f>CS27*CR27</f>
        <v>21.678047487569859</v>
      </c>
      <c r="CU27" s="55">
        <v>21.678047487569859</v>
      </c>
      <c r="CV27" s="55">
        <v>21.678047487569859</v>
      </c>
      <c r="CW27" s="55">
        <v>21.678047487569859</v>
      </c>
      <c r="CX27" s="55">
        <v>21.678047487569859</v>
      </c>
      <c r="CY27" s="55">
        <v>21.678047487569859</v>
      </c>
      <c r="CZ27" s="55">
        <v>21.678047487569859</v>
      </c>
      <c r="DA27" s="55">
        <v>21.678047487569859</v>
      </c>
      <c r="DB27" s="55">
        <v>21.678047487569859</v>
      </c>
      <c r="DC27" s="55">
        <v>21.678047487569859</v>
      </c>
      <c r="DD27" s="55">
        <v>21.678047487569859</v>
      </c>
      <c r="DE27" s="55">
        <v>21.678047487569859</v>
      </c>
      <c r="DF27" s="55">
        <v>21.678047487569859</v>
      </c>
      <c r="DG27" s="55">
        <v>21.678047487569859</v>
      </c>
      <c r="DH27" s="55">
        <v>21.678047487569859</v>
      </c>
      <c r="DI27" s="55">
        <v>21.678047487569859</v>
      </c>
      <c r="DJ27" s="55">
        <v>21.678047487569859</v>
      </c>
      <c r="DK27" s="55">
        <v>21.678047487569859</v>
      </c>
      <c r="DL27" s="55">
        <v>21.678047487569859</v>
      </c>
      <c r="DM27" s="511">
        <f t="shared" si="9"/>
        <v>390.2048547762576</v>
      </c>
      <c r="DN27" s="756">
        <f>CO27-DM27</f>
        <v>1529.7197246348367</v>
      </c>
    </row>
    <row r="28" spans="1:118" x14ac:dyDescent="0.2">
      <c r="A28" s="120" t="s">
        <v>71</v>
      </c>
      <c r="B28" s="120"/>
      <c r="C28" s="120"/>
      <c r="D28" s="58"/>
      <c r="E28" s="49"/>
      <c r="F28" s="46"/>
      <c r="G28" s="48"/>
      <c r="H28" s="145"/>
      <c r="I28" s="165"/>
      <c r="J28" s="48"/>
      <c r="K28" s="165"/>
      <c r="L28" s="48"/>
      <c r="M28" s="165"/>
      <c r="N28" s="48"/>
      <c r="O28" s="165"/>
      <c r="P28" s="48"/>
      <c r="Q28" s="46"/>
      <c r="R28" s="46"/>
      <c r="S28" s="46"/>
      <c r="T28" s="47"/>
      <c r="U28" s="47"/>
      <c r="V28" s="106"/>
      <c r="W28" s="165"/>
      <c r="X28" s="57"/>
      <c r="Y28" s="80"/>
      <c r="Z28" s="57"/>
      <c r="AA28" s="350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72"/>
      <c r="AR28" s="72"/>
      <c r="AS28" s="55"/>
      <c r="AT28" s="55"/>
      <c r="AU28" s="55">
        <f t="shared" si="3"/>
        <v>0</v>
      </c>
      <c r="AV28" s="55">
        <f t="shared" si="3"/>
        <v>0</v>
      </c>
      <c r="AW28" s="55">
        <f t="shared" si="3"/>
        <v>0</v>
      </c>
      <c r="AX28" s="55">
        <f t="shared" si="3"/>
        <v>0</v>
      </c>
      <c r="AY28" s="55">
        <f t="shared" si="3"/>
        <v>0</v>
      </c>
      <c r="AZ28" s="57"/>
      <c r="BA28" s="350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668"/>
      <c r="BN28" s="55"/>
      <c r="BO28" s="55"/>
      <c r="BP28" s="55"/>
      <c r="BQ28" s="55"/>
      <c r="BR28" s="55"/>
      <c r="BS28" s="55"/>
      <c r="BT28" s="448"/>
      <c r="BU28" s="57"/>
      <c r="BV28" s="350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448"/>
      <c r="CI28" s="55"/>
      <c r="CJ28" s="55"/>
      <c r="CK28" s="55"/>
      <c r="CL28" s="55"/>
      <c r="CM28" s="55"/>
      <c r="CN28" s="505"/>
      <c r="CO28" s="679"/>
      <c r="CP28" s="55"/>
      <c r="CQ28" s="350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11">
        <f t="shared" si="9"/>
        <v>0</v>
      </c>
      <c r="DN28" s="55"/>
    </row>
    <row r="29" spans="1:118" x14ac:dyDescent="0.2">
      <c r="A29" s="120" t="s">
        <v>77</v>
      </c>
      <c r="B29" s="100"/>
      <c r="C29" s="100"/>
      <c r="D29" s="58"/>
      <c r="E29" s="49"/>
      <c r="F29" s="46"/>
      <c r="G29" s="48"/>
      <c r="H29" s="145"/>
      <c r="I29" s="165"/>
      <c r="J29" s="48"/>
      <c r="K29" s="165"/>
      <c r="L29" s="48"/>
      <c r="M29" s="165"/>
      <c r="N29" s="48"/>
      <c r="O29" s="165"/>
      <c r="P29" s="48"/>
      <c r="Q29" s="46"/>
      <c r="R29" s="46"/>
      <c r="S29" s="46"/>
      <c r="T29" s="47"/>
      <c r="U29" s="47"/>
      <c r="V29" s="106"/>
      <c r="W29" s="165"/>
      <c r="X29" s="57"/>
      <c r="Y29" s="80"/>
      <c r="Z29" s="57"/>
      <c r="AA29" s="350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72"/>
      <c r="AR29" s="72"/>
      <c r="AS29" s="55"/>
      <c r="AT29" s="55"/>
      <c r="AU29" s="55">
        <f t="shared" si="3"/>
        <v>0</v>
      </c>
      <c r="AV29" s="55">
        <f t="shared" si="3"/>
        <v>0</v>
      </c>
      <c r="AW29" s="55">
        <f t="shared" si="3"/>
        <v>0</v>
      </c>
      <c r="AX29" s="55">
        <f t="shared" si="3"/>
        <v>0</v>
      </c>
      <c r="AY29" s="55">
        <f t="shared" si="3"/>
        <v>0</v>
      </c>
      <c r="AZ29" s="57"/>
      <c r="BA29" s="350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668"/>
      <c r="BN29" s="55"/>
      <c r="BO29" s="55"/>
      <c r="BP29" s="55"/>
      <c r="BQ29" s="55"/>
      <c r="BR29" s="55"/>
      <c r="BS29" s="55"/>
      <c r="BT29" s="448"/>
      <c r="BU29" s="57"/>
      <c r="BV29" s="350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448"/>
      <c r="CI29" s="55"/>
      <c r="CJ29" s="55"/>
      <c r="CK29" s="55"/>
      <c r="CL29" s="55"/>
      <c r="CM29" s="55"/>
      <c r="CN29" s="505"/>
      <c r="CO29" s="679"/>
      <c r="CP29" s="956"/>
      <c r="CQ29" s="350"/>
      <c r="CR29" s="957"/>
      <c r="CS29" s="511"/>
      <c r="CT29" s="511"/>
      <c r="CU29" s="511"/>
      <c r="CV29" s="511"/>
      <c r="CW29" s="511"/>
      <c r="CX29" s="511"/>
      <c r="CY29" s="511"/>
      <c r="CZ29" s="511"/>
      <c r="DA29" s="511"/>
      <c r="DB29" s="511"/>
      <c r="DC29" s="511"/>
      <c r="DD29" s="511"/>
      <c r="DE29" s="511"/>
      <c r="DF29" s="511"/>
      <c r="DG29" s="511"/>
      <c r="DH29" s="511"/>
      <c r="DI29" s="511"/>
      <c r="DJ29" s="511"/>
      <c r="DK29" s="511"/>
      <c r="DL29" s="511"/>
      <c r="DM29" s="511">
        <f t="shared" si="9"/>
        <v>0</v>
      </c>
      <c r="DN29" s="756"/>
    </row>
    <row r="30" spans="1:118" x14ac:dyDescent="0.2">
      <c r="A30" s="100" t="s">
        <v>791</v>
      </c>
      <c r="B30" s="100" t="s">
        <v>790</v>
      </c>
      <c r="C30" s="100" t="s">
        <v>427</v>
      </c>
      <c r="D30" s="58">
        <v>10</v>
      </c>
      <c r="E30" s="49">
        <v>0.1</v>
      </c>
      <c r="F30" s="46">
        <v>43281</v>
      </c>
      <c r="G30" s="48">
        <f>D30*12</f>
        <v>120</v>
      </c>
      <c r="H30" s="145">
        <f>100/G30</f>
        <v>0.83333333333333337</v>
      </c>
      <c r="I30" s="165">
        <f>H30*J30</f>
        <v>44.166666666666671</v>
      </c>
      <c r="J30" s="48">
        <f>(YEAR(F30)-YEAR(S30))*12+MONTH(F30)-MONTH(S30)</f>
        <v>53</v>
      </c>
      <c r="K30" s="165">
        <f>L30*H30</f>
        <v>55.833333333333336</v>
      </c>
      <c r="L30" s="48">
        <f>G30-J30</f>
        <v>67</v>
      </c>
      <c r="M30" s="165">
        <f>N30*H30</f>
        <v>5.8333333333333339</v>
      </c>
      <c r="N30" s="48">
        <v>7</v>
      </c>
      <c r="O30" s="165">
        <f>P30*H30</f>
        <v>50</v>
      </c>
      <c r="P30" s="48">
        <f>L30-N30</f>
        <v>60</v>
      </c>
      <c r="Q30" s="46">
        <v>45292</v>
      </c>
      <c r="R30" s="46" t="s">
        <v>445</v>
      </c>
      <c r="S30" s="46">
        <v>41640</v>
      </c>
      <c r="T30" s="47">
        <f>8*480</f>
        <v>3840</v>
      </c>
      <c r="U30" s="47">
        <f>T30*I30%</f>
        <v>1696.0000000000002</v>
      </c>
      <c r="V30" s="106">
        <f>T30-U30</f>
        <v>2144</v>
      </c>
      <c r="W30" s="165">
        <f>T30*H30%</f>
        <v>32</v>
      </c>
      <c r="X30" s="57">
        <f>W30*5</f>
        <v>160</v>
      </c>
      <c r="Y30" s="80">
        <f>V30-X30</f>
        <v>1984</v>
      </c>
      <c r="Z30" s="57">
        <v>115.958</v>
      </c>
      <c r="AA30" s="350">
        <v>112.505</v>
      </c>
      <c r="AB30" s="55">
        <f>Z30/AA30</f>
        <v>1.0306919692458114</v>
      </c>
      <c r="AC30" s="55">
        <f>Y30*M30/100/K30*100/7</f>
        <v>29.611940298507459</v>
      </c>
      <c r="AD30" s="55">
        <f>AC30*AB30</f>
        <v>30.520789059458053</v>
      </c>
      <c r="AE30" s="55"/>
      <c r="AF30" s="55"/>
      <c r="AG30" s="55"/>
      <c r="AH30" s="55"/>
      <c r="AI30" s="55"/>
      <c r="AJ30" s="55">
        <f t="shared" ref="AJ30:AP33" si="13">$AD30</f>
        <v>30.520789059458053</v>
      </c>
      <c r="AK30" s="55">
        <f t="shared" si="13"/>
        <v>30.520789059458053</v>
      </c>
      <c r="AL30" s="55">
        <f t="shared" si="13"/>
        <v>30.520789059458053</v>
      </c>
      <c r="AM30" s="55">
        <f t="shared" si="13"/>
        <v>30.520789059458053</v>
      </c>
      <c r="AN30" s="55">
        <f t="shared" si="13"/>
        <v>30.520789059458053</v>
      </c>
      <c r="AO30" s="55">
        <f t="shared" si="13"/>
        <v>30.520789059458053</v>
      </c>
      <c r="AP30" s="55">
        <f t="shared" si="13"/>
        <v>30.520789059458053</v>
      </c>
      <c r="AQ30" s="72">
        <f>SUM(AE30:AP30)</f>
        <v>213.64552341620637</v>
      </c>
      <c r="AR30" s="72">
        <f>Y30-AQ30</f>
        <v>1770.3544765837937</v>
      </c>
      <c r="AS30" s="55"/>
      <c r="AT30" s="55"/>
      <c r="AU30" s="55">
        <f t="shared" si="3"/>
        <v>30.520789059458053</v>
      </c>
      <c r="AV30" s="55">
        <f t="shared" si="3"/>
        <v>30.520789059458053</v>
      </c>
      <c r="AW30" s="55">
        <f t="shared" si="3"/>
        <v>30.520789059458053</v>
      </c>
      <c r="AX30" s="55">
        <f t="shared" si="3"/>
        <v>30.520789059458053</v>
      </c>
      <c r="AY30" s="55">
        <f t="shared" si="3"/>
        <v>30.520789059458053</v>
      </c>
      <c r="AZ30" s="57">
        <v>118.901</v>
      </c>
      <c r="BA30" s="350">
        <v>112.505</v>
      </c>
      <c r="BB30" s="55">
        <f>AZ30/BA30</f>
        <v>1.0568508066308164</v>
      </c>
      <c r="BC30" s="55">
        <f>T30/(D30*12)</f>
        <v>32</v>
      </c>
      <c r="BD30" s="55">
        <f>BC30*BB30</f>
        <v>33.819225812186126</v>
      </c>
      <c r="BE30" s="55">
        <f t="shared" ref="BE30:BK33" si="14">$BD30</f>
        <v>33.819225812186126</v>
      </c>
      <c r="BF30" s="55">
        <f t="shared" si="14"/>
        <v>33.819225812186126</v>
      </c>
      <c r="BG30" s="55">
        <f t="shared" si="14"/>
        <v>33.819225812186126</v>
      </c>
      <c r="BH30" s="55">
        <f t="shared" si="14"/>
        <v>33.819225812186126</v>
      </c>
      <c r="BI30" s="55">
        <f t="shared" si="14"/>
        <v>33.819225812186126</v>
      </c>
      <c r="BJ30" s="55">
        <f t="shared" si="14"/>
        <v>33.819225812186126</v>
      </c>
      <c r="BK30" s="55">
        <f t="shared" si="14"/>
        <v>33.819225812186126</v>
      </c>
      <c r="BL30" s="55">
        <f>SUM((AU30:AY30),(BE30:BK30))</f>
        <v>389.33852598259313</v>
      </c>
      <c r="BM30" s="668">
        <f>(AR30-BL30)</f>
        <v>1381.0159506012005</v>
      </c>
      <c r="BN30" s="55">
        <f t="shared" ref="BN30:BR33" si="15">$BD30</f>
        <v>33.819225812186126</v>
      </c>
      <c r="BO30" s="55">
        <f t="shared" si="15"/>
        <v>33.819225812186126</v>
      </c>
      <c r="BP30" s="55">
        <f t="shared" si="15"/>
        <v>33.819225812186126</v>
      </c>
      <c r="BQ30" s="55">
        <f t="shared" si="15"/>
        <v>33.819225812186126</v>
      </c>
      <c r="BR30" s="55">
        <f t="shared" si="15"/>
        <v>33.819225812186126</v>
      </c>
      <c r="BS30" s="55">
        <f>SUM(BN30:BR30)</f>
        <v>169.09612906093062</v>
      </c>
      <c r="BT30" s="448">
        <f>BM30-BS30</f>
        <v>1211.9198215402698</v>
      </c>
      <c r="BU30" s="57">
        <v>126.408</v>
      </c>
      <c r="BV30" s="350">
        <v>112.505</v>
      </c>
      <c r="BW30" s="55">
        <f>BU30/BV30</f>
        <v>1.1235767299231145</v>
      </c>
      <c r="BX30" s="55">
        <f>BT30/L30</f>
        <v>18.088355545377162</v>
      </c>
      <c r="BY30" s="55">
        <f>BW30*BX30</f>
        <v>20.323655373361508</v>
      </c>
      <c r="BZ30" s="55">
        <v>22.634144638022526</v>
      </c>
      <c r="CA30" s="55">
        <v>22.634144638022526</v>
      </c>
      <c r="CB30" s="55">
        <v>22.634144638022526</v>
      </c>
      <c r="CC30" s="55">
        <v>22.634144638022526</v>
      </c>
      <c r="CD30" s="55">
        <v>22.634144638022526</v>
      </c>
      <c r="CE30" s="55">
        <v>22.634144638022526</v>
      </c>
      <c r="CF30" s="55">
        <v>22.634144638022526</v>
      </c>
      <c r="CG30" s="55">
        <f>SUM(BZ30:CF30)</f>
        <v>158.43901246615766</v>
      </c>
      <c r="CH30" s="448">
        <f>BT30-CG30</f>
        <v>1053.4808090741121</v>
      </c>
      <c r="CI30" s="55">
        <v>22.634144638022526</v>
      </c>
      <c r="CJ30" s="55">
        <v>22.634144638022526</v>
      </c>
      <c r="CK30" s="55">
        <v>22.634144638022526</v>
      </c>
      <c r="CL30" s="55">
        <v>22.634144638022526</v>
      </c>
      <c r="CM30" s="55">
        <v>22.634144638022526</v>
      </c>
      <c r="CN30" s="505">
        <f t="shared" si="7"/>
        <v>113.17072319011262</v>
      </c>
      <c r="CO30" s="679">
        <f t="shared" si="8"/>
        <v>940.31008588399948</v>
      </c>
      <c r="CP30" s="956">
        <v>132.28200000000001</v>
      </c>
      <c r="CQ30" s="350">
        <v>112.505</v>
      </c>
      <c r="CR30" s="957">
        <f>CP30/CQ30</f>
        <v>1.1757877427669883</v>
      </c>
      <c r="CS30" s="511">
        <f>CO30/P30</f>
        <v>15.671834764733324</v>
      </c>
      <c r="CT30" s="511">
        <f>CS30*CR30</f>
        <v>18.426751223043009</v>
      </c>
      <c r="CU30" s="511">
        <v>18.426751223043009</v>
      </c>
      <c r="CV30" s="511">
        <v>18.426751223043009</v>
      </c>
      <c r="CW30" s="511">
        <v>18.426751223043009</v>
      </c>
      <c r="CX30" s="511">
        <v>18.426751223043009</v>
      </c>
      <c r="CY30" s="511">
        <v>18.426751223043009</v>
      </c>
      <c r="CZ30" s="511">
        <v>18.426751223043009</v>
      </c>
      <c r="DA30" s="511">
        <v>18.426751223043009</v>
      </c>
      <c r="DB30" s="511">
        <v>18.426751223043009</v>
      </c>
      <c r="DC30" s="511">
        <v>18.426751223043009</v>
      </c>
      <c r="DD30" s="511">
        <v>18.426751223043009</v>
      </c>
      <c r="DE30" s="511">
        <v>18.426751223043009</v>
      </c>
      <c r="DF30" s="511">
        <v>18.426751223043009</v>
      </c>
      <c r="DG30" s="511">
        <v>18.426751223043009</v>
      </c>
      <c r="DH30" s="511">
        <v>18.426751223043009</v>
      </c>
      <c r="DI30" s="511">
        <v>18.426751223043009</v>
      </c>
      <c r="DJ30" s="511">
        <v>18.426751223043009</v>
      </c>
      <c r="DK30" s="511">
        <v>18.426751223043009</v>
      </c>
      <c r="DL30" s="511">
        <v>18.426751223043009</v>
      </c>
      <c r="DM30" s="511">
        <f t="shared" si="9"/>
        <v>331.6815220147742</v>
      </c>
      <c r="DN30" s="756">
        <f>CO30-DM30</f>
        <v>608.62856386922522</v>
      </c>
    </row>
    <row r="31" spans="1:118" x14ac:dyDescent="0.2">
      <c r="A31" s="100" t="s">
        <v>787</v>
      </c>
      <c r="B31" s="100" t="s">
        <v>789</v>
      </c>
      <c r="C31" s="100" t="s">
        <v>427</v>
      </c>
      <c r="D31" s="58">
        <v>5</v>
      </c>
      <c r="E31" s="49">
        <v>0.2</v>
      </c>
      <c r="F31" s="46">
        <v>43281</v>
      </c>
      <c r="G31" s="48">
        <f>D31*12</f>
        <v>60</v>
      </c>
      <c r="H31" s="145">
        <f>100/G31</f>
        <v>1.6666666666666667</v>
      </c>
      <c r="I31" s="165">
        <f>H31*J31</f>
        <v>88.333333333333343</v>
      </c>
      <c r="J31" s="48">
        <f>(YEAR(F31)-YEAR(S31))*12+MONTH(F31)-MONTH(S31)</f>
        <v>53</v>
      </c>
      <c r="K31" s="165">
        <f>L31*H31</f>
        <v>11.666666666666668</v>
      </c>
      <c r="L31" s="48">
        <f>G31-J31</f>
        <v>7</v>
      </c>
      <c r="M31" s="165">
        <f>N31*H31</f>
        <v>11.666666666666668</v>
      </c>
      <c r="N31" s="48">
        <v>7</v>
      </c>
      <c r="O31" s="165">
        <f>P31*H31</f>
        <v>0</v>
      </c>
      <c r="P31" s="48">
        <f>L31-N31</f>
        <v>0</v>
      </c>
      <c r="Q31" s="46">
        <v>43466</v>
      </c>
      <c r="R31" s="46" t="s">
        <v>445</v>
      </c>
      <c r="S31" s="46">
        <v>41640</v>
      </c>
      <c r="T31" s="47">
        <v>300</v>
      </c>
      <c r="U31" s="47">
        <f>T31*I31%</f>
        <v>265</v>
      </c>
      <c r="V31" s="106">
        <f>T31-U31</f>
        <v>35</v>
      </c>
      <c r="W31" s="165">
        <f>T31*H31%</f>
        <v>5</v>
      </c>
      <c r="X31" s="57">
        <f>W31*5</f>
        <v>25</v>
      </c>
      <c r="Y31" s="80">
        <f>V31-X31</f>
        <v>10</v>
      </c>
      <c r="Z31" s="57">
        <v>115.958</v>
      </c>
      <c r="AA31" s="350">
        <v>112.505</v>
      </c>
      <c r="AB31" s="55">
        <f>Z31/AA31</f>
        <v>1.0306919692458114</v>
      </c>
      <c r="AC31" s="55">
        <f>Y31*M31/100/K31*100/7</f>
        <v>1.4285714285714288</v>
      </c>
      <c r="AD31" s="55">
        <f>AC31*AB31</f>
        <v>1.472417098922588</v>
      </c>
      <c r="AE31" s="55"/>
      <c r="AF31" s="55"/>
      <c r="AG31" s="55"/>
      <c r="AH31" s="55"/>
      <c r="AI31" s="55"/>
      <c r="AJ31" s="55">
        <f t="shared" si="13"/>
        <v>1.472417098922588</v>
      </c>
      <c r="AK31" s="55">
        <f t="shared" si="13"/>
        <v>1.472417098922588</v>
      </c>
      <c r="AL31" s="55">
        <f t="shared" si="13"/>
        <v>1.472417098922588</v>
      </c>
      <c r="AM31" s="55">
        <f t="shared" si="13"/>
        <v>1.472417098922588</v>
      </c>
      <c r="AN31" s="55">
        <f t="shared" si="13"/>
        <v>1.472417098922588</v>
      </c>
      <c r="AO31" s="55">
        <f t="shared" si="13"/>
        <v>1.472417098922588</v>
      </c>
      <c r="AP31" s="55">
        <f t="shared" si="13"/>
        <v>1.472417098922588</v>
      </c>
      <c r="AQ31" s="72">
        <f>SUM(AE31:AP31)</f>
        <v>10.306919692458115</v>
      </c>
      <c r="AR31" s="72">
        <f>Y31-AQ31</f>
        <v>-0.30691969245811457</v>
      </c>
      <c r="AS31" s="55"/>
      <c r="AT31" s="55"/>
      <c r="AU31" s="55">
        <f t="shared" si="3"/>
        <v>1.472417098922588</v>
      </c>
      <c r="AV31" s="55">
        <f t="shared" si="3"/>
        <v>1.472417098922588</v>
      </c>
      <c r="AW31" s="55">
        <f t="shared" si="3"/>
        <v>1.472417098922588</v>
      </c>
      <c r="AX31" s="55">
        <f t="shared" si="3"/>
        <v>1.472417098922588</v>
      </c>
      <c r="AY31" s="55">
        <f t="shared" si="3"/>
        <v>1.472417098922588</v>
      </c>
      <c r="AZ31" s="57">
        <v>118.901</v>
      </c>
      <c r="BA31" s="350">
        <v>112.505</v>
      </c>
      <c r="BB31" s="55">
        <f>AZ31/BA31</f>
        <v>1.0568508066308164</v>
      </c>
      <c r="BC31" s="55">
        <f>T31/(D31*12)</f>
        <v>5</v>
      </c>
      <c r="BD31" s="55">
        <f>BC31*BB31</f>
        <v>5.2842540331540819</v>
      </c>
      <c r="BE31" s="55">
        <f t="shared" si="14"/>
        <v>5.2842540331540819</v>
      </c>
      <c r="BF31" s="55">
        <f t="shared" si="14"/>
        <v>5.2842540331540819</v>
      </c>
      <c r="BG31" s="55">
        <f t="shared" si="14"/>
        <v>5.2842540331540819</v>
      </c>
      <c r="BH31" s="55">
        <f t="shared" si="14"/>
        <v>5.2842540331540819</v>
      </c>
      <c r="BI31" s="55">
        <f t="shared" si="14"/>
        <v>5.2842540331540819</v>
      </c>
      <c r="BJ31" s="55">
        <f t="shared" si="14"/>
        <v>5.2842540331540819</v>
      </c>
      <c r="BK31" s="55">
        <f t="shared" si="14"/>
        <v>5.2842540331540819</v>
      </c>
      <c r="BL31" s="55">
        <f>SUM((AU31:AY31),(BE31:BK31))</f>
        <v>44.351863726691519</v>
      </c>
      <c r="BM31" s="668">
        <f>(AR31-BL31)</f>
        <v>-44.658783419149636</v>
      </c>
      <c r="BN31" s="55">
        <f t="shared" si="15"/>
        <v>5.2842540331540819</v>
      </c>
      <c r="BO31" s="55">
        <f t="shared" si="15"/>
        <v>5.2842540331540819</v>
      </c>
      <c r="BP31" s="55">
        <f t="shared" si="15"/>
        <v>5.2842540331540819</v>
      </c>
      <c r="BQ31" s="55">
        <f t="shared" si="15"/>
        <v>5.2842540331540819</v>
      </c>
      <c r="BR31" s="55">
        <f t="shared" si="15"/>
        <v>5.2842540331540819</v>
      </c>
      <c r="BS31" s="55">
        <f>SUM(BN31:BR31)</f>
        <v>26.421270165770409</v>
      </c>
      <c r="BT31" s="448">
        <v>1</v>
      </c>
      <c r="BU31" s="57">
        <v>126.408</v>
      </c>
      <c r="BV31" s="350">
        <v>112.505</v>
      </c>
      <c r="BW31" s="55">
        <f>BU31/BV31</f>
        <v>1.1235767299231145</v>
      </c>
      <c r="BX31" s="55">
        <v>0</v>
      </c>
      <c r="BY31" s="55">
        <f>BW31*BX31</f>
        <v>0</v>
      </c>
      <c r="BZ31" s="55">
        <v>0</v>
      </c>
      <c r="CA31" s="55">
        <v>0</v>
      </c>
      <c r="CB31" s="55">
        <v>0</v>
      </c>
      <c r="CC31" s="55">
        <v>0</v>
      </c>
      <c r="CD31" s="55">
        <v>0</v>
      </c>
      <c r="CE31" s="55">
        <v>0</v>
      </c>
      <c r="CF31" s="55">
        <v>0</v>
      </c>
      <c r="CG31" s="55">
        <f>SUM(BZ31:CF31)</f>
        <v>0</v>
      </c>
      <c r="CH31" s="448">
        <f>BT31-CG31</f>
        <v>1</v>
      </c>
      <c r="CI31" s="55">
        <v>0</v>
      </c>
      <c r="CJ31" s="55">
        <v>0</v>
      </c>
      <c r="CK31" s="55">
        <v>0</v>
      </c>
      <c r="CL31" s="55">
        <v>0</v>
      </c>
      <c r="CM31" s="55">
        <v>0</v>
      </c>
      <c r="CN31" s="505">
        <f t="shared" si="7"/>
        <v>0</v>
      </c>
      <c r="CO31" s="679">
        <f t="shared" si="8"/>
        <v>1</v>
      </c>
      <c r="CP31" s="956">
        <v>132.28200000000001</v>
      </c>
      <c r="CQ31" s="350">
        <v>112.505</v>
      </c>
      <c r="CR31" s="957">
        <f>CP31/CQ31</f>
        <v>1.1757877427669883</v>
      </c>
      <c r="CS31" s="511">
        <v>0</v>
      </c>
      <c r="CT31" s="511">
        <v>0</v>
      </c>
      <c r="CU31" s="511">
        <v>0</v>
      </c>
      <c r="CV31" s="511">
        <v>0</v>
      </c>
      <c r="CW31" s="511">
        <v>0</v>
      </c>
      <c r="CX31" s="511">
        <v>0</v>
      </c>
      <c r="CY31" s="511">
        <v>0</v>
      </c>
      <c r="CZ31" s="511">
        <v>0</v>
      </c>
      <c r="DA31" s="511">
        <v>0</v>
      </c>
      <c r="DB31" s="511">
        <v>0</v>
      </c>
      <c r="DC31" s="511">
        <v>0</v>
      </c>
      <c r="DD31" s="511">
        <v>0</v>
      </c>
      <c r="DE31" s="511">
        <v>0</v>
      </c>
      <c r="DF31" s="511">
        <v>0</v>
      </c>
      <c r="DG31" s="511">
        <v>0</v>
      </c>
      <c r="DH31" s="511">
        <v>0</v>
      </c>
      <c r="DI31" s="511">
        <v>0</v>
      </c>
      <c r="DJ31" s="511">
        <v>0</v>
      </c>
      <c r="DK31" s="511">
        <v>0</v>
      </c>
      <c r="DL31" s="511">
        <v>0</v>
      </c>
      <c r="DM31" s="511">
        <f t="shared" si="9"/>
        <v>0</v>
      </c>
      <c r="DN31" s="756">
        <f>CO31-DM31</f>
        <v>1</v>
      </c>
    </row>
    <row r="32" spans="1:118" x14ac:dyDescent="0.2">
      <c r="A32" s="100" t="s">
        <v>787</v>
      </c>
      <c r="B32" s="100" t="s">
        <v>788</v>
      </c>
      <c r="C32" s="100" t="s">
        <v>427</v>
      </c>
      <c r="D32" s="58">
        <v>5</v>
      </c>
      <c r="E32" s="49">
        <v>0.2</v>
      </c>
      <c r="F32" s="46">
        <v>43281</v>
      </c>
      <c r="G32" s="48">
        <f>D32*12</f>
        <v>60</v>
      </c>
      <c r="H32" s="145">
        <f>100/G32</f>
        <v>1.6666666666666667</v>
      </c>
      <c r="I32" s="165">
        <f>H32*J32</f>
        <v>88.333333333333343</v>
      </c>
      <c r="J32" s="48">
        <f>(YEAR(F32)-YEAR(S32))*12+MONTH(F32)-MONTH(S32)</f>
        <v>53</v>
      </c>
      <c r="K32" s="165">
        <f>L32*H32</f>
        <v>11.666666666666668</v>
      </c>
      <c r="L32" s="48">
        <f>G32-J32</f>
        <v>7</v>
      </c>
      <c r="M32" s="165">
        <f>N32*H32</f>
        <v>11.666666666666668</v>
      </c>
      <c r="N32" s="48">
        <v>7</v>
      </c>
      <c r="O32" s="165">
        <f>P32*H32</f>
        <v>0</v>
      </c>
      <c r="P32" s="48">
        <f>L32-N32</f>
        <v>0</v>
      </c>
      <c r="Q32" s="46">
        <v>43466</v>
      </c>
      <c r="R32" s="46" t="s">
        <v>445</v>
      </c>
      <c r="S32" s="46">
        <v>41640</v>
      </c>
      <c r="T32" s="47">
        <v>600</v>
      </c>
      <c r="U32" s="47">
        <f>T32*I32%</f>
        <v>530</v>
      </c>
      <c r="V32" s="106">
        <f>T32-U32</f>
        <v>70</v>
      </c>
      <c r="W32" s="165">
        <f>T32*H32%</f>
        <v>10</v>
      </c>
      <c r="X32" s="57">
        <f>W32*5</f>
        <v>50</v>
      </c>
      <c r="Y32" s="80">
        <f>V32-X32</f>
        <v>20</v>
      </c>
      <c r="Z32" s="57">
        <v>115.958</v>
      </c>
      <c r="AA32" s="350">
        <v>112.505</v>
      </c>
      <c r="AB32" s="55">
        <f>Z32/AA32</f>
        <v>1.0306919692458114</v>
      </c>
      <c r="AC32" s="55">
        <f>Y32*M32/100/K32*100/7</f>
        <v>2.8571428571428577</v>
      </c>
      <c r="AD32" s="55">
        <f>AC32*AB32</f>
        <v>2.944834197845176</v>
      </c>
      <c r="AE32" s="55"/>
      <c r="AF32" s="55"/>
      <c r="AG32" s="55"/>
      <c r="AH32" s="55"/>
      <c r="AI32" s="55"/>
      <c r="AJ32" s="55">
        <f t="shared" si="13"/>
        <v>2.944834197845176</v>
      </c>
      <c r="AK32" s="55">
        <f t="shared" si="13"/>
        <v>2.944834197845176</v>
      </c>
      <c r="AL32" s="55">
        <f t="shared" si="13"/>
        <v>2.944834197845176</v>
      </c>
      <c r="AM32" s="55">
        <f t="shared" si="13"/>
        <v>2.944834197845176</v>
      </c>
      <c r="AN32" s="55">
        <f t="shared" si="13"/>
        <v>2.944834197845176</v>
      </c>
      <c r="AO32" s="55">
        <f t="shared" si="13"/>
        <v>2.944834197845176</v>
      </c>
      <c r="AP32" s="55">
        <f t="shared" si="13"/>
        <v>2.944834197845176</v>
      </c>
      <c r="AQ32" s="72">
        <f>SUM(AE32:AP32)</f>
        <v>20.613839384916229</v>
      </c>
      <c r="AR32" s="72">
        <f>Y32-AQ32</f>
        <v>-0.61383938491622914</v>
      </c>
      <c r="AS32" s="55"/>
      <c r="AT32" s="55"/>
      <c r="AU32" s="55">
        <f t="shared" si="3"/>
        <v>2.944834197845176</v>
      </c>
      <c r="AV32" s="55">
        <f t="shared" si="3"/>
        <v>2.944834197845176</v>
      </c>
      <c r="AW32" s="55">
        <f t="shared" si="3"/>
        <v>2.944834197845176</v>
      </c>
      <c r="AX32" s="55">
        <f t="shared" si="3"/>
        <v>2.944834197845176</v>
      </c>
      <c r="AY32" s="55">
        <f t="shared" si="3"/>
        <v>2.944834197845176</v>
      </c>
      <c r="AZ32" s="57">
        <v>118.901</v>
      </c>
      <c r="BA32" s="350">
        <v>112.505</v>
      </c>
      <c r="BB32" s="55">
        <f>AZ32/BA32</f>
        <v>1.0568508066308164</v>
      </c>
      <c r="BC32" s="55">
        <f>T32/(D32*12)</f>
        <v>10</v>
      </c>
      <c r="BD32" s="55">
        <f>BC32*BB32</f>
        <v>10.568508066308164</v>
      </c>
      <c r="BE32" s="55">
        <f t="shared" si="14"/>
        <v>10.568508066308164</v>
      </c>
      <c r="BF32" s="55">
        <f t="shared" si="14"/>
        <v>10.568508066308164</v>
      </c>
      <c r="BG32" s="55">
        <f t="shared" si="14"/>
        <v>10.568508066308164</v>
      </c>
      <c r="BH32" s="55">
        <f t="shared" si="14"/>
        <v>10.568508066308164</v>
      </c>
      <c r="BI32" s="55">
        <f t="shared" si="14"/>
        <v>10.568508066308164</v>
      </c>
      <c r="BJ32" s="55">
        <f t="shared" si="14"/>
        <v>10.568508066308164</v>
      </c>
      <c r="BK32" s="55">
        <f t="shared" si="14"/>
        <v>10.568508066308164</v>
      </c>
      <c r="BL32" s="55">
        <f>SUM((AU32:AY32),(BE32:BK32))</f>
        <v>88.703727453383038</v>
      </c>
      <c r="BM32" s="668">
        <f>(AR32-BL32)</f>
        <v>-89.317566838299271</v>
      </c>
      <c r="BN32" s="55">
        <f t="shared" si="15"/>
        <v>10.568508066308164</v>
      </c>
      <c r="BO32" s="55">
        <f t="shared" si="15"/>
        <v>10.568508066308164</v>
      </c>
      <c r="BP32" s="55">
        <f t="shared" si="15"/>
        <v>10.568508066308164</v>
      </c>
      <c r="BQ32" s="55">
        <f t="shared" si="15"/>
        <v>10.568508066308164</v>
      </c>
      <c r="BR32" s="55">
        <f t="shared" si="15"/>
        <v>10.568508066308164</v>
      </c>
      <c r="BS32" s="55">
        <f>SUM(BN32:BR32)</f>
        <v>52.842540331540818</v>
      </c>
      <c r="BT32" s="448">
        <v>1</v>
      </c>
      <c r="BU32" s="57">
        <v>126.408</v>
      </c>
      <c r="BV32" s="350">
        <v>112.505</v>
      </c>
      <c r="BW32" s="55">
        <f>BU32/BV32</f>
        <v>1.1235767299231145</v>
      </c>
      <c r="BX32" s="55">
        <v>0</v>
      </c>
      <c r="BY32" s="55">
        <f>BW32*BX32</f>
        <v>0</v>
      </c>
      <c r="BZ32" s="55">
        <v>0</v>
      </c>
      <c r="CA32" s="55">
        <v>0</v>
      </c>
      <c r="CB32" s="55">
        <v>0</v>
      </c>
      <c r="CC32" s="55">
        <v>0</v>
      </c>
      <c r="CD32" s="55">
        <v>0</v>
      </c>
      <c r="CE32" s="55">
        <v>0</v>
      </c>
      <c r="CF32" s="55">
        <v>0</v>
      </c>
      <c r="CG32" s="55">
        <f>SUM(BZ32:CF32)</f>
        <v>0</v>
      </c>
      <c r="CH32" s="448">
        <f>BT32-CG32</f>
        <v>1</v>
      </c>
      <c r="CI32" s="55">
        <v>0</v>
      </c>
      <c r="CJ32" s="55">
        <v>0</v>
      </c>
      <c r="CK32" s="55">
        <v>0</v>
      </c>
      <c r="CL32" s="55">
        <v>0</v>
      </c>
      <c r="CM32" s="55">
        <v>0</v>
      </c>
      <c r="CN32" s="505">
        <f t="shared" si="7"/>
        <v>0</v>
      </c>
      <c r="CO32" s="679">
        <f t="shared" si="8"/>
        <v>1</v>
      </c>
      <c r="CP32" s="956">
        <v>132.28200000000001</v>
      </c>
      <c r="CQ32" s="350">
        <v>112.505</v>
      </c>
      <c r="CR32" s="957">
        <f>CP32/CQ32</f>
        <v>1.1757877427669883</v>
      </c>
      <c r="CS32" s="511">
        <v>0</v>
      </c>
      <c r="CT32" s="511">
        <v>0</v>
      </c>
      <c r="CU32" s="511">
        <v>0</v>
      </c>
      <c r="CV32" s="511">
        <v>0</v>
      </c>
      <c r="CW32" s="511">
        <v>0</v>
      </c>
      <c r="CX32" s="511">
        <v>0</v>
      </c>
      <c r="CY32" s="511">
        <v>0</v>
      </c>
      <c r="CZ32" s="511">
        <v>0</v>
      </c>
      <c r="DA32" s="511">
        <v>0</v>
      </c>
      <c r="DB32" s="511">
        <v>0</v>
      </c>
      <c r="DC32" s="511">
        <v>0</v>
      </c>
      <c r="DD32" s="511">
        <v>0</v>
      </c>
      <c r="DE32" s="511">
        <v>0</v>
      </c>
      <c r="DF32" s="511">
        <v>0</v>
      </c>
      <c r="DG32" s="511">
        <v>0</v>
      </c>
      <c r="DH32" s="511">
        <v>0</v>
      </c>
      <c r="DI32" s="511">
        <v>0</v>
      </c>
      <c r="DJ32" s="511">
        <v>0</v>
      </c>
      <c r="DK32" s="511">
        <v>0</v>
      </c>
      <c r="DL32" s="511">
        <v>0</v>
      </c>
      <c r="DM32" s="511">
        <f t="shared" si="9"/>
        <v>0</v>
      </c>
      <c r="DN32" s="756">
        <f>CO32-DM32</f>
        <v>1</v>
      </c>
    </row>
    <row r="33" spans="1:118" s="12" customFormat="1" x14ac:dyDescent="0.2">
      <c r="A33" s="100" t="s">
        <v>787</v>
      </c>
      <c r="B33" s="100" t="s">
        <v>786</v>
      </c>
      <c r="C33" s="100" t="s">
        <v>427</v>
      </c>
      <c r="D33" s="8">
        <v>10</v>
      </c>
      <c r="E33" s="127">
        <v>0.1</v>
      </c>
      <c r="F33" s="119">
        <v>43281</v>
      </c>
      <c r="G33" s="125">
        <f>D33*12</f>
        <v>120</v>
      </c>
      <c r="H33" s="146">
        <f>100/G33</f>
        <v>0.83333333333333337</v>
      </c>
      <c r="I33" s="1167">
        <f>H33*J33</f>
        <v>44.166666666666671</v>
      </c>
      <c r="J33" s="125">
        <f>(YEAR(F33)-YEAR(S33))*12+MONTH(F33)-MONTH(S33)</f>
        <v>53</v>
      </c>
      <c r="K33" s="1167">
        <f>L33*H33</f>
        <v>55.833333333333336</v>
      </c>
      <c r="L33" s="125">
        <f>G33-J33</f>
        <v>67</v>
      </c>
      <c r="M33" s="1167">
        <f>N33*H33</f>
        <v>5.8333333333333339</v>
      </c>
      <c r="N33" s="125">
        <v>7</v>
      </c>
      <c r="O33" s="1167">
        <f>P33*H33</f>
        <v>50</v>
      </c>
      <c r="P33" s="125">
        <f>L33-N33</f>
        <v>60</v>
      </c>
      <c r="Q33" s="119">
        <v>45292</v>
      </c>
      <c r="R33" s="119" t="s">
        <v>445</v>
      </c>
      <c r="S33" s="119">
        <v>41640</v>
      </c>
      <c r="T33" s="134">
        <v>750</v>
      </c>
      <c r="U33" s="134">
        <f>T33*I33%</f>
        <v>331.25000000000006</v>
      </c>
      <c r="V33" s="7">
        <f>T33-U33</f>
        <v>418.74999999999994</v>
      </c>
      <c r="W33" s="1167">
        <f>T33*H33%</f>
        <v>6.25</v>
      </c>
      <c r="X33" s="64">
        <f>W33*5</f>
        <v>31.25</v>
      </c>
      <c r="Y33" s="82">
        <f>V33-X33</f>
        <v>387.49999999999994</v>
      </c>
      <c r="Z33" s="64">
        <v>115.958</v>
      </c>
      <c r="AA33" s="1234">
        <v>112.505</v>
      </c>
      <c r="AB33" s="62">
        <f>Z33/AA33</f>
        <v>1.0306919692458114</v>
      </c>
      <c r="AC33" s="62">
        <f>Y33*M33/100/K33*100/7</f>
        <v>5.7835820895522376</v>
      </c>
      <c r="AD33" s="62">
        <f>AC33*AB33</f>
        <v>5.9610916131754008</v>
      </c>
      <c r="AE33" s="62"/>
      <c r="AF33" s="62"/>
      <c r="AG33" s="62"/>
      <c r="AH33" s="62"/>
      <c r="AI33" s="62"/>
      <c r="AJ33" s="62">
        <f t="shared" si="13"/>
        <v>5.9610916131754008</v>
      </c>
      <c r="AK33" s="62">
        <f t="shared" si="13"/>
        <v>5.9610916131754008</v>
      </c>
      <c r="AL33" s="62">
        <f t="shared" si="13"/>
        <v>5.9610916131754008</v>
      </c>
      <c r="AM33" s="62">
        <f t="shared" si="13"/>
        <v>5.9610916131754008</v>
      </c>
      <c r="AN33" s="62">
        <f t="shared" si="13"/>
        <v>5.9610916131754008</v>
      </c>
      <c r="AO33" s="62">
        <f t="shared" si="13"/>
        <v>5.9610916131754008</v>
      </c>
      <c r="AP33" s="62">
        <f t="shared" si="13"/>
        <v>5.9610916131754008</v>
      </c>
      <c r="AQ33" s="1169">
        <f>SUM(AE33:AP33)</f>
        <v>41.727641292227801</v>
      </c>
      <c r="AR33" s="1169">
        <f>Y33-AQ33</f>
        <v>345.77235870777213</v>
      </c>
      <c r="AS33" s="62"/>
      <c r="AT33" s="62"/>
      <c r="AU33" s="62">
        <f t="shared" si="3"/>
        <v>5.9610916131754008</v>
      </c>
      <c r="AV33" s="62">
        <f t="shared" si="3"/>
        <v>5.9610916131754008</v>
      </c>
      <c r="AW33" s="62">
        <f t="shared" si="3"/>
        <v>5.9610916131754008</v>
      </c>
      <c r="AX33" s="62">
        <f t="shared" si="3"/>
        <v>5.9610916131754008</v>
      </c>
      <c r="AY33" s="62">
        <f t="shared" si="3"/>
        <v>5.9610916131754008</v>
      </c>
      <c r="AZ33" s="64">
        <v>118.901</v>
      </c>
      <c r="BA33" s="1234">
        <v>112.505</v>
      </c>
      <c r="BB33" s="62">
        <f>AZ33/BA33</f>
        <v>1.0568508066308164</v>
      </c>
      <c r="BC33" s="62">
        <f>T33/(D33*12)</f>
        <v>6.25</v>
      </c>
      <c r="BD33" s="62">
        <f>BC33*BB33</f>
        <v>6.6053175414426031</v>
      </c>
      <c r="BE33" s="62">
        <f t="shared" si="14"/>
        <v>6.6053175414426031</v>
      </c>
      <c r="BF33" s="62">
        <f t="shared" si="14"/>
        <v>6.6053175414426031</v>
      </c>
      <c r="BG33" s="62">
        <f t="shared" si="14"/>
        <v>6.6053175414426031</v>
      </c>
      <c r="BH33" s="62">
        <f t="shared" si="14"/>
        <v>6.6053175414426031</v>
      </c>
      <c r="BI33" s="62">
        <f t="shared" si="14"/>
        <v>6.6053175414426031</v>
      </c>
      <c r="BJ33" s="62">
        <f t="shared" si="14"/>
        <v>6.6053175414426031</v>
      </c>
      <c r="BK33" s="62">
        <f t="shared" si="14"/>
        <v>6.6053175414426031</v>
      </c>
      <c r="BL33" s="62">
        <f>SUM((AU33:AY33),(BE33:BK33))</f>
        <v>76.04268085597522</v>
      </c>
      <c r="BM33" s="1213">
        <f>(AR33-BL33)</f>
        <v>269.72967785179691</v>
      </c>
      <c r="BN33" s="62">
        <f t="shared" si="15"/>
        <v>6.6053175414426031</v>
      </c>
      <c r="BO33" s="62">
        <f t="shared" si="15"/>
        <v>6.6053175414426031</v>
      </c>
      <c r="BP33" s="62">
        <f t="shared" si="15"/>
        <v>6.6053175414426031</v>
      </c>
      <c r="BQ33" s="62">
        <f t="shared" si="15"/>
        <v>6.6053175414426031</v>
      </c>
      <c r="BR33" s="62">
        <f t="shared" si="15"/>
        <v>6.6053175414426031</v>
      </c>
      <c r="BS33" s="62">
        <f>SUM(BN33:BR33)</f>
        <v>33.026587707213018</v>
      </c>
      <c r="BT33" s="927">
        <v>1</v>
      </c>
      <c r="BU33" s="64">
        <v>126.408</v>
      </c>
      <c r="BV33" s="1234">
        <v>112.505</v>
      </c>
      <c r="BW33" s="62">
        <f>BU33/BV33</f>
        <v>1.1235767299231145</v>
      </c>
      <c r="BX33" s="62">
        <v>0</v>
      </c>
      <c r="BY33" s="62">
        <f>BW33*BX33</f>
        <v>0</v>
      </c>
      <c r="BZ33" s="62">
        <v>0</v>
      </c>
      <c r="CA33" s="62">
        <v>0</v>
      </c>
      <c r="CB33" s="62">
        <v>0</v>
      </c>
      <c r="CC33" s="62">
        <v>0</v>
      </c>
      <c r="CD33" s="62">
        <v>0</v>
      </c>
      <c r="CE33" s="62">
        <v>0</v>
      </c>
      <c r="CF33" s="62">
        <v>0</v>
      </c>
      <c r="CG33" s="62">
        <f>SUM(BZ33:CF33)</f>
        <v>0</v>
      </c>
      <c r="CH33" s="927">
        <f>BT33-CG33</f>
        <v>1</v>
      </c>
      <c r="CI33" s="62">
        <v>0</v>
      </c>
      <c r="CJ33" s="62">
        <v>0</v>
      </c>
      <c r="CK33" s="62">
        <v>0</v>
      </c>
      <c r="CL33" s="62">
        <v>0</v>
      </c>
      <c r="CM33" s="62">
        <v>0</v>
      </c>
      <c r="CN33" s="1170">
        <f t="shared" si="7"/>
        <v>0</v>
      </c>
      <c r="CO33" s="679">
        <f t="shared" si="8"/>
        <v>1</v>
      </c>
      <c r="CP33" s="1171">
        <v>132.28200000000001</v>
      </c>
      <c r="CQ33" s="1234">
        <v>112.505</v>
      </c>
      <c r="CR33" s="1200">
        <f>CP33/CQ33</f>
        <v>1.1757877427669883</v>
      </c>
      <c r="CS33" s="510">
        <v>0</v>
      </c>
      <c r="CT33" s="510">
        <v>0</v>
      </c>
      <c r="CU33" s="510">
        <v>0</v>
      </c>
      <c r="CV33" s="510">
        <v>0</v>
      </c>
      <c r="CW33" s="510">
        <v>0</v>
      </c>
      <c r="CX33" s="510">
        <v>0</v>
      </c>
      <c r="CY33" s="510">
        <v>0</v>
      </c>
      <c r="CZ33" s="510">
        <v>0</v>
      </c>
      <c r="DA33" s="510">
        <v>0</v>
      </c>
      <c r="DB33" s="510">
        <v>0</v>
      </c>
      <c r="DC33" s="510">
        <v>0</v>
      </c>
      <c r="DD33" s="510">
        <v>0</v>
      </c>
      <c r="DE33" s="510">
        <v>0</v>
      </c>
      <c r="DF33" s="510">
        <v>0</v>
      </c>
      <c r="DG33" s="510">
        <v>0</v>
      </c>
      <c r="DH33" s="510">
        <v>0</v>
      </c>
      <c r="DI33" s="510">
        <v>0</v>
      </c>
      <c r="DJ33" s="510">
        <v>0</v>
      </c>
      <c r="DK33" s="510">
        <v>0</v>
      </c>
      <c r="DL33" s="510">
        <v>0</v>
      </c>
      <c r="DM33" s="510">
        <f t="shared" si="9"/>
        <v>0</v>
      </c>
      <c r="DN33" s="756">
        <f>CO33-DM33</f>
        <v>1</v>
      </c>
    </row>
    <row r="34" spans="1:118" x14ac:dyDescent="0.2">
      <c r="A34" s="120" t="s">
        <v>65</v>
      </c>
      <c r="B34" s="120"/>
      <c r="C34" s="120"/>
      <c r="D34" s="58"/>
      <c r="E34" s="49"/>
      <c r="F34" s="46"/>
      <c r="G34" s="48"/>
      <c r="H34" s="145"/>
      <c r="I34" s="165"/>
      <c r="J34" s="48"/>
      <c r="K34" s="165"/>
      <c r="L34" s="48"/>
      <c r="M34" s="165"/>
      <c r="N34" s="48"/>
      <c r="O34" s="165"/>
      <c r="P34" s="48"/>
      <c r="Q34" s="46"/>
      <c r="R34" s="46"/>
      <c r="S34" s="46"/>
      <c r="T34" s="47"/>
      <c r="U34" s="47"/>
      <c r="V34" s="106"/>
      <c r="W34" s="165"/>
      <c r="X34" s="57"/>
      <c r="Y34" s="80"/>
      <c r="Z34" s="57"/>
      <c r="AA34" s="350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72"/>
      <c r="AR34" s="72"/>
      <c r="AS34" s="55"/>
      <c r="AT34" s="55"/>
      <c r="AU34" s="55">
        <f t="shared" si="3"/>
        <v>0</v>
      </c>
      <c r="AV34" s="55">
        <f t="shared" si="3"/>
        <v>0</v>
      </c>
      <c r="AW34" s="55">
        <f t="shared" si="3"/>
        <v>0</v>
      </c>
      <c r="AX34" s="55">
        <f t="shared" si="3"/>
        <v>0</v>
      </c>
      <c r="AY34" s="55">
        <f t="shared" si="3"/>
        <v>0</v>
      </c>
      <c r="AZ34" s="57"/>
      <c r="BA34" s="350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668"/>
      <c r="BN34" s="55"/>
      <c r="BO34" s="55"/>
      <c r="BP34" s="55"/>
      <c r="BQ34" s="55"/>
      <c r="BR34" s="55"/>
      <c r="BS34" s="55"/>
      <c r="BT34" s="448"/>
      <c r="BU34" s="57"/>
      <c r="BV34" s="350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448"/>
      <c r="CI34" s="55"/>
      <c r="CJ34" s="55"/>
      <c r="CK34" s="55"/>
      <c r="CL34" s="55"/>
      <c r="CM34" s="55"/>
      <c r="CN34" s="505"/>
      <c r="CO34" s="679"/>
      <c r="CP34" s="55"/>
      <c r="CQ34" s="350"/>
      <c r="CR34" s="55"/>
      <c r="CS34" s="55"/>
      <c r="CT34" s="55"/>
      <c r="CU34" s="55"/>
      <c r="CV34" s="55"/>
      <c r="CW34" s="55"/>
      <c r="CX34" s="55"/>
      <c r="CY34" s="55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11">
        <f t="shared" si="9"/>
        <v>0</v>
      </c>
      <c r="DN34" s="55"/>
    </row>
    <row r="35" spans="1:118" x14ac:dyDescent="0.2">
      <c r="A35" s="120" t="s">
        <v>83</v>
      </c>
      <c r="B35" s="100"/>
      <c r="C35" s="100"/>
      <c r="D35" s="58"/>
      <c r="E35" s="49"/>
      <c r="F35" s="46"/>
      <c r="G35" s="48"/>
      <c r="H35" s="145"/>
      <c r="I35" s="165"/>
      <c r="J35" s="48"/>
      <c r="K35" s="165"/>
      <c r="L35" s="48"/>
      <c r="M35" s="165"/>
      <c r="N35" s="48"/>
      <c r="O35" s="165"/>
      <c r="P35" s="48"/>
      <c r="Q35" s="46"/>
      <c r="R35" s="46"/>
      <c r="S35" s="46"/>
      <c r="T35" s="47"/>
      <c r="U35" s="47"/>
      <c r="V35" s="106"/>
      <c r="W35" s="165"/>
      <c r="X35" s="57"/>
      <c r="Y35" s="80"/>
      <c r="Z35" s="57"/>
      <c r="AA35" s="350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72"/>
      <c r="AR35" s="72"/>
      <c r="AS35" s="55"/>
      <c r="AT35" s="55"/>
      <c r="AU35" s="55">
        <f t="shared" si="3"/>
        <v>0</v>
      </c>
      <c r="AV35" s="55">
        <f t="shared" si="3"/>
        <v>0</v>
      </c>
      <c r="AW35" s="55">
        <f t="shared" si="3"/>
        <v>0</v>
      </c>
      <c r="AX35" s="55">
        <f t="shared" si="3"/>
        <v>0</v>
      </c>
      <c r="AY35" s="55">
        <f t="shared" si="3"/>
        <v>0</v>
      </c>
      <c r="AZ35" s="57"/>
      <c r="BA35" s="350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668"/>
      <c r="BN35" s="55"/>
      <c r="BO35" s="55"/>
      <c r="BP35" s="55"/>
      <c r="BQ35" s="55"/>
      <c r="BR35" s="55"/>
      <c r="BS35" s="55"/>
      <c r="BT35" s="448"/>
      <c r="BU35" s="57"/>
      <c r="BV35" s="350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448"/>
      <c r="CI35" s="55"/>
      <c r="CJ35" s="55"/>
      <c r="CK35" s="55"/>
      <c r="CL35" s="55"/>
      <c r="CM35" s="55"/>
      <c r="CN35" s="505"/>
      <c r="CO35" s="679"/>
      <c r="CP35" s="55"/>
      <c r="CQ35" s="350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11">
        <f t="shared" si="9"/>
        <v>0</v>
      </c>
      <c r="DN35" s="55"/>
    </row>
    <row r="36" spans="1:118" x14ac:dyDescent="0.2">
      <c r="A36" s="100" t="s">
        <v>785</v>
      </c>
      <c r="B36" s="100" t="s">
        <v>784</v>
      </c>
      <c r="C36" s="100" t="s">
        <v>427</v>
      </c>
      <c r="D36" s="58">
        <v>5</v>
      </c>
      <c r="E36" s="49">
        <v>0.2</v>
      </c>
      <c r="F36" s="46">
        <v>43281</v>
      </c>
      <c r="G36" s="48">
        <f>D36*12</f>
        <v>60</v>
      </c>
      <c r="H36" s="145">
        <f>100/G36</f>
        <v>1.6666666666666667</v>
      </c>
      <c r="I36" s="165">
        <f>H36*J36</f>
        <v>88.333333333333343</v>
      </c>
      <c r="J36" s="48">
        <f>(YEAR(F36)-YEAR(S36))*12+MONTH(F36)-MONTH(S36)</f>
        <v>53</v>
      </c>
      <c r="K36" s="165">
        <f>L36*H36</f>
        <v>11.666666666666668</v>
      </c>
      <c r="L36" s="48">
        <f>G36-J36</f>
        <v>7</v>
      </c>
      <c r="M36" s="165">
        <f>N36*H36</f>
        <v>11.666666666666668</v>
      </c>
      <c r="N36" s="48">
        <v>7</v>
      </c>
      <c r="O36" s="165">
        <f>P36*H36</f>
        <v>0</v>
      </c>
      <c r="P36" s="48">
        <f>L36-N36</f>
        <v>0</v>
      </c>
      <c r="Q36" s="46">
        <v>45292</v>
      </c>
      <c r="R36" s="46" t="s">
        <v>445</v>
      </c>
      <c r="S36" s="46">
        <v>41640</v>
      </c>
      <c r="T36" s="47">
        <v>400</v>
      </c>
      <c r="U36" s="47">
        <f>T36*I36%</f>
        <v>353.33333333333337</v>
      </c>
      <c r="V36" s="106">
        <f>T36-U36</f>
        <v>46.666666666666629</v>
      </c>
      <c r="W36" s="165">
        <f>T36*H36%</f>
        <v>6.666666666666667</v>
      </c>
      <c r="X36" s="57">
        <f>W36*5</f>
        <v>33.333333333333336</v>
      </c>
      <c r="Y36" s="80">
        <f>V36-X36</f>
        <v>13.333333333333293</v>
      </c>
      <c r="Z36" s="57">
        <v>115.958</v>
      </c>
      <c r="AA36" s="350">
        <v>112.505</v>
      </c>
      <c r="AB36" s="55">
        <f>Z36/AA36</f>
        <v>1.0306919692458114</v>
      </c>
      <c r="AC36" s="55">
        <f>Y36*M36/100/K36*100/7</f>
        <v>1.9047619047618987</v>
      </c>
      <c r="AD36" s="55">
        <f>AC36*AB36</f>
        <v>1.9632227985634441</v>
      </c>
      <c r="AE36" s="55"/>
      <c r="AF36" s="55"/>
      <c r="AG36" s="55"/>
      <c r="AH36" s="55"/>
      <c r="AI36" s="55"/>
      <c r="AJ36" s="55">
        <f t="shared" ref="AJ36:AP36" si="16">$AD36</f>
        <v>1.9632227985634441</v>
      </c>
      <c r="AK36" s="55">
        <f t="shared" si="16"/>
        <v>1.9632227985634441</v>
      </c>
      <c r="AL36" s="55">
        <f t="shared" si="16"/>
        <v>1.9632227985634441</v>
      </c>
      <c r="AM36" s="55">
        <f t="shared" si="16"/>
        <v>1.9632227985634441</v>
      </c>
      <c r="AN36" s="55">
        <f t="shared" si="16"/>
        <v>1.9632227985634441</v>
      </c>
      <c r="AO36" s="55">
        <f t="shared" si="16"/>
        <v>1.9632227985634441</v>
      </c>
      <c r="AP36" s="55">
        <f t="shared" si="16"/>
        <v>1.9632227985634441</v>
      </c>
      <c r="AQ36" s="72">
        <f>SUM(AE36:AP36)</f>
        <v>13.74255958994411</v>
      </c>
      <c r="AR36" s="72">
        <f>Y36-AQ36</f>
        <v>-0.40922625661081646</v>
      </c>
      <c r="AS36" s="55"/>
      <c r="AT36" s="55"/>
      <c r="AU36" s="55">
        <f t="shared" si="3"/>
        <v>1.9632227985634441</v>
      </c>
      <c r="AV36" s="55">
        <f t="shared" si="3"/>
        <v>1.9632227985634441</v>
      </c>
      <c r="AW36" s="55">
        <f t="shared" si="3"/>
        <v>1.9632227985634441</v>
      </c>
      <c r="AX36" s="55">
        <f t="shared" si="3"/>
        <v>1.9632227985634441</v>
      </c>
      <c r="AY36" s="55">
        <f t="shared" si="3"/>
        <v>1.9632227985634441</v>
      </c>
      <c r="AZ36" s="57">
        <v>118.901</v>
      </c>
      <c r="BA36" s="350">
        <v>112.505</v>
      </c>
      <c r="BB36" s="55">
        <f>AZ36/BA36</f>
        <v>1.0568508066308164</v>
      </c>
      <c r="BC36" s="55">
        <f>T36/(D36*12)</f>
        <v>6.666666666666667</v>
      </c>
      <c r="BD36" s="55">
        <f>BC36*BB36</f>
        <v>7.0456720442054435</v>
      </c>
      <c r="BE36" s="55">
        <f t="shared" ref="BE36:BK36" si="17">$BD36</f>
        <v>7.0456720442054435</v>
      </c>
      <c r="BF36" s="55">
        <f t="shared" si="17"/>
        <v>7.0456720442054435</v>
      </c>
      <c r="BG36" s="55">
        <f t="shared" si="17"/>
        <v>7.0456720442054435</v>
      </c>
      <c r="BH36" s="55">
        <f t="shared" si="17"/>
        <v>7.0456720442054435</v>
      </c>
      <c r="BI36" s="55">
        <f t="shared" si="17"/>
        <v>7.0456720442054435</v>
      </c>
      <c r="BJ36" s="55">
        <f t="shared" si="17"/>
        <v>7.0456720442054435</v>
      </c>
      <c r="BK36" s="55">
        <f t="shared" si="17"/>
        <v>7.0456720442054435</v>
      </c>
      <c r="BL36" s="55">
        <f>SUM((AU36:AY36),(BE36:BK36))</f>
        <v>59.135818302255331</v>
      </c>
      <c r="BM36" s="668">
        <f>(AR36-BL36)</f>
        <v>-59.545044558866145</v>
      </c>
      <c r="BN36" s="55">
        <f>$BD36</f>
        <v>7.0456720442054435</v>
      </c>
      <c r="BO36" s="55">
        <f>$BD36</f>
        <v>7.0456720442054435</v>
      </c>
      <c r="BP36" s="55">
        <f>$BD36</f>
        <v>7.0456720442054435</v>
      </c>
      <c r="BQ36" s="55">
        <f>$BD36</f>
        <v>7.0456720442054435</v>
      </c>
      <c r="BR36" s="55">
        <f>$BD36</f>
        <v>7.0456720442054435</v>
      </c>
      <c r="BS36" s="55">
        <f>SUM(BN36:BR36)</f>
        <v>35.228360221027216</v>
      </c>
      <c r="BT36" s="448">
        <v>1</v>
      </c>
      <c r="BU36" s="57">
        <v>126.408</v>
      </c>
      <c r="BV36" s="350">
        <v>112.505</v>
      </c>
      <c r="BW36" s="55">
        <f>BU36/BV36</f>
        <v>1.1235767299231145</v>
      </c>
      <c r="BX36" s="55">
        <v>0</v>
      </c>
      <c r="BY36" s="55">
        <f>BW36*BX36</f>
        <v>0</v>
      </c>
      <c r="BZ36" s="55">
        <v>0</v>
      </c>
      <c r="CA36" s="55">
        <v>0</v>
      </c>
      <c r="CB36" s="55">
        <v>0</v>
      </c>
      <c r="CC36" s="55">
        <v>0</v>
      </c>
      <c r="CD36" s="55">
        <v>0</v>
      </c>
      <c r="CE36" s="55">
        <v>0</v>
      </c>
      <c r="CF36" s="55">
        <v>0</v>
      </c>
      <c r="CG36" s="55">
        <f>SUM(BZ36:CF36)</f>
        <v>0</v>
      </c>
      <c r="CH36" s="448">
        <f>BT36-CG36</f>
        <v>1</v>
      </c>
      <c r="CI36" s="55">
        <v>0</v>
      </c>
      <c r="CJ36" s="55">
        <v>0</v>
      </c>
      <c r="CK36" s="55">
        <v>0</v>
      </c>
      <c r="CL36" s="55">
        <v>0</v>
      </c>
      <c r="CM36" s="55">
        <v>0</v>
      </c>
      <c r="CN36" s="505">
        <f t="shared" si="7"/>
        <v>0</v>
      </c>
      <c r="CO36" s="679">
        <f t="shared" si="8"/>
        <v>1</v>
      </c>
      <c r="CP36" s="956">
        <v>132.28200000000001</v>
      </c>
      <c r="CQ36" s="350">
        <v>112.505</v>
      </c>
      <c r="CR36" s="957">
        <f>CP36/CQ36</f>
        <v>1.1757877427669883</v>
      </c>
      <c r="CS36" s="511">
        <v>0</v>
      </c>
      <c r="CT36" s="511">
        <v>0</v>
      </c>
      <c r="CU36" s="511">
        <v>0</v>
      </c>
      <c r="CV36" s="511">
        <v>0</v>
      </c>
      <c r="CW36" s="511">
        <v>0</v>
      </c>
      <c r="CX36" s="511">
        <v>0</v>
      </c>
      <c r="CY36" s="511">
        <v>0</v>
      </c>
      <c r="CZ36" s="511">
        <v>0</v>
      </c>
      <c r="DA36" s="511">
        <v>0</v>
      </c>
      <c r="DB36" s="511">
        <v>0</v>
      </c>
      <c r="DC36" s="511">
        <v>0</v>
      </c>
      <c r="DD36" s="511">
        <v>0</v>
      </c>
      <c r="DE36" s="511">
        <v>0</v>
      </c>
      <c r="DF36" s="511">
        <v>0</v>
      </c>
      <c r="DG36" s="511">
        <v>0</v>
      </c>
      <c r="DH36" s="511">
        <v>0</v>
      </c>
      <c r="DI36" s="511">
        <v>0</v>
      </c>
      <c r="DJ36" s="511">
        <v>0</v>
      </c>
      <c r="DK36" s="511">
        <v>0</v>
      </c>
      <c r="DL36" s="511">
        <v>0</v>
      </c>
      <c r="DM36" s="511">
        <f t="shared" si="9"/>
        <v>0</v>
      </c>
      <c r="DN36" s="756">
        <f>CO36-DM36</f>
        <v>1</v>
      </c>
    </row>
    <row r="37" spans="1:118" x14ac:dyDescent="0.2">
      <c r="A37" s="120" t="s">
        <v>71</v>
      </c>
      <c r="B37" s="120"/>
      <c r="C37" s="120"/>
      <c r="D37" s="58"/>
      <c r="E37" s="49"/>
      <c r="F37" s="46"/>
      <c r="G37" s="48"/>
      <c r="H37" s="145"/>
      <c r="I37" s="165"/>
      <c r="J37" s="48"/>
      <c r="K37" s="165"/>
      <c r="L37" s="48"/>
      <c r="M37" s="165"/>
      <c r="N37" s="48"/>
      <c r="O37" s="165"/>
      <c r="P37" s="48"/>
      <c r="Q37" s="46"/>
      <c r="R37" s="46"/>
      <c r="S37" s="46"/>
      <c r="T37" s="47"/>
      <c r="U37" s="47"/>
      <c r="V37" s="106"/>
      <c r="W37" s="165"/>
      <c r="X37" s="57"/>
      <c r="Y37" s="80"/>
      <c r="Z37" s="57"/>
      <c r="AA37" s="350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72"/>
      <c r="AR37" s="72"/>
      <c r="AS37" s="55"/>
      <c r="AT37" s="55"/>
      <c r="AU37" s="55">
        <f t="shared" si="3"/>
        <v>0</v>
      </c>
      <c r="AV37" s="55">
        <f t="shared" si="3"/>
        <v>0</v>
      </c>
      <c r="AW37" s="55">
        <f t="shared" si="3"/>
        <v>0</v>
      </c>
      <c r="AX37" s="55">
        <f t="shared" si="3"/>
        <v>0</v>
      </c>
      <c r="AY37" s="55">
        <f t="shared" si="3"/>
        <v>0</v>
      </c>
      <c r="AZ37" s="57"/>
      <c r="BA37" s="350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668"/>
      <c r="BN37" s="55"/>
      <c r="BO37" s="55"/>
      <c r="BP37" s="55"/>
      <c r="BQ37" s="55"/>
      <c r="BR37" s="55"/>
      <c r="BS37" s="55"/>
      <c r="BT37" s="448"/>
      <c r="BU37" s="57"/>
      <c r="BV37" s="350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448"/>
      <c r="CI37" s="55"/>
      <c r="CJ37" s="55"/>
      <c r="CK37" s="55"/>
      <c r="CL37" s="55"/>
      <c r="CM37" s="55"/>
      <c r="CN37" s="505"/>
      <c r="CO37" s="679"/>
      <c r="CP37" s="511"/>
      <c r="CQ37" s="350"/>
      <c r="CR37" s="957"/>
      <c r="CS37" s="511"/>
      <c r="CT37" s="511"/>
      <c r="CU37" s="511"/>
      <c r="CV37" s="511"/>
      <c r="CW37" s="511"/>
      <c r="CX37" s="511"/>
      <c r="CY37" s="511"/>
      <c r="CZ37" s="511"/>
      <c r="DA37" s="511"/>
      <c r="DB37" s="511"/>
      <c r="DC37" s="511"/>
      <c r="DD37" s="511"/>
      <c r="DE37" s="511"/>
      <c r="DF37" s="511"/>
      <c r="DG37" s="511"/>
      <c r="DH37" s="511"/>
      <c r="DI37" s="511"/>
      <c r="DJ37" s="511"/>
      <c r="DK37" s="511"/>
      <c r="DL37" s="511"/>
      <c r="DM37" s="511">
        <f t="shared" si="9"/>
        <v>0</v>
      </c>
      <c r="DN37" s="511"/>
    </row>
    <row r="38" spans="1:118" x14ac:dyDescent="0.2">
      <c r="A38" s="120" t="s">
        <v>783</v>
      </c>
      <c r="B38" s="100"/>
      <c r="C38" s="100"/>
      <c r="D38" s="58"/>
      <c r="E38" s="49"/>
      <c r="F38" s="46"/>
      <c r="G38" s="48"/>
      <c r="H38" s="145"/>
      <c r="I38" s="165"/>
      <c r="J38" s="48"/>
      <c r="K38" s="165"/>
      <c r="L38" s="48"/>
      <c r="M38" s="165"/>
      <c r="N38" s="48"/>
      <c r="O38" s="165"/>
      <c r="P38" s="48"/>
      <c r="Q38" s="46"/>
      <c r="R38" s="46"/>
      <c r="S38" s="46"/>
      <c r="T38" s="47"/>
      <c r="U38" s="47"/>
      <c r="V38" s="106"/>
      <c r="W38" s="165"/>
      <c r="X38" s="57"/>
      <c r="Y38" s="80"/>
      <c r="Z38" s="57"/>
      <c r="AA38" s="350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72"/>
      <c r="AR38" s="72"/>
      <c r="AS38" s="55"/>
      <c r="AT38" s="55"/>
      <c r="AU38" s="55">
        <f t="shared" si="3"/>
        <v>0</v>
      </c>
      <c r="AV38" s="55">
        <f t="shared" si="3"/>
        <v>0</v>
      </c>
      <c r="AW38" s="55">
        <f t="shared" si="3"/>
        <v>0</v>
      </c>
      <c r="AX38" s="55">
        <f t="shared" si="3"/>
        <v>0</v>
      </c>
      <c r="AY38" s="55">
        <f t="shared" si="3"/>
        <v>0</v>
      </c>
      <c r="AZ38" s="57"/>
      <c r="BA38" s="350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668"/>
      <c r="BN38" s="55"/>
      <c r="BO38" s="55"/>
      <c r="BP38" s="55"/>
      <c r="BQ38" s="55"/>
      <c r="BR38" s="55"/>
      <c r="BS38" s="55"/>
      <c r="BT38" s="448"/>
      <c r="BU38" s="57"/>
      <c r="BV38" s="350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448"/>
      <c r="CI38" s="55"/>
      <c r="CJ38" s="55"/>
      <c r="CK38" s="55"/>
      <c r="CL38" s="55"/>
      <c r="CM38" s="55"/>
      <c r="CN38" s="505"/>
      <c r="CO38" s="679"/>
      <c r="CP38" s="623"/>
      <c r="CQ38" s="350"/>
      <c r="CR38" s="957"/>
      <c r="CS38" s="511"/>
      <c r="CT38" s="511"/>
      <c r="CU38" s="511"/>
      <c r="CV38" s="511"/>
      <c r="CW38" s="511"/>
      <c r="CX38" s="511"/>
      <c r="CY38" s="511"/>
      <c r="CZ38" s="511"/>
      <c r="DA38" s="511"/>
      <c r="DB38" s="511"/>
      <c r="DC38" s="511"/>
      <c r="DD38" s="511"/>
      <c r="DE38" s="511"/>
      <c r="DF38" s="511"/>
      <c r="DG38" s="511"/>
      <c r="DH38" s="511"/>
      <c r="DI38" s="511"/>
      <c r="DJ38" s="511"/>
      <c r="DK38" s="511"/>
      <c r="DL38" s="511"/>
      <c r="DM38" s="511">
        <f t="shared" si="9"/>
        <v>0</v>
      </c>
      <c r="DN38" s="511"/>
    </row>
    <row r="39" spans="1:118" x14ac:dyDescent="0.2">
      <c r="A39" s="100" t="s">
        <v>782</v>
      </c>
      <c r="B39" s="100" t="s">
        <v>781</v>
      </c>
      <c r="C39" s="100" t="s">
        <v>427</v>
      </c>
      <c r="D39" s="58">
        <v>10</v>
      </c>
      <c r="E39" s="49">
        <v>0.1</v>
      </c>
      <c r="F39" s="46">
        <v>43281</v>
      </c>
      <c r="G39" s="48">
        <f>D39*12</f>
        <v>120</v>
      </c>
      <c r="H39" s="145">
        <f>100/G39</f>
        <v>0.83333333333333337</v>
      </c>
      <c r="I39" s="165">
        <f>H39*J39</f>
        <v>44.166666666666671</v>
      </c>
      <c r="J39" s="48">
        <f>(YEAR(F39)-YEAR(S39))*12+MONTH(F39)-MONTH(S39)</f>
        <v>53</v>
      </c>
      <c r="K39" s="165">
        <f>L39*H39</f>
        <v>55.833333333333336</v>
      </c>
      <c r="L39" s="48">
        <f>G39-J39</f>
        <v>67</v>
      </c>
      <c r="M39" s="165">
        <f>N39*H39</f>
        <v>5.8333333333333339</v>
      </c>
      <c r="N39" s="48">
        <v>7</v>
      </c>
      <c r="O39" s="165">
        <f>P39*H39</f>
        <v>50</v>
      </c>
      <c r="P39" s="48">
        <f>L39-N39</f>
        <v>60</v>
      </c>
      <c r="Q39" s="46">
        <v>45292</v>
      </c>
      <c r="R39" s="46" t="s">
        <v>445</v>
      </c>
      <c r="S39" s="46">
        <v>41640</v>
      </c>
      <c r="T39" s="47">
        <v>1650</v>
      </c>
      <c r="U39" s="47">
        <f>T39*I39%</f>
        <v>728.75000000000011</v>
      </c>
      <c r="V39" s="106">
        <f>T39-U39</f>
        <v>921.24999999999989</v>
      </c>
      <c r="W39" s="165">
        <f>T39*H39%</f>
        <v>13.75</v>
      </c>
      <c r="X39" s="57">
        <f>W39*5</f>
        <v>68.75</v>
      </c>
      <c r="Y39" s="80">
        <f>V39-X39</f>
        <v>852.49999999999989</v>
      </c>
      <c r="Z39" s="57">
        <v>115.958</v>
      </c>
      <c r="AA39" s="350">
        <v>112.505</v>
      </c>
      <c r="AB39" s="55">
        <f>Z39/AA39</f>
        <v>1.0306919692458114</v>
      </c>
      <c r="AC39" s="55">
        <f>Y39*M39/100/K39*100/7</f>
        <v>12.723880597014922</v>
      </c>
      <c r="AD39" s="55">
        <f>AC39*AB39</f>
        <v>13.114401548985882</v>
      </c>
      <c r="AE39" s="55"/>
      <c r="AF39" s="55"/>
      <c r="AG39" s="55"/>
      <c r="AH39" s="55"/>
      <c r="AI39" s="55"/>
      <c r="AJ39" s="55">
        <f t="shared" ref="AJ39:AP40" si="18">$AD39</f>
        <v>13.114401548985882</v>
      </c>
      <c r="AK39" s="55">
        <f t="shared" si="18"/>
        <v>13.114401548985882</v>
      </c>
      <c r="AL39" s="55">
        <f t="shared" si="18"/>
        <v>13.114401548985882</v>
      </c>
      <c r="AM39" s="55">
        <f t="shared" si="18"/>
        <v>13.114401548985882</v>
      </c>
      <c r="AN39" s="55">
        <f t="shared" si="18"/>
        <v>13.114401548985882</v>
      </c>
      <c r="AO39" s="55">
        <f t="shared" si="18"/>
        <v>13.114401548985882</v>
      </c>
      <c r="AP39" s="55">
        <f t="shared" si="18"/>
        <v>13.114401548985882</v>
      </c>
      <c r="AQ39" s="72">
        <f>SUM(AE39:AP39)</f>
        <v>91.800810842901171</v>
      </c>
      <c r="AR39" s="72">
        <f>Y39-AQ39</f>
        <v>760.69918915709877</v>
      </c>
      <c r="AS39" s="55"/>
      <c r="AT39" s="55"/>
      <c r="AU39" s="55">
        <f t="shared" si="3"/>
        <v>13.114401548985882</v>
      </c>
      <c r="AV39" s="55">
        <f t="shared" si="3"/>
        <v>13.114401548985882</v>
      </c>
      <c r="AW39" s="55">
        <f t="shared" si="3"/>
        <v>13.114401548985882</v>
      </c>
      <c r="AX39" s="55">
        <f t="shared" si="3"/>
        <v>13.114401548985882</v>
      </c>
      <c r="AY39" s="55">
        <f t="shared" si="3"/>
        <v>13.114401548985882</v>
      </c>
      <c r="AZ39" s="57">
        <v>118.901</v>
      </c>
      <c r="BA39" s="350">
        <v>112.505</v>
      </c>
      <c r="BB39" s="55">
        <f>AZ39/BA39</f>
        <v>1.0568508066308164</v>
      </c>
      <c r="BC39" s="55">
        <f>T39/(D39*12)</f>
        <v>13.75</v>
      </c>
      <c r="BD39" s="55">
        <f>BC39*BB39</f>
        <v>14.531698591173726</v>
      </c>
      <c r="BE39" s="55">
        <f t="shared" ref="BE39:BK40" si="19">$BD39</f>
        <v>14.531698591173726</v>
      </c>
      <c r="BF39" s="55">
        <f t="shared" si="19"/>
        <v>14.531698591173726</v>
      </c>
      <c r="BG39" s="55">
        <f t="shared" si="19"/>
        <v>14.531698591173726</v>
      </c>
      <c r="BH39" s="55">
        <f t="shared" si="19"/>
        <v>14.531698591173726</v>
      </c>
      <c r="BI39" s="55">
        <f t="shared" si="19"/>
        <v>14.531698591173726</v>
      </c>
      <c r="BJ39" s="55">
        <f t="shared" si="19"/>
        <v>14.531698591173726</v>
      </c>
      <c r="BK39" s="55">
        <f t="shared" si="19"/>
        <v>14.531698591173726</v>
      </c>
      <c r="BL39" s="55">
        <f>SUM((AU39:AY39),(BE39:BK39))</f>
        <v>167.29389788314546</v>
      </c>
      <c r="BM39" s="668">
        <f>(AR39-BL39)</f>
        <v>593.40529127395325</v>
      </c>
      <c r="BN39" s="55">
        <f t="shared" ref="BN39:BR40" si="20">$BD39</f>
        <v>14.531698591173726</v>
      </c>
      <c r="BO39" s="55">
        <f t="shared" si="20"/>
        <v>14.531698591173726</v>
      </c>
      <c r="BP39" s="55">
        <f t="shared" si="20"/>
        <v>14.531698591173726</v>
      </c>
      <c r="BQ39" s="55">
        <f t="shared" si="20"/>
        <v>14.531698591173726</v>
      </c>
      <c r="BR39" s="55">
        <f t="shared" si="20"/>
        <v>14.531698591173726</v>
      </c>
      <c r="BS39" s="55">
        <f>SUM(BN39:BR39)</f>
        <v>72.658492955868624</v>
      </c>
      <c r="BT39" s="448">
        <f>BM39-BS39</f>
        <v>520.74679831808464</v>
      </c>
      <c r="BU39" s="57">
        <v>126.408</v>
      </c>
      <c r="BV39" s="350">
        <v>112.505</v>
      </c>
      <c r="BW39" s="55">
        <f>BU39/BV39</f>
        <v>1.1235767299231145</v>
      </c>
      <c r="BX39" s="55">
        <f>BT39/L39</f>
        <v>7.7723402734042484</v>
      </c>
      <c r="BY39" s="55">
        <f>BW39*BX39</f>
        <v>8.7328206682412706</v>
      </c>
      <c r="BZ39" s="55">
        <v>9.7256090241503053</v>
      </c>
      <c r="CA39" s="55">
        <v>9.7256090241503053</v>
      </c>
      <c r="CB39" s="55">
        <v>9.7256090241503053</v>
      </c>
      <c r="CC39" s="55">
        <v>9.7256090241503053</v>
      </c>
      <c r="CD39" s="55">
        <v>9.7256090241503053</v>
      </c>
      <c r="CE39" s="55">
        <v>9.7256090241503053</v>
      </c>
      <c r="CF39" s="55">
        <v>9.7256090241503053</v>
      </c>
      <c r="CG39" s="55">
        <f>SUM(BZ39:CF39)</f>
        <v>68.079263169052126</v>
      </c>
      <c r="CH39" s="448">
        <f>BT39-CG39</f>
        <v>452.66753514903252</v>
      </c>
      <c r="CI39" s="55">
        <v>9.7256090241503053</v>
      </c>
      <c r="CJ39" s="55">
        <v>9.7256090241503053</v>
      </c>
      <c r="CK39" s="55">
        <v>9.7256090241503053</v>
      </c>
      <c r="CL39" s="55">
        <v>9.7256090241503053</v>
      </c>
      <c r="CM39" s="55">
        <v>9.7256090241503053</v>
      </c>
      <c r="CN39" s="505">
        <f t="shared" si="7"/>
        <v>48.628045120751523</v>
      </c>
      <c r="CO39" s="679">
        <f t="shared" si="8"/>
        <v>404.03949002828097</v>
      </c>
      <c r="CP39" s="956">
        <v>132.28200000000001</v>
      </c>
      <c r="CQ39" s="350">
        <v>112.505</v>
      </c>
      <c r="CR39" s="957">
        <f>CP39/CQ39</f>
        <v>1.1757877427669883</v>
      </c>
      <c r="CS39" s="511">
        <f>CO39/P39</f>
        <v>6.7339915004713493</v>
      </c>
      <c r="CT39" s="511">
        <f>CS39*CR39</f>
        <v>7.9177446661512922</v>
      </c>
      <c r="CU39" s="511">
        <v>7.9177446661512922</v>
      </c>
      <c r="CV39" s="511">
        <v>7.9177446661512922</v>
      </c>
      <c r="CW39" s="511">
        <v>7.9177446661512922</v>
      </c>
      <c r="CX39" s="511">
        <v>7.9177446661512922</v>
      </c>
      <c r="CY39" s="511">
        <v>7.9177446661512922</v>
      </c>
      <c r="CZ39" s="511">
        <v>7.9177446661512922</v>
      </c>
      <c r="DA39" s="511">
        <v>7.9177446661512922</v>
      </c>
      <c r="DB39" s="511">
        <v>7.9177446661512922</v>
      </c>
      <c r="DC39" s="511">
        <v>7.9177446661512922</v>
      </c>
      <c r="DD39" s="511">
        <v>7.9177446661512922</v>
      </c>
      <c r="DE39" s="511">
        <v>7.9177446661512922</v>
      </c>
      <c r="DF39" s="511">
        <v>7.9177446661512922</v>
      </c>
      <c r="DG39" s="511">
        <v>7.9177446661512922</v>
      </c>
      <c r="DH39" s="511">
        <v>7.9177446661512922</v>
      </c>
      <c r="DI39" s="511">
        <v>7.9177446661512922</v>
      </c>
      <c r="DJ39" s="511">
        <v>7.9177446661512922</v>
      </c>
      <c r="DK39" s="511">
        <v>7.9177446661512922</v>
      </c>
      <c r="DL39" s="511">
        <v>7.9177446661512922</v>
      </c>
      <c r="DM39" s="511">
        <f t="shared" si="9"/>
        <v>142.51940399072325</v>
      </c>
      <c r="DN39" s="756">
        <f>CO39-DM39</f>
        <v>261.52008603755769</v>
      </c>
    </row>
    <row r="40" spans="1:118" x14ac:dyDescent="0.2">
      <c r="A40" s="100" t="s">
        <v>780</v>
      </c>
      <c r="B40" s="100" t="s">
        <v>779</v>
      </c>
      <c r="C40" s="100" t="s">
        <v>427</v>
      </c>
      <c r="D40" s="58">
        <v>5</v>
      </c>
      <c r="E40" s="49">
        <v>0.2</v>
      </c>
      <c r="F40" s="46">
        <v>43281</v>
      </c>
      <c r="G40" s="48">
        <f>D40*12</f>
        <v>60</v>
      </c>
      <c r="H40" s="145">
        <f>100/G40</f>
        <v>1.6666666666666667</v>
      </c>
      <c r="I40" s="165">
        <f>H40*J40</f>
        <v>88.333333333333343</v>
      </c>
      <c r="J40" s="48">
        <f>(YEAR(F40)-YEAR(S40))*12+MONTH(F40)-MONTH(S40)</f>
        <v>53</v>
      </c>
      <c r="K40" s="165">
        <f>L40*H40</f>
        <v>11.666666666666668</v>
      </c>
      <c r="L40" s="48">
        <f>G40-J40</f>
        <v>7</v>
      </c>
      <c r="M40" s="165">
        <f>N40*H40</f>
        <v>11.666666666666668</v>
      </c>
      <c r="N40" s="48">
        <v>7</v>
      </c>
      <c r="O40" s="165">
        <f>P40*H40</f>
        <v>0</v>
      </c>
      <c r="P40" s="48">
        <f>L40-N40</f>
        <v>0</v>
      </c>
      <c r="Q40" s="46">
        <v>45292</v>
      </c>
      <c r="R40" s="46" t="s">
        <v>445</v>
      </c>
      <c r="S40" s="46">
        <v>41640</v>
      </c>
      <c r="T40" s="47">
        <f>119*2</f>
        <v>238</v>
      </c>
      <c r="U40" s="47">
        <f>T40*I40%</f>
        <v>210.23333333333335</v>
      </c>
      <c r="V40" s="106">
        <f>T40-U40</f>
        <v>27.766666666666652</v>
      </c>
      <c r="W40" s="165">
        <f>T40*H40%</f>
        <v>3.9666666666666668</v>
      </c>
      <c r="X40" s="57">
        <f>W40*5</f>
        <v>19.833333333333336</v>
      </c>
      <c r="Y40" s="80">
        <f>V40-X40</f>
        <v>7.9333333333333158</v>
      </c>
      <c r="Z40" s="57">
        <v>115.958</v>
      </c>
      <c r="AA40" s="350">
        <v>112.505</v>
      </c>
      <c r="AB40" s="55">
        <f>Z40/AA40</f>
        <v>1.0306919692458114</v>
      </c>
      <c r="AC40" s="55">
        <f>Y40*M40/100/K40*100/7</f>
        <v>1.1333333333333309</v>
      </c>
      <c r="AD40" s="55">
        <f>AC40*AB40</f>
        <v>1.1681175651452504</v>
      </c>
      <c r="AE40" s="55"/>
      <c r="AF40" s="55"/>
      <c r="AG40" s="55"/>
      <c r="AH40" s="55"/>
      <c r="AI40" s="55"/>
      <c r="AJ40" s="55">
        <f t="shared" si="18"/>
        <v>1.1681175651452504</v>
      </c>
      <c r="AK40" s="55">
        <f t="shared" si="18"/>
        <v>1.1681175651452504</v>
      </c>
      <c r="AL40" s="55">
        <f t="shared" si="18"/>
        <v>1.1681175651452504</v>
      </c>
      <c r="AM40" s="55">
        <f t="shared" si="18"/>
        <v>1.1681175651452504</v>
      </c>
      <c r="AN40" s="55">
        <f t="shared" si="18"/>
        <v>1.1681175651452504</v>
      </c>
      <c r="AO40" s="55">
        <f t="shared" si="18"/>
        <v>1.1681175651452504</v>
      </c>
      <c r="AP40" s="55">
        <f t="shared" si="18"/>
        <v>1.1681175651452504</v>
      </c>
      <c r="AQ40" s="72">
        <f>SUM(AE40:AP40)</f>
        <v>8.1768229560167534</v>
      </c>
      <c r="AR40" s="72">
        <f>Y40-AQ40</f>
        <v>-0.24348962268343755</v>
      </c>
      <c r="AS40" s="55"/>
      <c r="AT40" s="55"/>
      <c r="AU40" s="55">
        <f t="shared" si="3"/>
        <v>1.1681175651452504</v>
      </c>
      <c r="AV40" s="55">
        <f t="shared" si="3"/>
        <v>1.1681175651452504</v>
      </c>
      <c r="AW40" s="55">
        <f t="shared" si="3"/>
        <v>1.1681175651452504</v>
      </c>
      <c r="AX40" s="55">
        <f t="shared" si="3"/>
        <v>1.1681175651452504</v>
      </c>
      <c r="AY40" s="55">
        <f t="shared" si="3"/>
        <v>1.1681175651452504</v>
      </c>
      <c r="AZ40" s="57">
        <v>118.901</v>
      </c>
      <c r="BA40" s="350">
        <v>112.505</v>
      </c>
      <c r="BB40" s="55">
        <f>AZ40/BA40</f>
        <v>1.0568508066308164</v>
      </c>
      <c r="BC40" s="55">
        <f>T40/(D40*12)</f>
        <v>3.9666666666666668</v>
      </c>
      <c r="BD40" s="55">
        <f>BC40*BB40</f>
        <v>4.1921748663022385</v>
      </c>
      <c r="BE40" s="55">
        <f t="shared" si="19"/>
        <v>4.1921748663022385</v>
      </c>
      <c r="BF40" s="55">
        <f t="shared" si="19"/>
        <v>4.1921748663022385</v>
      </c>
      <c r="BG40" s="55">
        <f t="shared" si="19"/>
        <v>4.1921748663022385</v>
      </c>
      <c r="BH40" s="55">
        <f t="shared" si="19"/>
        <v>4.1921748663022385</v>
      </c>
      <c r="BI40" s="55">
        <f t="shared" si="19"/>
        <v>4.1921748663022385</v>
      </c>
      <c r="BJ40" s="55">
        <f t="shared" si="19"/>
        <v>4.1921748663022385</v>
      </c>
      <c r="BK40" s="55">
        <f t="shared" si="19"/>
        <v>4.1921748663022385</v>
      </c>
      <c r="BL40" s="55">
        <f>SUM((AU40:AY40),(BE40:BK40))</f>
        <v>35.185811889841922</v>
      </c>
      <c r="BM40" s="668">
        <f>(AR40-BL40)</f>
        <v>-35.429301512525356</v>
      </c>
      <c r="BN40" s="55">
        <f t="shared" si="20"/>
        <v>4.1921748663022385</v>
      </c>
      <c r="BO40" s="55">
        <f t="shared" si="20"/>
        <v>4.1921748663022385</v>
      </c>
      <c r="BP40" s="55">
        <f t="shared" si="20"/>
        <v>4.1921748663022385</v>
      </c>
      <c r="BQ40" s="55">
        <f t="shared" si="20"/>
        <v>4.1921748663022385</v>
      </c>
      <c r="BR40" s="55">
        <f t="shared" si="20"/>
        <v>4.1921748663022385</v>
      </c>
      <c r="BS40" s="55">
        <f>SUM(BN40:BR40)</f>
        <v>20.960874331511192</v>
      </c>
      <c r="BT40" s="448">
        <v>1</v>
      </c>
      <c r="BU40" s="57">
        <v>126.408</v>
      </c>
      <c r="BV40" s="350">
        <v>112.505</v>
      </c>
      <c r="BW40" s="55">
        <f>BU40/BV40</f>
        <v>1.1235767299231145</v>
      </c>
      <c r="BX40" s="55">
        <v>0</v>
      </c>
      <c r="BY40" s="55">
        <f>BW40*BX40</f>
        <v>0</v>
      </c>
      <c r="BZ40" s="55">
        <v>0</v>
      </c>
      <c r="CA40" s="55">
        <v>0</v>
      </c>
      <c r="CB40" s="55">
        <v>0</v>
      </c>
      <c r="CC40" s="55">
        <v>0</v>
      </c>
      <c r="CD40" s="55">
        <v>0</v>
      </c>
      <c r="CE40" s="55">
        <v>0</v>
      </c>
      <c r="CF40" s="55">
        <v>0</v>
      </c>
      <c r="CG40" s="55">
        <f>SUM(BZ40:CF40)</f>
        <v>0</v>
      </c>
      <c r="CH40" s="448">
        <f>BT40-CG40</f>
        <v>1</v>
      </c>
      <c r="CI40" s="55">
        <v>0</v>
      </c>
      <c r="CJ40" s="55">
        <v>0</v>
      </c>
      <c r="CK40" s="55">
        <v>0</v>
      </c>
      <c r="CL40" s="55">
        <v>0</v>
      </c>
      <c r="CM40" s="55">
        <v>0</v>
      </c>
      <c r="CN40" s="505">
        <f t="shared" si="7"/>
        <v>0</v>
      </c>
      <c r="CO40" s="679">
        <f t="shared" si="8"/>
        <v>1</v>
      </c>
      <c r="CP40" s="956">
        <v>132.28200000000001</v>
      </c>
      <c r="CQ40" s="350">
        <v>112.505</v>
      </c>
      <c r="CR40" s="957">
        <f>CP40/CQ40</f>
        <v>1.1757877427669883</v>
      </c>
      <c r="CS40" s="511">
        <v>0</v>
      </c>
      <c r="CT40" s="511"/>
      <c r="CU40" s="511"/>
      <c r="CV40" s="511"/>
      <c r="CW40" s="511"/>
      <c r="CX40" s="511"/>
      <c r="CY40" s="511"/>
      <c r="CZ40" s="511"/>
      <c r="DA40" s="511"/>
      <c r="DB40" s="511"/>
      <c r="DC40" s="511"/>
      <c r="DD40" s="511"/>
      <c r="DE40" s="511"/>
      <c r="DF40" s="511"/>
      <c r="DG40" s="511"/>
      <c r="DH40" s="511"/>
      <c r="DI40" s="511"/>
      <c r="DJ40" s="511"/>
      <c r="DK40" s="511"/>
      <c r="DL40" s="511"/>
      <c r="DM40" s="511">
        <f t="shared" si="9"/>
        <v>0</v>
      </c>
      <c r="DN40" s="756">
        <f>CO40-DM40</f>
        <v>1</v>
      </c>
    </row>
    <row r="41" spans="1:118" x14ac:dyDescent="0.2">
      <c r="A41" s="120" t="s">
        <v>71</v>
      </c>
      <c r="B41" s="120"/>
      <c r="C41" s="120"/>
      <c r="D41" s="58"/>
      <c r="E41" s="49"/>
      <c r="F41" s="46"/>
      <c r="G41" s="48"/>
      <c r="H41" s="145"/>
      <c r="I41" s="165"/>
      <c r="J41" s="48"/>
      <c r="K41" s="165"/>
      <c r="L41" s="48"/>
      <c r="M41" s="165"/>
      <c r="N41" s="48"/>
      <c r="O41" s="165"/>
      <c r="P41" s="48"/>
      <c r="Q41" s="46"/>
      <c r="R41" s="46"/>
      <c r="S41" s="46"/>
      <c r="T41" s="47"/>
      <c r="U41" s="47"/>
      <c r="V41" s="106"/>
      <c r="W41" s="165"/>
      <c r="X41" s="57"/>
      <c r="Y41" s="80"/>
      <c r="Z41" s="57"/>
      <c r="AA41" s="350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72"/>
      <c r="AR41" s="72"/>
      <c r="AS41" s="55"/>
      <c r="AT41" s="55"/>
      <c r="AU41" s="55">
        <f t="shared" si="3"/>
        <v>0</v>
      </c>
      <c r="AV41" s="55">
        <f t="shared" si="3"/>
        <v>0</v>
      </c>
      <c r="AW41" s="55">
        <f t="shared" si="3"/>
        <v>0</v>
      </c>
      <c r="AX41" s="55">
        <f t="shared" si="3"/>
        <v>0</v>
      </c>
      <c r="AY41" s="55">
        <f t="shared" si="3"/>
        <v>0</v>
      </c>
      <c r="AZ41" s="57"/>
      <c r="BA41" s="350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668"/>
      <c r="BN41" s="55"/>
      <c r="BO41" s="55"/>
      <c r="BP41" s="55"/>
      <c r="BQ41" s="55"/>
      <c r="BR41" s="55"/>
      <c r="BS41" s="55"/>
      <c r="BT41" s="448"/>
      <c r="BU41" s="57"/>
      <c r="BV41" s="350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448"/>
      <c r="CI41" s="55"/>
      <c r="CJ41" s="55"/>
      <c r="CK41" s="55"/>
      <c r="CL41" s="55"/>
      <c r="CM41" s="55"/>
      <c r="CN41" s="505"/>
      <c r="CO41" s="679"/>
      <c r="CP41" s="55"/>
      <c r="CQ41" s="350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11">
        <f t="shared" si="9"/>
        <v>0</v>
      </c>
      <c r="DN41" s="55"/>
    </row>
    <row r="42" spans="1:118" x14ac:dyDescent="0.2">
      <c r="A42" s="120" t="s">
        <v>97</v>
      </c>
      <c r="B42" s="100"/>
      <c r="C42" s="100"/>
      <c r="D42" s="58"/>
      <c r="E42" s="49"/>
      <c r="F42" s="46"/>
      <c r="G42" s="48"/>
      <c r="H42" s="145"/>
      <c r="I42" s="165"/>
      <c r="J42" s="48"/>
      <c r="K42" s="165"/>
      <c r="L42" s="48"/>
      <c r="M42" s="165"/>
      <c r="N42" s="48"/>
      <c r="O42" s="165"/>
      <c r="P42" s="48"/>
      <c r="Q42" s="46"/>
      <c r="R42" s="46"/>
      <c r="S42" s="46"/>
      <c r="T42" s="47"/>
      <c r="U42" s="47"/>
      <c r="V42" s="106"/>
      <c r="W42" s="165"/>
      <c r="X42" s="57"/>
      <c r="Y42" s="80"/>
      <c r="Z42" s="57"/>
      <c r="AA42" s="350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72"/>
      <c r="AR42" s="72"/>
      <c r="AS42" s="55"/>
      <c r="AT42" s="55"/>
      <c r="AU42" s="55">
        <f t="shared" si="3"/>
        <v>0</v>
      </c>
      <c r="AV42" s="55">
        <f t="shared" si="3"/>
        <v>0</v>
      </c>
      <c r="AW42" s="55">
        <f t="shared" si="3"/>
        <v>0</v>
      </c>
      <c r="AX42" s="55">
        <f t="shared" si="3"/>
        <v>0</v>
      </c>
      <c r="AY42" s="55">
        <f t="shared" si="3"/>
        <v>0</v>
      </c>
      <c r="AZ42" s="57"/>
      <c r="BA42" s="350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668"/>
      <c r="BN42" s="55"/>
      <c r="BO42" s="55"/>
      <c r="BP42" s="55"/>
      <c r="BQ42" s="55"/>
      <c r="BR42" s="55"/>
      <c r="BS42" s="55"/>
      <c r="BT42" s="448"/>
      <c r="BU42" s="57"/>
      <c r="BV42" s="350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448"/>
      <c r="CI42" s="55"/>
      <c r="CJ42" s="55"/>
      <c r="CK42" s="55"/>
      <c r="CL42" s="55"/>
      <c r="CM42" s="55"/>
      <c r="CN42" s="505"/>
      <c r="CO42" s="679"/>
      <c r="CP42" s="55"/>
      <c r="CQ42" s="350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11">
        <f t="shared" si="9"/>
        <v>0</v>
      </c>
      <c r="DN42" s="55"/>
    </row>
    <row r="43" spans="1:118" x14ac:dyDescent="0.2">
      <c r="A43" s="100" t="s">
        <v>778</v>
      </c>
      <c r="B43" s="100" t="s">
        <v>777</v>
      </c>
      <c r="C43" s="100" t="s">
        <v>427</v>
      </c>
      <c r="D43" s="58">
        <v>10</v>
      </c>
      <c r="E43" s="49">
        <v>0.1</v>
      </c>
      <c r="F43" s="46">
        <v>43281</v>
      </c>
      <c r="G43" s="48">
        <f>D43*12</f>
        <v>120</v>
      </c>
      <c r="H43" s="145">
        <f>100/G43</f>
        <v>0.83333333333333337</v>
      </c>
      <c r="I43" s="165">
        <f>H43*J43</f>
        <v>44.166666666666671</v>
      </c>
      <c r="J43" s="48">
        <f>(YEAR(F43)-YEAR(S43))*12+MONTH(F43)-MONTH(S43)</f>
        <v>53</v>
      </c>
      <c r="K43" s="165">
        <f>L43*H43</f>
        <v>55.833333333333336</v>
      </c>
      <c r="L43" s="48">
        <f>G43-J43</f>
        <v>67</v>
      </c>
      <c r="M43" s="165">
        <f>N43*H43</f>
        <v>5.8333333333333339</v>
      </c>
      <c r="N43" s="48">
        <v>7</v>
      </c>
      <c r="O43" s="165">
        <f>P43*H43</f>
        <v>50</v>
      </c>
      <c r="P43" s="48">
        <f>L43-N43</f>
        <v>60</v>
      </c>
      <c r="Q43" s="46">
        <v>45292</v>
      </c>
      <c r="R43" s="46" t="s">
        <v>445</v>
      </c>
      <c r="S43" s="46">
        <v>41640</v>
      </c>
      <c r="T43" s="47">
        <v>1780</v>
      </c>
      <c r="U43" s="47">
        <f>T43*I43%</f>
        <v>786.16666666666674</v>
      </c>
      <c r="V43" s="106">
        <f>T43-U43</f>
        <v>993.83333333333326</v>
      </c>
      <c r="W43" s="165">
        <f>T43*H43%</f>
        <v>14.833333333333334</v>
      </c>
      <c r="X43" s="57">
        <f>W43*5</f>
        <v>74.166666666666671</v>
      </c>
      <c r="Y43" s="80">
        <f>V43-X43</f>
        <v>919.66666666666663</v>
      </c>
      <c r="Z43" s="57">
        <v>115.958</v>
      </c>
      <c r="AA43" s="350">
        <v>112.505</v>
      </c>
      <c r="AB43" s="55">
        <f>Z43/AA43</f>
        <v>1.0306919692458114</v>
      </c>
      <c r="AC43" s="55">
        <f>Y43*M43/100/K43*100/7</f>
        <v>13.726368159203981</v>
      </c>
      <c r="AD43" s="55">
        <f>AC43*AB43</f>
        <v>14.147657428602955</v>
      </c>
      <c r="AE43" s="55"/>
      <c r="AF43" s="55"/>
      <c r="AG43" s="55"/>
      <c r="AH43" s="55"/>
      <c r="AI43" s="55"/>
      <c r="AJ43" s="55">
        <f t="shared" ref="AJ43:AP44" si="21">$AD43</f>
        <v>14.147657428602955</v>
      </c>
      <c r="AK43" s="55">
        <f t="shared" si="21"/>
        <v>14.147657428602955</v>
      </c>
      <c r="AL43" s="55">
        <f t="shared" si="21"/>
        <v>14.147657428602955</v>
      </c>
      <c r="AM43" s="55">
        <f t="shared" si="21"/>
        <v>14.147657428602955</v>
      </c>
      <c r="AN43" s="55">
        <f t="shared" si="21"/>
        <v>14.147657428602955</v>
      </c>
      <c r="AO43" s="55">
        <f t="shared" si="21"/>
        <v>14.147657428602955</v>
      </c>
      <c r="AP43" s="55">
        <f t="shared" si="21"/>
        <v>14.147657428602955</v>
      </c>
      <c r="AQ43" s="72">
        <f>SUM(AE43:AP43)</f>
        <v>99.033602000220682</v>
      </c>
      <c r="AR43" s="72">
        <f>Y43-AQ43</f>
        <v>820.63306466644599</v>
      </c>
      <c r="AS43" s="55"/>
      <c r="AT43" s="55"/>
      <c r="AU43" s="55">
        <f t="shared" si="3"/>
        <v>14.147657428602955</v>
      </c>
      <c r="AV43" s="55">
        <f t="shared" si="3"/>
        <v>14.147657428602955</v>
      </c>
      <c r="AW43" s="55">
        <f t="shared" si="3"/>
        <v>14.147657428602955</v>
      </c>
      <c r="AX43" s="55">
        <f t="shared" si="3"/>
        <v>14.147657428602955</v>
      </c>
      <c r="AY43" s="55">
        <f t="shared" si="3"/>
        <v>14.147657428602955</v>
      </c>
      <c r="AZ43" s="57">
        <v>118.901</v>
      </c>
      <c r="BA43" s="350">
        <v>112.505</v>
      </c>
      <c r="BB43" s="55">
        <f>AZ43/BA43</f>
        <v>1.0568508066308164</v>
      </c>
      <c r="BC43" s="55">
        <f>T43/(D43*12)</f>
        <v>14.833333333333334</v>
      </c>
      <c r="BD43" s="55">
        <f>BC43*BB43</f>
        <v>15.676620298357111</v>
      </c>
      <c r="BE43" s="55">
        <f t="shared" ref="BE43:BK44" si="22">$BD43</f>
        <v>15.676620298357111</v>
      </c>
      <c r="BF43" s="55">
        <f t="shared" si="22"/>
        <v>15.676620298357111</v>
      </c>
      <c r="BG43" s="55">
        <f t="shared" si="22"/>
        <v>15.676620298357111</v>
      </c>
      <c r="BH43" s="55">
        <f t="shared" si="22"/>
        <v>15.676620298357111</v>
      </c>
      <c r="BI43" s="55">
        <f t="shared" si="22"/>
        <v>15.676620298357111</v>
      </c>
      <c r="BJ43" s="55">
        <f t="shared" si="22"/>
        <v>15.676620298357111</v>
      </c>
      <c r="BK43" s="55">
        <f t="shared" si="22"/>
        <v>15.676620298357111</v>
      </c>
      <c r="BL43" s="55">
        <f>SUM((AU43:AY43),(BE43:BK43))</f>
        <v>180.47462923151454</v>
      </c>
      <c r="BM43" s="668">
        <f>(AR43-BL43)</f>
        <v>640.15843543493145</v>
      </c>
      <c r="BN43" s="55">
        <f t="shared" ref="BN43:BR44" si="23">$BD43</f>
        <v>15.676620298357111</v>
      </c>
      <c r="BO43" s="55">
        <f t="shared" si="23"/>
        <v>15.676620298357111</v>
      </c>
      <c r="BP43" s="55">
        <f t="shared" si="23"/>
        <v>15.676620298357111</v>
      </c>
      <c r="BQ43" s="55">
        <f t="shared" si="23"/>
        <v>15.676620298357111</v>
      </c>
      <c r="BR43" s="55">
        <f t="shared" si="23"/>
        <v>15.676620298357111</v>
      </c>
      <c r="BS43" s="55">
        <f>SUM(BN43:BR43)</f>
        <v>78.383101491785553</v>
      </c>
      <c r="BT43" s="448">
        <f>BM43-BS43</f>
        <v>561.77533394314594</v>
      </c>
      <c r="BU43" s="57">
        <v>126.408</v>
      </c>
      <c r="BV43" s="350">
        <v>112.505</v>
      </c>
      <c r="BW43" s="55">
        <f>BU43/BV43</f>
        <v>1.1235767299231145</v>
      </c>
      <c r="BX43" s="55">
        <f>BT43/L43</f>
        <v>8.3847064767633714</v>
      </c>
      <c r="BY43" s="55">
        <f>BW43*BX43</f>
        <v>9.4208610845269476</v>
      </c>
      <c r="BZ43" s="55">
        <v>10.491869129083359</v>
      </c>
      <c r="CA43" s="55">
        <v>10.491869129083359</v>
      </c>
      <c r="CB43" s="55">
        <v>10.491869129083359</v>
      </c>
      <c r="CC43" s="55">
        <v>10.491869129083359</v>
      </c>
      <c r="CD43" s="55">
        <v>10.491869129083359</v>
      </c>
      <c r="CE43" s="55">
        <v>10.491869129083359</v>
      </c>
      <c r="CF43" s="55">
        <v>10.491869129083359</v>
      </c>
      <c r="CG43" s="55">
        <f>SUM(BZ43:CF43)</f>
        <v>73.443083903583499</v>
      </c>
      <c r="CH43" s="448">
        <f>BT43-CG43</f>
        <v>488.33225003956244</v>
      </c>
      <c r="CI43" s="55">
        <v>10.491869129083359</v>
      </c>
      <c r="CJ43" s="55">
        <v>10.491869129083359</v>
      </c>
      <c r="CK43" s="55">
        <v>10.491869129083359</v>
      </c>
      <c r="CL43" s="55">
        <v>10.491869129083359</v>
      </c>
      <c r="CM43" s="55">
        <v>10.491869129083359</v>
      </c>
      <c r="CN43" s="505">
        <f t="shared" si="7"/>
        <v>52.459345645416789</v>
      </c>
      <c r="CO43" s="679">
        <f t="shared" si="8"/>
        <v>435.87290439414562</v>
      </c>
      <c r="CP43" s="956">
        <v>132.28200000000001</v>
      </c>
      <c r="CQ43" s="350">
        <v>112.505</v>
      </c>
      <c r="CR43" s="957">
        <f>CP43/CQ43</f>
        <v>1.1757877427669883</v>
      </c>
      <c r="CS43" s="511">
        <f>CO43/P43</f>
        <v>7.2645484065690935</v>
      </c>
      <c r="CT43" s="511">
        <f>CS43*CR43</f>
        <v>8.5415669731813963</v>
      </c>
      <c r="CU43" s="511">
        <v>8.5415669731813963</v>
      </c>
      <c r="CV43" s="511">
        <v>8.5415669731813963</v>
      </c>
      <c r="CW43" s="511">
        <v>8.5415669731813963</v>
      </c>
      <c r="CX43" s="511">
        <v>8.5415669731813963</v>
      </c>
      <c r="CY43" s="511">
        <v>8.5415669731813963</v>
      </c>
      <c r="CZ43" s="511">
        <v>8.5415669731813963</v>
      </c>
      <c r="DA43" s="511">
        <v>8.5415669731813963</v>
      </c>
      <c r="DB43" s="511">
        <v>8.5415669731813963</v>
      </c>
      <c r="DC43" s="511">
        <v>8.5415669731813963</v>
      </c>
      <c r="DD43" s="511">
        <v>8.5415669731813963</v>
      </c>
      <c r="DE43" s="511">
        <v>8.5415669731813963</v>
      </c>
      <c r="DF43" s="511">
        <v>8.5415669731813963</v>
      </c>
      <c r="DG43" s="511">
        <v>8.5415669731813963</v>
      </c>
      <c r="DH43" s="511">
        <v>8.5415669731813963</v>
      </c>
      <c r="DI43" s="511">
        <v>8.5415669731813963</v>
      </c>
      <c r="DJ43" s="511">
        <v>8.5415669731813963</v>
      </c>
      <c r="DK43" s="511">
        <v>8.5415669731813963</v>
      </c>
      <c r="DL43" s="511">
        <v>8.5415669731813963</v>
      </c>
      <c r="DM43" s="511">
        <f t="shared" si="9"/>
        <v>153.74820551726521</v>
      </c>
      <c r="DN43" s="756">
        <f>CO43-DM43</f>
        <v>282.12469887688042</v>
      </c>
    </row>
    <row r="44" spans="1:118" x14ac:dyDescent="0.2">
      <c r="A44" s="100" t="s">
        <v>776</v>
      </c>
      <c r="B44" s="100" t="s">
        <v>775</v>
      </c>
      <c r="C44" s="100" t="s">
        <v>427</v>
      </c>
      <c r="D44" s="58">
        <v>10</v>
      </c>
      <c r="E44" s="49">
        <v>0.1</v>
      </c>
      <c r="F44" s="46">
        <v>43281</v>
      </c>
      <c r="G44" s="48">
        <f>D44*12</f>
        <v>120</v>
      </c>
      <c r="H44" s="145">
        <f>100/G44</f>
        <v>0.83333333333333337</v>
      </c>
      <c r="I44" s="165">
        <f>H44*J44</f>
        <v>44.166666666666671</v>
      </c>
      <c r="J44" s="48">
        <f>(YEAR(F44)-YEAR(S44))*12+MONTH(F44)-MONTH(S44)</f>
        <v>53</v>
      </c>
      <c r="K44" s="165">
        <f>L44*H44</f>
        <v>55.833333333333336</v>
      </c>
      <c r="L44" s="48">
        <f>G44-J44</f>
        <v>67</v>
      </c>
      <c r="M44" s="165">
        <f>N44*H44</f>
        <v>5.8333333333333339</v>
      </c>
      <c r="N44" s="48">
        <v>7</v>
      </c>
      <c r="O44" s="165">
        <f>P44*H44</f>
        <v>50</v>
      </c>
      <c r="P44" s="48">
        <f>L44-N44</f>
        <v>60</v>
      </c>
      <c r="Q44" s="46">
        <v>45292</v>
      </c>
      <c r="R44" s="46" t="s">
        <v>445</v>
      </c>
      <c r="S44" s="46">
        <v>41640</v>
      </c>
      <c r="T44" s="47">
        <v>1780</v>
      </c>
      <c r="U44" s="47">
        <f>T44*I44%</f>
        <v>786.16666666666674</v>
      </c>
      <c r="V44" s="106">
        <f>T44-U44</f>
        <v>993.83333333333326</v>
      </c>
      <c r="W44" s="165">
        <f>T44*H44%</f>
        <v>14.833333333333334</v>
      </c>
      <c r="X44" s="57">
        <f>W44*5</f>
        <v>74.166666666666671</v>
      </c>
      <c r="Y44" s="80">
        <f>V44-X44</f>
        <v>919.66666666666663</v>
      </c>
      <c r="Z44" s="57">
        <v>115.958</v>
      </c>
      <c r="AA44" s="350">
        <v>112.505</v>
      </c>
      <c r="AB44" s="55">
        <f>Z44/AA44</f>
        <v>1.0306919692458114</v>
      </c>
      <c r="AC44" s="55">
        <f>Y44*M44/100/K44*100/7</f>
        <v>13.726368159203981</v>
      </c>
      <c r="AD44" s="55">
        <f>AC44*AB44</f>
        <v>14.147657428602955</v>
      </c>
      <c r="AE44" s="55"/>
      <c r="AF44" s="55"/>
      <c r="AG44" s="55"/>
      <c r="AH44" s="55"/>
      <c r="AI44" s="55"/>
      <c r="AJ44" s="55">
        <f t="shared" si="21"/>
        <v>14.147657428602955</v>
      </c>
      <c r="AK44" s="55">
        <f t="shared" si="21"/>
        <v>14.147657428602955</v>
      </c>
      <c r="AL44" s="55">
        <f t="shared" si="21"/>
        <v>14.147657428602955</v>
      </c>
      <c r="AM44" s="55">
        <f t="shared" si="21"/>
        <v>14.147657428602955</v>
      </c>
      <c r="AN44" s="55">
        <f t="shared" si="21"/>
        <v>14.147657428602955</v>
      </c>
      <c r="AO44" s="55">
        <f t="shared" si="21"/>
        <v>14.147657428602955</v>
      </c>
      <c r="AP44" s="55">
        <f t="shared" si="21"/>
        <v>14.147657428602955</v>
      </c>
      <c r="AQ44" s="72">
        <f>SUM(AE44:AP44)</f>
        <v>99.033602000220682</v>
      </c>
      <c r="AR44" s="72">
        <f>Y44-AQ44</f>
        <v>820.63306466644599</v>
      </c>
      <c r="AS44" s="55"/>
      <c r="AT44" s="55"/>
      <c r="AU44" s="55">
        <f t="shared" si="3"/>
        <v>14.147657428602955</v>
      </c>
      <c r="AV44" s="55">
        <f t="shared" si="3"/>
        <v>14.147657428602955</v>
      </c>
      <c r="AW44" s="55">
        <f t="shared" si="3"/>
        <v>14.147657428602955</v>
      </c>
      <c r="AX44" s="55">
        <f t="shared" si="3"/>
        <v>14.147657428602955</v>
      </c>
      <c r="AY44" s="55">
        <f t="shared" si="3"/>
        <v>14.147657428602955</v>
      </c>
      <c r="AZ44" s="57">
        <v>118.901</v>
      </c>
      <c r="BA44" s="350">
        <v>112.505</v>
      </c>
      <c r="BB44" s="55">
        <f>AZ44/BA44</f>
        <v>1.0568508066308164</v>
      </c>
      <c r="BC44" s="55">
        <f>T44/(D44*12)</f>
        <v>14.833333333333334</v>
      </c>
      <c r="BD44" s="55">
        <f>BC44*BB44</f>
        <v>15.676620298357111</v>
      </c>
      <c r="BE44" s="55">
        <f t="shared" si="22"/>
        <v>15.676620298357111</v>
      </c>
      <c r="BF44" s="55">
        <f t="shared" si="22"/>
        <v>15.676620298357111</v>
      </c>
      <c r="BG44" s="55">
        <f t="shared" si="22"/>
        <v>15.676620298357111</v>
      </c>
      <c r="BH44" s="55">
        <f t="shared" si="22"/>
        <v>15.676620298357111</v>
      </c>
      <c r="BI44" s="55">
        <f t="shared" si="22"/>
        <v>15.676620298357111</v>
      </c>
      <c r="BJ44" s="55">
        <f t="shared" si="22"/>
        <v>15.676620298357111</v>
      </c>
      <c r="BK44" s="55">
        <f t="shared" si="22"/>
        <v>15.676620298357111</v>
      </c>
      <c r="BL44" s="55">
        <f>SUM((AU44:AY44),(BE44:BK44))</f>
        <v>180.47462923151454</v>
      </c>
      <c r="BM44" s="668">
        <f>(AR44-BL44)</f>
        <v>640.15843543493145</v>
      </c>
      <c r="BN44" s="55">
        <f t="shared" si="23"/>
        <v>15.676620298357111</v>
      </c>
      <c r="BO44" s="55">
        <f t="shared" si="23"/>
        <v>15.676620298357111</v>
      </c>
      <c r="BP44" s="55">
        <f t="shared" si="23"/>
        <v>15.676620298357111</v>
      </c>
      <c r="BQ44" s="55">
        <f t="shared" si="23"/>
        <v>15.676620298357111</v>
      </c>
      <c r="BR44" s="55">
        <f t="shared" si="23"/>
        <v>15.676620298357111</v>
      </c>
      <c r="BS44" s="55">
        <f>SUM(BN44:BR44)</f>
        <v>78.383101491785553</v>
      </c>
      <c r="BT44" s="448">
        <f>BM44-BS44</f>
        <v>561.77533394314594</v>
      </c>
      <c r="BU44" s="57">
        <v>126.408</v>
      </c>
      <c r="BV44" s="350">
        <v>112.505</v>
      </c>
      <c r="BW44" s="55">
        <f>BU44/BV44</f>
        <v>1.1235767299231145</v>
      </c>
      <c r="BX44" s="55">
        <f>BT44/L44</f>
        <v>8.3847064767633714</v>
      </c>
      <c r="BY44" s="55">
        <f>BW44*BX44</f>
        <v>9.4208610845269476</v>
      </c>
      <c r="BZ44" s="55">
        <v>10.491869129083359</v>
      </c>
      <c r="CA44" s="55">
        <v>10.491869129083359</v>
      </c>
      <c r="CB44" s="55">
        <v>10.491869129083359</v>
      </c>
      <c r="CC44" s="55">
        <v>10.491869129083359</v>
      </c>
      <c r="CD44" s="55">
        <v>10.491869129083359</v>
      </c>
      <c r="CE44" s="55">
        <v>10.491869129083359</v>
      </c>
      <c r="CF44" s="55">
        <v>10.491869129083359</v>
      </c>
      <c r="CG44" s="55">
        <f>SUM(BZ44:CF44)</f>
        <v>73.443083903583499</v>
      </c>
      <c r="CH44" s="448">
        <f>BT44-CG44</f>
        <v>488.33225003956244</v>
      </c>
      <c r="CI44" s="55">
        <v>10.491869129083359</v>
      </c>
      <c r="CJ44" s="55">
        <v>10.491869129083359</v>
      </c>
      <c r="CK44" s="55">
        <v>10.491869129083359</v>
      </c>
      <c r="CL44" s="55">
        <v>10.491869129083359</v>
      </c>
      <c r="CM44" s="55">
        <v>10.491869129083359</v>
      </c>
      <c r="CN44" s="505">
        <f t="shared" si="7"/>
        <v>52.459345645416789</v>
      </c>
      <c r="CO44" s="679">
        <f t="shared" si="8"/>
        <v>435.87290439414562</v>
      </c>
      <c r="CP44" s="956">
        <v>132.28200000000001</v>
      </c>
      <c r="CQ44" s="350">
        <v>112.505</v>
      </c>
      <c r="CR44" s="957">
        <f>CP44/CQ44</f>
        <v>1.1757877427669883</v>
      </c>
      <c r="CS44" s="511">
        <f>CO44/P44</f>
        <v>7.2645484065690935</v>
      </c>
      <c r="CT44" s="511">
        <f>CS44*CR44</f>
        <v>8.5415669731813963</v>
      </c>
      <c r="CU44" s="511">
        <v>8.5415669731813963</v>
      </c>
      <c r="CV44" s="511">
        <v>8.5415669731813963</v>
      </c>
      <c r="CW44" s="511">
        <v>8.5415669731813963</v>
      </c>
      <c r="CX44" s="511">
        <v>8.5415669731813963</v>
      </c>
      <c r="CY44" s="511">
        <v>8.5415669731813963</v>
      </c>
      <c r="CZ44" s="511">
        <v>8.5415669731813963</v>
      </c>
      <c r="DA44" s="511">
        <v>8.5415669731813963</v>
      </c>
      <c r="DB44" s="511">
        <v>8.5415669731813963</v>
      </c>
      <c r="DC44" s="511">
        <v>8.5415669731813963</v>
      </c>
      <c r="DD44" s="511">
        <v>8.5415669731813963</v>
      </c>
      <c r="DE44" s="511">
        <v>8.5415669731813963</v>
      </c>
      <c r="DF44" s="511">
        <v>8.5415669731813963</v>
      </c>
      <c r="DG44" s="511">
        <v>8.5415669731813963</v>
      </c>
      <c r="DH44" s="511">
        <v>8.5415669731813963</v>
      </c>
      <c r="DI44" s="511">
        <v>8.5415669731813963</v>
      </c>
      <c r="DJ44" s="511">
        <v>8.5415669731813963</v>
      </c>
      <c r="DK44" s="511">
        <v>8.5415669731813963</v>
      </c>
      <c r="DL44" s="511">
        <v>8.5415669731813963</v>
      </c>
      <c r="DM44" s="511">
        <f t="shared" si="9"/>
        <v>153.74820551726521</v>
      </c>
      <c r="DN44" s="756">
        <f>CO44-DM44</f>
        <v>282.12469887688042</v>
      </c>
    </row>
    <row r="45" spans="1:118" x14ac:dyDescent="0.2">
      <c r="A45" s="120" t="s">
        <v>71</v>
      </c>
      <c r="B45" s="120" t="s">
        <v>85</v>
      </c>
      <c r="C45" s="120"/>
      <c r="D45" s="58"/>
      <c r="E45" s="49"/>
      <c r="F45" s="46"/>
      <c r="G45" s="48"/>
      <c r="H45" s="145"/>
      <c r="I45" s="165"/>
      <c r="J45" s="48"/>
      <c r="K45" s="165"/>
      <c r="L45" s="48"/>
      <c r="M45" s="165"/>
      <c r="N45" s="48"/>
      <c r="O45" s="165"/>
      <c r="P45" s="48"/>
      <c r="Q45" s="46"/>
      <c r="R45" s="46"/>
      <c r="S45" s="46"/>
      <c r="T45" s="47"/>
      <c r="U45" s="47"/>
      <c r="V45" s="106"/>
      <c r="W45" s="165"/>
      <c r="X45" s="57"/>
      <c r="Y45" s="80"/>
      <c r="Z45" s="57"/>
      <c r="AA45" s="350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72"/>
      <c r="AR45" s="72"/>
      <c r="AS45" s="55"/>
      <c r="AT45" s="55"/>
      <c r="AU45" s="55">
        <f t="shared" si="3"/>
        <v>0</v>
      </c>
      <c r="AV45" s="55">
        <f t="shared" si="3"/>
        <v>0</v>
      </c>
      <c r="AW45" s="55">
        <f t="shared" si="3"/>
        <v>0</v>
      </c>
      <c r="AX45" s="55">
        <f t="shared" si="3"/>
        <v>0</v>
      </c>
      <c r="AY45" s="55">
        <f t="shared" si="3"/>
        <v>0</v>
      </c>
      <c r="AZ45" s="57"/>
      <c r="BA45" s="350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668"/>
      <c r="BN45" s="55"/>
      <c r="BO45" s="55"/>
      <c r="BP45" s="55"/>
      <c r="BQ45" s="55"/>
      <c r="BR45" s="55"/>
      <c r="BS45" s="55"/>
      <c r="BT45" s="448"/>
      <c r="BU45" s="57"/>
      <c r="BV45" s="350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448"/>
      <c r="CI45" s="55"/>
      <c r="CJ45" s="55"/>
      <c r="CK45" s="55"/>
      <c r="CL45" s="55"/>
      <c r="CM45" s="55"/>
      <c r="CN45" s="505"/>
      <c r="CO45" s="679"/>
      <c r="CP45" s="623"/>
      <c r="CQ45" s="350"/>
      <c r="CR45" s="957"/>
      <c r="CS45" s="511"/>
      <c r="CT45" s="511"/>
      <c r="CU45" s="511"/>
      <c r="CV45" s="511"/>
      <c r="CW45" s="511"/>
      <c r="CX45" s="511"/>
      <c r="CY45" s="511"/>
      <c r="CZ45" s="511"/>
      <c r="DA45" s="511"/>
      <c r="DB45" s="511"/>
      <c r="DC45" s="511"/>
      <c r="DD45" s="511"/>
      <c r="DE45" s="511"/>
      <c r="DF45" s="511"/>
      <c r="DG45" s="511"/>
      <c r="DH45" s="511"/>
      <c r="DI45" s="511"/>
      <c r="DJ45" s="511"/>
      <c r="DK45" s="511"/>
      <c r="DL45" s="511"/>
      <c r="DM45" s="511">
        <f t="shared" si="9"/>
        <v>0</v>
      </c>
      <c r="DN45" s="511"/>
    </row>
    <row r="46" spans="1:118" x14ac:dyDescent="0.2">
      <c r="A46" s="120" t="s">
        <v>105</v>
      </c>
      <c r="B46" s="100"/>
      <c r="C46" s="100"/>
      <c r="D46" s="58"/>
      <c r="E46" s="49"/>
      <c r="F46" s="46"/>
      <c r="G46" s="48"/>
      <c r="H46" s="145"/>
      <c r="I46" s="165"/>
      <c r="J46" s="48"/>
      <c r="K46" s="165"/>
      <c r="L46" s="48"/>
      <c r="M46" s="165"/>
      <c r="N46" s="48"/>
      <c r="O46" s="165"/>
      <c r="P46" s="48"/>
      <c r="Q46" s="46"/>
      <c r="R46" s="46"/>
      <c r="S46" s="46"/>
      <c r="T46" s="47"/>
      <c r="U46" s="47"/>
      <c r="V46" s="106"/>
      <c r="W46" s="165"/>
      <c r="X46" s="57"/>
      <c r="Y46" s="80"/>
      <c r="Z46" s="57"/>
      <c r="AA46" s="350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72"/>
      <c r="AR46" s="72"/>
      <c r="AS46" s="55"/>
      <c r="AT46" s="55"/>
      <c r="AU46" s="55">
        <f t="shared" si="3"/>
        <v>0</v>
      </c>
      <c r="AV46" s="55">
        <f t="shared" si="3"/>
        <v>0</v>
      </c>
      <c r="AW46" s="55">
        <f t="shared" si="3"/>
        <v>0</v>
      </c>
      <c r="AX46" s="55">
        <f t="shared" si="3"/>
        <v>0</v>
      </c>
      <c r="AY46" s="55">
        <f t="shared" si="3"/>
        <v>0</v>
      </c>
      <c r="AZ46" s="57"/>
      <c r="BA46" s="350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668"/>
      <c r="BN46" s="55"/>
      <c r="BO46" s="55"/>
      <c r="BP46" s="55"/>
      <c r="BQ46" s="55"/>
      <c r="BR46" s="55"/>
      <c r="BS46" s="55"/>
      <c r="BT46" s="448"/>
      <c r="BU46" s="57"/>
      <c r="BV46" s="350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448"/>
      <c r="CI46" s="55"/>
      <c r="CJ46" s="55"/>
      <c r="CK46" s="55"/>
      <c r="CL46" s="55"/>
      <c r="CM46" s="55"/>
      <c r="CN46" s="505"/>
      <c r="CO46" s="679"/>
      <c r="CP46" s="656"/>
      <c r="CQ46" s="350"/>
      <c r="CR46" s="957"/>
      <c r="CS46" s="511"/>
      <c r="CT46" s="511"/>
      <c r="CU46" s="511"/>
      <c r="CV46" s="511"/>
      <c r="CW46" s="511"/>
      <c r="CX46" s="511"/>
      <c r="CY46" s="511"/>
      <c r="CZ46" s="511"/>
      <c r="DA46" s="511"/>
      <c r="DB46" s="511"/>
      <c r="DC46" s="511"/>
      <c r="DD46" s="511"/>
      <c r="DE46" s="511"/>
      <c r="DF46" s="511"/>
      <c r="DG46" s="511"/>
      <c r="DH46" s="511"/>
      <c r="DI46" s="511"/>
      <c r="DJ46" s="511"/>
      <c r="DK46" s="511"/>
      <c r="DL46" s="511"/>
      <c r="DM46" s="511">
        <f t="shared" si="9"/>
        <v>0</v>
      </c>
      <c r="DN46" s="511">
        <f>CV46-DM46</f>
        <v>0</v>
      </c>
    </row>
    <row r="47" spans="1:118" s="12" customFormat="1" x14ac:dyDescent="0.2">
      <c r="A47" s="100" t="s">
        <v>774</v>
      </c>
      <c r="B47" s="100" t="s">
        <v>773</v>
      </c>
      <c r="C47" s="100" t="s">
        <v>427</v>
      </c>
      <c r="D47" s="8">
        <v>10</v>
      </c>
      <c r="E47" s="127">
        <v>0.1</v>
      </c>
      <c r="F47" s="119">
        <v>43281</v>
      </c>
      <c r="G47" s="125">
        <f>D47*12</f>
        <v>120</v>
      </c>
      <c r="H47" s="146">
        <f>100/G47</f>
        <v>0.83333333333333337</v>
      </c>
      <c r="I47" s="1167">
        <f>H47*J47</f>
        <v>44.166666666666671</v>
      </c>
      <c r="J47" s="125">
        <f>(YEAR(F47)-YEAR(S47))*12+MONTH(F47)-MONTH(S47)</f>
        <v>53</v>
      </c>
      <c r="K47" s="1167">
        <f>L47*H47</f>
        <v>55.833333333333336</v>
      </c>
      <c r="L47" s="125">
        <f>G47-J47</f>
        <v>67</v>
      </c>
      <c r="M47" s="1167">
        <f>N47*H47</f>
        <v>0.83333333333333337</v>
      </c>
      <c r="N47" s="125">
        <v>1</v>
      </c>
      <c r="O47" s="1167">
        <f>P47*H47</f>
        <v>55</v>
      </c>
      <c r="P47" s="125">
        <f>L47-N47</f>
        <v>66</v>
      </c>
      <c r="Q47" s="119">
        <v>45292</v>
      </c>
      <c r="R47" s="119" t="s">
        <v>445</v>
      </c>
      <c r="S47" s="119">
        <v>41640</v>
      </c>
      <c r="T47" s="134">
        <v>1200</v>
      </c>
      <c r="U47" s="134">
        <f>T47*I47%</f>
        <v>530</v>
      </c>
      <c r="V47" s="7">
        <f>T47-U47</f>
        <v>670</v>
      </c>
      <c r="W47" s="1167">
        <f>T47*H47%</f>
        <v>10</v>
      </c>
      <c r="X47" s="64">
        <f>W47*5</f>
        <v>50</v>
      </c>
      <c r="Y47" s="82">
        <f>V47-X47</f>
        <v>620</v>
      </c>
      <c r="Z47" s="64">
        <v>115.958</v>
      </c>
      <c r="AA47" s="1234">
        <v>112.505</v>
      </c>
      <c r="AB47" s="62">
        <f>Z47/AA47</f>
        <v>1.0306919692458114</v>
      </c>
      <c r="AC47" s="62">
        <f>Y47*M47/100/K47*100/7</f>
        <v>1.3219616204690834</v>
      </c>
      <c r="AD47" s="62">
        <f>AC47*AB47</f>
        <v>1.3625352258686636</v>
      </c>
      <c r="AE47" s="62"/>
      <c r="AF47" s="62"/>
      <c r="AG47" s="62"/>
      <c r="AH47" s="62"/>
      <c r="AI47" s="62"/>
      <c r="AJ47" s="62">
        <f t="shared" ref="AJ47:AP47" si="24">$AD47</f>
        <v>1.3625352258686636</v>
      </c>
      <c r="AK47" s="62">
        <f t="shared" si="24"/>
        <v>1.3625352258686636</v>
      </c>
      <c r="AL47" s="62">
        <f t="shared" si="24"/>
        <v>1.3625352258686636</v>
      </c>
      <c r="AM47" s="62">
        <f t="shared" si="24"/>
        <v>1.3625352258686636</v>
      </c>
      <c r="AN47" s="62">
        <f t="shared" si="24"/>
        <v>1.3625352258686636</v>
      </c>
      <c r="AO47" s="62">
        <f t="shared" si="24"/>
        <v>1.3625352258686636</v>
      </c>
      <c r="AP47" s="62">
        <f t="shared" si="24"/>
        <v>1.3625352258686636</v>
      </c>
      <c r="AQ47" s="1169">
        <f>SUM(AE47:AP47)</f>
        <v>9.5377465810806452</v>
      </c>
      <c r="AR47" s="1169">
        <f>Y47-AQ47</f>
        <v>610.46225341891932</v>
      </c>
      <c r="AS47" s="62"/>
      <c r="AT47" s="62"/>
      <c r="AU47" s="62">
        <f t="shared" si="3"/>
        <v>1.3625352258686636</v>
      </c>
      <c r="AV47" s="62">
        <f t="shared" si="3"/>
        <v>1.3625352258686636</v>
      </c>
      <c r="AW47" s="62">
        <f t="shared" si="3"/>
        <v>1.3625352258686636</v>
      </c>
      <c r="AX47" s="62">
        <f t="shared" si="3"/>
        <v>1.3625352258686636</v>
      </c>
      <c r="AY47" s="62">
        <f t="shared" si="3"/>
        <v>1.3625352258686636</v>
      </c>
      <c r="AZ47" s="64">
        <v>118.901</v>
      </c>
      <c r="BA47" s="1234">
        <v>112.505</v>
      </c>
      <c r="BB47" s="62">
        <f>AZ47/BA47</f>
        <v>1.0568508066308164</v>
      </c>
      <c r="BC47" s="62">
        <f>T47/(D47*12)</f>
        <v>10</v>
      </c>
      <c r="BD47" s="62">
        <f>BC47*BB47</f>
        <v>10.568508066308164</v>
      </c>
      <c r="BE47" s="62">
        <f t="shared" ref="BE47:BK47" si="25">$BD47</f>
        <v>10.568508066308164</v>
      </c>
      <c r="BF47" s="62">
        <f t="shared" si="25"/>
        <v>10.568508066308164</v>
      </c>
      <c r="BG47" s="62">
        <f t="shared" si="25"/>
        <v>10.568508066308164</v>
      </c>
      <c r="BH47" s="62">
        <f t="shared" si="25"/>
        <v>10.568508066308164</v>
      </c>
      <c r="BI47" s="62">
        <f t="shared" si="25"/>
        <v>10.568508066308164</v>
      </c>
      <c r="BJ47" s="62">
        <f t="shared" si="25"/>
        <v>10.568508066308164</v>
      </c>
      <c r="BK47" s="62">
        <f t="shared" si="25"/>
        <v>10.568508066308164</v>
      </c>
      <c r="BL47" s="62">
        <f>SUM((AU47:AY47),(BE47:BK47))</f>
        <v>80.792232593500472</v>
      </c>
      <c r="BM47" s="1213">
        <f>(AR47-BL47)</f>
        <v>529.67002082541887</v>
      </c>
      <c r="BN47" s="62">
        <f>$BD47</f>
        <v>10.568508066308164</v>
      </c>
      <c r="BO47" s="62">
        <f>$BD47</f>
        <v>10.568508066308164</v>
      </c>
      <c r="BP47" s="62">
        <f>$BD47</f>
        <v>10.568508066308164</v>
      </c>
      <c r="BQ47" s="62">
        <f>$BD47</f>
        <v>10.568508066308164</v>
      </c>
      <c r="BR47" s="62">
        <f>$BD47</f>
        <v>10.568508066308164</v>
      </c>
      <c r="BS47" s="62">
        <f>SUM(BN47:BR47)</f>
        <v>52.842540331540818</v>
      </c>
      <c r="BT47" s="927">
        <f>BM47-BS47</f>
        <v>476.82748049387806</v>
      </c>
      <c r="BU47" s="64">
        <v>126.408</v>
      </c>
      <c r="BV47" s="1234">
        <v>112.505</v>
      </c>
      <c r="BW47" s="62">
        <f>BU47/BV47</f>
        <v>1.1235767299231145</v>
      </c>
      <c r="BX47" s="62">
        <f>BT47/L47</f>
        <v>7.1168280670728068</v>
      </c>
      <c r="BY47" s="62">
        <f>BW47*BX47</f>
        <v>7.9963024070267039</v>
      </c>
      <c r="BZ47" s="62">
        <v>8.4855243866394066</v>
      </c>
      <c r="CA47" s="62">
        <v>8.4855243866394066</v>
      </c>
      <c r="CB47" s="62">
        <v>8.4855243866394066</v>
      </c>
      <c r="CC47" s="62">
        <v>8.4855243866394066</v>
      </c>
      <c r="CD47" s="62">
        <v>8.4855243866394066</v>
      </c>
      <c r="CE47" s="62">
        <v>8.4855243866394066</v>
      </c>
      <c r="CF47" s="62">
        <v>8.4855243866394066</v>
      </c>
      <c r="CG47" s="62">
        <f>SUM(BZ47:CF47)</f>
        <v>59.398670706475841</v>
      </c>
      <c r="CH47" s="927">
        <f>BT47-CG47</f>
        <v>417.4288097874022</v>
      </c>
      <c r="CI47" s="62">
        <v>8.4855243866394066</v>
      </c>
      <c r="CJ47" s="62">
        <v>8.4855243866394066</v>
      </c>
      <c r="CK47" s="62">
        <v>8.4855243866394066</v>
      </c>
      <c r="CL47" s="62">
        <v>8.4855243866394066</v>
      </c>
      <c r="CM47" s="62">
        <v>8.4855243866394066</v>
      </c>
      <c r="CN47" s="1170">
        <f t="shared" si="7"/>
        <v>42.427621933197031</v>
      </c>
      <c r="CO47" s="679">
        <f t="shared" si="8"/>
        <v>375.00118785420517</v>
      </c>
      <c r="CP47" s="1171">
        <v>132.28200000000001</v>
      </c>
      <c r="CQ47" s="1234">
        <v>112.505</v>
      </c>
      <c r="CR47" s="1200">
        <f>CP47/CQ47</f>
        <v>1.1757877427669883</v>
      </c>
      <c r="CS47" s="510">
        <f>CO47/P47</f>
        <v>5.681836179609169</v>
      </c>
      <c r="CT47" s="510">
        <f>CS47*CR47</f>
        <v>6.6806333363944725</v>
      </c>
      <c r="CU47" s="510">
        <v>6.6806333363944725</v>
      </c>
      <c r="CV47" s="510">
        <v>6.6806333363944725</v>
      </c>
      <c r="CW47" s="510">
        <v>6.6806333363944725</v>
      </c>
      <c r="CX47" s="510">
        <v>6.6806333363944725</v>
      </c>
      <c r="CY47" s="510">
        <v>6.6806333363944725</v>
      </c>
      <c r="CZ47" s="510">
        <v>6.6806333363944725</v>
      </c>
      <c r="DA47" s="510">
        <v>6.6806333363944725</v>
      </c>
      <c r="DB47" s="510">
        <v>6.6806333363944725</v>
      </c>
      <c r="DC47" s="510">
        <v>6.6806333363944725</v>
      </c>
      <c r="DD47" s="510">
        <v>6.6806333363944725</v>
      </c>
      <c r="DE47" s="510">
        <v>6.6806333363944725</v>
      </c>
      <c r="DF47" s="510">
        <v>6.6806333363944725</v>
      </c>
      <c r="DG47" s="510">
        <v>6.6806333363944725</v>
      </c>
      <c r="DH47" s="510">
        <v>6.6806333363944725</v>
      </c>
      <c r="DI47" s="510">
        <v>6.6806333363944725</v>
      </c>
      <c r="DJ47" s="510">
        <v>6.6806333363944725</v>
      </c>
      <c r="DK47" s="510">
        <v>6.6806333363944725</v>
      </c>
      <c r="DL47" s="510">
        <v>6.6806333363944725</v>
      </c>
      <c r="DM47" s="510">
        <f t="shared" si="9"/>
        <v>120.25140005510056</v>
      </c>
      <c r="DN47" s="756">
        <f>CO47-DM47</f>
        <v>254.74978779910461</v>
      </c>
    </row>
    <row r="48" spans="1:118" s="16" customFormat="1" x14ac:dyDescent="0.2">
      <c r="A48" s="120" t="s">
        <v>65</v>
      </c>
      <c r="B48" s="120"/>
      <c r="C48" s="45"/>
      <c r="D48" s="111"/>
      <c r="E48" s="130"/>
      <c r="F48" s="46"/>
      <c r="G48" s="125"/>
      <c r="H48" s="145"/>
      <c r="I48" s="48"/>
      <c r="J48" s="48"/>
      <c r="K48" s="48"/>
      <c r="L48" s="48"/>
      <c r="M48" s="48"/>
      <c r="N48" s="48"/>
      <c r="O48" s="48"/>
      <c r="P48" s="48"/>
      <c r="Q48" s="48"/>
      <c r="R48" s="119"/>
      <c r="S48" s="119"/>
      <c r="T48" s="134"/>
      <c r="U48" s="134"/>
      <c r="V48" s="108"/>
      <c r="W48" s="165">
        <v>0</v>
      </c>
      <c r="X48" s="66"/>
      <c r="Y48" s="169"/>
      <c r="Z48" s="57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72"/>
      <c r="AQ48" s="72"/>
      <c r="AR48" s="72"/>
      <c r="AS48" s="55"/>
      <c r="AT48" s="55"/>
      <c r="AU48" s="55">
        <f t="shared" si="3"/>
        <v>0</v>
      </c>
      <c r="AV48" s="55">
        <f t="shared" si="3"/>
        <v>0</v>
      </c>
      <c r="AW48" s="55">
        <f t="shared" si="3"/>
        <v>0</v>
      </c>
      <c r="AX48" s="55">
        <f t="shared" si="3"/>
        <v>0</v>
      </c>
      <c r="AY48" s="55">
        <f t="shared" si="3"/>
        <v>0</v>
      </c>
      <c r="AZ48" s="57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668"/>
      <c r="BN48" s="55"/>
      <c r="BO48" s="55"/>
      <c r="BP48" s="55"/>
      <c r="BQ48" s="55"/>
      <c r="BR48" s="55"/>
      <c r="BS48" s="55"/>
      <c r="BT48" s="448"/>
      <c r="BU48" s="57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448"/>
      <c r="CI48" s="55"/>
      <c r="CJ48" s="55"/>
      <c r="CK48" s="55"/>
      <c r="CL48" s="55"/>
      <c r="CM48" s="55"/>
      <c r="CN48" s="505"/>
      <c r="CO48" s="679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11">
        <f t="shared" si="9"/>
        <v>0</v>
      </c>
      <c r="DN48" s="55"/>
    </row>
    <row r="49" spans="1:118" s="16" customFormat="1" x14ac:dyDescent="0.2">
      <c r="A49" s="120" t="s">
        <v>109</v>
      </c>
      <c r="B49" s="100"/>
      <c r="C49" s="45"/>
      <c r="D49" s="8"/>
      <c r="E49" s="130"/>
      <c r="F49" s="125"/>
      <c r="G49" s="125"/>
      <c r="H49" s="146"/>
      <c r="I49" s="125"/>
      <c r="J49" s="125"/>
      <c r="K49" s="125"/>
      <c r="L49" s="125"/>
      <c r="M49" s="125"/>
      <c r="N49" s="125"/>
      <c r="O49" s="125"/>
      <c r="P49" s="125"/>
      <c r="Q49" s="125"/>
      <c r="R49" s="119"/>
      <c r="S49" s="119"/>
      <c r="T49" s="134"/>
      <c r="U49" s="134"/>
      <c r="V49" s="108"/>
      <c r="W49" s="66"/>
      <c r="X49" s="66"/>
      <c r="Y49" s="169"/>
      <c r="Z49" s="66"/>
      <c r="AA49" s="65"/>
      <c r="AB49" s="65"/>
      <c r="AC49" s="6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72"/>
      <c r="AQ49" s="72"/>
      <c r="AR49" s="72"/>
      <c r="AS49" s="55"/>
      <c r="AT49" s="55"/>
      <c r="AU49" s="55">
        <f t="shared" si="3"/>
        <v>0</v>
      </c>
      <c r="AV49" s="55">
        <f t="shared" si="3"/>
        <v>0</v>
      </c>
      <c r="AW49" s="55">
        <f t="shared" si="3"/>
        <v>0</v>
      </c>
      <c r="AX49" s="55">
        <f t="shared" si="3"/>
        <v>0</v>
      </c>
      <c r="AY49" s="55">
        <f t="shared" si="3"/>
        <v>0</v>
      </c>
      <c r="AZ49" s="66"/>
      <c r="BA49" s="6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668"/>
      <c r="BN49" s="55"/>
      <c r="BO49" s="55"/>
      <c r="BP49" s="55"/>
      <c r="BQ49" s="55"/>
      <c r="BR49" s="55"/>
      <c r="BS49" s="55"/>
      <c r="BT49" s="448"/>
      <c r="BU49" s="66"/>
      <c r="BV49" s="6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448"/>
      <c r="CI49" s="55"/>
      <c r="CJ49" s="55"/>
      <c r="CK49" s="55"/>
      <c r="CL49" s="55"/>
      <c r="CM49" s="55"/>
      <c r="CN49" s="505"/>
      <c r="CO49" s="679"/>
      <c r="CP49" s="55"/>
      <c r="CQ49" s="6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11">
        <f t="shared" si="9"/>
        <v>0</v>
      </c>
      <c r="DN49" s="55"/>
    </row>
    <row r="50" spans="1:118" s="16" customFormat="1" x14ac:dyDescent="0.2">
      <c r="A50" s="100" t="s">
        <v>772</v>
      </c>
      <c r="B50" s="100" t="s">
        <v>771</v>
      </c>
      <c r="C50" s="45" t="s">
        <v>427</v>
      </c>
      <c r="D50" s="58">
        <v>10</v>
      </c>
      <c r="E50" s="53">
        <v>0.1</v>
      </c>
      <c r="F50" s="46">
        <v>43281</v>
      </c>
      <c r="G50" s="48">
        <v>120</v>
      </c>
      <c r="H50" s="145">
        <f>100/G50</f>
        <v>0.83333333333333337</v>
      </c>
      <c r="I50" s="165">
        <f>H50*J50</f>
        <v>25.833333333333336</v>
      </c>
      <c r="J50" s="48">
        <f>(YEAR(F50)-YEAR(S50))*12+MONTH(F50)-MONTH(S50)</f>
        <v>31</v>
      </c>
      <c r="K50" s="165">
        <f>L50*H50</f>
        <v>74.166666666666671</v>
      </c>
      <c r="L50" s="48">
        <f>G50-J50</f>
        <v>89</v>
      </c>
      <c r="M50" s="165">
        <f>N50*H50</f>
        <v>0.83333333333333337</v>
      </c>
      <c r="N50" s="48">
        <v>1</v>
      </c>
      <c r="O50" s="165">
        <f>P50*H50</f>
        <v>73.333333333333343</v>
      </c>
      <c r="P50" s="48">
        <f>L50-N50</f>
        <v>88</v>
      </c>
      <c r="Q50" s="48">
        <v>0</v>
      </c>
      <c r="R50" s="48">
        <v>291</v>
      </c>
      <c r="S50" s="46">
        <v>42334</v>
      </c>
      <c r="T50" s="47">
        <v>734</v>
      </c>
      <c r="U50" s="57">
        <v>0</v>
      </c>
      <c r="V50" s="55">
        <v>0</v>
      </c>
      <c r="Y50" s="350">
        <v>0</v>
      </c>
      <c r="Z50" s="57">
        <v>115.958</v>
      </c>
      <c r="AA50" s="374">
        <v>118.051</v>
      </c>
      <c r="AB50" s="55">
        <f>Z50/AA50</f>
        <v>0.98227037466857536</v>
      </c>
      <c r="AC50" s="55">
        <f>M50*T50/100</f>
        <v>6.1166666666666671</v>
      </c>
      <c r="AD50" s="55">
        <f>AC50*AB50</f>
        <v>6.0082204583894532</v>
      </c>
      <c r="AE50" s="55"/>
      <c r="AF50" s="55"/>
      <c r="AG50" s="55"/>
      <c r="AH50" s="55"/>
      <c r="AI50" s="55"/>
      <c r="AJ50" s="55"/>
      <c r="AK50" s="72"/>
      <c r="AL50" s="72"/>
      <c r="AM50" s="72"/>
      <c r="AN50" s="72"/>
      <c r="AO50" s="72"/>
      <c r="AP50" s="72">
        <f>6.01</f>
        <v>6.01</v>
      </c>
      <c r="AQ50" s="72">
        <f>6.01</f>
        <v>6.01</v>
      </c>
      <c r="AR50" s="72">
        <f>T50-AQ50</f>
        <v>727.99</v>
      </c>
      <c r="AS50" s="55"/>
      <c r="AT50" s="55"/>
      <c r="AU50" s="55">
        <f t="shared" si="3"/>
        <v>6.01</v>
      </c>
      <c r="AV50" s="55">
        <f t="shared" si="3"/>
        <v>6.01</v>
      </c>
      <c r="AW50" s="55">
        <f t="shared" si="3"/>
        <v>6.01</v>
      </c>
      <c r="AX50" s="55">
        <f t="shared" si="3"/>
        <v>6.01</v>
      </c>
      <c r="AY50" s="55">
        <f t="shared" si="3"/>
        <v>6.01</v>
      </c>
      <c r="AZ50" s="57">
        <v>118.901</v>
      </c>
      <c r="BA50" s="374">
        <v>118.051</v>
      </c>
      <c r="BB50" s="55">
        <f>AZ50/BA50</f>
        <v>1.0072002778460156</v>
      </c>
      <c r="BC50" s="55">
        <f>T50/(D50*12)</f>
        <v>6.1166666666666663</v>
      </c>
      <c r="BD50" s="55">
        <f>BC50*BB50</f>
        <v>6.1607083661581283</v>
      </c>
      <c r="BE50" s="55">
        <f t="shared" ref="BE50:BK50" si="26">$BD50</f>
        <v>6.1607083661581283</v>
      </c>
      <c r="BF50" s="55">
        <f t="shared" si="26"/>
        <v>6.1607083661581283</v>
      </c>
      <c r="BG50" s="55">
        <f t="shared" si="26"/>
        <v>6.1607083661581283</v>
      </c>
      <c r="BH50" s="55">
        <f t="shared" si="26"/>
        <v>6.1607083661581283</v>
      </c>
      <c r="BI50" s="55">
        <f t="shared" si="26"/>
        <v>6.1607083661581283</v>
      </c>
      <c r="BJ50" s="55">
        <f t="shared" si="26"/>
        <v>6.1607083661581283</v>
      </c>
      <c r="BK50" s="55">
        <f t="shared" si="26"/>
        <v>6.1607083661581283</v>
      </c>
      <c r="BL50" s="55">
        <f>SUM((AU50:AY50),(BE50:BK50))</f>
        <v>73.174958563106884</v>
      </c>
      <c r="BM50" s="668">
        <f>(AR50-BL50)</f>
        <v>654.81504143689313</v>
      </c>
      <c r="BN50" s="55">
        <f>$BD50</f>
        <v>6.1607083661581283</v>
      </c>
      <c r="BO50" s="55">
        <f>$BD50</f>
        <v>6.1607083661581283</v>
      </c>
      <c r="BP50" s="55">
        <f>$BD50</f>
        <v>6.1607083661581283</v>
      </c>
      <c r="BQ50" s="55">
        <f>$BD50</f>
        <v>6.1607083661581283</v>
      </c>
      <c r="BR50" s="55">
        <f>$BD50</f>
        <v>6.1607083661581283</v>
      </c>
      <c r="BS50" s="55">
        <f>SUM(BN50:BR50)</f>
        <v>30.803541830790643</v>
      </c>
      <c r="BT50" s="448">
        <f>BM50-BS50</f>
        <v>624.01149960610246</v>
      </c>
      <c r="BU50" s="57">
        <v>126.408</v>
      </c>
      <c r="BV50" s="374">
        <v>118.051</v>
      </c>
      <c r="BW50" s="55">
        <f>BU50/BV50</f>
        <v>1.0707914375990037</v>
      </c>
      <c r="BX50" s="55">
        <f>BT50/L50</f>
        <v>7.0113651641135109</v>
      </c>
      <c r="BY50" s="55">
        <f>BW50*BX50</f>
        <v>7.5077097836126807</v>
      </c>
      <c r="BZ50" s="55">
        <v>6.6157046608072143</v>
      </c>
      <c r="CA50" s="55">
        <v>6.6157046608072143</v>
      </c>
      <c r="CB50" s="55">
        <v>6.6157046608072143</v>
      </c>
      <c r="CC50" s="55">
        <v>6.6157046608072143</v>
      </c>
      <c r="CD50" s="55">
        <v>6.6157046608072143</v>
      </c>
      <c r="CE50" s="55">
        <v>6.6157046608072143</v>
      </c>
      <c r="CF50" s="55">
        <v>6.6157046608072143</v>
      </c>
      <c r="CG50" s="55">
        <f>SUM(BZ50:CF50)</f>
        <v>46.30993262565049</v>
      </c>
      <c r="CH50" s="448">
        <f>BT50-CG50</f>
        <v>577.70156698045196</v>
      </c>
      <c r="CI50" s="55">
        <v>6.6157046608072143</v>
      </c>
      <c r="CJ50" s="55">
        <v>6.6157046608072143</v>
      </c>
      <c r="CK50" s="55">
        <v>6.6157046608072143</v>
      </c>
      <c r="CL50" s="55">
        <v>6.6157046608072143</v>
      </c>
      <c r="CM50" s="55">
        <v>6.6157046608072143</v>
      </c>
      <c r="CN50" s="505">
        <f t="shared" si="7"/>
        <v>33.078523304036068</v>
      </c>
      <c r="CO50" s="679">
        <f t="shared" si="8"/>
        <v>544.62304367641593</v>
      </c>
      <c r="CP50" s="956">
        <v>132.28200000000001</v>
      </c>
      <c r="CQ50" s="374">
        <v>118.051</v>
      </c>
      <c r="CR50" s="957">
        <f>CP50/CQ50</f>
        <v>1.1205495929725289</v>
      </c>
      <c r="CS50" s="511">
        <f>CO50/P50</f>
        <v>6.1888982235956354</v>
      </c>
      <c r="CT50" s="511">
        <f>CS50*CR50</f>
        <v>6.9349673853984966</v>
      </c>
      <c r="CU50" s="511">
        <v>6.9349673853984966</v>
      </c>
      <c r="CV50" s="511">
        <v>6.9349673853984966</v>
      </c>
      <c r="CW50" s="511">
        <v>6.9349673853984966</v>
      </c>
      <c r="CX50" s="511">
        <v>6.9349673853984966</v>
      </c>
      <c r="CY50" s="511">
        <v>6.9349673853984966</v>
      </c>
      <c r="CZ50" s="511">
        <v>6.9349673853984966</v>
      </c>
      <c r="DA50" s="511">
        <v>6.9349673853984966</v>
      </c>
      <c r="DB50" s="511">
        <v>6.9349673853984966</v>
      </c>
      <c r="DC50" s="511">
        <v>6.9349673853984966</v>
      </c>
      <c r="DD50" s="511">
        <v>6.9349673853984966</v>
      </c>
      <c r="DE50" s="511">
        <v>6.9349673853984966</v>
      </c>
      <c r="DF50" s="511">
        <v>6.9349673853984966</v>
      </c>
      <c r="DG50" s="511">
        <v>6.9349673853984966</v>
      </c>
      <c r="DH50" s="511">
        <v>6.9349673853984966</v>
      </c>
      <c r="DI50" s="511">
        <v>6.9349673853984966</v>
      </c>
      <c r="DJ50" s="511">
        <v>6.9349673853984966</v>
      </c>
      <c r="DK50" s="511">
        <v>6.9349673853984966</v>
      </c>
      <c r="DL50" s="511">
        <v>6.9349673853984966</v>
      </c>
      <c r="DM50" s="511">
        <f t="shared" si="9"/>
        <v>124.8294129371729</v>
      </c>
      <c r="DN50" s="756">
        <f>CO50-DM50</f>
        <v>419.79363073924304</v>
      </c>
    </row>
    <row r="51" spans="1:118" x14ac:dyDescent="0.2">
      <c r="A51" s="120" t="s">
        <v>65</v>
      </c>
      <c r="B51" s="120" t="s">
        <v>88</v>
      </c>
      <c r="C51" s="120"/>
      <c r="D51" s="58"/>
      <c r="E51" s="49"/>
      <c r="F51" s="46"/>
      <c r="G51" s="48"/>
      <c r="H51" s="145"/>
      <c r="I51" s="165"/>
      <c r="J51" s="48"/>
      <c r="K51" s="165"/>
      <c r="L51" s="48"/>
      <c r="M51" s="165"/>
      <c r="N51" s="48"/>
      <c r="O51" s="165"/>
      <c r="P51" s="48"/>
      <c r="Q51" s="46"/>
      <c r="R51" s="46"/>
      <c r="S51" s="46"/>
      <c r="T51" s="47"/>
      <c r="U51" s="47"/>
      <c r="V51" s="106"/>
      <c r="W51" s="165"/>
      <c r="X51" s="57"/>
      <c r="Y51" s="80"/>
      <c r="Z51" s="57"/>
      <c r="AA51" s="350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72"/>
      <c r="AR51" s="72"/>
      <c r="AS51" s="55"/>
      <c r="AT51" s="55"/>
      <c r="AU51" s="55">
        <f t="shared" si="3"/>
        <v>0</v>
      </c>
      <c r="AV51" s="55">
        <f t="shared" si="3"/>
        <v>0</v>
      </c>
      <c r="AW51" s="55">
        <f t="shared" si="3"/>
        <v>0</v>
      </c>
      <c r="AX51" s="55">
        <f t="shared" ref="AX51:AY66" si="27">$AP51</f>
        <v>0</v>
      </c>
      <c r="AY51" s="55">
        <f t="shared" si="27"/>
        <v>0</v>
      </c>
      <c r="AZ51" s="57"/>
      <c r="BA51" s="350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668"/>
      <c r="BN51" s="55"/>
      <c r="BO51" s="55"/>
      <c r="BP51" s="55"/>
      <c r="BQ51" s="55"/>
      <c r="BR51" s="55"/>
      <c r="BS51" s="55"/>
      <c r="BT51" s="448"/>
      <c r="BU51" s="57"/>
      <c r="BV51" s="350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448"/>
      <c r="CI51" s="55"/>
      <c r="CJ51" s="55"/>
      <c r="CK51" s="55"/>
      <c r="CL51" s="55"/>
      <c r="CM51" s="55"/>
      <c r="CN51" s="505"/>
      <c r="CO51" s="679"/>
      <c r="CP51" s="511"/>
      <c r="CQ51" s="350"/>
      <c r="CR51" s="957"/>
      <c r="CS51" s="511"/>
      <c r="CT51" s="511"/>
      <c r="CU51" s="511"/>
      <c r="CV51" s="511"/>
      <c r="CW51" s="511"/>
      <c r="CX51" s="511"/>
      <c r="CY51" s="511"/>
      <c r="CZ51" s="511"/>
      <c r="DA51" s="511"/>
      <c r="DB51" s="511"/>
      <c r="DC51" s="511"/>
      <c r="DD51" s="511"/>
      <c r="DE51" s="511"/>
      <c r="DF51" s="511"/>
      <c r="DG51" s="511"/>
      <c r="DH51" s="511"/>
      <c r="DI51" s="511"/>
      <c r="DJ51" s="511"/>
      <c r="DK51" s="511"/>
      <c r="DL51" s="511"/>
      <c r="DM51" s="511">
        <f t="shared" si="9"/>
        <v>0</v>
      </c>
      <c r="DN51" s="511"/>
    </row>
    <row r="52" spans="1:118" x14ac:dyDescent="0.2">
      <c r="A52" s="120" t="s">
        <v>78</v>
      </c>
      <c r="B52" s="100"/>
      <c r="C52" s="100"/>
      <c r="D52" s="58"/>
      <c r="E52" s="49"/>
      <c r="F52" s="46"/>
      <c r="G52" s="48"/>
      <c r="H52" s="145"/>
      <c r="I52" s="165"/>
      <c r="J52" s="48"/>
      <c r="K52" s="165"/>
      <c r="L52" s="48"/>
      <c r="M52" s="165"/>
      <c r="N52" s="48"/>
      <c r="O52" s="165"/>
      <c r="P52" s="48"/>
      <c r="Q52" s="46"/>
      <c r="R52" s="46"/>
      <c r="S52" s="46"/>
      <c r="T52" s="47"/>
      <c r="U52" s="47"/>
      <c r="V52" s="106"/>
      <c r="W52" s="165"/>
      <c r="X52" s="57"/>
      <c r="Y52" s="80"/>
      <c r="Z52" s="57"/>
      <c r="AA52" s="350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72"/>
      <c r="AR52" s="72"/>
      <c r="AS52" s="55"/>
      <c r="AT52" s="55"/>
      <c r="AU52" s="55">
        <f t="shared" si="3"/>
        <v>0</v>
      </c>
      <c r="AV52" s="55">
        <f t="shared" si="3"/>
        <v>0</v>
      </c>
      <c r="AW52" s="55">
        <f t="shared" si="3"/>
        <v>0</v>
      </c>
      <c r="AX52" s="55">
        <f t="shared" si="27"/>
        <v>0</v>
      </c>
      <c r="AY52" s="55">
        <f t="shared" si="27"/>
        <v>0</v>
      </c>
      <c r="AZ52" s="57"/>
      <c r="BA52" s="350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668"/>
      <c r="BN52" s="55"/>
      <c r="BO52" s="55"/>
      <c r="BP52" s="55"/>
      <c r="BQ52" s="55"/>
      <c r="BR52" s="55"/>
      <c r="BS52" s="55"/>
      <c r="BT52" s="448"/>
      <c r="BU52" s="57"/>
      <c r="BV52" s="350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448"/>
      <c r="CI52" s="55"/>
      <c r="CJ52" s="55"/>
      <c r="CK52" s="55"/>
      <c r="CL52" s="55"/>
      <c r="CM52" s="55"/>
      <c r="CN52" s="505"/>
      <c r="CO52" s="679"/>
      <c r="CP52" s="623"/>
      <c r="CQ52" s="350"/>
      <c r="CR52" s="957"/>
      <c r="CS52" s="511"/>
      <c r="CT52" s="511"/>
      <c r="CU52" s="511"/>
      <c r="CV52" s="511"/>
      <c r="CW52" s="511"/>
      <c r="CX52" s="511"/>
      <c r="CY52" s="511"/>
      <c r="CZ52" s="511"/>
      <c r="DA52" s="511"/>
      <c r="DB52" s="511"/>
      <c r="DC52" s="511"/>
      <c r="DD52" s="511"/>
      <c r="DE52" s="511"/>
      <c r="DF52" s="511"/>
      <c r="DG52" s="511"/>
      <c r="DH52" s="511"/>
      <c r="DI52" s="511"/>
      <c r="DJ52" s="511"/>
      <c r="DK52" s="511"/>
      <c r="DL52" s="511"/>
      <c r="DM52" s="511">
        <f t="shared" si="9"/>
        <v>0</v>
      </c>
      <c r="DN52" s="511"/>
    </row>
    <row r="53" spans="1:118" x14ac:dyDescent="0.2">
      <c r="A53" s="100" t="s">
        <v>770</v>
      </c>
      <c r="B53" s="100" t="s">
        <v>769</v>
      </c>
      <c r="C53" s="100" t="s">
        <v>427</v>
      </c>
      <c r="D53" s="58">
        <v>10</v>
      </c>
      <c r="E53" s="49">
        <v>0.1</v>
      </c>
      <c r="F53" s="46">
        <v>43281</v>
      </c>
      <c r="G53" s="48">
        <f>D53*12</f>
        <v>120</v>
      </c>
      <c r="H53" s="145">
        <f>100/G53</f>
        <v>0.83333333333333337</v>
      </c>
      <c r="I53" s="165">
        <f>H53*J53</f>
        <v>44.166666666666671</v>
      </c>
      <c r="J53" s="48">
        <f>(YEAR(F53)-YEAR(S53))*12+MONTH(F53)-MONTH(S53)</f>
        <v>53</v>
      </c>
      <c r="K53" s="165">
        <f>L53*H53</f>
        <v>55.833333333333336</v>
      </c>
      <c r="L53" s="48">
        <f>G53-J53</f>
        <v>67</v>
      </c>
      <c r="M53" s="165">
        <f>N53*H53</f>
        <v>0.83333333333333337</v>
      </c>
      <c r="N53" s="48">
        <v>1</v>
      </c>
      <c r="O53" s="165">
        <f>P53*H53</f>
        <v>55</v>
      </c>
      <c r="P53" s="48">
        <f>L53-N53</f>
        <v>66</v>
      </c>
      <c r="Q53" s="46">
        <v>43466</v>
      </c>
      <c r="R53" s="46" t="s">
        <v>445</v>
      </c>
      <c r="S53" s="46">
        <v>41640</v>
      </c>
      <c r="T53" s="47">
        <v>845</v>
      </c>
      <c r="U53" s="47">
        <f>T53*I53%</f>
        <v>373.20833333333337</v>
      </c>
      <c r="V53" s="106">
        <f>T53-U53</f>
        <v>471.79166666666663</v>
      </c>
      <c r="W53" s="165">
        <f>T53*H53%</f>
        <v>7.041666666666667</v>
      </c>
      <c r="X53" s="57">
        <f>W53*5</f>
        <v>35.208333333333336</v>
      </c>
      <c r="Y53" s="80">
        <f>V53-X53</f>
        <v>436.58333333333331</v>
      </c>
      <c r="Z53" s="57">
        <v>115.958</v>
      </c>
      <c r="AA53" s="350">
        <v>112.505</v>
      </c>
      <c r="AB53" s="55">
        <f>Z53/AA53</f>
        <v>1.0306919692458114</v>
      </c>
      <c r="AC53" s="55">
        <f>Y53*M53/100/K53*100/7</f>
        <v>0.9308813077469793</v>
      </c>
      <c r="AD53" s="55">
        <f>AC53*AB53</f>
        <v>0.95945188821585026</v>
      </c>
      <c r="AE53" s="55"/>
      <c r="AF53" s="55"/>
      <c r="AG53" s="55"/>
      <c r="AH53" s="55"/>
      <c r="AI53" s="55"/>
      <c r="AJ53" s="55">
        <f t="shared" ref="AJ53:AP53" si="28">$AD53</f>
        <v>0.95945188821585026</v>
      </c>
      <c r="AK53" s="55">
        <f t="shared" si="28"/>
        <v>0.95945188821585026</v>
      </c>
      <c r="AL53" s="55">
        <f t="shared" si="28"/>
        <v>0.95945188821585026</v>
      </c>
      <c r="AM53" s="55">
        <f t="shared" si="28"/>
        <v>0.95945188821585026</v>
      </c>
      <c r="AN53" s="55">
        <f t="shared" si="28"/>
        <v>0.95945188821585026</v>
      </c>
      <c r="AO53" s="55">
        <f t="shared" si="28"/>
        <v>0.95945188821585026</v>
      </c>
      <c r="AP53" s="55">
        <f t="shared" si="28"/>
        <v>0.95945188821585026</v>
      </c>
      <c r="AQ53" s="72">
        <f>SUM(AE53:AP53)</f>
        <v>6.7161632175109531</v>
      </c>
      <c r="AR53" s="72">
        <f>Y53-AQ53</f>
        <v>429.86717011582238</v>
      </c>
      <c r="AS53" s="55"/>
      <c r="AT53" s="55"/>
      <c r="AU53" s="55">
        <f t="shared" si="3"/>
        <v>0.95945188821585026</v>
      </c>
      <c r="AV53" s="55">
        <f t="shared" si="3"/>
        <v>0.95945188821585026</v>
      </c>
      <c r="AW53" s="55">
        <f t="shared" si="3"/>
        <v>0.95945188821585026</v>
      </c>
      <c r="AX53" s="55">
        <f t="shared" si="27"/>
        <v>0.95945188821585026</v>
      </c>
      <c r="AY53" s="55">
        <f t="shared" si="27"/>
        <v>0.95945188821585026</v>
      </c>
      <c r="AZ53" s="57">
        <v>118.901</v>
      </c>
      <c r="BA53" s="350">
        <v>112.505</v>
      </c>
      <c r="BB53" s="55">
        <f>AZ53/BA53</f>
        <v>1.0568508066308164</v>
      </c>
      <c r="BC53" s="55">
        <f>T53/(D53*12)</f>
        <v>7.041666666666667</v>
      </c>
      <c r="BD53" s="55">
        <f>BC53*BB53</f>
        <v>7.4419910966919991</v>
      </c>
      <c r="BE53" s="55">
        <f t="shared" ref="BE53:BK53" si="29">$BD53</f>
        <v>7.4419910966919991</v>
      </c>
      <c r="BF53" s="55">
        <f t="shared" si="29"/>
        <v>7.4419910966919991</v>
      </c>
      <c r="BG53" s="55">
        <f t="shared" si="29"/>
        <v>7.4419910966919991</v>
      </c>
      <c r="BH53" s="55">
        <f t="shared" si="29"/>
        <v>7.4419910966919991</v>
      </c>
      <c r="BI53" s="55">
        <f t="shared" si="29"/>
        <v>7.4419910966919991</v>
      </c>
      <c r="BJ53" s="55">
        <f t="shared" si="29"/>
        <v>7.4419910966919991</v>
      </c>
      <c r="BK53" s="55">
        <f t="shared" si="29"/>
        <v>7.4419910966919991</v>
      </c>
      <c r="BL53" s="55">
        <f>SUM((AU53:AY53),(BE53:BK53))</f>
        <v>56.891197117923248</v>
      </c>
      <c r="BM53" s="668">
        <f>(AR53-BL53)</f>
        <v>372.97597299789913</v>
      </c>
      <c r="BN53" s="55">
        <f>$BD53</f>
        <v>7.4419910966919991</v>
      </c>
      <c r="BO53" s="55">
        <f>$BD53</f>
        <v>7.4419910966919991</v>
      </c>
      <c r="BP53" s="55">
        <f>$BD53</f>
        <v>7.4419910966919991</v>
      </c>
      <c r="BQ53" s="55">
        <f>$BD53</f>
        <v>7.4419910966919991</v>
      </c>
      <c r="BR53" s="55">
        <f>$BD53</f>
        <v>7.4419910966919991</v>
      </c>
      <c r="BS53" s="55">
        <f>SUM(BN53:BR53)</f>
        <v>37.209955483459993</v>
      </c>
      <c r="BT53" s="448">
        <f>BM53-BS53</f>
        <v>335.76601751443911</v>
      </c>
      <c r="BU53" s="57">
        <v>126.408</v>
      </c>
      <c r="BV53" s="350">
        <v>112.505</v>
      </c>
      <c r="BW53" s="55">
        <f>BU53/BV53</f>
        <v>1.1235767299231145</v>
      </c>
      <c r="BX53" s="55">
        <f>BT53/L53</f>
        <v>5.0114330972304346</v>
      </c>
      <c r="BY53" s="55">
        <f>BW53*BX53</f>
        <v>5.6307296116146377</v>
      </c>
      <c r="BZ53" s="55">
        <v>5.9752234222585807</v>
      </c>
      <c r="CA53" s="55">
        <v>5.9752234222585807</v>
      </c>
      <c r="CB53" s="55">
        <v>5.9752234222585807</v>
      </c>
      <c r="CC53" s="55">
        <v>5.9752234222585807</v>
      </c>
      <c r="CD53" s="55">
        <v>5.9752234222585807</v>
      </c>
      <c r="CE53" s="55">
        <v>5.9752234222585807</v>
      </c>
      <c r="CF53" s="55">
        <v>5.9752234222585807</v>
      </c>
      <c r="CG53" s="55">
        <f>SUM(BZ53:CF53)</f>
        <v>41.826563955810066</v>
      </c>
      <c r="CH53" s="448">
        <f>BT53-CG53</f>
        <v>293.93945355862905</v>
      </c>
      <c r="CI53" s="55">
        <v>5.9752234222585807</v>
      </c>
      <c r="CJ53" s="55">
        <v>5.9752234222585807</v>
      </c>
      <c r="CK53" s="55">
        <v>5.9752234222585807</v>
      </c>
      <c r="CL53" s="55">
        <v>5.9752234222585807</v>
      </c>
      <c r="CM53" s="55">
        <v>5.9752234222585807</v>
      </c>
      <c r="CN53" s="505">
        <f t="shared" si="7"/>
        <v>29.876117111292903</v>
      </c>
      <c r="CO53" s="679">
        <f t="shared" si="8"/>
        <v>264.06333644733616</v>
      </c>
      <c r="CP53" s="956">
        <v>132.28200000000001</v>
      </c>
      <c r="CQ53" s="350">
        <v>112.505</v>
      </c>
      <c r="CR53" s="957">
        <f>CP53/CQ53</f>
        <v>1.1757877427669883</v>
      </c>
      <c r="CS53" s="511">
        <f>CO53/P53</f>
        <v>4.0009596431414565</v>
      </c>
      <c r="CT53" s="511">
        <f>CS53*CR53</f>
        <v>4.7042793077111078</v>
      </c>
      <c r="CU53" s="511">
        <v>4.7042793077111078</v>
      </c>
      <c r="CV53" s="511">
        <v>4.7042793077111078</v>
      </c>
      <c r="CW53" s="511">
        <v>4.7042793077111078</v>
      </c>
      <c r="CX53" s="511">
        <v>4.7042793077111078</v>
      </c>
      <c r="CY53" s="511">
        <v>4.7042793077111078</v>
      </c>
      <c r="CZ53" s="511">
        <v>4.7042793077111078</v>
      </c>
      <c r="DA53" s="511">
        <v>4.7042793077111078</v>
      </c>
      <c r="DB53" s="511">
        <v>4.7042793077111078</v>
      </c>
      <c r="DC53" s="511">
        <v>4.7042793077111078</v>
      </c>
      <c r="DD53" s="511">
        <v>4.7042793077111078</v>
      </c>
      <c r="DE53" s="511">
        <v>4.7042793077111078</v>
      </c>
      <c r="DF53" s="511">
        <v>4.7042793077111078</v>
      </c>
      <c r="DG53" s="511">
        <v>4.7042793077111078</v>
      </c>
      <c r="DH53" s="511">
        <v>4.7042793077111078</v>
      </c>
      <c r="DI53" s="511">
        <v>4.7042793077111078</v>
      </c>
      <c r="DJ53" s="511">
        <v>4.7042793077111078</v>
      </c>
      <c r="DK53" s="511">
        <v>4.7042793077111078</v>
      </c>
      <c r="DL53" s="511">
        <v>4.7042793077111078</v>
      </c>
      <c r="DM53" s="511">
        <f t="shared" si="9"/>
        <v>84.677027538799905</v>
      </c>
      <c r="DN53" s="756">
        <f>CO53-DM53</f>
        <v>179.38630890853625</v>
      </c>
    </row>
    <row r="54" spans="1:118" x14ac:dyDescent="0.2">
      <c r="A54" s="120" t="s">
        <v>71</v>
      </c>
      <c r="B54" s="120"/>
      <c r="C54" s="120"/>
      <c r="D54" s="58"/>
      <c r="E54" s="49"/>
      <c r="F54" s="46"/>
      <c r="G54" s="48"/>
      <c r="H54" s="145"/>
      <c r="I54" s="165"/>
      <c r="J54" s="48"/>
      <c r="K54" s="165"/>
      <c r="L54" s="48"/>
      <c r="M54" s="165"/>
      <c r="N54" s="48"/>
      <c r="O54" s="165"/>
      <c r="P54" s="48"/>
      <c r="Q54" s="46"/>
      <c r="R54" s="46"/>
      <c r="S54" s="46"/>
      <c r="T54" s="47"/>
      <c r="U54" s="47"/>
      <c r="V54" s="106"/>
      <c r="W54" s="165"/>
      <c r="X54" s="57"/>
      <c r="Y54" s="80"/>
      <c r="Z54" s="57"/>
      <c r="AA54" s="350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72"/>
      <c r="AR54" s="72"/>
      <c r="AS54" s="55"/>
      <c r="AT54" s="55"/>
      <c r="AU54" s="55">
        <f t="shared" si="3"/>
        <v>0</v>
      </c>
      <c r="AV54" s="55">
        <f t="shared" si="3"/>
        <v>0</v>
      </c>
      <c r="AW54" s="55">
        <f t="shared" si="3"/>
        <v>0</v>
      </c>
      <c r="AX54" s="55">
        <f t="shared" si="27"/>
        <v>0</v>
      </c>
      <c r="AY54" s="55">
        <f t="shared" si="27"/>
        <v>0</v>
      </c>
      <c r="AZ54" s="57"/>
      <c r="BA54" s="350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668"/>
      <c r="BN54" s="55"/>
      <c r="BO54" s="55"/>
      <c r="BP54" s="55"/>
      <c r="BQ54" s="55"/>
      <c r="BR54" s="55"/>
      <c r="BS54" s="55"/>
      <c r="BT54" s="448"/>
      <c r="BU54" s="57"/>
      <c r="BV54" s="350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448"/>
      <c r="CI54" s="55"/>
      <c r="CJ54" s="55"/>
      <c r="CK54" s="55"/>
      <c r="CL54" s="55"/>
      <c r="CM54" s="55"/>
      <c r="CN54" s="505"/>
      <c r="CO54" s="679"/>
      <c r="CP54" s="623"/>
      <c r="CQ54" s="350"/>
      <c r="CR54" s="957"/>
      <c r="CS54" s="511"/>
      <c r="CT54" s="511"/>
      <c r="CU54" s="511"/>
      <c r="CV54" s="511"/>
      <c r="CW54" s="511"/>
      <c r="CX54" s="511"/>
      <c r="CY54" s="511"/>
      <c r="CZ54" s="511"/>
      <c r="DA54" s="511"/>
      <c r="DB54" s="511"/>
      <c r="DC54" s="511"/>
      <c r="DD54" s="511"/>
      <c r="DE54" s="511"/>
      <c r="DF54" s="511"/>
      <c r="DG54" s="511"/>
      <c r="DH54" s="511"/>
      <c r="DI54" s="511"/>
      <c r="DJ54" s="511"/>
      <c r="DK54" s="511"/>
      <c r="DL54" s="511"/>
      <c r="DM54" s="511">
        <f t="shared" si="9"/>
        <v>0</v>
      </c>
      <c r="DN54" s="511"/>
    </row>
    <row r="55" spans="1:118" x14ac:dyDescent="0.2">
      <c r="A55" s="120" t="s">
        <v>768</v>
      </c>
      <c r="B55" s="100"/>
      <c r="C55" s="100"/>
      <c r="D55" s="58"/>
      <c r="E55" s="49"/>
      <c r="F55" s="46"/>
      <c r="G55" s="48"/>
      <c r="H55" s="145"/>
      <c r="I55" s="165"/>
      <c r="J55" s="48"/>
      <c r="K55" s="165"/>
      <c r="L55" s="48"/>
      <c r="M55" s="165"/>
      <c r="N55" s="48"/>
      <c r="O55" s="165"/>
      <c r="P55" s="48"/>
      <c r="Q55" s="46"/>
      <c r="R55" s="46"/>
      <c r="S55" s="46"/>
      <c r="T55" s="47"/>
      <c r="U55" s="47"/>
      <c r="V55" s="106"/>
      <c r="W55" s="165"/>
      <c r="X55" s="57"/>
      <c r="Y55" s="80"/>
      <c r="Z55" s="57"/>
      <c r="AA55" s="350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72"/>
      <c r="AR55" s="72"/>
      <c r="AS55" s="55"/>
      <c r="AT55" s="55"/>
      <c r="AU55" s="55">
        <f t="shared" si="3"/>
        <v>0</v>
      </c>
      <c r="AV55" s="55">
        <f t="shared" si="3"/>
        <v>0</v>
      </c>
      <c r="AW55" s="55">
        <f t="shared" si="3"/>
        <v>0</v>
      </c>
      <c r="AX55" s="55">
        <f t="shared" si="27"/>
        <v>0</v>
      </c>
      <c r="AY55" s="55">
        <f t="shared" si="27"/>
        <v>0</v>
      </c>
      <c r="AZ55" s="57"/>
      <c r="BA55" s="350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668"/>
      <c r="BN55" s="55"/>
      <c r="BO55" s="55"/>
      <c r="BP55" s="55"/>
      <c r="BQ55" s="55"/>
      <c r="BR55" s="55"/>
      <c r="BS55" s="55"/>
      <c r="BT55" s="448"/>
      <c r="BU55" s="57"/>
      <c r="BV55" s="350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448"/>
      <c r="CI55" s="55"/>
      <c r="CJ55" s="55"/>
      <c r="CK55" s="55"/>
      <c r="CL55" s="55"/>
      <c r="CM55" s="55"/>
      <c r="CN55" s="505"/>
      <c r="CO55" s="679"/>
      <c r="CP55" s="55"/>
      <c r="CQ55" s="350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  <c r="DL55" s="55"/>
      <c r="DM55" s="511">
        <f t="shared" si="9"/>
        <v>0</v>
      </c>
      <c r="DN55" s="55"/>
    </row>
    <row r="56" spans="1:118" x14ac:dyDescent="0.2">
      <c r="A56" s="100" t="s">
        <v>767</v>
      </c>
      <c r="B56" s="100" t="s">
        <v>766</v>
      </c>
      <c r="C56" s="100" t="s">
        <v>427</v>
      </c>
      <c r="D56" s="58">
        <v>3</v>
      </c>
      <c r="E56" s="49">
        <v>3.3300000000000003E-2</v>
      </c>
      <c r="F56" s="46">
        <v>43281</v>
      </c>
      <c r="G56" s="48">
        <f>D56*12</f>
        <v>36</v>
      </c>
      <c r="H56" s="145">
        <f>100/G56</f>
        <v>2.7777777777777777</v>
      </c>
      <c r="I56" s="165">
        <f>H56*J56</f>
        <v>91.666666666666657</v>
      </c>
      <c r="J56" s="48">
        <f>(YEAR(F56)-YEAR(S56))*12+MONTH(F56)-MONTH(S56)</f>
        <v>33</v>
      </c>
      <c r="K56" s="165">
        <f>L56*H56</f>
        <v>8.3333333333333321</v>
      </c>
      <c r="L56" s="48">
        <f>G56-J56</f>
        <v>3</v>
      </c>
      <c r="M56" s="165">
        <f>N56*H56</f>
        <v>2.7777777777777777</v>
      </c>
      <c r="N56" s="48">
        <v>1</v>
      </c>
      <c r="O56" s="165">
        <f>P56*H56</f>
        <v>5.5555555555555554</v>
      </c>
      <c r="P56" s="48">
        <f>L56-N56</f>
        <v>2</v>
      </c>
      <c r="Q56" s="46">
        <v>43350</v>
      </c>
      <c r="R56" s="46" t="s">
        <v>445</v>
      </c>
      <c r="S56" s="46">
        <v>42254</v>
      </c>
      <c r="T56" s="47">
        <v>12646</v>
      </c>
      <c r="U56" s="47">
        <f>T56*I56%</f>
        <v>11592.166666666664</v>
      </c>
      <c r="V56" s="106"/>
      <c r="W56" s="165"/>
      <c r="X56" s="57">
        <f>W56*5</f>
        <v>0</v>
      </c>
      <c r="Y56" s="80">
        <f>V56-X56</f>
        <v>0</v>
      </c>
      <c r="Z56" s="57">
        <v>115.958</v>
      </c>
      <c r="AA56" s="350">
        <v>116.809</v>
      </c>
      <c r="AB56" s="55">
        <f>Z56/AA56</f>
        <v>0.99271460247070009</v>
      </c>
      <c r="AC56" s="55">
        <f>H56*T56/100</f>
        <v>351.27777777777771</v>
      </c>
      <c r="AD56" s="55">
        <f>AC56*AB56</f>
        <v>348.71857952345755</v>
      </c>
      <c r="AE56" s="55"/>
      <c r="AF56" s="55"/>
      <c r="AG56" s="55"/>
      <c r="AH56" s="55"/>
      <c r="AI56" s="55"/>
      <c r="AJ56" s="55"/>
      <c r="AK56" s="55"/>
      <c r="AL56" s="55"/>
      <c r="AM56" s="55"/>
      <c r="AN56" s="55">
        <f>$AD56</f>
        <v>348.71857952345755</v>
      </c>
      <c r="AO56" s="55">
        <f>$AD56</f>
        <v>348.71857952345755</v>
      </c>
      <c r="AP56" s="55">
        <f>$AD56</f>
        <v>348.71857952345755</v>
      </c>
      <c r="AQ56" s="72">
        <f>SUM(AE56:AP56)</f>
        <v>1046.1557385703727</v>
      </c>
      <c r="AR56" s="72">
        <f>T56-AQ56</f>
        <v>11599.844261429627</v>
      </c>
      <c r="AS56" s="55"/>
      <c r="AT56" s="55"/>
      <c r="AU56" s="55">
        <f t="shared" si="3"/>
        <v>348.71857952345755</v>
      </c>
      <c r="AV56" s="55">
        <f t="shared" si="3"/>
        <v>348.71857952345755</v>
      </c>
      <c r="AW56" s="55">
        <f t="shared" si="3"/>
        <v>348.71857952345755</v>
      </c>
      <c r="AX56" s="55">
        <f t="shared" si="27"/>
        <v>348.71857952345755</v>
      </c>
      <c r="AY56" s="55">
        <f t="shared" si="27"/>
        <v>348.71857952345755</v>
      </c>
      <c r="AZ56" s="57">
        <v>118.901</v>
      </c>
      <c r="BA56" s="350">
        <v>116.809</v>
      </c>
      <c r="BB56" s="55">
        <f>AZ56/BA56</f>
        <v>1.0179095788851886</v>
      </c>
      <c r="BC56" s="55">
        <f>T56/(D56*12)</f>
        <v>351.27777777777777</v>
      </c>
      <c r="BD56" s="55">
        <f>BC56*BB56</f>
        <v>357.56901484950265</v>
      </c>
      <c r="BE56" s="55">
        <f t="shared" ref="BE56:BK56" si="30">$BD56</f>
        <v>357.56901484950265</v>
      </c>
      <c r="BF56" s="55">
        <f t="shared" si="30"/>
        <v>357.56901484950265</v>
      </c>
      <c r="BG56" s="55">
        <f t="shared" si="30"/>
        <v>357.56901484950265</v>
      </c>
      <c r="BH56" s="55">
        <f t="shared" si="30"/>
        <v>357.56901484950265</v>
      </c>
      <c r="BI56" s="55">
        <f t="shared" si="30"/>
        <v>357.56901484950265</v>
      </c>
      <c r="BJ56" s="55">
        <f t="shared" si="30"/>
        <v>357.56901484950265</v>
      </c>
      <c r="BK56" s="55">
        <f t="shared" si="30"/>
        <v>357.56901484950265</v>
      </c>
      <c r="BL56" s="55">
        <f>SUM((AU56:AY56),(BE56:BK56))</f>
        <v>4246.576001563807</v>
      </c>
      <c r="BM56" s="668">
        <f>(AR56-BL56)</f>
        <v>7353.2682598658203</v>
      </c>
      <c r="BN56" s="55">
        <f>$BD56</f>
        <v>357.56901484950265</v>
      </c>
      <c r="BO56" s="55">
        <f>$BD56</f>
        <v>357.56901484950265</v>
      </c>
      <c r="BP56" s="55">
        <f>$BD56</f>
        <v>357.56901484950265</v>
      </c>
      <c r="BQ56" s="55">
        <f>$BD56</f>
        <v>357.56901484950265</v>
      </c>
      <c r="BR56" s="55">
        <f>$BD56</f>
        <v>357.56901484950265</v>
      </c>
      <c r="BS56" s="55">
        <f>SUM(BN56:BR56)</f>
        <v>1787.8450742475134</v>
      </c>
      <c r="BT56" s="448">
        <f>BM56-BS56</f>
        <v>5565.4231856183069</v>
      </c>
      <c r="BU56" s="57">
        <v>126.408</v>
      </c>
      <c r="BV56" s="350">
        <v>116.809</v>
      </c>
      <c r="BW56" s="55">
        <f>BU56/BV56</f>
        <v>1.082176887054936</v>
      </c>
      <c r="BX56" s="55">
        <f>BT56/L56</f>
        <v>1855.1410618727689</v>
      </c>
      <c r="BY56" s="55">
        <f>BW56*BX56</f>
        <v>2007.5907793852614</v>
      </c>
      <c r="BZ56" s="55">
        <v>401.51815587705232</v>
      </c>
      <c r="CA56" s="55">
        <v>401.51815587705232</v>
      </c>
      <c r="CB56" s="55">
        <v>401.51815587705232</v>
      </c>
      <c r="CC56" s="55">
        <v>401.51815587705232</v>
      </c>
      <c r="CD56" s="55">
        <v>401.51815587705232</v>
      </c>
      <c r="CE56" s="55">
        <v>401.51815587705232</v>
      </c>
      <c r="CF56" s="55">
        <v>401.51815587705232</v>
      </c>
      <c r="CG56" s="55">
        <f>SUM(BZ56:CF56)</f>
        <v>2810.6270911393663</v>
      </c>
      <c r="CH56" s="448">
        <f>BT56-CG56</f>
        <v>2754.7960944789406</v>
      </c>
      <c r="CI56" s="55">
        <v>401.51815587705232</v>
      </c>
      <c r="CJ56" s="55">
        <v>401.51815587705232</v>
      </c>
      <c r="CK56" s="55">
        <v>401.51815587705232</v>
      </c>
      <c r="CL56" s="55">
        <v>401.51815587705232</v>
      </c>
      <c r="CM56" s="55">
        <v>401.51815587705232</v>
      </c>
      <c r="CN56" s="505">
        <f t="shared" si="7"/>
        <v>2007.5907793852616</v>
      </c>
      <c r="CO56" s="679">
        <f t="shared" si="8"/>
        <v>747.20531509367902</v>
      </c>
      <c r="CP56" s="956">
        <v>132.28200000000001</v>
      </c>
      <c r="CQ56" s="350">
        <v>116.809</v>
      </c>
      <c r="CR56" s="957">
        <f>CP56/CQ56</f>
        <v>1.1324641080738642</v>
      </c>
      <c r="CS56" s="511">
        <f>CO56/P56</f>
        <v>373.60265754683951</v>
      </c>
      <c r="CT56" s="511">
        <f>CS56*CR56</f>
        <v>423.09160035280695</v>
      </c>
      <c r="CU56" s="55">
        <v>423.09160035280695</v>
      </c>
      <c r="CV56" s="55">
        <v>323.11</v>
      </c>
      <c r="CW56" s="55">
        <v>0</v>
      </c>
      <c r="CX56" s="55">
        <v>0</v>
      </c>
      <c r="CY56" s="55">
        <v>0</v>
      </c>
      <c r="CZ56" s="55">
        <v>0</v>
      </c>
      <c r="DA56" s="55">
        <v>0</v>
      </c>
      <c r="DB56" s="55">
        <v>0</v>
      </c>
      <c r="DC56" s="55">
        <v>0</v>
      </c>
      <c r="DD56" s="55">
        <v>0</v>
      </c>
      <c r="DE56" s="55">
        <v>0</v>
      </c>
      <c r="DF56" s="55">
        <v>0</v>
      </c>
      <c r="DG56" s="55">
        <v>0</v>
      </c>
      <c r="DH56" s="55">
        <v>0</v>
      </c>
      <c r="DI56" s="55">
        <v>0</v>
      </c>
      <c r="DJ56" s="55">
        <v>0</v>
      </c>
      <c r="DK56" s="55">
        <v>0</v>
      </c>
      <c r="DL56" s="55">
        <v>0</v>
      </c>
      <c r="DM56" s="511">
        <f t="shared" si="9"/>
        <v>746.20160035280696</v>
      </c>
      <c r="DN56" s="756">
        <f>CO56-DM56</f>
        <v>1.0037147408720557</v>
      </c>
    </row>
    <row r="57" spans="1:118" x14ac:dyDescent="0.2">
      <c r="A57" s="120" t="s">
        <v>71</v>
      </c>
      <c r="B57" s="120"/>
      <c r="C57" s="120"/>
      <c r="D57" s="58"/>
      <c r="E57" s="49"/>
      <c r="F57" s="46"/>
      <c r="G57" s="48"/>
      <c r="H57" s="145"/>
      <c r="I57" s="165"/>
      <c r="J57" s="48"/>
      <c r="K57" s="165"/>
      <c r="L57" s="48"/>
      <c r="M57" s="165"/>
      <c r="N57" s="48"/>
      <c r="O57" s="165"/>
      <c r="P57" s="48"/>
      <c r="Q57" s="46"/>
      <c r="R57" s="46"/>
      <c r="S57" s="46"/>
      <c r="T57" s="47"/>
      <c r="U57" s="47"/>
      <c r="V57" s="106"/>
      <c r="W57" s="165"/>
      <c r="X57" s="57"/>
      <c r="Y57" s="80"/>
      <c r="Z57" s="57"/>
      <c r="AA57" s="350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72"/>
      <c r="AR57" s="72"/>
      <c r="AS57" s="55"/>
      <c r="AT57" s="55"/>
      <c r="AU57" s="55">
        <f t="shared" si="3"/>
        <v>0</v>
      </c>
      <c r="AV57" s="55">
        <f t="shared" si="3"/>
        <v>0</v>
      </c>
      <c r="AW57" s="55">
        <f t="shared" si="3"/>
        <v>0</v>
      </c>
      <c r="AX57" s="55">
        <f t="shared" si="27"/>
        <v>0</v>
      </c>
      <c r="AY57" s="55">
        <f t="shared" si="27"/>
        <v>0</v>
      </c>
      <c r="AZ57" s="57"/>
      <c r="BA57" s="350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668"/>
      <c r="BN57" s="55"/>
      <c r="BO57" s="55"/>
      <c r="BP57" s="55"/>
      <c r="BQ57" s="55"/>
      <c r="BR57" s="55"/>
      <c r="BS57" s="55"/>
      <c r="BT57" s="448"/>
      <c r="BU57" s="57"/>
      <c r="BV57" s="350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448"/>
      <c r="CI57" s="55"/>
      <c r="CJ57" s="55"/>
      <c r="CK57" s="55"/>
      <c r="CL57" s="55"/>
      <c r="CM57" s="55"/>
      <c r="CN57" s="505"/>
      <c r="CO57" s="679"/>
      <c r="CP57" s="956"/>
      <c r="CQ57" s="350"/>
      <c r="CR57" s="957"/>
      <c r="CS57" s="511"/>
      <c r="CT57" s="511"/>
      <c r="CU57" s="511"/>
      <c r="CV57" s="511"/>
      <c r="CW57" s="511"/>
      <c r="CX57" s="511"/>
      <c r="CY57" s="511"/>
      <c r="CZ57" s="511"/>
      <c r="DA57" s="511"/>
      <c r="DB57" s="511"/>
      <c r="DC57" s="511"/>
      <c r="DD57" s="511"/>
      <c r="DE57" s="511"/>
      <c r="DF57" s="511"/>
      <c r="DG57" s="511"/>
      <c r="DH57" s="511"/>
      <c r="DI57" s="511"/>
      <c r="DJ57" s="511"/>
      <c r="DK57" s="511"/>
      <c r="DL57" s="511"/>
      <c r="DM57" s="511">
        <f t="shared" si="9"/>
        <v>0</v>
      </c>
      <c r="DN57" s="756"/>
    </row>
    <row r="58" spans="1:118" x14ac:dyDescent="0.2">
      <c r="A58" s="120" t="s">
        <v>911</v>
      </c>
      <c r="B58" s="100"/>
      <c r="C58" s="100"/>
      <c r="D58" s="58"/>
      <c r="E58" s="49"/>
      <c r="F58" s="46"/>
      <c r="G58" s="48"/>
      <c r="H58" s="145"/>
      <c r="I58" s="165"/>
      <c r="J58" s="48"/>
      <c r="K58" s="165"/>
      <c r="L58" s="48"/>
      <c r="M58" s="165"/>
      <c r="N58" s="48"/>
      <c r="O58" s="165"/>
      <c r="P58" s="48"/>
      <c r="Q58" s="46"/>
      <c r="R58" s="46"/>
      <c r="S58" s="46"/>
      <c r="T58" s="47"/>
      <c r="U58" s="47"/>
      <c r="V58" s="106"/>
      <c r="W58" s="165"/>
      <c r="X58" s="57"/>
      <c r="Y58" s="80"/>
      <c r="Z58" s="57"/>
      <c r="AA58" s="350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72"/>
      <c r="AR58" s="72"/>
      <c r="AS58" s="55"/>
      <c r="AT58" s="55"/>
      <c r="AU58" s="55">
        <f t="shared" si="3"/>
        <v>0</v>
      </c>
      <c r="AV58" s="55">
        <f t="shared" si="3"/>
        <v>0</v>
      </c>
      <c r="AW58" s="55">
        <f t="shared" si="3"/>
        <v>0</v>
      </c>
      <c r="AX58" s="55">
        <f t="shared" si="27"/>
        <v>0</v>
      </c>
      <c r="AY58" s="55">
        <f t="shared" si="27"/>
        <v>0</v>
      </c>
      <c r="AZ58" s="57"/>
      <c r="BA58" s="350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668"/>
      <c r="BN58" s="55"/>
      <c r="BO58" s="55"/>
      <c r="BP58" s="55"/>
      <c r="BQ58" s="55"/>
      <c r="BR58" s="55"/>
      <c r="BS58" s="55"/>
      <c r="BT58" s="448"/>
      <c r="BU58" s="57"/>
      <c r="BV58" s="350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448"/>
      <c r="CI58" s="55"/>
      <c r="CJ58" s="55"/>
      <c r="CK58" s="55"/>
      <c r="CL58" s="55"/>
      <c r="CM58" s="55"/>
      <c r="CN58" s="505"/>
      <c r="CO58" s="679"/>
      <c r="CP58" s="511"/>
      <c r="CQ58" s="350"/>
      <c r="CR58" s="957"/>
      <c r="CS58" s="511"/>
      <c r="CT58" s="511"/>
      <c r="CU58" s="511"/>
      <c r="CV58" s="511"/>
      <c r="CW58" s="511"/>
      <c r="CX58" s="511"/>
      <c r="CY58" s="511"/>
      <c r="CZ58" s="511"/>
      <c r="DA58" s="511"/>
      <c r="DB58" s="511"/>
      <c r="DC58" s="511"/>
      <c r="DD58" s="511"/>
      <c r="DE58" s="511"/>
      <c r="DF58" s="511"/>
      <c r="DG58" s="511"/>
      <c r="DH58" s="511"/>
      <c r="DI58" s="511"/>
      <c r="DJ58" s="511"/>
      <c r="DK58" s="511"/>
      <c r="DL58" s="511"/>
      <c r="DM58" s="511">
        <f t="shared" si="9"/>
        <v>0</v>
      </c>
      <c r="DN58" s="511"/>
    </row>
    <row r="59" spans="1:118" s="35" customFormat="1" x14ac:dyDescent="0.2">
      <c r="A59" s="100" t="s">
        <v>912</v>
      </c>
      <c r="B59" s="100" t="s">
        <v>913</v>
      </c>
      <c r="C59" s="100" t="s">
        <v>427</v>
      </c>
      <c r="D59" s="8">
        <v>10</v>
      </c>
      <c r="E59" s="127">
        <v>0.1</v>
      </c>
      <c r="F59" s="119">
        <v>43281</v>
      </c>
      <c r="G59" s="125">
        <f>D59*12</f>
        <v>120</v>
      </c>
      <c r="H59" s="146">
        <f>100/G59</f>
        <v>0.83333333333333337</v>
      </c>
      <c r="I59" s="1167">
        <f>H59*J59</f>
        <v>27.5</v>
      </c>
      <c r="J59" s="125">
        <f>(YEAR(F59)-YEAR(S59))*12+MONTH(F59)-MONTH(S59)</f>
        <v>33</v>
      </c>
      <c r="K59" s="1167">
        <f>L59*H59</f>
        <v>72.5</v>
      </c>
      <c r="L59" s="125">
        <f>G59-J59</f>
        <v>87</v>
      </c>
      <c r="M59" s="1167">
        <f>N59*H59</f>
        <v>0.83333333333333337</v>
      </c>
      <c r="N59" s="125">
        <v>1</v>
      </c>
      <c r="O59" s="1167">
        <f>P59*H59</f>
        <v>71.666666666666671</v>
      </c>
      <c r="P59" s="125">
        <f>L59-N59</f>
        <v>86</v>
      </c>
      <c r="Q59" s="119">
        <v>43466</v>
      </c>
      <c r="R59" s="119" t="s">
        <v>914</v>
      </c>
      <c r="S59" s="119">
        <v>42254</v>
      </c>
      <c r="T59" s="134">
        <v>28500</v>
      </c>
      <c r="U59" s="134">
        <f>T59*I59%</f>
        <v>7837.5000000000009</v>
      </c>
      <c r="V59" s="7">
        <v>0</v>
      </c>
      <c r="W59" s="1167">
        <v>0</v>
      </c>
      <c r="X59" s="64">
        <f>W59*5</f>
        <v>0</v>
      </c>
      <c r="Y59" s="82">
        <v>0</v>
      </c>
      <c r="Z59" s="64">
        <v>115.958</v>
      </c>
      <c r="AA59" s="1234">
        <v>116.809</v>
      </c>
      <c r="AB59" s="62">
        <f>Z59/AA59</f>
        <v>0.99271460247070009</v>
      </c>
      <c r="AC59" s="62">
        <f>T59*M59/100/K59*100/7</f>
        <v>46.798029556650249</v>
      </c>
      <c r="AD59" s="62">
        <f>AC59*AB59</f>
        <v>46.457087307742128</v>
      </c>
      <c r="AE59" s="62"/>
      <c r="AF59" s="62"/>
      <c r="AG59" s="62"/>
      <c r="AH59" s="62"/>
      <c r="AI59" s="62"/>
      <c r="AJ59" s="62"/>
      <c r="AK59" s="62"/>
      <c r="AL59" s="62"/>
      <c r="AM59" s="62"/>
      <c r="AN59" s="62">
        <f>$AD59</f>
        <v>46.457087307742128</v>
      </c>
      <c r="AO59" s="62">
        <f>$AD59</f>
        <v>46.457087307742128</v>
      </c>
      <c r="AP59" s="62">
        <f>$AD59</f>
        <v>46.457087307742128</v>
      </c>
      <c r="AQ59" s="1169">
        <f>SUM(AE59:AP59)</f>
        <v>139.37126192322637</v>
      </c>
      <c r="AR59" s="1169">
        <f>T59-AQ59</f>
        <v>28360.628738076775</v>
      </c>
      <c r="AS59" s="62"/>
      <c r="AT59" s="62"/>
      <c r="AU59" s="62">
        <f t="shared" si="3"/>
        <v>46.457087307742128</v>
      </c>
      <c r="AV59" s="62">
        <f t="shared" si="3"/>
        <v>46.457087307742128</v>
      </c>
      <c r="AW59" s="62">
        <f t="shared" si="3"/>
        <v>46.457087307742128</v>
      </c>
      <c r="AX59" s="62">
        <f t="shared" si="27"/>
        <v>46.457087307742128</v>
      </c>
      <c r="AY59" s="62">
        <f t="shared" si="27"/>
        <v>46.457087307742128</v>
      </c>
      <c r="AZ59" s="64">
        <v>118.901</v>
      </c>
      <c r="BA59" s="1234">
        <v>116.809</v>
      </c>
      <c r="BB59" s="62">
        <f>AZ59/BA59</f>
        <v>1.0179095788851886</v>
      </c>
      <c r="BC59" s="62">
        <f>T59/(D59*12)</f>
        <v>237.5</v>
      </c>
      <c r="BD59" s="62">
        <f>BC59*BB59</f>
        <v>241.7535249852323</v>
      </c>
      <c r="BE59" s="62">
        <f t="shared" ref="BE59:BK59" si="31">$BD59</f>
        <v>241.7535249852323</v>
      </c>
      <c r="BF59" s="62">
        <f t="shared" si="31"/>
        <v>241.7535249852323</v>
      </c>
      <c r="BG59" s="62">
        <f t="shared" si="31"/>
        <v>241.7535249852323</v>
      </c>
      <c r="BH59" s="62">
        <f t="shared" si="31"/>
        <v>241.7535249852323</v>
      </c>
      <c r="BI59" s="62">
        <f t="shared" si="31"/>
        <v>241.7535249852323</v>
      </c>
      <c r="BJ59" s="62">
        <f t="shared" si="31"/>
        <v>241.7535249852323</v>
      </c>
      <c r="BK59" s="62">
        <f t="shared" si="31"/>
        <v>241.7535249852323</v>
      </c>
      <c r="BL59" s="62">
        <f>SUM((AU59:AY59),(BE59:BK59))</f>
        <v>1924.5601114353369</v>
      </c>
      <c r="BM59" s="1213">
        <f>(AR59-BL59)</f>
        <v>26436.068626641438</v>
      </c>
      <c r="BN59" s="62">
        <f>$BD59</f>
        <v>241.7535249852323</v>
      </c>
      <c r="BO59" s="62">
        <f>$BD59</f>
        <v>241.7535249852323</v>
      </c>
      <c r="BP59" s="62">
        <f>$BD59</f>
        <v>241.7535249852323</v>
      </c>
      <c r="BQ59" s="62">
        <f>$BD59</f>
        <v>241.7535249852323</v>
      </c>
      <c r="BR59" s="62">
        <f>$BD59</f>
        <v>241.7535249852323</v>
      </c>
      <c r="BS59" s="62">
        <f>SUM(BN59:BR59)</f>
        <v>1208.7676249261615</v>
      </c>
      <c r="BT59" s="927">
        <f>BM59-BS59</f>
        <v>25227.301001715277</v>
      </c>
      <c r="BU59" s="64">
        <v>126.408</v>
      </c>
      <c r="BV59" s="1234">
        <v>116.809</v>
      </c>
      <c r="BW59" s="62">
        <f>BU59/BV59</f>
        <v>1.082176887054936</v>
      </c>
      <c r="BX59" s="62">
        <f>BT59/L59</f>
        <v>289.9689770312101</v>
      </c>
      <c r="BY59" s="62">
        <f>BW59*BX59</f>
        <v>313.79772490613919</v>
      </c>
      <c r="BZ59" s="62">
        <v>276.25407449081854</v>
      </c>
      <c r="CA59" s="62">
        <v>276.25407449081854</v>
      </c>
      <c r="CB59" s="62">
        <v>276.25407449081854</v>
      </c>
      <c r="CC59" s="62">
        <v>276.25407449081854</v>
      </c>
      <c r="CD59" s="62">
        <v>276.25407449081854</v>
      </c>
      <c r="CE59" s="62">
        <v>276.25407449081854</v>
      </c>
      <c r="CF59" s="62">
        <v>276.25407449081854</v>
      </c>
      <c r="CG59" s="62">
        <f>SUM(BZ59:CF59)</f>
        <v>1933.7785214357298</v>
      </c>
      <c r="CH59" s="927">
        <f>BT59-CG59</f>
        <v>23293.522480279549</v>
      </c>
      <c r="CI59" s="62">
        <v>276.25407449081854</v>
      </c>
      <c r="CJ59" s="62">
        <v>276.25407449081854</v>
      </c>
      <c r="CK59" s="62">
        <v>276.25407449081854</v>
      </c>
      <c r="CL59" s="62">
        <v>276.25407449081854</v>
      </c>
      <c r="CM59" s="62">
        <v>276.25407449081854</v>
      </c>
      <c r="CN59" s="1170">
        <f t="shared" si="7"/>
        <v>1381.2703724540927</v>
      </c>
      <c r="CO59" s="679">
        <f t="shared" si="8"/>
        <v>21912.252107825458</v>
      </c>
      <c r="CP59" s="1171">
        <v>132.28200000000001</v>
      </c>
      <c r="CQ59" s="1234">
        <v>116.809</v>
      </c>
      <c r="CR59" s="1200">
        <f>CP59/CQ59</f>
        <v>1.1324641080738642</v>
      </c>
      <c r="CS59" s="510">
        <f>CO59/P59</f>
        <v>254.79362916076113</v>
      </c>
      <c r="CT59" s="510">
        <f>CS59*CR59</f>
        <v>288.5446399904443</v>
      </c>
      <c r="CU59" s="510">
        <v>288.5446399904443</v>
      </c>
      <c r="CV59" s="510">
        <v>288.5446399904443</v>
      </c>
      <c r="CW59" s="510">
        <v>288.5446399904443</v>
      </c>
      <c r="CX59" s="510">
        <v>288.5446399904443</v>
      </c>
      <c r="CY59" s="510">
        <v>288.5446399904443</v>
      </c>
      <c r="CZ59" s="510">
        <v>288.5446399904443</v>
      </c>
      <c r="DA59" s="510">
        <v>288.5446399904443</v>
      </c>
      <c r="DB59" s="510">
        <v>288.5446399904443</v>
      </c>
      <c r="DC59" s="510">
        <v>288.5446399904443</v>
      </c>
      <c r="DD59" s="510">
        <v>288.5446399904443</v>
      </c>
      <c r="DE59" s="510">
        <v>288.5446399904443</v>
      </c>
      <c r="DF59" s="510">
        <v>288.5446399904443</v>
      </c>
      <c r="DG59" s="510">
        <v>288.5446399904443</v>
      </c>
      <c r="DH59" s="510">
        <v>288.5446399904443</v>
      </c>
      <c r="DI59" s="510">
        <v>288.5446399904443</v>
      </c>
      <c r="DJ59" s="510">
        <v>288.5446399904443</v>
      </c>
      <c r="DK59" s="510">
        <v>288.5446399904443</v>
      </c>
      <c r="DL59" s="510">
        <v>288.5446399904443</v>
      </c>
      <c r="DM59" s="510">
        <f t="shared" si="9"/>
        <v>5193.8035198279977</v>
      </c>
      <c r="DN59" s="756">
        <f>CO59-DM59</f>
        <v>16718.44858799746</v>
      </c>
    </row>
    <row r="60" spans="1:118" x14ac:dyDescent="0.2">
      <c r="A60" s="120" t="s">
        <v>71</v>
      </c>
      <c r="B60" s="120"/>
      <c r="C60" s="120"/>
      <c r="D60" s="58"/>
      <c r="E60" s="49"/>
      <c r="F60" s="46"/>
      <c r="G60" s="48"/>
      <c r="H60" s="145"/>
      <c r="I60" s="165"/>
      <c r="J60" s="48"/>
      <c r="K60" s="165"/>
      <c r="L60" s="48"/>
      <c r="M60" s="165"/>
      <c r="N60" s="48"/>
      <c r="O60" s="165"/>
      <c r="P60" s="48"/>
      <c r="Q60" s="46"/>
      <c r="R60" s="46"/>
      <c r="S60" s="46"/>
      <c r="T60" s="47"/>
      <c r="U60" s="47"/>
      <c r="V60" s="106"/>
      <c r="W60" s="165"/>
      <c r="X60" s="57"/>
      <c r="Y60" s="80"/>
      <c r="Z60" s="57"/>
      <c r="AA60" s="350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72"/>
      <c r="AR60" s="72"/>
      <c r="AS60" s="55"/>
      <c r="AT60" s="55"/>
      <c r="AU60" s="55">
        <f t="shared" si="3"/>
        <v>0</v>
      </c>
      <c r="AV60" s="55">
        <f t="shared" si="3"/>
        <v>0</v>
      </c>
      <c r="AW60" s="55">
        <f t="shared" si="3"/>
        <v>0</v>
      </c>
      <c r="AX60" s="55">
        <f t="shared" si="27"/>
        <v>0</v>
      </c>
      <c r="AY60" s="55">
        <f t="shared" si="27"/>
        <v>0</v>
      </c>
      <c r="AZ60" s="57"/>
      <c r="BA60" s="350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668"/>
      <c r="BN60" s="55"/>
      <c r="BO60" s="55"/>
      <c r="BP60" s="55"/>
      <c r="BQ60" s="55"/>
      <c r="BR60" s="55"/>
      <c r="BS60" s="55"/>
      <c r="BT60" s="448"/>
      <c r="BU60" s="57"/>
      <c r="BV60" s="350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448"/>
      <c r="CI60" s="55"/>
      <c r="CJ60" s="55"/>
      <c r="CK60" s="55"/>
      <c r="CL60" s="55"/>
      <c r="CM60" s="55"/>
      <c r="CN60" s="505"/>
      <c r="CO60" s="679"/>
      <c r="CP60" s="656"/>
      <c r="CQ60" s="350"/>
      <c r="CR60" s="957"/>
      <c r="CS60" s="511"/>
      <c r="CT60" s="511"/>
      <c r="CU60" s="511"/>
      <c r="CV60" s="511"/>
      <c r="CW60" s="511"/>
      <c r="CX60" s="511"/>
      <c r="CY60" s="511"/>
      <c r="CZ60" s="511"/>
      <c r="DA60" s="511"/>
      <c r="DB60" s="511"/>
      <c r="DC60" s="511"/>
      <c r="DD60" s="511"/>
      <c r="DE60" s="511"/>
      <c r="DF60" s="511"/>
      <c r="DG60" s="511"/>
      <c r="DH60" s="511"/>
      <c r="DI60" s="511"/>
      <c r="DJ60" s="511"/>
      <c r="DK60" s="511"/>
      <c r="DL60" s="511"/>
      <c r="DM60" s="511">
        <f t="shared" si="9"/>
        <v>0</v>
      </c>
      <c r="DN60" s="511">
        <f>CV60-DM60</f>
        <v>0</v>
      </c>
    </row>
    <row r="61" spans="1:118" x14ac:dyDescent="0.2">
      <c r="A61" s="120" t="s">
        <v>765</v>
      </c>
      <c r="B61" s="100"/>
      <c r="C61" s="100"/>
      <c r="D61" s="58"/>
      <c r="E61" s="49"/>
      <c r="F61" s="46"/>
      <c r="G61" s="48"/>
      <c r="H61" s="145"/>
      <c r="I61" s="165"/>
      <c r="J61" s="48"/>
      <c r="K61" s="165"/>
      <c r="L61" s="48"/>
      <c r="M61" s="165"/>
      <c r="N61" s="48"/>
      <c r="O61" s="165"/>
      <c r="P61" s="48"/>
      <c r="Q61" s="46"/>
      <c r="R61" s="46"/>
      <c r="S61" s="46"/>
      <c r="T61" s="47"/>
      <c r="U61" s="47"/>
      <c r="V61" s="106"/>
      <c r="W61" s="165"/>
      <c r="X61" s="57"/>
      <c r="Y61" s="80"/>
      <c r="Z61" s="57"/>
      <c r="AA61" s="350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72"/>
      <c r="AR61" s="72"/>
      <c r="AS61" s="55"/>
      <c r="AT61" s="55"/>
      <c r="AU61" s="55">
        <f t="shared" si="3"/>
        <v>0</v>
      </c>
      <c r="AV61" s="55">
        <f t="shared" si="3"/>
        <v>0</v>
      </c>
      <c r="AW61" s="55">
        <f t="shared" si="3"/>
        <v>0</v>
      </c>
      <c r="AX61" s="55">
        <f t="shared" si="27"/>
        <v>0</v>
      </c>
      <c r="AY61" s="55">
        <f t="shared" si="27"/>
        <v>0</v>
      </c>
      <c r="AZ61" s="57"/>
      <c r="BA61" s="350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668"/>
      <c r="BN61" s="55"/>
      <c r="BO61" s="55"/>
      <c r="BP61" s="55"/>
      <c r="BQ61" s="55"/>
      <c r="BR61" s="55"/>
      <c r="BS61" s="55"/>
      <c r="BT61" s="448"/>
      <c r="BU61" s="57"/>
      <c r="BV61" s="350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448"/>
      <c r="CI61" s="55"/>
      <c r="CJ61" s="55"/>
      <c r="CK61" s="55"/>
      <c r="CL61" s="55"/>
      <c r="CM61" s="55"/>
      <c r="CN61" s="505"/>
      <c r="CO61" s="679"/>
      <c r="CP61" s="623"/>
      <c r="CQ61" s="350"/>
      <c r="CR61" s="957"/>
      <c r="CS61" s="511"/>
      <c r="CT61" s="511"/>
      <c r="CU61" s="511"/>
      <c r="CV61" s="511"/>
      <c r="CW61" s="511"/>
      <c r="CX61" s="511"/>
      <c r="CY61" s="511"/>
      <c r="CZ61" s="511"/>
      <c r="DA61" s="511"/>
      <c r="DB61" s="511"/>
      <c r="DC61" s="511"/>
      <c r="DD61" s="511"/>
      <c r="DE61" s="511"/>
      <c r="DF61" s="511"/>
      <c r="DG61" s="511"/>
      <c r="DH61" s="511"/>
      <c r="DI61" s="511"/>
      <c r="DJ61" s="511"/>
      <c r="DK61" s="511"/>
      <c r="DL61" s="511"/>
      <c r="DM61" s="511">
        <f t="shared" si="9"/>
        <v>0</v>
      </c>
      <c r="DN61" s="756"/>
    </row>
    <row r="62" spans="1:118" x14ac:dyDescent="0.2">
      <c r="A62" s="100" t="s">
        <v>764</v>
      </c>
      <c r="B62" s="100" t="s">
        <v>763</v>
      </c>
      <c r="C62" s="100" t="s">
        <v>427</v>
      </c>
      <c r="D62" s="58">
        <v>5</v>
      </c>
      <c r="E62" s="49">
        <v>0.2</v>
      </c>
      <c r="F62" s="46">
        <v>43281</v>
      </c>
      <c r="G62" s="48">
        <f t="shared" ref="G62:G67" si="32">D62*12</f>
        <v>60</v>
      </c>
      <c r="H62" s="145">
        <f t="shared" ref="H62:H67" si="33">100/G62</f>
        <v>1.6666666666666667</v>
      </c>
      <c r="I62" s="165">
        <f t="shared" ref="I62:I67" si="34">H62*J62</f>
        <v>88.333333333333343</v>
      </c>
      <c r="J62" s="48">
        <f t="shared" ref="J62:J67" si="35">(YEAR(F62)-YEAR(S62))*12+MONTH(F62)-MONTH(S62)</f>
        <v>53</v>
      </c>
      <c r="K62" s="165">
        <f t="shared" ref="K62:K67" si="36">L62*H62</f>
        <v>11.666666666666668</v>
      </c>
      <c r="L62" s="48">
        <f t="shared" ref="L62:L67" si="37">G62-J62</f>
        <v>7</v>
      </c>
      <c r="M62" s="165">
        <f t="shared" ref="M62:M67" si="38">N62*H62</f>
        <v>1.6666666666666667</v>
      </c>
      <c r="N62" s="48">
        <v>1</v>
      </c>
      <c r="O62" s="165">
        <f t="shared" ref="O62:O67" si="39">P62*H62</f>
        <v>10</v>
      </c>
      <c r="P62" s="48">
        <f t="shared" ref="P62:P67" si="40">L62-N62</f>
        <v>6</v>
      </c>
      <c r="Q62" s="46">
        <v>43466</v>
      </c>
      <c r="R62" s="46" t="s">
        <v>445</v>
      </c>
      <c r="S62" s="46">
        <v>41640</v>
      </c>
      <c r="T62" s="47">
        <f>300*3</f>
        <v>900</v>
      </c>
      <c r="U62" s="47">
        <f t="shared" ref="U62:U67" si="41">T62*I62%</f>
        <v>795.00000000000011</v>
      </c>
      <c r="V62" s="106">
        <f t="shared" ref="V62:V67" si="42">T62-U62</f>
        <v>104.99999999999989</v>
      </c>
      <c r="W62" s="165">
        <f t="shared" ref="W62:W67" si="43">T62*H62%</f>
        <v>15</v>
      </c>
      <c r="X62" s="57">
        <f t="shared" ref="X62:X67" si="44">W62*5</f>
        <v>75</v>
      </c>
      <c r="Y62" s="80">
        <f t="shared" ref="Y62:Y67" si="45">V62-X62</f>
        <v>29.999999999999886</v>
      </c>
      <c r="Z62" s="57">
        <v>115.958</v>
      </c>
      <c r="AA62" s="350">
        <v>112.505</v>
      </c>
      <c r="AB62" s="55">
        <f t="shared" ref="AB62:AB67" si="46">Z62/AA62</f>
        <v>1.0306919692458114</v>
      </c>
      <c r="AC62" s="55">
        <f t="shared" ref="AC62:AC67" si="47">Y62*M62/100/K62*100/7</f>
        <v>0.61224489795918136</v>
      </c>
      <c r="AD62" s="55">
        <f t="shared" ref="AD62:AD67" si="48">AC62*AB62</f>
        <v>0.63103589953824946</v>
      </c>
      <c r="AE62" s="55"/>
      <c r="AF62" s="55"/>
      <c r="AG62" s="55"/>
      <c r="AH62" s="55"/>
      <c r="AI62" s="55"/>
      <c r="AJ62" s="55">
        <f t="shared" ref="AJ62:AP67" si="49">$AD62</f>
        <v>0.63103589953824946</v>
      </c>
      <c r="AK62" s="55">
        <f t="shared" si="49"/>
        <v>0.63103589953824946</v>
      </c>
      <c r="AL62" s="55">
        <f t="shared" si="49"/>
        <v>0.63103589953824946</v>
      </c>
      <c r="AM62" s="55">
        <f t="shared" si="49"/>
        <v>0.63103589953824946</v>
      </c>
      <c r="AN62" s="55">
        <f t="shared" si="49"/>
        <v>0.63103589953824946</v>
      </c>
      <c r="AO62" s="55">
        <f t="shared" si="49"/>
        <v>0.63103589953824946</v>
      </c>
      <c r="AP62" s="55">
        <f t="shared" si="49"/>
        <v>0.63103589953824946</v>
      </c>
      <c r="AQ62" s="72">
        <f t="shared" ref="AQ62:AQ67" si="50">SUM(AE62:AP62)</f>
        <v>4.4172512967677466</v>
      </c>
      <c r="AR62" s="72">
        <f t="shared" ref="AR62:AR67" si="51">Y62-AQ62</f>
        <v>25.582748703232141</v>
      </c>
      <c r="AS62" s="55"/>
      <c r="AT62" s="55"/>
      <c r="AU62" s="55">
        <f t="shared" si="3"/>
        <v>0.63103589953824946</v>
      </c>
      <c r="AV62" s="55">
        <f t="shared" si="3"/>
        <v>0.63103589953824946</v>
      </c>
      <c r="AW62" s="55">
        <f t="shared" si="3"/>
        <v>0.63103589953824946</v>
      </c>
      <c r="AX62" s="55">
        <f t="shared" si="27"/>
        <v>0.63103589953824946</v>
      </c>
      <c r="AY62" s="55">
        <f t="shared" si="27"/>
        <v>0.63103589953824946</v>
      </c>
      <c r="AZ62" s="57">
        <v>118.901</v>
      </c>
      <c r="BA62" s="350">
        <v>112.505</v>
      </c>
      <c r="BB62" s="55">
        <f t="shared" ref="BB62:BB67" si="52">AZ62/BA62</f>
        <v>1.0568508066308164</v>
      </c>
      <c r="BC62" s="55">
        <f t="shared" ref="BC62:BC67" si="53">T62/(D62*12)</f>
        <v>15</v>
      </c>
      <c r="BD62" s="55">
        <f t="shared" ref="BD62:BD67" si="54">BC62*BB62</f>
        <v>15.852762099462247</v>
      </c>
      <c r="BE62" s="55">
        <f t="shared" ref="BE62:BK67" si="55">$BD62</f>
        <v>15.852762099462247</v>
      </c>
      <c r="BF62" s="55">
        <f t="shared" si="55"/>
        <v>15.852762099462247</v>
      </c>
      <c r="BG62" s="55">
        <f t="shared" si="55"/>
        <v>15.852762099462247</v>
      </c>
      <c r="BH62" s="55">
        <f t="shared" si="55"/>
        <v>15.852762099462247</v>
      </c>
      <c r="BI62" s="55">
        <f t="shared" si="55"/>
        <v>15.852762099462247</v>
      </c>
      <c r="BJ62" s="55">
        <f t="shared" si="55"/>
        <v>15.852762099462247</v>
      </c>
      <c r="BK62" s="55">
        <f t="shared" si="55"/>
        <v>15.852762099462247</v>
      </c>
      <c r="BL62" s="55">
        <f t="shared" ref="BL62:BL67" si="56">SUM((AU62:AY62),(BE62:BK62))</f>
        <v>114.12451419392696</v>
      </c>
      <c r="BM62" s="668">
        <f t="shared" ref="BM62:BM67" si="57">(AR62-BL62)</f>
        <v>-88.541765490694814</v>
      </c>
      <c r="BN62" s="55">
        <f t="shared" ref="BN62:BR67" si="58">$BD62</f>
        <v>15.852762099462247</v>
      </c>
      <c r="BO62" s="55">
        <f t="shared" si="58"/>
        <v>15.852762099462247</v>
      </c>
      <c r="BP62" s="55">
        <f t="shared" si="58"/>
        <v>15.852762099462247</v>
      </c>
      <c r="BQ62" s="55">
        <f t="shared" si="58"/>
        <v>15.852762099462247</v>
      </c>
      <c r="BR62" s="55">
        <f t="shared" si="58"/>
        <v>15.852762099462247</v>
      </c>
      <c r="BS62" s="55">
        <f t="shared" ref="BS62:BS67" si="59">SUM(BN62:BR62)</f>
        <v>79.263810497311226</v>
      </c>
      <c r="BT62" s="448">
        <v>1</v>
      </c>
      <c r="BU62" s="57">
        <v>126.408</v>
      </c>
      <c r="BV62" s="350">
        <v>112.505</v>
      </c>
      <c r="BW62" s="55">
        <f t="shared" ref="BW62:BW67" si="60">BU62/BV62</f>
        <v>1.1235767299231145</v>
      </c>
      <c r="BX62" s="55">
        <v>0</v>
      </c>
      <c r="BY62" s="55">
        <f t="shared" ref="BY62:BY67" si="61">BW62*BX62</f>
        <v>0</v>
      </c>
      <c r="BZ62" s="55">
        <v>0</v>
      </c>
      <c r="CA62" s="55">
        <v>0</v>
      </c>
      <c r="CB62" s="55">
        <v>0</v>
      </c>
      <c r="CC62" s="55">
        <v>0</v>
      </c>
      <c r="CD62" s="55">
        <v>0</v>
      </c>
      <c r="CE62" s="55">
        <v>0</v>
      </c>
      <c r="CF62" s="55">
        <v>0</v>
      </c>
      <c r="CG62" s="55">
        <f t="shared" ref="CG62:CG67" si="62">SUM(BZ62:CF62)</f>
        <v>0</v>
      </c>
      <c r="CH62" s="448">
        <f t="shared" ref="CH62:CH67" si="63">BT62-CG62</f>
        <v>1</v>
      </c>
      <c r="CI62" s="55">
        <v>0</v>
      </c>
      <c r="CJ62" s="55">
        <v>0</v>
      </c>
      <c r="CK62" s="55">
        <v>0</v>
      </c>
      <c r="CL62" s="55">
        <v>0</v>
      </c>
      <c r="CM62" s="55">
        <v>0</v>
      </c>
      <c r="CN62" s="505">
        <f t="shared" si="7"/>
        <v>0</v>
      </c>
      <c r="CO62" s="679">
        <f t="shared" si="8"/>
        <v>1</v>
      </c>
      <c r="CP62" s="956">
        <v>132.28200000000001</v>
      </c>
      <c r="CQ62" s="350">
        <v>112.505</v>
      </c>
      <c r="CR62" s="957">
        <f t="shared" ref="CR62:CR67" si="64">CP62/CQ62</f>
        <v>1.1757877427669883</v>
      </c>
      <c r="CS62" s="511">
        <v>0</v>
      </c>
      <c r="CT62" s="511"/>
      <c r="CU62" s="511"/>
      <c r="CV62" s="511"/>
      <c r="CW62" s="511"/>
      <c r="CX62" s="511"/>
      <c r="CY62" s="511"/>
      <c r="CZ62" s="511"/>
      <c r="DA62" s="511"/>
      <c r="DB62" s="511"/>
      <c r="DC62" s="511"/>
      <c r="DD62" s="511"/>
      <c r="DE62" s="511"/>
      <c r="DF62" s="511"/>
      <c r="DG62" s="511"/>
      <c r="DH62" s="511"/>
      <c r="DI62" s="511"/>
      <c r="DJ62" s="511"/>
      <c r="DK62" s="511"/>
      <c r="DL62" s="511"/>
      <c r="DM62" s="511">
        <f t="shared" si="9"/>
        <v>0</v>
      </c>
      <c r="DN62" s="756">
        <f t="shared" ref="DN62:DN67" si="65">CO62-DM62</f>
        <v>1</v>
      </c>
    </row>
    <row r="63" spans="1:118" x14ac:dyDescent="0.2">
      <c r="A63" s="100" t="s">
        <v>758</v>
      </c>
      <c r="B63" s="100" t="s">
        <v>762</v>
      </c>
      <c r="C63" s="100" t="s">
        <v>427</v>
      </c>
      <c r="D63" s="58">
        <v>5</v>
      </c>
      <c r="E63" s="49">
        <v>0.2</v>
      </c>
      <c r="F63" s="46">
        <v>43281</v>
      </c>
      <c r="G63" s="48">
        <f t="shared" si="32"/>
        <v>60</v>
      </c>
      <c r="H63" s="145">
        <f t="shared" si="33"/>
        <v>1.6666666666666667</v>
      </c>
      <c r="I63" s="165">
        <f t="shared" si="34"/>
        <v>88.333333333333343</v>
      </c>
      <c r="J63" s="48">
        <f t="shared" si="35"/>
        <v>53</v>
      </c>
      <c r="K63" s="165">
        <f t="shared" si="36"/>
        <v>11.666666666666668</v>
      </c>
      <c r="L63" s="48">
        <f t="shared" si="37"/>
        <v>7</v>
      </c>
      <c r="M63" s="165">
        <f t="shared" si="38"/>
        <v>1.6666666666666667</v>
      </c>
      <c r="N63" s="48">
        <v>1</v>
      </c>
      <c r="O63" s="165">
        <f t="shared" si="39"/>
        <v>10</v>
      </c>
      <c r="P63" s="48">
        <f t="shared" si="40"/>
        <v>6</v>
      </c>
      <c r="Q63" s="46">
        <v>43466</v>
      </c>
      <c r="R63" s="46" t="s">
        <v>445</v>
      </c>
      <c r="S63" s="46">
        <v>41640</v>
      </c>
      <c r="T63" s="47">
        <v>750</v>
      </c>
      <c r="U63" s="47">
        <f t="shared" si="41"/>
        <v>662.50000000000011</v>
      </c>
      <c r="V63" s="106">
        <f t="shared" si="42"/>
        <v>87.499999999999886</v>
      </c>
      <c r="W63" s="165">
        <f t="shared" si="43"/>
        <v>12.5</v>
      </c>
      <c r="X63" s="57">
        <f t="shared" si="44"/>
        <v>62.5</v>
      </c>
      <c r="Y63" s="80">
        <f t="shared" si="45"/>
        <v>24.999999999999886</v>
      </c>
      <c r="Z63" s="57">
        <v>115.958</v>
      </c>
      <c r="AA63" s="350">
        <v>112.505</v>
      </c>
      <c r="AB63" s="55">
        <f t="shared" si="46"/>
        <v>1.0306919692458114</v>
      </c>
      <c r="AC63" s="55">
        <f t="shared" si="47"/>
        <v>0.51020408163265074</v>
      </c>
      <c r="AD63" s="55">
        <f t="shared" si="48"/>
        <v>0.52586324961520747</v>
      </c>
      <c r="AE63" s="55"/>
      <c r="AF63" s="55"/>
      <c r="AG63" s="55"/>
      <c r="AH63" s="55"/>
      <c r="AI63" s="55"/>
      <c r="AJ63" s="55">
        <f t="shared" si="49"/>
        <v>0.52586324961520747</v>
      </c>
      <c r="AK63" s="55">
        <f t="shared" si="49"/>
        <v>0.52586324961520747</v>
      </c>
      <c r="AL63" s="55">
        <f t="shared" si="49"/>
        <v>0.52586324961520747</v>
      </c>
      <c r="AM63" s="55">
        <f t="shared" si="49"/>
        <v>0.52586324961520747</v>
      </c>
      <c r="AN63" s="55">
        <f t="shared" si="49"/>
        <v>0.52586324961520747</v>
      </c>
      <c r="AO63" s="55">
        <f t="shared" si="49"/>
        <v>0.52586324961520747</v>
      </c>
      <c r="AP63" s="55">
        <f t="shared" si="49"/>
        <v>0.52586324961520747</v>
      </c>
      <c r="AQ63" s="72">
        <f t="shared" si="50"/>
        <v>3.681042747306452</v>
      </c>
      <c r="AR63" s="72">
        <f t="shared" si="51"/>
        <v>21.318957252693433</v>
      </c>
      <c r="AS63" s="55"/>
      <c r="AT63" s="55"/>
      <c r="AU63" s="55">
        <f t="shared" si="3"/>
        <v>0.52586324961520747</v>
      </c>
      <c r="AV63" s="55">
        <f t="shared" si="3"/>
        <v>0.52586324961520747</v>
      </c>
      <c r="AW63" s="55">
        <f t="shared" si="3"/>
        <v>0.52586324961520747</v>
      </c>
      <c r="AX63" s="55">
        <f t="shared" si="27"/>
        <v>0.52586324961520747</v>
      </c>
      <c r="AY63" s="55">
        <f t="shared" si="27"/>
        <v>0.52586324961520747</v>
      </c>
      <c r="AZ63" s="57">
        <v>118.901</v>
      </c>
      <c r="BA63" s="350">
        <v>112.505</v>
      </c>
      <c r="BB63" s="55">
        <f t="shared" si="52"/>
        <v>1.0568508066308164</v>
      </c>
      <c r="BC63" s="55">
        <f t="shared" si="53"/>
        <v>12.5</v>
      </c>
      <c r="BD63" s="55">
        <f t="shared" si="54"/>
        <v>13.210635082885206</v>
      </c>
      <c r="BE63" s="55">
        <f t="shared" si="55"/>
        <v>13.210635082885206</v>
      </c>
      <c r="BF63" s="55">
        <f t="shared" si="55"/>
        <v>13.210635082885206</v>
      </c>
      <c r="BG63" s="55">
        <f t="shared" si="55"/>
        <v>13.210635082885206</v>
      </c>
      <c r="BH63" s="55">
        <f t="shared" si="55"/>
        <v>13.210635082885206</v>
      </c>
      <c r="BI63" s="55">
        <f t="shared" si="55"/>
        <v>13.210635082885206</v>
      </c>
      <c r="BJ63" s="55">
        <f t="shared" si="55"/>
        <v>13.210635082885206</v>
      </c>
      <c r="BK63" s="55">
        <f t="shared" si="55"/>
        <v>13.210635082885206</v>
      </c>
      <c r="BL63" s="55">
        <f t="shared" si="56"/>
        <v>95.103761828272482</v>
      </c>
      <c r="BM63" s="668">
        <f t="shared" si="57"/>
        <v>-73.784804575579045</v>
      </c>
      <c r="BN63" s="55">
        <f t="shared" si="58"/>
        <v>13.210635082885206</v>
      </c>
      <c r="BO63" s="55">
        <f t="shared" si="58"/>
        <v>13.210635082885206</v>
      </c>
      <c r="BP63" s="55">
        <f t="shared" si="58"/>
        <v>13.210635082885206</v>
      </c>
      <c r="BQ63" s="55">
        <f t="shared" si="58"/>
        <v>13.210635082885206</v>
      </c>
      <c r="BR63" s="55">
        <f t="shared" si="58"/>
        <v>13.210635082885206</v>
      </c>
      <c r="BS63" s="55">
        <f t="shared" si="59"/>
        <v>66.053175414426036</v>
      </c>
      <c r="BT63" s="448">
        <v>1</v>
      </c>
      <c r="BU63" s="57">
        <v>126.408</v>
      </c>
      <c r="BV63" s="350">
        <v>112.505</v>
      </c>
      <c r="BW63" s="55">
        <f t="shared" si="60"/>
        <v>1.1235767299231145</v>
      </c>
      <c r="BX63" s="55">
        <v>0</v>
      </c>
      <c r="BY63" s="55">
        <f t="shared" si="61"/>
        <v>0</v>
      </c>
      <c r="BZ63" s="55">
        <v>0</v>
      </c>
      <c r="CA63" s="55">
        <v>0</v>
      </c>
      <c r="CB63" s="55">
        <v>0</v>
      </c>
      <c r="CC63" s="55">
        <v>0</v>
      </c>
      <c r="CD63" s="55">
        <v>0</v>
      </c>
      <c r="CE63" s="55">
        <v>0</v>
      </c>
      <c r="CF63" s="55">
        <v>0</v>
      </c>
      <c r="CG63" s="55">
        <f t="shared" si="62"/>
        <v>0</v>
      </c>
      <c r="CH63" s="448">
        <f t="shared" si="63"/>
        <v>1</v>
      </c>
      <c r="CI63" s="55">
        <v>0</v>
      </c>
      <c r="CJ63" s="55">
        <v>0</v>
      </c>
      <c r="CK63" s="55">
        <v>0</v>
      </c>
      <c r="CL63" s="55">
        <v>0</v>
      </c>
      <c r="CM63" s="55">
        <v>0</v>
      </c>
      <c r="CN63" s="505">
        <f t="shared" si="7"/>
        <v>0</v>
      </c>
      <c r="CO63" s="679">
        <f t="shared" si="8"/>
        <v>1</v>
      </c>
      <c r="CP63" s="956">
        <v>132.28200000000001</v>
      </c>
      <c r="CQ63" s="350">
        <v>112.505</v>
      </c>
      <c r="CR63" s="957">
        <f t="shared" si="64"/>
        <v>1.1757877427669883</v>
      </c>
      <c r="CS63" s="55">
        <v>0</v>
      </c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11">
        <f t="shared" si="9"/>
        <v>0</v>
      </c>
      <c r="DN63" s="756">
        <f t="shared" si="65"/>
        <v>1</v>
      </c>
    </row>
    <row r="64" spans="1:118" x14ac:dyDescent="0.2">
      <c r="A64" s="100" t="s">
        <v>761</v>
      </c>
      <c r="B64" s="100" t="s">
        <v>759</v>
      </c>
      <c r="C64" s="100" t="s">
        <v>427</v>
      </c>
      <c r="D64" s="58">
        <v>5</v>
      </c>
      <c r="E64" s="49">
        <v>0.2</v>
      </c>
      <c r="F64" s="46">
        <v>43281</v>
      </c>
      <c r="G64" s="48">
        <f t="shared" si="32"/>
        <v>60</v>
      </c>
      <c r="H64" s="145">
        <f t="shared" si="33"/>
        <v>1.6666666666666667</v>
      </c>
      <c r="I64" s="165">
        <f t="shared" si="34"/>
        <v>88.333333333333343</v>
      </c>
      <c r="J64" s="48">
        <f t="shared" si="35"/>
        <v>53</v>
      </c>
      <c r="K64" s="165">
        <f t="shared" si="36"/>
        <v>11.666666666666668</v>
      </c>
      <c r="L64" s="48">
        <f t="shared" si="37"/>
        <v>7</v>
      </c>
      <c r="M64" s="165">
        <f t="shared" si="38"/>
        <v>1.6666666666666667</v>
      </c>
      <c r="N64" s="48">
        <v>1</v>
      </c>
      <c r="O64" s="165">
        <f t="shared" si="39"/>
        <v>10</v>
      </c>
      <c r="P64" s="48">
        <f t="shared" si="40"/>
        <v>6</v>
      </c>
      <c r="Q64" s="46">
        <v>43466</v>
      </c>
      <c r="R64" s="46" t="s">
        <v>445</v>
      </c>
      <c r="S64" s="46">
        <v>41640</v>
      </c>
      <c r="T64" s="47">
        <v>3000</v>
      </c>
      <c r="U64" s="47">
        <f t="shared" si="41"/>
        <v>2650.0000000000005</v>
      </c>
      <c r="V64" s="106">
        <f t="shared" si="42"/>
        <v>349.99999999999955</v>
      </c>
      <c r="W64" s="165">
        <f t="shared" si="43"/>
        <v>50</v>
      </c>
      <c r="X64" s="57">
        <f t="shared" si="44"/>
        <v>250</v>
      </c>
      <c r="Y64" s="80">
        <f t="shared" si="45"/>
        <v>99.999999999999545</v>
      </c>
      <c r="Z64" s="57">
        <v>115.958</v>
      </c>
      <c r="AA64" s="350">
        <v>112.505</v>
      </c>
      <c r="AB64" s="55">
        <f t="shared" si="46"/>
        <v>1.0306919692458114</v>
      </c>
      <c r="AC64" s="55">
        <f t="shared" si="47"/>
        <v>2.040816326530603</v>
      </c>
      <c r="AD64" s="55">
        <f t="shared" si="48"/>
        <v>2.1034529984608299</v>
      </c>
      <c r="AE64" s="55"/>
      <c r="AF64" s="55"/>
      <c r="AG64" s="55"/>
      <c r="AH64" s="55"/>
      <c r="AI64" s="55"/>
      <c r="AJ64" s="55">
        <f t="shared" si="49"/>
        <v>2.1034529984608299</v>
      </c>
      <c r="AK64" s="55">
        <f t="shared" si="49"/>
        <v>2.1034529984608299</v>
      </c>
      <c r="AL64" s="55">
        <f t="shared" si="49"/>
        <v>2.1034529984608299</v>
      </c>
      <c r="AM64" s="55">
        <f t="shared" si="49"/>
        <v>2.1034529984608299</v>
      </c>
      <c r="AN64" s="55">
        <f t="shared" si="49"/>
        <v>2.1034529984608299</v>
      </c>
      <c r="AO64" s="55">
        <f t="shared" si="49"/>
        <v>2.1034529984608299</v>
      </c>
      <c r="AP64" s="55">
        <f t="shared" si="49"/>
        <v>2.1034529984608299</v>
      </c>
      <c r="AQ64" s="72">
        <f t="shared" si="50"/>
        <v>14.724170989225808</v>
      </c>
      <c r="AR64" s="72">
        <f t="shared" si="51"/>
        <v>85.275829010773734</v>
      </c>
      <c r="AS64" s="55"/>
      <c r="AT64" s="55"/>
      <c r="AU64" s="55">
        <f t="shared" si="3"/>
        <v>2.1034529984608299</v>
      </c>
      <c r="AV64" s="55">
        <f t="shared" si="3"/>
        <v>2.1034529984608299</v>
      </c>
      <c r="AW64" s="55">
        <f t="shared" si="3"/>
        <v>2.1034529984608299</v>
      </c>
      <c r="AX64" s="55">
        <f t="shared" si="27"/>
        <v>2.1034529984608299</v>
      </c>
      <c r="AY64" s="55">
        <f t="shared" si="27"/>
        <v>2.1034529984608299</v>
      </c>
      <c r="AZ64" s="57">
        <v>118.901</v>
      </c>
      <c r="BA64" s="350">
        <v>112.505</v>
      </c>
      <c r="BB64" s="55">
        <f t="shared" si="52"/>
        <v>1.0568508066308164</v>
      </c>
      <c r="BC64" s="55">
        <f t="shared" si="53"/>
        <v>50</v>
      </c>
      <c r="BD64" s="55">
        <f t="shared" si="54"/>
        <v>52.842540331540825</v>
      </c>
      <c r="BE64" s="55">
        <f t="shared" si="55"/>
        <v>52.842540331540825</v>
      </c>
      <c r="BF64" s="55">
        <f t="shared" si="55"/>
        <v>52.842540331540825</v>
      </c>
      <c r="BG64" s="55">
        <f t="shared" si="55"/>
        <v>52.842540331540825</v>
      </c>
      <c r="BH64" s="55">
        <f t="shared" si="55"/>
        <v>52.842540331540825</v>
      </c>
      <c r="BI64" s="55">
        <f t="shared" si="55"/>
        <v>52.842540331540825</v>
      </c>
      <c r="BJ64" s="55">
        <f t="shared" si="55"/>
        <v>52.842540331540825</v>
      </c>
      <c r="BK64" s="55">
        <f t="shared" si="55"/>
        <v>52.842540331540825</v>
      </c>
      <c r="BL64" s="55">
        <f t="shared" si="56"/>
        <v>380.41504731308993</v>
      </c>
      <c r="BM64" s="668">
        <f t="shared" si="57"/>
        <v>-295.13921830231618</v>
      </c>
      <c r="BN64" s="55">
        <f t="shared" si="58"/>
        <v>52.842540331540825</v>
      </c>
      <c r="BO64" s="55">
        <f t="shared" si="58"/>
        <v>52.842540331540825</v>
      </c>
      <c r="BP64" s="55">
        <f t="shared" si="58"/>
        <v>52.842540331540825</v>
      </c>
      <c r="BQ64" s="55">
        <f t="shared" si="58"/>
        <v>52.842540331540825</v>
      </c>
      <c r="BR64" s="55">
        <f t="shared" si="58"/>
        <v>52.842540331540825</v>
      </c>
      <c r="BS64" s="55">
        <f t="shared" si="59"/>
        <v>264.21270165770414</v>
      </c>
      <c r="BT64" s="448">
        <v>1</v>
      </c>
      <c r="BU64" s="57">
        <v>126.408</v>
      </c>
      <c r="BV64" s="350">
        <v>112.505</v>
      </c>
      <c r="BW64" s="55">
        <f t="shared" si="60"/>
        <v>1.1235767299231145</v>
      </c>
      <c r="BX64" s="55">
        <v>0</v>
      </c>
      <c r="BY64" s="55">
        <f t="shared" si="61"/>
        <v>0</v>
      </c>
      <c r="BZ64" s="55">
        <v>0</v>
      </c>
      <c r="CA64" s="55">
        <v>0</v>
      </c>
      <c r="CB64" s="55">
        <v>0</v>
      </c>
      <c r="CC64" s="55">
        <v>0</v>
      </c>
      <c r="CD64" s="55">
        <v>0</v>
      </c>
      <c r="CE64" s="55">
        <v>0</v>
      </c>
      <c r="CF64" s="55">
        <v>0</v>
      </c>
      <c r="CG64" s="55">
        <f t="shared" si="62"/>
        <v>0</v>
      </c>
      <c r="CH64" s="448">
        <f t="shared" si="63"/>
        <v>1</v>
      </c>
      <c r="CI64" s="55">
        <v>0</v>
      </c>
      <c r="CJ64" s="55">
        <v>0</v>
      </c>
      <c r="CK64" s="55">
        <v>0</v>
      </c>
      <c r="CL64" s="55">
        <v>0</v>
      </c>
      <c r="CM64" s="55">
        <v>0</v>
      </c>
      <c r="CN64" s="505">
        <f t="shared" si="7"/>
        <v>0</v>
      </c>
      <c r="CO64" s="679">
        <f t="shared" si="8"/>
        <v>1</v>
      </c>
      <c r="CP64" s="956">
        <v>132.28200000000001</v>
      </c>
      <c r="CQ64" s="350">
        <v>112.505</v>
      </c>
      <c r="CR64" s="957">
        <f t="shared" si="64"/>
        <v>1.1757877427669883</v>
      </c>
      <c r="CS64" s="55">
        <v>0</v>
      </c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11">
        <f t="shared" si="9"/>
        <v>0</v>
      </c>
      <c r="DN64" s="756">
        <f t="shared" si="65"/>
        <v>1</v>
      </c>
    </row>
    <row r="65" spans="1:118" x14ac:dyDescent="0.2">
      <c r="A65" s="100" t="s">
        <v>760</v>
      </c>
      <c r="B65" s="100" t="s">
        <v>759</v>
      </c>
      <c r="C65" s="100" t="s">
        <v>427</v>
      </c>
      <c r="D65" s="58">
        <v>5</v>
      </c>
      <c r="E65" s="49">
        <v>0.2</v>
      </c>
      <c r="F65" s="46">
        <v>43281</v>
      </c>
      <c r="G65" s="48">
        <f t="shared" si="32"/>
        <v>60</v>
      </c>
      <c r="H65" s="145">
        <f t="shared" si="33"/>
        <v>1.6666666666666667</v>
      </c>
      <c r="I65" s="165">
        <f t="shared" si="34"/>
        <v>88.333333333333343</v>
      </c>
      <c r="J65" s="48">
        <f t="shared" si="35"/>
        <v>53</v>
      </c>
      <c r="K65" s="165">
        <f t="shared" si="36"/>
        <v>11.666666666666668</v>
      </c>
      <c r="L65" s="48">
        <f t="shared" si="37"/>
        <v>7</v>
      </c>
      <c r="M65" s="165">
        <f t="shared" si="38"/>
        <v>1.6666666666666667</v>
      </c>
      <c r="N65" s="48">
        <v>1</v>
      </c>
      <c r="O65" s="165">
        <f t="shared" si="39"/>
        <v>10</v>
      </c>
      <c r="P65" s="48">
        <f t="shared" si="40"/>
        <v>6</v>
      </c>
      <c r="Q65" s="46">
        <v>43466</v>
      </c>
      <c r="R65" s="46" t="s">
        <v>445</v>
      </c>
      <c r="S65" s="46">
        <v>41640</v>
      </c>
      <c r="T65" s="47">
        <v>4000</v>
      </c>
      <c r="U65" s="47">
        <f t="shared" si="41"/>
        <v>3533.3333333333335</v>
      </c>
      <c r="V65" s="106">
        <f t="shared" si="42"/>
        <v>466.66666666666652</v>
      </c>
      <c r="W65" s="165">
        <f t="shared" si="43"/>
        <v>66.666666666666671</v>
      </c>
      <c r="X65" s="57">
        <f t="shared" si="44"/>
        <v>333.33333333333337</v>
      </c>
      <c r="Y65" s="80">
        <f t="shared" si="45"/>
        <v>133.33333333333314</v>
      </c>
      <c r="Z65" s="57">
        <v>115.958</v>
      </c>
      <c r="AA65" s="350">
        <v>112.505</v>
      </c>
      <c r="AB65" s="55">
        <f t="shared" si="46"/>
        <v>1.0306919692458114</v>
      </c>
      <c r="AC65" s="55">
        <f t="shared" si="47"/>
        <v>2.7210884353741456</v>
      </c>
      <c r="AD65" s="55">
        <f t="shared" si="48"/>
        <v>2.8046039979477819</v>
      </c>
      <c r="AE65" s="55"/>
      <c r="AF65" s="55"/>
      <c r="AG65" s="55"/>
      <c r="AH65" s="55"/>
      <c r="AI65" s="55"/>
      <c r="AJ65" s="55">
        <f t="shared" si="49"/>
        <v>2.8046039979477819</v>
      </c>
      <c r="AK65" s="55">
        <f t="shared" si="49"/>
        <v>2.8046039979477819</v>
      </c>
      <c r="AL65" s="55">
        <f t="shared" si="49"/>
        <v>2.8046039979477819</v>
      </c>
      <c r="AM65" s="55">
        <f t="shared" si="49"/>
        <v>2.8046039979477819</v>
      </c>
      <c r="AN65" s="55">
        <f t="shared" si="49"/>
        <v>2.8046039979477819</v>
      </c>
      <c r="AO65" s="55">
        <f t="shared" si="49"/>
        <v>2.8046039979477819</v>
      </c>
      <c r="AP65" s="55">
        <f t="shared" si="49"/>
        <v>2.8046039979477819</v>
      </c>
      <c r="AQ65" s="72">
        <f t="shared" si="50"/>
        <v>19.632227985634476</v>
      </c>
      <c r="AR65" s="72">
        <f t="shared" si="51"/>
        <v>113.70110534769867</v>
      </c>
      <c r="AS65" s="55"/>
      <c r="AT65" s="55"/>
      <c r="AU65" s="55">
        <f t="shared" si="3"/>
        <v>2.8046039979477819</v>
      </c>
      <c r="AV65" s="55">
        <f t="shared" si="3"/>
        <v>2.8046039979477819</v>
      </c>
      <c r="AW65" s="55">
        <f t="shared" si="3"/>
        <v>2.8046039979477819</v>
      </c>
      <c r="AX65" s="55">
        <f t="shared" si="27"/>
        <v>2.8046039979477819</v>
      </c>
      <c r="AY65" s="55">
        <f t="shared" si="27"/>
        <v>2.8046039979477819</v>
      </c>
      <c r="AZ65" s="57">
        <v>118.901</v>
      </c>
      <c r="BA65" s="350">
        <v>112.505</v>
      </c>
      <c r="BB65" s="55">
        <f t="shared" si="52"/>
        <v>1.0568508066308164</v>
      </c>
      <c r="BC65" s="55">
        <f t="shared" si="53"/>
        <v>66.666666666666671</v>
      </c>
      <c r="BD65" s="55">
        <f t="shared" si="54"/>
        <v>70.456720442054433</v>
      </c>
      <c r="BE65" s="55">
        <f t="shared" si="55"/>
        <v>70.456720442054433</v>
      </c>
      <c r="BF65" s="55">
        <f t="shared" si="55"/>
        <v>70.456720442054433</v>
      </c>
      <c r="BG65" s="55">
        <f t="shared" si="55"/>
        <v>70.456720442054433</v>
      </c>
      <c r="BH65" s="55">
        <f t="shared" si="55"/>
        <v>70.456720442054433</v>
      </c>
      <c r="BI65" s="55">
        <f t="shared" si="55"/>
        <v>70.456720442054433</v>
      </c>
      <c r="BJ65" s="55">
        <f t="shared" si="55"/>
        <v>70.456720442054433</v>
      </c>
      <c r="BK65" s="55">
        <f t="shared" si="55"/>
        <v>70.456720442054433</v>
      </c>
      <c r="BL65" s="55">
        <f t="shared" si="56"/>
        <v>507.22006308412006</v>
      </c>
      <c r="BM65" s="668">
        <f t="shared" si="57"/>
        <v>-393.51895773642138</v>
      </c>
      <c r="BN65" s="55">
        <f t="shared" si="58"/>
        <v>70.456720442054433</v>
      </c>
      <c r="BO65" s="55">
        <f t="shared" si="58"/>
        <v>70.456720442054433</v>
      </c>
      <c r="BP65" s="55">
        <f t="shared" si="58"/>
        <v>70.456720442054433</v>
      </c>
      <c r="BQ65" s="55">
        <f t="shared" si="58"/>
        <v>70.456720442054433</v>
      </c>
      <c r="BR65" s="55">
        <f t="shared" si="58"/>
        <v>70.456720442054433</v>
      </c>
      <c r="BS65" s="55">
        <f t="shared" si="59"/>
        <v>352.28360221027219</v>
      </c>
      <c r="BT65" s="448">
        <v>1</v>
      </c>
      <c r="BU65" s="57">
        <v>126.408</v>
      </c>
      <c r="BV65" s="350">
        <v>112.505</v>
      </c>
      <c r="BW65" s="55">
        <f t="shared" si="60"/>
        <v>1.1235767299231145</v>
      </c>
      <c r="BX65" s="55">
        <v>0</v>
      </c>
      <c r="BY65" s="55">
        <f t="shared" si="61"/>
        <v>0</v>
      </c>
      <c r="BZ65" s="55">
        <v>0</v>
      </c>
      <c r="CA65" s="55">
        <v>0</v>
      </c>
      <c r="CB65" s="55">
        <v>0</v>
      </c>
      <c r="CC65" s="55">
        <v>0</v>
      </c>
      <c r="CD65" s="55">
        <v>0</v>
      </c>
      <c r="CE65" s="55">
        <v>0</v>
      </c>
      <c r="CF65" s="55">
        <v>0</v>
      </c>
      <c r="CG65" s="55">
        <f t="shared" si="62"/>
        <v>0</v>
      </c>
      <c r="CH65" s="448">
        <f t="shared" si="63"/>
        <v>1</v>
      </c>
      <c r="CI65" s="55">
        <v>0</v>
      </c>
      <c r="CJ65" s="55">
        <v>0</v>
      </c>
      <c r="CK65" s="55">
        <v>0</v>
      </c>
      <c r="CL65" s="55">
        <v>0</v>
      </c>
      <c r="CM65" s="55">
        <v>0</v>
      </c>
      <c r="CN65" s="505">
        <f t="shared" si="7"/>
        <v>0</v>
      </c>
      <c r="CO65" s="679">
        <f t="shared" si="8"/>
        <v>1</v>
      </c>
      <c r="CP65" s="956">
        <v>132.28200000000001</v>
      </c>
      <c r="CQ65" s="350">
        <v>112.505</v>
      </c>
      <c r="CR65" s="957">
        <f t="shared" si="64"/>
        <v>1.1757877427669883</v>
      </c>
      <c r="CS65" s="511">
        <v>0</v>
      </c>
      <c r="CT65" s="511">
        <f>CS65*CR65</f>
        <v>0</v>
      </c>
      <c r="CU65" s="511">
        <v>0</v>
      </c>
      <c r="CV65" s="511">
        <v>0</v>
      </c>
      <c r="CW65" s="511">
        <v>0</v>
      </c>
      <c r="CX65" s="511">
        <v>0</v>
      </c>
      <c r="CY65" s="511">
        <v>0</v>
      </c>
      <c r="CZ65" s="511">
        <v>0</v>
      </c>
      <c r="DA65" s="511">
        <v>0</v>
      </c>
      <c r="DB65" s="511">
        <v>0</v>
      </c>
      <c r="DC65" s="511">
        <v>0</v>
      </c>
      <c r="DD65" s="511">
        <v>0</v>
      </c>
      <c r="DE65" s="511">
        <v>0</v>
      </c>
      <c r="DF65" s="511">
        <v>0</v>
      </c>
      <c r="DG65" s="511">
        <v>0</v>
      </c>
      <c r="DH65" s="511">
        <v>0</v>
      </c>
      <c r="DI65" s="511">
        <v>0</v>
      </c>
      <c r="DJ65" s="511">
        <v>0</v>
      </c>
      <c r="DK65" s="511">
        <v>0</v>
      </c>
      <c r="DL65" s="511">
        <v>0</v>
      </c>
      <c r="DM65" s="511">
        <f t="shared" si="9"/>
        <v>0</v>
      </c>
      <c r="DN65" s="756">
        <f t="shared" si="65"/>
        <v>1</v>
      </c>
    </row>
    <row r="66" spans="1:118" x14ac:dyDescent="0.2">
      <c r="A66" s="100" t="s">
        <v>758</v>
      </c>
      <c r="B66" s="100" t="s">
        <v>757</v>
      </c>
      <c r="C66" s="100" t="s">
        <v>427</v>
      </c>
      <c r="D66" s="58">
        <v>5</v>
      </c>
      <c r="E66" s="49">
        <v>0.2</v>
      </c>
      <c r="F66" s="46">
        <v>43281</v>
      </c>
      <c r="G66" s="48">
        <f t="shared" si="32"/>
        <v>60</v>
      </c>
      <c r="H66" s="145">
        <f t="shared" si="33"/>
        <v>1.6666666666666667</v>
      </c>
      <c r="I66" s="165">
        <f t="shared" si="34"/>
        <v>88.333333333333343</v>
      </c>
      <c r="J66" s="48">
        <f t="shared" si="35"/>
        <v>53</v>
      </c>
      <c r="K66" s="165">
        <f t="shared" si="36"/>
        <v>11.666666666666668</v>
      </c>
      <c r="L66" s="48">
        <f t="shared" si="37"/>
        <v>7</v>
      </c>
      <c r="M66" s="165">
        <f t="shared" si="38"/>
        <v>11.666666666666668</v>
      </c>
      <c r="N66" s="48">
        <v>7</v>
      </c>
      <c r="O66" s="165">
        <f t="shared" si="39"/>
        <v>0</v>
      </c>
      <c r="P66" s="48">
        <f t="shared" si="40"/>
        <v>0</v>
      </c>
      <c r="Q66" s="46">
        <v>43466</v>
      </c>
      <c r="R66" s="46" t="s">
        <v>445</v>
      </c>
      <c r="S66" s="46">
        <v>41640</v>
      </c>
      <c r="T66" s="47">
        <v>8000</v>
      </c>
      <c r="U66" s="47">
        <f t="shared" si="41"/>
        <v>7066.666666666667</v>
      </c>
      <c r="V66" s="106">
        <f t="shared" si="42"/>
        <v>933.33333333333303</v>
      </c>
      <c r="W66" s="165">
        <f t="shared" si="43"/>
        <v>133.33333333333334</v>
      </c>
      <c r="X66" s="57">
        <f t="shared" si="44"/>
        <v>666.66666666666674</v>
      </c>
      <c r="Y66" s="80">
        <f t="shared" si="45"/>
        <v>266.66666666666629</v>
      </c>
      <c r="Z66" s="57">
        <v>115.958</v>
      </c>
      <c r="AA66" s="350">
        <v>112.505</v>
      </c>
      <c r="AB66" s="55">
        <f t="shared" si="46"/>
        <v>1.0306919692458114</v>
      </c>
      <c r="AC66" s="55">
        <f t="shared" si="47"/>
        <v>38.095238095238038</v>
      </c>
      <c r="AD66" s="55">
        <f t="shared" si="48"/>
        <v>39.264455971268944</v>
      </c>
      <c r="AE66" s="55"/>
      <c r="AF66" s="55"/>
      <c r="AG66" s="55"/>
      <c r="AH66" s="55"/>
      <c r="AI66" s="55"/>
      <c r="AJ66" s="55">
        <f t="shared" si="49"/>
        <v>39.264455971268944</v>
      </c>
      <c r="AK66" s="55">
        <f t="shared" si="49"/>
        <v>39.264455971268944</v>
      </c>
      <c r="AL66" s="55">
        <f t="shared" si="49"/>
        <v>39.264455971268944</v>
      </c>
      <c r="AM66" s="55">
        <f t="shared" si="49"/>
        <v>39.264455971268944</v>
      </c>
      <c r="AN66" s="55">
        <f t="shared" si="49"/>
        <v>39.264455971268944</v>
      </c>
      <c r="AO66" s="55">
        <f t="shared" si="49"/>
        <v>39.264455971268944</v>
      </c>
      <c r="AP66" s="55">
        <f t="shared" si="49"/>
        <v>39.264455971268944</v>
      </c>
      <c r="AQ66" s="72">
        <f t="shared" si="50"/>
        <v>274.85119179888261</v>
      </c>
      <c r="AR66" s="72">
        <f t="shared" si="51"/>
        <v>-8.1845251322163222</v>
      </c>
      <c r="AS66" s="55"/>
      <c r="AT66" s="55"/>
      <c r="AU66" s="55">
        <f t="shared" si="3"/>
        <v>39.264455971268944</v>
      </c>
      <c r="AV66" s="55">
        <f t="shared" si="3"/>
        <v>39.264455971268944</v>
      </c>
      <c r="AW66" s="55">
        <f t="shared" si="3"/>
        <v>39.264455971268944</v>
      </c>
      <c r="AX66" s="55">
        <f t="shared" si="27"/>
        <v>39.264455971268944</v>
      </c>
      <c r="AY66" s="55">
        <f t="shared" si="27"/>
        <v>39.264455971268944</v>
      </c>
      <c r="AZ66" s="57">
        <v>118.901</v>
      </c>
      <c r="BA66" s="350">
        <v>112.505</v>
      </c>
      <c r="BB66" s="55">
        <f t="shared" si="52"/>
        <v>1.0568508066308164</v>
      </c>
      <c r="BC66" s="55">
        <f t="shared" si="53"/>
        <v>133.33333333333334</v>
      </c>
      <c r="BD66" s="55">
        <f t="shared" si="54"/>
        <v>140.91344088410887</v>
      </c>
      <c r="BE66" s="55">
        <f t="shared" si="55"/>
        <v>140.91344088410887</v>
      </c>
      <c r="BF66" s="55">
        <f t="shared" si="55"/>
        <v>140.91344088410887</v>
      </c>
      <c r="BG66" s="55">
        <f t="shared" si="55"/>
        <v>140.91344088410887</v>
      </c>
      <c r="BH66" s="55">
        <f t="shared" si="55"/>
        <v>140.91344088410887</v>
      </c>
      <c r="BI66" s="55">
        <f t="shared" si="55"/>
        <v>140.91344088410887</v>
      </c>
      <c r="BJ66" s="55">
        <f t="shared" si="55"/>
        <v>140.91344088410887</v>
      </c>
      <c r="BK66" s="55">
        <f t="shared" si="55"/>
        <v>140.91344088410887</v>
      </c>
      <c r="BL66" s="55">
        <f t="shared" si="56"/>
        <v>1182.716366045107</v>
      </c>
      <c r="BM66" s="668">
        <f t="shared" si="57"/>
        <v>-1190.9008911773233</v>
      </c>
      <c r="BN66" s="55">
        <f t="shared" si="58"/>
        <v>140.91344088410887</v>
      </c>
      <c r="BO66" s="55">
        <f t="shared" si="58"/>
        <v>140.91344088410887</v>
      </c>
      <c r="BP66" s="55">
        <f t="shared" si="58"/>
        <v>140.91344088410887</v>
      </c>
      <c r="BQ66" s="55">
        <f t="shared" si="58"/>
        <v>140.91344088410887</v>
      </c>
      <c r="BR66" s="55">
        <f t="shared" si="58"/>
        <v>140.91344088410887</v>
      </c>
      <c r="BS66" s="55">
        <f t="shared" si="59"/>
        <v>704.56720442054439</v>
      </c>
      <c r="BT66" s="448">
        <v>1</v>
      </c>
      <c r="BU66" s="57">
        <v>126.408</v>
      </c>
      <c r="BV66" s="350">
        <v>112.505</v>
      </c>
      <c r="BW66" s="55">
        <f t="shared" si="60"/>
        <v>1.1235767299231145</v>
      </c>
      <c r="BX66" s="55">
        <v>0</v>
      </c>
      <c r="BY66" s="55">
        <f t="shared" si="61"/>
        <v>0</v>
      </c>
      <c r="BZ66" s="55">
        <v>0</v>
      </c>
      <c r="CA66" s="55">
        <v>0</v>
      </c>
      <c r="CB66" s="55">
        <v>0</v>
      </c>
      <c r="CC66" s="55">
        <v>0</v>
      </c>
      <c r="CD66" s="55">
        <v>0</v>
      </c>
      <c r="CE66" s="55">
        <v>0</v>
      </c>
      <c r="CF66" s="55">
        <v>0</v>
      </c>
      <c r="CG66" s="55">
        <f t="shared" si="62"/>
        <v>0</v>
      </c>
      <c r="CH66" s="448">
        <f t="shared" si="63"/>
        <v>1</v>
      </c>
      <c r="CI66" s="55">
        <v>0</v>
      </c>
      <c r="CJ66" s="55">
        <v>0</v>
      </c>
      <c r="CK66" s="55">
        <v>0</v>
      </c>
      <c r="CL66" s="55">
        <v>0</v>
      </c>
      <c r="CM66" s="55">
        <v>0</v>
      </c>
      <c r="CN66" s="505">
        <f t="shared" si="7"/>
        <v>0</v>
      </c>
      <c r="CO66" s="679">
        <f t="shared" si="8"/>
        <v>1</v>
      </c>
      <c r="CP66" s="956">
        <v>132.28200000000001</v>
      </c>
      <c r="CQ66" s="350">
        <v>112.505</v>
      </c>
      <c r="CR66" s="957">
        <f t="shared" si="64"/>
        <v>1.1757877427669883</v>
      </c>
      <c r="CS66" s="511">
        <v>0</v>
      </c>
      <c r="CT66" s="511"/>
      <c r="CU66" s="511"/>
      <c r="CV66" s="511"/>
      <c r="CW66" s="511"/>
      <c r="CX66" s="511"/>
      <c r="CY66" s="511"/>
      <c r="CZ66" s="511"/>
      <c r="DA66" s="511"/>
      <c r="DB66" s="511"/>
      <c r="DC66" s="511"/>
      <c r="DD66" s="511"/>
      <c r="DE66" s="511"/>
      <c r="DF66" s="511"/>
      <c r="DG66" s="511"/>
      <c r="DH66" s="511"/>
      <c r="DI66" s="511"/>
      <c r="DJ66" s="511"/>
      <c r="DK66" s="511"/>
      <c r="DL66" s="511"/>
      <c r="DM66" s="511">
        <f t="shared" si="9"/>
        <v>0</v>
      </c>
      <c r="DN66" s="756">
        <f t="shared" si="65"/>
        <v>1</v>
      </c>
    </row>
    <row r="67" spans="1:118" x14ac:dyDescent="0.2">
      <c r="A67" s="100" t="s">
        <v>756</v>
      </c>
      <c r="B67" s="100" t="s">
        <v>755</v>
      </c>
      <c r="C67" s="100" t="s">
        <v>427</v>
      </c>
      <c r="D67" s="58">
        <v>5</v>
      </c>
      <c r="E67" s="49">
        <v>0.2</v>
      </c>
      <c r="F67" s="46">
        <v>43281</v>
      </c>
      <c r="G67" s="48">
        <f t="shared" si="32"/>
        <v>60</v>
      </c>
      <c r="H67" s="145">
        <f t="shared" si="33"/>
        <v>1.6666666666666667</v>
      </c>
      <c r="I67" s="165">
        <f t="shared" si="34"/>
        <v>88.333333333333343</v>
      </c>
      <c r="J67" s="48">
        <f t="shared" si="35"/>
        <v>53</v>
      </c>
      <c r="K67" s="165">
        <f t="shared" si="36"/>
        <v>11.666666666666668</v>
      </c>
      <c r="L67" s="48">
        <f t="shared" si="37"/>
        <v>7</v>
      </c>
      <c r="M67" s="165">
        <f t="shared" si="38"/>
        <v>11.666666666666668</v>
      </c>
      <c r="N67" s="48">
        <v>7</v>
      </c>
      <c r="O67" s="165">
        <f t="shared" si="39"/>
        <v>0</v>
      </c>
      <c r="P67" s="48">
        <f t="shared" si="40"/>
        <v>0</v>
      </c>
      <c r="Q67" s="46">
        <v>43466</v>
      </c>
      <c r="R67" s="46" t="s">
        <v>445</v>
      </c>
      <c r="S67" s="46">
        <v>41640</v>
      </c>
      <c r="T67" s="47">
        <v>2000</v>
      </c>
      <c r="U67" s="47">
        <f t="shared" si="41"/>
        <v>1766.6666666666667</v>
      </c>
      <c r="V67" s="106">
        <f t="shared" si="42"/>
        <v>233.33333333333326</v>
      </c>
      <c r="W67" s="165">
        <f t="shared" si="43"/>
        <v>33.333333333333336</v>
      </c>
      <c r="X67" s="57">
        <f t="shared" si="44"/>
        <v>166.66666666666669</v>
      </c>
      <c r="Y67" s="80">
        <f t="shared" si="45"/>
        <v>66.666666666666572</v>
      </c>
      <c r="Z67" s="57">
        <v>115.958</v>
      </c>
      <c r="AA67" s="350">
        <v>112.505</v>
      </c>
      <c r="AB67" s="55">
        <f t="shared" si="46"/>
        <v>1.0306919692458114</v>
      </c>
      <c r="AC67" s="55">
        <f t="shared" si="47"/>
        <v>9.5238095238095095</v>
      </c>
      <c r="AD67" s="55">
        <f t="shared" si="48"/>
        <v>9.8161139928172361</v>
      </c>
      <c r="AE67" s="55"/>
      <c r="AF67" s="55"/>
      <c r="AG67" s="55"/>
      <c r="AH67" s="55"/>
      <c r="AI67" s="55"/>
      <c r="AJ67" s="55">
        <f t="shared" si="49"/>
        <v>9.8161139928172361</v>
      </c>
      <c r="AK67" s="55">
        <f t="shared" si="49"/>
        <v>9.8161139928172361</v>
      </c>
      <c r="AL67" s="55">
        <f t="shared" si="49"/>
        <v>9.8161139928172361</v>
      </c>
      <c r="AM67" s="55">
        <f t="shared" si="49"/>
        <v>9.8161139928172361</v>
      </c>
      <c r="AN67" s="55">
        <f t="shared" si="49"/>
        <v>9.8161139928172361</v>
      </c>
      <c r="AO67" s="55">
        <f t="shared" si="49"/>
        <v>9.8161139928172361</v>
      </c>
      <c r="AP67" s="55">
        <f t="shared" si="49"/>
        <v>9.8161139928172361</v>
      </c>
      <c r="AQ67" s="72">
        <f t="shared" si="50"/>
        <v>68.712797949720652</v>
      </c>
      <c r="AR67" s="72">
        <f t="shared" si="51"/>
        <v>-2.0461312830540805</v>
      </c>
      <c r="AS67" s="55"/>
      <c r="AT67" s="55"/>
      <c r="AU67" s="55">
        <f t="shared" si="3"/>
        <v>9.8161139928172361</v>
      </c>
      <c r="AV67" s="55">
        <f t="shared" si="3"/>
        <v>9.8161139928172361</v>
      </c>
      <c r="AW67" s="55">
        <f t="shared" si="3"/>
        <v>9.8161139928172361</v>
      </c>
      <c r="AX67" s="55">
        <f t="shared" ref="AX67:AY87" si="66">$AP67</f>
        <v>9.8161139928172361</v>
      </c>
      <c r="AY67" s="55">
        <f t="shared" si="66"/>
        <v>9.8161139928172361</v>
      </c>
      <c r="AZ67" s="57">
        <v>118.901</v>
      </c>
      <c r="BA67" s="350">
        <v>112.505</v>
      </c>
      <c r="BB67" s="55">
        <f t="shared" si="52"/>
        <v>1.0568508066308164</v>
      </c>
      <c r="BC67" s="55">
        <f t="shared" si="53"/>
        <v>33.333333333333336</v>
      </c>
      <c r="BD67" s="55">
        <f t="shared" si="54"/>
        <v>35.228360221027216</v>
      </c>
      <c r="BE67" s="55">
        <f t="shared" si="55"/>
        <v>35.228360221027216</v>
      </c>
      <c r="BF67" s="55">
        <f t="shared" si="55"/>
        <v>35.228360221027216</v>
      </c>
      <c r="BG67" s="55">
        <f t="shared" si="55"/>
        <v>35.228360221027216</v>
      </c>
      <c r="BH67" s="55">
        <f t="shared" si="55"/>
        <v>35.228360221027216</v>
      </c>
      <c r="BI67" s="55">
        <f t="shared" si="55"/>
        <v>35.228360221027216</v>
      </c>
      <c r="BJ67" s="55">
        <f t="shared" si="55"/>
        <v>35.228360221027216</v>
      </c>
      <c r="BK67" s="55">
        <f t="shared" si="55"/>
        <v>35.228360221027216</v>
      </c>
      <c r="BL67" s="55">
        <f t="shared" si="56"/>
        <v>295.67909151127674</v>
      </c>
      <c r="BM67" s="668">
        <f t="shared" si="57"/>
        <v>-297.72522279433082</v>
      </c>
      <c r="BN67" s="55">
        <f t="shared" si="58"/>
        <v>35.228360221027216</v>
      </c>
      <c r="BO67" s="55">
        <f t="shared" si="58"/>
        <v>35.228360221027216</v>
      </c>
      <c r="BP67" s="55">
        <f t="shared" si="58"/>
        <v>35.228360221027216</v>
      </c>
      <c r="BQ67" s="55">
        <f t="shared" si="58"/>
        <v>35.228360221027216</v>
      </c>
      <c r="BR67" s="55">
        <f t="shared" si="58"/>
        <v>35.228360221027216</v>
      </c>
      <c r="BS67" s="55">
        <f t="shared" si="59"/>
        <v>176.1418011051361</v>
      </c>
      <c r="BT67" s="448">
        <v>1</v>
      </c>
      <c r="BU67" s="57">
        <v>126.408</v>
      </c>
      <c r="BV67" s="350">
        <v>112.505</v>
      </c>
      <c r="BW67" s="55">
        <f t="shared" si="60"/>
        <v>1.1235767299231145</v>
      </c>
      <c r="BX67" s="55">
        <v>0</v>
      </c>
      <c r="BY67" s="55">
        <f t="shared" si="61"/>
        <v>0</v>
      </c>
      <c r="BZ67" s="55">
        <v>0</v>
      </c>
      <c r="CA67" s="55">
        <v>0</v>
      </c>
      <c r="CB67" s="55">
        <v>0</v>
      </c>
      <c r="CC67" s="55">
        <v>0</v>
      </c>
      <c r="CD67" s="55">
        <v>0</v>
      </c>
      <c r="CE67" s="55">
        <v>0</v>
      </c>
      <c r="CF67" s="55">
        <v>0</v>
      </c>
      <c r="CG67" s="55">
        <f t="shared" si="62"/>
        <v>0</v>
      </c>
      <c r="CH67" s="448">
        <f t="shared" si="63"/>
        <v>1</v>
      </c>
      <c r="CI67" s="55">
        <v>0</v>
      </c>
      <c r="CJ67" s="55">
        <v>0</v>
      </c>
      <c r="CK67" s="55">
        <v>0</v>
      </c>
      <c r="CL67" s="55">
        <v>0</v>
      </c>
      <c r="CM67" s="55">
        <v>0</v>
      </c>
      <c r="CN67" s="505">
        <f t="shared" si="7"/>
        <v>0</v>
      </c>
      <c r="CO67" s="679">
        <f t="shared" si="8"/>
        <v>1</v>
      </c>
      <c r="CP67" s="956">
        <v>132.28200000000001</v>
      </c>
      <c r="CQ67" s="350">
        <v>112.505</v>
      </c>
      <c r="CR67" s="957">
        <f t="shared" si="64"/>
        <v>1.1757877427669883</v>
      </c>
      <c r="CS67" s="511">
        <v>0</v>
      </c>
      <c r="CT67" s="511"/>
      <c r="CU67" s="511"/>
      <c r="CV67" s="511"/>
      <c r="CW67" s="511"/>
      <c r="CX67" s="511"/>
      <c r="CY67" s="511"/>
      <c r="CZ67" s="511"/>
      <c r="DA67" s="511"/>
      <c r="DB67" s="511"/>
      <c r="DC67" s="511"/>
      <c r="DD67" s="511"/>
      <c r="DE67" s="511"/>
      <c r="DF67" s="511"/>
      <c r="DG67" s="511"/>
      <c r="DH67" s="511"/>
      <c r="DI67" s="511"/>
      <c r="DJ67" s="511"/>
      <c r="DK67" s="511"/>
      <c r="DL67" s="511"/>
      <c r="DM67" s="511">
        <f t="shared" si="9"/>
        <v>0</v>
      </c>
      <c r="DN67" s="756">
        <f t="shared" si="65"/>
        <v>1</v>
      </c>
    </row>
    <row r="68" spans="1:118" x14ac:dyDescent="0.2">
      <c r="A68" s="792" t="s">
        <v>71</v>
      </c>
      <c r="B68" s="792"/>
      <c r="C68" s="792"/>
      <c r="D68" s="58"/>
      <c r="E68" s="49"/>
      <c r="F68" s="46"/>
      <c r="G68" s="48"/>
      <c r="H68" s="145"/>
      <c r="I68" s="165"/>
      <c r="J68" s="48"/>
      <c r="K68" s="165"/>
      <c r="L68" s="48"/>
      <c r="M68" s="165"/>
      <c r="N68" s="48"/>
      <c r="O68" s="165"/>
      <c r="P68" s="48"/>
      <c r="Q68" s="46"/>
      <c r="R68" s="46"/>
      <c r="S68" s="46"/>
      <c r="T68" s="47"/>
      <c r="U68" s="47"/>
      <c r="V68" s="106"/>
      <c r="W68" s="165"/>
      <c r="X68" s="57"/>
      <c r="Y68" s="80"/>
      <c r="Z68" s="57"/>
      <c r="AA68" s="350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72"/>
      <c r="AR68" s="72"/>
      <c r="AS68" s="55"/>
      <c r="AT68" s="55"/>
      <c r="AU68" s="55"/>
      <c r="AV68" s="55"/>
      <c r="AW68" s="55"/>
      <c r="AX68" s="55"/>
      <c r="AY68" s="55"/>
      <c r="AZ68" s="57"/>
      <c r="BA68" s="350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668"/>
      <c r="BN68" s="55"/>
      <c r="BO68" s="55"/>
      <c r="BP68" s="55"/>
      <c r="BQ68" s="55"/>
      <c r="BR68" s="55"/>
      <c r="BS68" s="55"/>
      <c r="BT68" s="448"/>
      <c r="BU68" s="57"/>
      <c r="BV68" s="350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448"/>
      <c r="CI68" s="55"/>
      <c r="CJ68" s="55"/>
      <c r="CK68" s="55"/>
      <c r="CL68" s="55"/>
      <c r="CM68" s="55"/>
      <c r="CN68" s="505"/>
      <c r="CO68" s="679"/>
      <c r="CP68" s="956"/>
      <c r="CQ68" s="350"/>
      <c r="CR68" s="957"/>
      <c r="CS68" s="511"/>
      <c r="CT68" s="511"/>
      <c r="CU68" s="511"/>
      <c r="CV68" s="511"/>
      <c r="CW68" s="511"/>
      <c r="CX68" s="511"/>
      <c r="CY68" s="511"/>
      <c r="CZ68" s="511"/>
      <c r="DA68" s="511"/>
      <c r="DB68" s="511"/>
      <c r="DC68" s="511"/>
      <c r="DD68" s="511"/>
      <c r="DE68" s="511"/>
      <c r="DF68" s="511"/>
      <c r="DG68" s="511"/>
      <c r="DH68" s="511"/>
      <c r="DI68" s="511"/>
      <c r="DJ68" s="511"/>
      <c r="DK68" s="511"/>
      <c r="DL68" s="511"/>
      <c r="DM68" s="511">
        <f t="shared" si="9"/>
        <v>0</v>
      </c>
      <c r="DN68" s="511">
        <f>CV68-DM68</f>
        <v>0</v>
      </c>
    </row>
    <row r="69" spans="1:118" s="16" customFormat="1" x14ac:dyDescent="0.2">
      <c r="A69" s="100" t="s">
        <v>1188</v>
      </c>
      <c r="B69" s="100" t="s">
        <v>1189</v>
      </c>
      <c r="C69" s="100" t="s">
        <v>427</v>
      </c>
      <c r="D69" s="58">
        <v>10</v>
      </c>
      <c r="E69" s="49">
        <v>0.1</v>
      </c>
      <c r="F69" s="46">
        <v>43281</v>
      </c>
      <c r="G69" s="48">
        <v>120</v>
      </c>
      <c r="H69" s="145">
        <f>100/G69</f>
        <v>0.83333333333333337</v>
      </c>
      <c r="I69" s="165">
        <v>0</v>
      </c>
      <c r="J69" s="48">
        <v>1</v>
      </c>
      <c r="K69" s="165">
        <f>L69*H69</f>
        <v>99.166666666666671</v>
      </c>
      <c r="L69" s="48">
        <v>119</v>
      </c>
      <c r="M69" s="165">
        <f>L69*H69</f>
        <v>99.166666666666671</v>
      </c>
      <c r="N69" s="48">
        <f>G69-J69</f>
        <v>119</v>
      </c>
      <c r="O69" s="165">
        <f>P69*H69</f>
        <v>99.166666666666671</v>
      </c>
      <c r="P69" s="48">
        <v>119</v>
      </c>
      <c r="Q69" s="46">
        <v>46615</v>
      </c>
      <c r="R69" s="46" t="s">
        <v>1190</v>
      </c>
      <c r="S69" s="46">
        <v>42963</v>
      </c>
      <c r="T69" s="47">
        <v>11971.49</v>
      </c>
      <c r="U69" s="47"/>
      <c r="V69" s="106"/>
      <c r="W69" s="165"/>
      <c r="X69" s="57"/>
      <c r="Y69" s="80"/>
      <c r="Z69" s="57"/>
      <c r="AA69" s="350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72"/>
      <c r="AR69" s="72"/>
      <c r="AS69" s="55"/>
      <c r="AT69" s="55"/>
      <c r="AU69" s="55"/>
      <c r="AV69" s="55"/>
      <c r="AW69" s="55"/>
      <c r="AX69" s="55"/>
      <c r="AY69" s="55"/>
      <c r="AZ69" s="57"/>
      <c r="BA69" s="350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668"/>
      <c r="BN69" s="55"/>
      <c r="BO69" s="55"/>
      <c r="BP69" s="55"/>
      <c r="BQ69" s="55"/>
      <c r="BR69" s="55"/>
      <c r="BS69" s="55"/>
      <c r="BT69" s="448">
        <v>11971.49</v>
      </c>
      <c r="BU69" s="57">
        <v>126.408</v>
      </c>
      <c r="BV69" s="350">
        <v>127.51300000000001</v>
      </c>
      <c r="BW69" s="55">
        <f>BU69/BV69</f>
        <v>0.99133421690337453</v>
      </c>
      <c r="BX69" s="55">
        <f>BT69/G69</f>
        <v>99.762416666666667</v>
      </c>
      <c r="BY69" s="55">
        <f>BX69*BW69</f>
        <v>98.897897202638163</v>
      </c>
      <c r="BZ69" s="55"/>
      <c r="CA69" s="55"/>
      <c r="CB69" s="55"/>
      <c r="CC69" s="55">
        <v>98.9</v>
      </c>
      <c r="CD69" s="55">
        <v>98.9</v>
      </c>
      <c r="CE69" s="55">
        <v>98.9</v>
      </c>
      <c r="CF69" s="55">
        <v>98.9</v>
      </c>
      <c r="CG69" s="55">
        <f>SUM(BZ69:CF69)</f>
        <v>395.6</v>
      </c>
      <c r="CH69" s="448">
        <f>BT69-CG69</f>
        <v>11575.89</v>
      </c>
      <c r="CI69" s="55">
        <v>98.9</v>
      </c>
      <c r="CJ69" s="55">
        <v>98.9</v>
      </c>
      <c r="CK69" s="55">
        <v>98.9</v>
      </c>
      <c r="CL69" s="55">
        <v>98.9</v>
      </c>
      <c r="CM69" s="55">
        <v>98.9</v>
      </c>
      <c r="CN69" s="505">
        <f t="shared" si="7"/>
        <v>494.5</v>
      </c>
      <c r="CO69" s="679">
        <f t="shared" si="8"/>
        <v>11081.39</v>
      </c>
      <c r="CP69" s="956">
        <v>132.28200000000001</v>
      </c>
      <c r="CQ69" s="350">
        <v>127.51300000000001</v>
      </c>
      <c r="CR69" s="957">
        <f>CP69/CQ69</f>
        <v>1.0374001082242594</v>
      </c>
      <c r="CS69" s="511">
        <f>CO69/P69</f>
        <v>93.120924369747897</v>
      </c>
      <c r="CT69" s="511">
        <f>CS69*CR69</f>
        <v>96.603657019119552</v>
      </c>
      <c r="CU69" s="511">
        <v>96.603657019119552</v>
      </c>
      <c r="CV69" s="511">
        <v>96.603657019119552</v>
      </c>
      <c r="CW69" s="511">
        <v>96.603657019119552</v>
      </c>
      <c r="CX69" s="511">
        <v>96.603657019119552</v>
      </c>
      <c r="CY69" s="511">
        <v>96.603657019119552</v>
      </c>
      <c r="CZ69" s="511">
        <v>96.603657019119552</v>
      </c>
      <c r="DA69" s="511">
        <v>96.603657019119552</v>
      </c>
      <c r="DB69" s="511">
        <v>96.603657019119552</v>
      </c>
      <c r="DC69" s="511">
        <v>96.603657019119552</v>
      </c>
      <c r="DD69" s="511">
        <v>96.603657019119552</v>
      </c>
      <c r="DE69" s="511">
        <v>96.603657019119552</v>
      </c>
      <c r="DF69" s="511">
        <v>96.603657019119552</v>
      </c>
      <c r="DG69" s="511">
        <v>96.603657019119552</v>
      </c>
      <c r="DH69" s="511">
        <v>96.603657019119552</v>
      </c>
      <c r="DI69" s="511">
        <v>96.603657019119552</v>
      </c>
      <c r="DJ69" s="511">
        <v>96.603657019119552</v>
      </c>
      <c r="DK69" s="511">
        <v>96.603657019119552</v>
      </c>
      <c r="DL69" s="511">
        <v>96.603657019119552</v>
      </c>
      <c r="DM69" s="511">
        <f t="shared" si="9"/>
        <v>1738.8658263441514</v>
      </c>
      <c r="DN69" s="756">
        <f>CO69-DM69</f>
        <v>9342.5241736558473</v>
      </c>
    </row>
    <row r="70" spans="1:118" x14ac:dyDescent="0.2">
      <c r="A70" s="120" t="s">
        <v>70</v>
      </c>
      <c r="B70" s="120"/>
      <c r="C70" s="120"/>
      <c r="D70" s="58"/>
      <c r="E70" s="49"/>
      <c r="F70" s="46"/>
      <c r="G70" s="48"/>
      <c r="H70" s="145"/>
      <c r="I70" s="165"/>
      <c r="J70" s="48"/>
      <c r="K70" s="165"/>
      <c r="L70" s="48"/>
      <c r="M70" s="165"/>
      <c r="N70" s="48"/>
      <c r="O70" s="165"/>
      <c r="P70" s="48"/>
      <c r="Q70" s="46"/>
      <c r="R70" s="46"/>
      <c r="S70" s="46"/>
      <c r="T70" s="47"/>
      <c r="U70" s="47"/>
      <c r="V70" s="106"/>
      <c r="W70" s="165"/>
      <c r="X70" s="57"/>
      <c r="Y70" s="80"/>
      <c r="Z70" s="57"/>
      <c r="AA70" s="350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72"/>
      <c r="AR70" s="72"/>
      <c r="AS70" s="55"/>
      <c r="AT70" s="55"/>
      <c r="AU70" s="55">
        <f t="shared" si="3"/>
        <v>0</v>
      </c>
      <c r="AV70" s="55">
        <f t="shared" si="3"/>
        <v>0</v>
      </c>
      <c r="AW70" s="55">
        <f t="shared" si="3"/>
        <v>0</v>
      </c>
      <c r="AX70" s="55">
        <f t="shared" si="66"/>
        <v>0</v>
      </c>
      <c r="AY70" s="55">
        <f t="shared" si="66"/>
        <v>0</v>
      </c>
      <c r="AZ70" s="57"/>
      <c r="BA70" s="350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668"/>
      <c r="BN70" s="55"/>
      <c r="BO70" s="55"/>
      <c r="BP70" s="55"/>
      <c r="BQ70" s="55"/>
      <c r="BR70" s="55"/>
      <c r="BS70" s="55"/>
      <c r="BT70" s="448"/>
      <c r="BU70" s="57"/>
      <c r="BV70" s="350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448"/>
      <c r="CI70" s="55"/>
      <c r="CJ70" s="55"/>
      <c r="CK70" s="55"/>
      <c r="CL70" s="55"/>
      <c r="CM70" s="55"/>
      <c r="CN70" s="505"/>
      <c r="CO70" s="679"/>
      <c r="CP70" s="623"/>
      <c r="CQ70" s="350"/>
      <c r="CR70" s="957"/>
      <c r="CS70" s="511"/>
      <c r="CT70" s="511"/>
      <c r="CU70" s="511"/>
      <c r="CV70" s="511"/>
      <c r="CW70" s="511"/>
      <c r="CX70" s="511"/>
      <c r="CY70" s="511"/>
      <c r="CZ70" s="511"/>
      <c r="DA70" s="511"/>
      <c r="DB70" s="511"/>
      <c r="DC70" s="511"/>
      <c r="DD70" s="511"/>
      <c r="DE70" s="511"/>
      <c r="DF70" s="511"/>
      <c r="DG70" s="511"/>
      <c r="DH70" s="511"/>
      <c r="DI70" s="511"/>
      <c r="DJ70" s="511"/>
      <c r="DK70" s="511"/>
      <c r="DL70" s="511"/>
      <c r="DM70" s="511">
        <f t="shared" si="9"/>
        <v>0</v>
      </c>
      <c r="DN70" s="511"/>
    </row>
    <row r="71" spans="1:118" x14ac:dyDescent="0.2">
      <c r="A71" s="120" t="s">
        <v>754</v>
      </c>
      <c r="B71" s="124"/>
      <c r="C71" s="124"/>
      <c r="D71" s="58"/>
      <c r="E71" s="49"/>
      <c r="F71" s="46"/>
      <c r="G71" s="48"/>
      <c r="H71" s="145"/>
      <c r="I71" s="165"/>
      <c r="J71" s="48"/>
      <c r="K71" s="165"/>
      <c r="L71" s="48"/>
      <c r="M71" s="165"/>
      <c r="N71" s="48"/>
      <c r="O71" s="165"/>
      <c r="P71" s="48"/>
      <c r="Q71" s="46"/>
      <c r="R71" s="46"/>
      <c r="S71" s="46"/>
      <c r="T71" s="47"/>
      <c r="U71" s="47"/>
      <c r="V71" s="106"/>
      <c r="W71" s="165"/>
      <c r="X71" s="57"/>
      <c r="Y71" s="80"/>
      <c r="Z71" s="57"/>
      <c r="AA71" s="350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72"/>
      <c r="AR71" s="72"/>
      <c r="AS71" s="55"/>
      <c r="AT71" s="55"/>
      <c r="AU71" s="55">
        <f t="shared" si="3"/>
        <v>0</v>
      </c>
      <c r="AV71" s="55">
        <f t="shared" si="3"/>
        <v>0</v>
      </c>
      <c r="AW71" s="55">
        <f t="shared" si="3"/>
        <v>0</v>
      </c>
      <c r="AX71" s="55">
        <f t="shared" si="66"/>
        <v>0</v>
      </c>
      <c r="AY71" s="55">
        <f t="shared" si="66"/>
        <v>0</v>
      </c>
      <c r="AZ71" s="57"/>
      <c r="BA71" s="350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668"/>
      <c r="BN71" s="55"/>
      <c r="BO71" s="55"/>
      <c r="BP71" s="55"/>
      <c r="BQ71" s="55"/>
      <c r="BR71" s="55"/>
      <c r="BS71" s="55"/>
      <c r="BT71" s="448"/>
      <c r="BU71" s="57"/>
      <c r="BV71" s="350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448"/>
      <c r="CI71" s="55"/>
      <c r="CJ71" s="55"/>
      <c r="CK71" s="55"/>
      <c r="CL71" s="55"/>
      <c r="CM71" s="55"/>
      <c r="CN71" s="505"/>
      <c r="CO71" s="679"/>
      <c r="CP71" s="55"/>
      <c r="CQ71" s="350"/>
      <c r="CR71" s="55"/>
      <c r="CS71" s="55"/>
      <c r="CT71" s="55"/>
      <c r="CU71" s="55"/>
      <c r="CV71" s="55"/>
      <c r="CW71" s="55"/>
      <c r="CX71" s="55"/>
      <c r="CY71" s="55"/>
      <c r="CZ71" s="55"/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  <c r="DL71" s="55"/>
      <c r="DM71" s="511">
        <f t="shared" si="9"/>
        <v>0</v>
      </c>
      <c r="DN71" s="55"/>
    </row>
    <row r="72" spans="1:118" x14ac:dyDescent="0.2">
      <c r="A72" s="45" t="s">
        <v>753</v>
      </c>
      <c r="B72" s="45" t="s">
        <v>752</v>
      </c>
      <c r="C72" s="45" t="s">
        <v>427</v>
      </c>
      <c r="D72" s="58">
        <v>5</v>
      </c>
      <c r="E72" s="49">
        <v>0.2</v>
      </c>
      <c r="F72" s="46">
        <v>43281</v>
      </c>
      <c r="G72" s="48">
        <f>D72*12</f>
        <v>60</v>
      </c>
      <c r="H72" s="145">
        <f>100/G72</f>
        <v>1.6666666666666667</v>
      </c>
      <c r="I72" s="165">
        <f>H72*J72</f>
        <v>88.333333333333343</v>
      </c>
      <c r="J72" s="48">
        <f>(YEAR(F72)-YEAR(S72))*12+MONTH(F72)-MONTH(S72)</f>
        <v>53</v>
      </c>
      <c r="K72" s="165">
        <f>L72*H72</f>
        <v>11.666666666666668</v>
      </c>
      <c r="L72" s="48">
        <f>G72-J72</f>
        <v>7</v>
      </c>
      <c r="M72" s="165">
        <f>N72*H72</f>
        <v>11.666666666666668</v>
      </c>
      <c r="N72" s="48">
        <v>7</v>
      </c>
      <c r="O72" s="165">
        <f>P72*H72</f>
        <v>0</v>
      </c>
      <c r="P72" s="48">
        <f>L72-N72</f>
        <v>0</v>
      </c>
      <c r="Q72" s="46">
        <v>43466</v>
      </c>
      <c r="R72" s="46" t="s">
        <v>445</v>
      </c>
      <c r="S72" s="46">
        <v>41640</v>
      </c>
      <c r="T72" s="47">
        <f>1680*11</f>
        <v>18480</v>
      </c>
      <c r="U72" s="47">
        <f>T72*I72%</f>
        <v>16324.000000000002</v>
      </c>
      <c r="V72" s="106">
        <f>T72-U72</f>
        <v>2155.9999999999982</v>
      </c>
      <c r="W72" s="165">
        <f>T72*H72%</f>
        <v>308</v>
      </c>
      <c r="X72" s="57">
        <f>W72*5</f>
        <v>1540</v>
      </c>
      <c r="Y72" s="80">
        <f>V72-X72</f>
        <v>615.99999999999818</v>
      </c>
      <c r="Z72" s="57">
        <v>115.958</v>
      </c>
      <c r="AA72" s="350">
        <v>112.505</v>
      </c>
      <c r="AB72" s="55">
        <f>Z72/AA72</f>
        <v>1.0306919692458114</v>
      </c>
      <c r="AC72" s="55">
        <f>Y72*M72/100/K72*100/7</f>
        <v>87.999999999999744</v>
      </c>
      <c r="AD72" s="55">
        <f>AC72*AB72</f>
        <v>90.70089329363114</v>
      </c>
      <c r="AE72" s="55"/>
      <c r="AF72" s="55"/>
      <c r="AG72" s="55"/>
      <c r="AH72" s="55"/>
      <c r="AI72" s="55"/>
      <c r="AJ72" s="55">
        <f t="shared" ref="AJ72:AP72" si="67">$AD72</f>
        <v>90.70089329363114</v>
      </c>
      <c r="AK72" s="55">
        <f t="shared" si="67"/>
        <v>90.70089329363114</v>
      </c>
      <c r="AL72" s="55">
        <f t="shared" si="67"/>
        <v>90.70089329363114</v>
      </c>
      <c r="AM72" s="55">
        <f t="shared" si="67"/>
        <v>90.70089329363114</v>
      </c>
      <c r="AN72" s="55">
        <f t="shared" si="67"/>
        <v>90.70089329363114</v>
      </c>
      <c r="AO72" s="55">
        <f t="shared" si="67"/>
        <v>90.70089329363114</v>
      </c>
      <c r="AP72" s="55">
        <f t="shared" si="67"/>
        <v>90.70089329363114</v>
      </c>
      <c r="AQ72" s="72">
        <f>SUM(AE72:AP72)</f>
        <v>634.90625305541789</v>
      </c>
      <c r="AR72" s="72">
        <f>Y72-AQ72</f>
        <v>-18.906253055419711</v>
      </c>
      <c r="AS72" s="55"/>
      <c r="AT72" s="55"/>
      <c r="AU72" s="55">
        <f t="shared" si="3"/>
        <v>90.70089329363114</v>
      </c>
      <c r="AV72" s="55">
        <f t="shared" si="3"/>
        <v>90.70089329363114</v>
      </c>
      <c r="AW72" s="55">
        <f t="shared" si="3"/>
        <v>90.70089329363114</v>
      </c>
      <c r="AX72" s="55">
        <f t="shared" si="66"/>
        <v>90.70089329363114</v>
      </c>
      <c r="AY72" s="55">
        <f t="shared" si="66"/>
        <v>90.70089329363114</v>
      </c>
      <c r="AZ72" s="57">
        <v>118.901</v>
      </c>
      <c r="BA72" s="350">
        <v>112.505</v>
      </c>
      <c r="BB72" s="55">
        <f>AZ72/BA72</f>
        <v>1.0568508066308164</v>
      </c>
      <c r="BC72" s="55">
        <f>T72/(D72*12)</f>
        <v>308</v>
      </c>
      <c r="BD72" s="55">
        <f>BC72*BB72</f>
        <v>325.51004844229146</v>
      </c>
      <c r="BE72" s="55">
        <f t="shared" ref="BE72:BK72" si="68">$BD72</f>
        <v>325.51004844229146</v>
      </c>
      <c r="BF72" s="55">
        <f t="shared" si="68"/>
        <v>325.51004844229146</v>
      </c>
      <c r="BG72" s="55">
        <f t="shared" si="68"/>
        <v>325.51004844229146</v>
      </c>
      <c r="BH72" s="55">
        <f t="shared" si="68"/>
        <v>325.51004844229146</v>
      </c>
      <c r="BI72" s="55">
        <f t="shared" si="68"/>
        <v>325.51004844229146</v>
      </c>
      <c r="BJ72" s="55">
        <f t="shared" si="68"/>
        <v>325.51004844229146</v>
      </c>
      <c r="BK72" s="55">
        <f t="shared" si="68"/>
        <v>325.51004844229146</v>
      </c>
      <c r="BL72" s="55">
        <f>SUM((AU72:AY72),(BE72:BK72))</f>
        <v>2732.0748055641961</v>
      </c>
      <c r="BM72" s="668">
        <f>(AR72-BL72)</f>
        <v>-2750.9810586196159</v>
      </c>
      <c r="BN72" s="55">
        <f>$BD72</f>
        <v>325.51004844229146</v>
      </c>
      <c r="BO72" s="55">
        <f>$BD72</f>
        <v>325.51004844229146</v>
      </c>
      <c r="BP72" s="55">
        <f>$BD72</f>
        <v>325.51004844229146</v>
      </c>
      <c r="BQ72" s="55">
        <f>$BD72</f>
        <v>325.51004844229146</v>
      </c>
      <c r="BR72" s="55">
        <f>$BD72</f>
        <v>325.51004844229146</v>
      </c>
      <c r="BS72" s="55">
        <f>SUM(BN72:BR72)</f>
        <v>1627.5502422114573</v>
      </c>
      <c r="BT72" s="448">
        <v>1</v>
      </c>
      <c r="BU72" s="57">
        <v>126.408</v>
      </c>
      <c r="BV72" s="350">
        <v>112.505</v>
      </c>
      <c r="BW72" s="55">
        <f>BU72/BV72</f>
        <v>1.1235767299231145</v>
      </c>
      <c r="BX72" s="55">
        <v>0</v>
      </c>
      <c r="BY72" s="55">
        <f>BW72*BX72</f>
        <v>0</v>
      </c>
      <c r="BZ72" s="55">
        <v>0</v>
      </c>
      <c r="CA72" s="55">
        <v>0</v>
      </c>
      <c r="CB72" s="55">
        <v>0</v>
      </c>
      <c r="CC72" s="55">
        <v>0</v>
      </c>
      <c r="CD72" s="55">
        <v>0</v>
      </c>
      <c r="CE72" s="55">
        <v>0</v>
      </c>
      <c r="CF72" s="55">
        <v>0</v>
      </c>
      <c r="CG72" s="55">
        <f>SUM(BZ72:CF72)</f>
        <v>0</v>
      </c>
      <c r="CH72" s="448">
        <f>BT72-CG72</f>
        <v>1</v>
      </c>
      <c r="CI72" s="55">
        <v>0</v>
      </c>
      <c r="CJ72" s="55">
        <v>0</v>
      </c>
      <c r="CK72" s="55">
        <v>0</v>
      </c>
      <c r="CL72" s="55">
        <v>0</v>
      </c>
      <c r="CM72" s="55">
        <v>0</v>
      </c>
      <c r="CN72" s="505">
        <f t="shared" si="7"/>
        <v>0</v>
      </c>
      <c r="CO72" s="679">
        <f t="shared" si="8"/>
        <v>1</v>
      </c>
      <c r="CP72" s="956">
        <v>132.28200000000001</v>
      </c>
      <c r="CQ72" s="350">
        <v>112.505</v>
      </c>
      <c r="CR72" s="957">
        <f>CP72/CQ72</f>
        <v>1.1757877427669883</v>
      </c>
      <c r="CS72" s="55">
        <v>0</v>
      </c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11">
        <f t="shared" si="9"/>
        <v>0</v>
      </c>
      <c r="DN72" s="756">
        <f>CO72-DM72</f>
        <v>1</v>
      </c>
    </row>
    <row r="73" spans="1:118" x14ac:dyDescent="0.2">
      <c r="A73" s="120" t="s">
        <v>70</v>
      </c>
      <c r="B73" s="120"/>
      <c r="C73" s="120"/>
      <c r="D73" s="58"/>
      <c r="E73" s="49"/>
      <c r="F73" s="46"/>
      <c r="G73" s="48"/>
      <c r="H73" s="145"/>
      <c r="I73" s="165"/>
      <c r="J73" s="48"/>
      <c r="K73" s="165"/>
      <c r="L73" s="48"/>
      <c r="M73" s="165"/>
      <c r="N73" s="48"/>
      <c r="O73" s="165"/>
      <c r="P73" s="48"/>
      <c r="Q73" s="46"/>
      <c r="R73" s="46"/>
      <c r="S73" s="46"/>
      <c r="T73" s="47"/>
      <c r="U73" s="47"/>
      <c r="V73" s="106"/>
      <c r="W73" s="165"/>
      <c r="X73" s="57"/>
      <c r="Y73" s="80"/>
      <c r="Z73" s="57"/>
      <c r="AA73" s="350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72"/>
      <c r="AR73" s="72"/>
      <c r="AS73" s="55"/>
      <c r="AT73" s="55"/>
      <c r="AU73" s="55">
        <f t="shared" si="3"/>
        <v>0</v>
      </c>
      <c r="AV73" s="55">
        <f t="shared" si="3"/>
        <v>0</v>
      </c>
      <c r="AW73" s="55">
        <f t="shared" si="3"/>
        <v>0</v>
      </c>
      <c r="AX73" s="55">
        <f t="shared" si="66"/>
        <v>0</v>
      </c>
      <c r="AY73" s="55">
        <f t="shared" si="66"/>
        <v>0</v>
      </c>
      <c r="AZ73" s="57"/>
      <c r="BA73" s="350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668"/>
      <c r="BN73" s="55"/>
      <c r="BO73" s="55"/>
      <c r="BP73" s="55"/>
      <c r="BQ73" s="55"/>
      <c r="BR73" s="55"/>
      <c r="BS73" s="55"/>
      <c r="BT73" s="448"/>
      <c r="BU73" s="57"/>
      <c r="BV73" s="350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448"/>
      <c r="CI73" s="55"/>
      <c r="CJ73" s="55"/>
      <c r="CK73" s="55"/>
      <c r="CL73" s="55"/>
      <c r="CM73" s="55"/>
      <c r="CN73" s="505"/>
      <c r="CO73" s="679"/>
      <c r="CP73" s="956"/>
      <c r="CQ73" s="350"/>
      <c r="CR73" s="957"/>
      <c r="CS73" s="511"/>
      <c r="CT73" s="511"/>
      <c r="CU73" s="511"/>
      <c r="CV73" s="511"/>
      <c r="CW73" s="511"/>
      <c r="CX73" s="511"/>
      <c r="CY73" s="511"/>
      <c r="CZ73" s="511"/>
      <c r="DA73" s="511"/>
      <c r="DB73" s="511"/>
      <c r="DC73" s="511"/>
      <c r="DD73" s="511"/>
      <c r="DE73" s="511"/>
      <c r="DF73" s="511"/>
      <c r="DG73" s="511"/>
      <c r="DH73" s="511"/>
      <c r="DI73" s="511"/>
      <c r="DJ73" s="511"/>
      <c r="DK73" s="511"/>
      <c r="DL73" s="511"/>
      <c r="DM73" s="511">
        <f t="shared" si="9"/>
        <v>0</v>
      </c>
      <c r="DN73" s="756"/>
    </row>
    <row r="74" spans="1:118" x14ac:dyDescent="0.2">
      <c r="A74" s="120" t="s">
        <v>751</v>
      </c>
      <c r="B74" s="124"/>
      <c r="C74" s="124"/>
      <c r="D74" s="58"/>
      <c r="E74" s="49"/>
      <c r="F74" s="46"/>
      <c r="G74" s="48"/>
      <c r="H74" s="145"/>
      <c r="I74" s="165"/>
      <c r="J74" s="48"/>
      <c r="K74" s="165"/>
      <c r="L74" s="48"/>
      <c r="M74" s="165"/>
      <c r="N74" s="48"/>
      <c r="O74" s="165"/>
      <c r="P74" s="48"/>
      <c r="Q74" s="46"/>
      <c r="R74" s="46"/>
      <c r="S74" s="46"/>
      <c r="T74" s="47"/>
      <c r="U74" s="47"/>
      <c r="V74" s="106"/>
      <c r="W74" s="165"/>
      <c r="X74" s="57"/>
      <c r="Y74" s="80"/>
      <c r="Z74" s="57"/>
      <c r="AA74" s="350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72"/>
      <c r="AR74" s="72"/>
      <c r="AS74" s="55"/>
      <c r="AT74" s="55"/>
      <c r="AU74" s="55">
        <f t="shared" si="3"/>
        <v>0</v>
      </c>
      <c r="AV74" s="55">
        <f t="shared" si="3"/>
        <v>0</v>
      </c>
      <c r="AW74" s="55">
        <f t="shared" si="3"/>
        <v>0</v>
      </c>
      <c r="AX74" s="55">
        <f t="shared" si="66"/>
        <v>0</v>
      </c>
      <c r="AY74" s="55">
        <f t="shared" si="66"/>
        <v>0</v>
      </c>
      <c r="AZ74" s="57"/>
      <c r="BA74" s="350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668"/>
      <c r="BN74" s="55"/>
      <c r="BO74" s="55"/>
      <c r="BP74" s="55"/>
      <c r="BQ74" s="55"/>
      <c r="BR74" s="55"/>
      <c r="BS74" s="55"/>
      <c r="BT74" s="448"/>
      <c r="BU74" s="57"/>
      <c r="BV74" s="350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448"/>
      <c r="CI74" s="55"/>
      <c r="CJ74" s="55"/>
      <c r="CK74" s="55"/>
      <c r="CL74" s="55"/>
      <c r="CM74" s="55"/>
      <c r="CN74" s="505"/>
      <c r="CO74" s="679"/>
      <c r="CP74" s="511"/>
      <c r="CQ74" s="350"/>
      <c r="CR74" s="957"/>
      <c r="CS74" s="511"/>
      <c r="CT74" s="511"/>
      <c r="CU74" s="511"/>
      <c r="CV74" s="511"/>
      <c r="CW74" s="511"/>
      <c r="CX74" s="511"/>
      <c r="CY74" s="511"/>
      <c r="CZ74" s="511"/>
      <c r="DA74" s="511"/>
      <c r="DB74" s="511"/>
      <c r="DC74" s="511"/>
      <c r="DD74" s="511"/>
      <c r="DE74" s="511"/>
      <c r="DF74" s="511"/>
      <c r="DG74" s="511"/>
      <c r="DH74" s="511"/>
      <c r="DI74" s="511"/>
      <c r="DJ74" s="511"/>
      <c r="DK74" s="511"/>
      <c r="DL74" s="511"/>
      <c r="DM74" s="511">
        <f t="shared" si="9"/>
        <v>0</v>
      </c>
      <c r="DN74" s="511"/>
    </row>
    <row r="75" spans="1:118" s="12" customFormat="1" x14ac:dyDescent="0.2">
      <c r="A75" s="100" t="s">
        <v>750</v>
      </c>
      <c r="B75" s="1235"/>
      <c r="C75" s="124"/>
      <c r="D75" s="8">
        <v>10</v>
      </c>
      <c r="E75" s="127">
        <v>0.1</v>
      </c>
      <c r="F75" s="119">
        <v>43281</v>
      </c>
      <c r="G75" s="125">
        <f>D75*12</f>
        <v>120</v>
      </c>
      <c r="H75" s="146">
        <f>100/G75</f>
        <v>0.83333333333333337</v>
      </c>
      <c r="I75" s="1167">
        <f>H75*J75</f>
        <v>41.666666666666671</v>
      </c>
      <c r="J75" s="125">
        <f>(YEAR(F75)-YEAR(S75))*12+MONTH(F75)-MONTH(S75)</f>
        <v>50</v>
      </c>
      <c r="K75" s="1167">
        <f>L75*H75</f>
        <v>58.333333333333336</v>
      </c>
      <c r="L75" s="125">
        <f>G75-J75</f>
        <v>70</v>
      </c>
      <c r="M75" s="1167">
        <f>N75*H75</f>
        <v>5.8333333333333339</v>
      </c>
      <c r="N75" s="125">
        <v>7</v>
      </c>
      <c r="O75" s="1167">
        <f>P75*H75</f>
        <v>52.5</v>
      </c>
      <c r="P75" s="125">
        <f>L75-N75</f>
        <v>63</v>
      </c>
      <c r="Q75" s="119">
        <v>45292</v>
      </c>
      <c r="R75" s="119" t="s">
        <v>445</v>
      </c>
      <c r="S75" s="119">
        <v>41730</v>
      </c>
      <c r="T75" s="134">
        <v>120000</v>
      </c>
      <c r="U75" s="134">
        <f>T75*I75%</f>
        <v>50000.000000000007</v>
      </c>
      <c r="V75" s="7">
        <f>T75-U75</f>
        <v>70000</v>
      </c>
      <c r="W75" s="1167">
        <f>T75*H75%</f>
        <v>1000</v>
      </c>
      <c r="X75" s="64">
        <f>W75*5</f>
        <v>5000</v>
      </c>
      <c r="Y75" s="82">
        <f>V75-X75</f>
        <v>65000</v>
      </c>
      <c r="Z75" s="64">
        <v>115.958</v>
      </c>
      <c r="AA75" s="1234">
        <v>112.505</v>
      </c>
      <c r="AB75" s="62">
        <f>Z75/AA75</f>
        <v>1.0306919692458114</v>
      </c>
      <c r="AC75" s="62">
        <f>Y75*M75/100/K75*100/7</f>
        <v>928.57142857142856</v>
      </c>
      <c r="AD75" s="62">
        <f>AC75*AB75</f>
        <v>957.07111429968199</v>
      </c>
      <c r="AE75" s="62"/>
      <c r="AF75" s="62"/>
      <c r="AG75" s="62"/>
      <c r="AH75" s="62"/>
      <c r="AI75" s="62"/>
      <c r="AJ75" s="62">
        <f t="shared" ref="AJ75:AP78" si="69">$AD75</f>
        <v>957.07111429968199</v>
      </c>
      <c r="AK75" s="62">
        <f t="shared" si="69"/>
        <v>957.07111429968199</v>
      </c>
      <c r="AL75" s="62">
        <f t="shared" si="69"/>
        <v>957.07111429968199</v>
      </c>
      <c r="AM75" s="62">
        <f t="shared" si="69"/>
        <v>957.07111429968199</v>
      </c>
      <c r="AN75" s="62">
        <f t="shared" si="69"/>
        <v>957.07111429968199</v>
      </c>
      <c r="AO75" s="62">
        <f t="shared" si="69"/>
        <v>957.07111429968199</v>
      </c>
      <c r="AP75" s="62">
        <f t="shared" si="69"/>
        <v>957.07111429968199</v>
      </c>
      <c r="AQ75" s="1169">
        <f>SUM(AE75:AP75)</f>
        <v>6699.4978000977753</v>
      </c>
      <c r="AR75" s="1169">
        <f>Y75-AQ75</f>
        <v>58300.502199902228</v>
      </c>
      <c r="AS75" s="62"/>
      <c r="AT75" s="62"/>
      <c r="AU75" s="62">
        <f t="shared" si="3"/>
        <v>957.07111429968199</v>
      </c>
      <c r="AV75" s="62">
        <f t="shared" si="3"/>
        <v>957.07111429968199</v>
      </c>
      <c r="AW75" s="62">
        <f t="shared" si="3"/>
        <v>957.07111429968199</v>
      </c>
      <c r="AX75" s="62">
        <f t="shared" si="66"/>
        <v>957.07111429968199</v>
      </c>
      <c r="AY75" s="62">
        <f t="shared" si="66"/>
        <v>957.07111429968199</v>
      </c>
      <c r="AZ75" s="64">
        <v>118.901</v>
      </c>
      <c r="BA75" s="1234">
        <v>112.505</v>
      </c>
      <c r="BB75" s="62">
        <f>AZ75/BA75</f>
        <v>1.0568508066308164</v>
      </c>
      <c r="BC75" s="62">
        <f>T75/(D75*12)</f>
        <v>1000</v>
      </c>
      <c r="BD75" s="62">
        <f>BC75*BB75</f>
        <v>1056.8508066308164</v>
      </c>
      <c r="BE75" s="62">
        <f t="shared" ref="BE75:BK75" si="70">$BD75</f>
        <v>1056.8508066308164</v>
      </c>
      <c r="BF75" s="62">
        <f t="shared" si="70"/>
        <v>1056.8508066308164</v>
      </c>
      <c r="BG75" s="62">
        <f t="shared" si="70"/>
        <v>1056.8508066308164</v>
      </c>
      <c r="BH75" s="62">
        <f t="shared" si="70"/>
        <v>1056.8508066308164</v>
      </c>
      <c r="BI75" s="62">
        <f t="shared" si="70"/>
        <v>1056.8508066308164</v>
      </c>
      <c r="BJ75" s="62">
        <f t="shared" si="70"/>
        <v>1056.8508066308164</v>
      </c>
      <c r="BK75" s="62">
        <f t="shared" si="70"/>
        <v>1056.8508066308164</v>
      </c>
      <c r="BL75" s="62">
        <f>SUM((AU75:AY75),(BE75:BK75))</f>
        <v>12183.311217914128</v>
      </c>
      <c r="BM75" s="1213">
        <f>(AR75-BL75)</f>
        <v>46117.190981988097</v>
      </c>
      <c r="BN75" s="62">
        <f>$BD75</f>
        <v>1056.8508066308164</v>
      </c>
      <c r="BO75" s="62">
        <f>$BD75</f>
        <v>1056.8508066308164</v>
      </c>
      <c r="BP75" s="62">
        <f>$BD75</f>
        <v>1056.8508066308164</v>
      </c>
      <c r="BQ75" s="62">
        <f>$BD75</f>
        <v>1056.8508066308164</v>
      </c>
      <c r="BR75" s="62">
        <f>$BD75</f>
        <v>1056.8508066308164</v>
      </c>
      <c r="BS75" s="62">
        <f>SUM(BN75:BR75)</f>
        <v>5284.2540331540822</v>
      </c>
      <c r="BT75" s="927">
        <f>BM75-BS75</f>
        <v>40832.936948834016</v>
      </c>
      <c r="BU75" s="64">
        <v>126.408</v>
      </c>
      <c r="BV75" s="1234">
        <v>112.505</v>
      </c>
      <c r="BW75" s="62">
        <f>BU75/BV75</f>
        <v>1.1235767299231145</v>
      </c>
      <c r="BX75" s="62">
        <f>BT75/BT75</f>
        <v>1</v>
      </c>
      <c r="BY75" s="62">
        <f>BW75*BX75</f>
        <v>1.1235767299231145</v>
      </c>
      <c r="BZ75" s="62">
        <v>722.15361534107103</v>
      </c>
      <c r="CA75" s="62">
        <v>722.15361534107103</v>
      </c>
      <c r="CB75" s="62">
        <v>722.15361534107103</v>
      </c>
      <c r="CC75" s="62">
        <v>722.15361534107103</v>
      </c>
      <c r="CD75" s="62">
        <v>722.15361534107103</v>
      </c>
      <c r="CE75" s="62">
        <v>722.15361534107103</v>
      </c>
      <c r="CF75" s="62">
        <v>722.15361534107103</v>
      </c>
      <c r="CG75" s="62">
        <f>SUM(BZ75:CF75)</f>
        <v>5055.0753073874967</v>
      </c>
      <c r="CH75" s="927">
        <f>BT75-CG75</f>
        <v>35777.861641446521</v>
      </c>
      <c r="CI75" s="62">
        <v>722.15361534107103</v>
      </c>
      <c r="CJ75" s="62">
        <v>722.15361534107103</v>
      </c>
      <c r="CK75" s="62">
        <v>722.15361534107103</v>
      </c>
      <c r="CL75" s="62">
        <v>722.15361534107103</v>
      </c>
      <c r="CM75" s="62">
        <v>722.15361534107103</v>
      </c>
      <c r="CN75" s="1170">
        <f t="shared" si="7"/>
        <v>3610.7680767053553</v>
      </c>
      <c r="CO75" s="679">
        <f t="shared" si="8"/>
        <v>32167.093564741168</v>
      </c>
      <c r="CP75" s="1171">
        <v>132.28200000000001</v>
      </c>
      <c r="CQ75" s="1234">
        <v>112.505</v>
      </c>
      <c r="CR75" s="1200">
        <f>CP75/CQ75</f>
        <v>1.1757877427669883</v>
      </c>
      <c r="CS75" s="510">
        <f>CO75/P75</f>
        <v>510.58878674192329</v>
      </c>
      <c r="CT75" s="510">
        <f>CS75*CR75</f>
        <v>600.34403704542115</v>
      </c>
      <c r="CU75" s="510">
        <v>600.34403704542115</v>
      </c>
      <c r="CV75" s="510">
        <v>600.34403704542115</v>
      </c>
      <c r="CW75" s="510">
        <v>600.34403704542115</v>
      </c>
      <c r="CX75" s="510">
        <v>600.34403704542115</v>
      </c>
      <c r="CY75" s="510">
        <v>600.34403704542115</v>
      </c>
      <c r="CZ75" s="510">
        <v>600.34403704542115</v>
      </c>
      <c r="DA75" s="510">
        <v>600.34403704542115</v>
      </c>
      <c r="DB75" s="510">
        <v>600.34403704542115</v>
      </c>
      <c r="DC75" s="510">
        <v>600.34403704542115</v>
      </c>
      <c r="DD75" s="510">
        <v>600.34403704542115</v>
      </c>
      <c r="DE75" s="510">
        <v>600.34403704542115</v>
      </c>
      <c r="DF75" s="510">
        <v>600.34403704542115</v>
      </c>
      <c r="DG75" s="510">
        <v>600.34403704542115</v>
      </c>
      <c r="DH75" s="510">
        <v>600.34403704542115</v>
      </c>
      <c r="DI75" s="510">
        <v>600.34403704542115</v>
      </c>
      <c r="DJ75" s="510">
        <v>600.34403704542115</v>
      </c>
      <c r="DK75" s="510">
        <v>600.34403704542115</v>
      </c>
      <c r="DL75" s="510">
        <v>600.34403704542115</v>
      </c>
      <c r="DM75" s="510">
        <f t="shared" si="9"/>
        <v>10806.192666817578</v>
      </c>
      <c r="DN75" s="756">
        <f>CO75-DM75</f>
        <v>21360.900897923588</v>
      </c>
    </row>
    <row r="76" spans="1:118" hidden="1" x14ac:dyDescent="0.2">
      <c r="A76" s="120" t="s">
        <v>70</v>
      </c>
      <c r="B76" s="120"/>
      <c r="C76" s="120"/>
      <c r="D76" s="58"/>
      <c r="E76" s="49"/>
      <c r="F76" s="46"/>
      <c r="G76" s="48"/>
      <c r="H76" s="145"/>
      <c r="I76" s="165"/>
      <c r="J76" s="48"/>
      <c r="K76" s="165"/>
      <c r="L76" s="48"/>
      <c r="M76" s="165"/>
      <c r="N76" s="48"/>
      <c r="O76" s="165"/>
      <c r="P76" s="48"/>
      <c r="Q76" s="46"/>
      <c r="R76" s="46"/>
      <c r="S76" s="46"/>
      <c r="T76" s="47"/>
      <c r="U76" s="47"/>
      <c r="V76" s="106"/>
      <c r="W76" s="165"/>
      <c r="X76" s="57"/>
      <c r="Y76" s="80"/>
      <c r="Z76" s="57"/>
      <c r="AA76" s="350"/>
      <c r="AB76" s="55"/>
      <c r="AC76" s="55"/>
      <c r="AD76" s="55"/>
      <c r="AE76" s="55"/>
      <c r="AF76" s="55"/>
      <c r="AG76" s="55"/>
      <c r="AH76" s="55"/>
      <c r="AI76" s="55"/>
      <c r="AJ76" s="55">
        <f t="shared" si="69"/>
        <v>0</v>
      </c>
      <c r="AK76" s="55">
        <f t="shared" si="69"/>
        <v>0</v>
      </c>
      <c r="AL76" s="55">
        <f t="shared" si="69"/>
        <v>0</v>
      </c>
      <c r="AM76" s="55">
        <f t="shared" si="69"/>
        <v>0</v>
      </c>
      <c r="AN76" s="55">
        <f t="shared" si="69"/>
        <v>0</v>
      </c>
      <c r="AO76" s="55">
        <f t="shared" si="69"/>
        <v>0</v>
      </c>
      <c r="AP76" s="55">
        <f t="shared" si="69"/>
        <v>0</v>
      </c>
      <c r="AQ76" s="72">
        <f>SUM(AE76:AP76)</f>
        <v>0</v>
      </c>
      <c r="AR76" s="72">
        <f>Y76-AQ76</f>
        <v>0</v>
      </c>
      <c r="AS76" s="55"/>
      <c r="AT76" s="55"/>
      <c r="AU76" s="55">
        <f t="shared" si="3"/>
        <v>0</v>
      </c>
      <c r="AV76" s="55">
        <f t="shared" si="3"/>
        <v>0</v>
      </c>
      <c r="AW76" s="55">
        <f t="shared" si="3"/>
        <v>0</v>
      </c>
      <c r="AX76" s="55">
        <f t="shared" si="66"/>
        <v>0</v>
      </c>
      <c r="AY76" s="55">
        <f t="shared" si="66"/>
        <v>0</v>
      </c>
      <c r="AZ76" s="57"/>
      <c r="BA76" s="350"/>
      <c r="BB76" s="55" t="e">
        <f>AZ76/BA76</f>
        <v>#DIV/0!</v>
      </c>
      <c r="BC76" s="55" t="e">
        <f>T76/(D76*12)</f>
        <v>#DIV/0!</v>
      </c>
      <c r="BD76" s="55" t="e">
        <f>BC76*BB76</f>
        <v>#DIV/0!</v>
      </c>
      <c r="BE76" s="55" t="e">
        <f t="shared" ref="BE76:BH78" si="71">$BD76</f>
        <v>#DIV/0!</v>
      </c>
      <c r="BF76" s="55" t="e">
        <f t="shared" si="71"/>
        <v>#DIV/0!</v>
      </c>
      <c r="BG76" s="55" t="e">
        <f t="shared" si="71"/>
        <v>#DIV/0!</v>
      </c>
      <c r="BH76" s="55" t="e">
        <f t="shared" si="71"/>
        <v>#DIV/0!</v>
      </c>
      <c r="BI76" s="55"/>
      <c r="BJ76" s="55"/>
      <c r="BK76" s="55"/>
      <c r="BL76" s="55" t="e">
        <f>SUM((AU76:AY76),(BE76:BK76))</f>
        <v>#DIV/0!</v>
      </c>
      <c r="BM76" s="668" t="e">
        <f>(AR76-BL76)</f>
        <v>#DIV/0!</v>
      </c>
      <c r="BN76" s="55"/>
      <c r="BO76" s="55"/>
      <c r="BP76" s="55"/>
      <c r="BQ76" s="55"/>
      <c r="BR76" s="55"/>
      <c r="BS76" s="55"/>
      <c r="BT76" s="448"/>
      <c r="BU76" s="57"/>
      <c r="BV76" s="350"/>
      <c r="BW76" s="55" t="e">
        <f>BU76/BV76</f>
        <v>#DIV/0!</v>
      </c>
      <c r="BX76" s="55"/>
      <c r="BY76" s="55"/>
      <c r="BZ76" s="55"/>
      <c r="CA76" s="55"/>
      <c r="CB76" s="55"/>
      <c r="CC76" s="55"/>
      <c r="CD76" s="55"/>
      <c r="CE76" s="55"/>
      <c r="CF76" s="55"/>
      <c r="CG76" s="55">
        <f>SUM((BN76:BR76),(BZ76:CF76))</f>
        <v>0</v>
      </c>
      <c r="CH76" s="448">
        <f>(BK76-CG76)</f>
        <v>0</v>
      </c>
      <c r="CI76" s="55"/>
      <c r="CJ76" s="55"/>
      <c r="CK76" s="55"/>
      <c r="CL76" s="55"/>
      <c r="CM76" s="55"/>
      <c r="CN76" s="505">
        <f t="shared" si="7"/>
        <v>0</v>
      </c>
      <c r="CO76" s="679">
        <f t="shared" si="8"/>
        <v>0</v>
      </c>
      <c r="CP76" s="656"/>
      <c r="CQ76" s="350"/>
      <c r="CR76" s="957"/>
      <c r="CS76" s="511"/>
      <c r="CT76" s="511"/>
      <c r="CU76" s="511"/>
      <c r="CV76" s="511"/>
      <c r="CW76" s="511"/>
      <c r="CX76" s="511"/>
      <c r="CY76" s="511"/>
      <c r="CZ76" s="511"/>
      <c r="DA76" s="511"/>
      <c r="DB76" s="511"/>
      <c r="DC76" s="511"/>
      <c r="DD76" s="511"/>
      <c r="DE76" s="511"/>
      <c r="DF76" s="511"/>
      <c r="DG76" s="511"/>
      <c r="DH76" s="511"/>
      <c r="DI76" s="511"/>
      <c r="DJ76" s="511"/>
      <c r="DK76" s="511"/>
      <c r="DL76" s="511"/>
      <c r="DM76" s="511">
        <f t="shared" si="9"/>
        <v>0</v>
      </c>
      <c r="DN76" s="511">
        <f>CV76-DM76</f>
        <v>0</v>
      </c>
    </row>
    <row r="77" spans="1:118" hidden="1" x14ac:dyDescent="0.2">
      <c r="A77" s="120" t="s">
        <v>258</v>
      </c>
      <c r="B77" s="124"/>
      <c r="C77" s="124"/>
      <c r="D77" s="58"/>
      <c r="E77" s="49"/>
      <c r="F77" s="46"/>
      <c r="G77" s="48"/>
      <c r="H77" s="145"/>
      <c r="I77" s="165"/>
      <c r="J77" s="48"/>
      <c r="K77" s="165"/>
      <c r="L77" s="48"/>
      <c r="M77" s="165"/>
      <c r="N77" s="48"/>
      <c r="O77" s="165"/>
      <c r="P77" s="48"/>
      <c r="Q77" s="46"/>
      <c r="R77" s="46"/>
      <c r="S77" s="46"/>
      <c r="T77" s="47"/>
      <c r="U77" s="47"/>
      <c r="V77" s="106"/>
      <c r="W77" s="165"/>
      <c r="X77" s="57"/>
      <c r="Y77" s="80"/>
      <c r="Z77" s="57"/>
      <c r="AA77" s="350"/>
      <c r="AB77" s="55"/>
      <c r="AC77" s="55"/>
      <c r="AD77" s="55"/>
      <c r="AE77" s="55"/>
      <c r="AF77" s="55"/>
      <c r="AG77" s="55"/>
      <c r="AH77" s="55"/>
      <c r="AI77" s="55"/>
      <c r="AJ77" s="55">
        <f t="shared" si="69"/>
        <v>0</v>
      </c>
      <c r="AK77" s="55">
        <f t="shared" si="69"/>
        <v>0</v>
      </c>
      <c r="AL77" s="55">
        <f t="shared" si="69"/>
        <v>0</v>
      </c>
      <c r="AM77" s="55">
        <f t="shared" si="69"/>
        <v>0</v>
      </c>
      <c r="AN77" s="55">
        <f t="shared" si="69"/>
        <v>0</v>
      </c>
      <c r="AO77" s="55">
        <f t="shared" si="69"/>
        <v>0</v>
      </c>
      <c r="AP77" s="55">
        <f t="shared" si="69"/>
        <v>0</v>
      </c>
      <c r="AQ77" s="72">
        <f>SUM(AE77:AP77)</f>
        <v>0</v>
      </c>
      <c r="AR77" s="72">
        <f>Y77-AQ77</f>
        <v>0</v>
      </c>
      <c r="AS77" s="55"/>
      <c r="AT77" s="55"/>
      <c r="AU77" s="55">
        <f t="shared" si="3"/>
        <v>0</v>
      </c>
      <c r="AV77" s="55">
        <f t="shared" si="3"/>
        <v>0</v>
      </c>
      <c r="AW77" s="55">
        <f t="shared" si="3"/>
        <v>0</v>
      </c>
      <c r="AX77" s="55">
        <f t="shared" si="66"/>
        <v>0</v>
      </c>
      <c r="AY77" s="55">
        <f t="shared" si="66"/>
        <v>0</v>
      </c>
      <c r="AZ77" s="57"/>
      <c r="BA77" s="350"/>
      <c r="BB77" s="55" t="e">
        <f>AZ77/BA77</f>
        <v>#DIV/0!</v>
      </c>
      <c r="BC77" s="55" t="e">
        <f>T77/(D77*12)</f>
        <v>#DIV/0!</v>
      </c>
      <c r="BD77" s="55" t="e">
        <f>BC77*BB77</f>
        <v>#DIV/0!</v>
      </c>
      <c r="BE77" s="55" t="e">
        <f t="shared" si="71"/>
        <v>#DIV/0!</v>
      </c>
      <c r="BF77" s="55" t="e">
        <f t="shared" si="71"/>
        <v>#DIV/0!</v>
      </c>
      <c r="BG77" s="55" t="e">
        <f t="shared" si="71"/>
        <v>#DIV/0!</v>
      </c>
      <c r="BH77" s="55" t="e">
        <f t="shared" si="71"/>
        <v>#DIV/0!</v>
      </c>
      <c r="BI77" s="55"/>
      <c r="BJ77" s="55"/>
      <c r="BK77" s="55"/>
      <c r="BL77" s="55" t="e">
        <f>SUM((AU77:AY77),(BE77:BK77))</f>
        <v>#DIV/0!</v>
      </c>
      <c r="BM77" s="668" t="e">
        <f>(AR77-BL77)</f>
        <v>#DIV/0!</v>
      </c>
      <c r="BN77" s="55"/>
      <c r="BO77" s="55"/>
      <c r="BP77" s="55"/>
      <c r="BQ77" s="55"/>
      <c r="BR77" s="55"/>
      <c r="BS77" s="55"/>
      <c r="BT77" s="448"/>
      <c r="BU77" s="57"/>
      <c r="BV77" s="350"/>
      <c r="BW77" s="55" t="e">
        <f>BU77/BV77</f>
        <v>#DIV/0!</v>
      </c>
      <c r="BX77" s="55"/>
      <c r="BY77" s="55"/>
      <c r="BZ77" s="55"/>
      <c r="CA77" s="55"/>
      <c r="CB77" s="55"/>
      <c r="CC77" s="55"/>
      <c r="CD77" s="55"/>
      <c r="CE77" s="55"/>
      <c r="CF77" s="55"/>
      <c r="CG77" s="55">
        <f>SUM((BN77:BR77),(BZ77:CF77))</f>
        <v>0</v>
      </c>
      <c r="CH77" s="448">
        <f>(BK77-CG77)</f>
        <v>0</v>
      </c>
      <c r="CI77" s="55"/>
      <c r="CJ77" s="55"/>
      <c r="CK77" s="55"/>
      <c r="CL77" s="55"/>
      <c r="CM77" s="55"/>
      <c r="CN77" s="505">
        <f t="shared" si="7"/>
        <v>0</v>
      </c>
      <c r="CO77" s="679">
        <f t="shared" si="8"/>
        <v>0</v>
      </c>
      <c r="CP77" s="623"/>
      <c r="CQ77" s="350"/>
      <c r="CR77" s="957" t="e">
        <f>CP77/CQ77</f>
        <v>#DIV/0!</v>
      </c>
      <c r="CS77" s="511" t="e">
        <f>CO77/AL77</f>
        <v>#DIV/0!</v>
      </c>
      <c r="CT77" s="511"/>
      <c r="CU77" s="511"/>
      <c r="CV77" s="511"/>
      <c r="CW77" s="511"/>
      <c r="CX77" s="511"/>
      <c r="CY77" s="511"/>
      <c r="CZ77" s="511"/>
      <c r="DA77" s="511"/>
      <c r="DB77" s="511"/>
      <c r="DC77" s="511"/>
      <c r="DD77" s="511"/>
      <c r="DE77" s="511"/>
      <c r="DF77" s="511"/>
      <c r="DG77" s="511"/>
      <c r="DH77" s="511"/>
      <c r="DI77" s="511"/>
      <c r="DJ77" s="511"/>
      <c r="DK77" s="511"/>
      <c r="DL77" s="511"/>
      <c r="DM77" s="511">
        <f t="shared" si="9"/>
        <v>0</v>
      </c>
      <c r="DN77" s="511"/>
    </row>
    <row r="78" spans="1:118" hidden="1" x14ac:dyDescent="0.2">
      <c r="A78" s="45" t="s">
        <v>749</v>
      </c>
      <c r="B78" s="45" t="s">
        <v>748</v>
      </c>
      <c r="C78" s="45" t="s">
        <v>427</v>
      </c>
      <c r="D78" s="58">
        <v>5</v>
      </c>
      <c r="E78" s="49">
        <v>0.2</v>
      </c>
      <c r="F78" s="46">
        <v>42185</v>
      </c>
      <c r="G78" s="48">
        <f>D78*12</f>
        <v>60</v>
      </c>
      <c r="H78" s="145">
        <f>100/G78</f>
        <v>1.6666666666666667</v>
      </c>
      <c r="I78" s="165">
        <f>H78*J78</f>
        <v>28.333333333333336</v>
      </c>
      <c r="J78" s="48">
        <f>(YEAR(F78)-YEAR(S78))*12+MONTH(F78)-MONTH(S78)</f>
        <v>17</v>
      </c>
      <c r="K78" s="165">
        <f>L78*H78</f>
        <v>71.666666666666671</v>
      </c>
      <c r="L78" s="48">
        <f>G78-J78</f>
        <v>43</v>
      </c>
      <c r="M78" s="165">
        <f>N78*H78</f>
        <v>11.666666666666668</v>
      </c>
      <c r="N78" s="48">
        <v>7</v>
      </c>
      <c r="O78" s="165">
        <f>P78*H78</f>
        <v>60</v>
      </c>
      <c r="P78" s="48">
        <f>L78-N78</f>
        <v>36</v>
      </c>
      <c r="Q78" s="46">
        <v>43466</v>
      </c>
      <c r="R78" s="46"/>
      <c r="S78" s="46">
        <v>41640</v>
      </c>
      <c r="T78" s="47">
        <v>500</v>
      </c>
      <c r="U78" s="47">
        <f>T78*I78%</f>
        <v>141.66666666666669</v>
      </c>
      <c r="V78" s="106">
        <f>T78-U78</f>
        <v>358.33333333333331</v>
      </c>
      <c r="W78" s="165">
        <f>T78*H78%</f>
        <v>8.3333333333333339</v>
      </c>
      <c r="X78" s="57">
        <f>W78*5</f>
        <v>41.666666666666671</v>
      </c>
      <c r="Y78" s="80">
        <f>V78-X78</f>
        <v>316.66666666666663</v>
      </c>
      <c r="Z78" s="57">
        <v>115.958</v>
      </c>
      <c r="AA78" s="350">
        <v>112.505</v>
      </c>
      <c r="AB78" s="55">
        <f>Z78/AA78</f>
        <v>1.0306919692458114</v>
      </c>
      <c r="AC78" s="55">
        <f>Y78*M78/100/K78*100/7</f>
        <v>7.3643410852713158</v>
      </c>
      <c r="AD78" s="55">
        <f>AC78*AB78</f>
        <v>7.5903672153761281</v>
      </c>
      <c r="AE78" s="55"/>
      <c r="AF78" s="55"/>
      <c r="AG78" s="55"/>
      <c r="AH78" s="55"/>
      <c r="AI78" s="55"/>
      <c r="AJ78" s="55">
        <f t="shared" si="69"/>
        <v>7.5903672153761281</v>
      </c>
      <c r="AK78" s="55">
        <f t="shared" si="69"/>
        <v>7.5903672153761281</v>
      </c>
      <c r="AL78" s="55">
        <f t="shared" si="69"/>
        <v>7.5903672153761281</v>
      </c>
      <c r="AM78" s="55">
        <f t="shared" si="69"/>
        <v>7.5903672153761281</v>
      </c>
      <c r="AN78" s="55">
        <f t="shared" si="69"/>
        <v>7.5903672153761281</v>
      </c>
      <c r="AO78" s="55">
        <f t="shared" si="69"/>
        <v>7.5903672153761281</v>
      </c>
      <c r="AP78" s="55">
        <f t="shared" si="69"/>
        <v>7.5903672153761281</v>
      </c>
      <c r="AQ78" s="72">
        <f>SUM(AE78:AP78)</f>
        <v>53.132570507632892</v>
      </c>
      <c r="AR78" s="72">
        <f>Y78-AQ78</f>
        <v>263.53409615903377</v>
      </c>
      <c r="AS78" s="55"/>
      <c r="AT78" s="55"/>
      <c r="AU78" s="55">
        <f t="shared" si="3"/>
        <v>7.5903672153761281</v>
      </c>
      <c r="AV78" s="55">
        <f t="shared" si="3"/>
        <v>7.5903672153761281</v>
      </c>
      <c r="AW78" s="55">
        <f t="shared" si="3"/>
        <v>7.5903672153761281</v>
      </c>
      <c r="AX78" s="55">
        <f t="shared" si="66"/>
        <v>7.5903672153761281</v>
      </c>
      <c r="AY78" s="55">
        <f t="shared" si="66"/>
        <v>7.5903672153761281</v>
      </c>
      <c r="AZ78" s="57">
        <v>115.958</v>
      </c>
      <c r="BA78" s="350">
        <v>112.505</v>
      </c>
      <c r="BB78" s="55">
        <f>AZ78/BA78</f>
        <v>1.0306919692458114</v>
      </c>
      <c r="BC78" s="55">
        <f>T78/(D78*12)</f>
        <v>8.3333333333333339</v>
      </c>
      <c r="BD78" s="55">
        <f>BC78*BB78</f>
        <v>8.5890997437150958</v>
      </c>
      <c r="BE78" s="55">
        <f t="shared" si="71"/>
        <v>8.5890997437150958</v>
      </c>
      <c r="BF78" s="55">
        <f t="shared" si="71"/>
        <v>8.5890997437150958</v>
      </c>
      <c r="BG78" s="55">
        <f t="shared" si="71"/>
        <v>8.5890997437150958</v>
      </c>
      <c r="BH78" s="55">
        <f t="shared" si="71"/>
        <v>8.5890997437150958</v>
      </c>
      <c r="BI78" s="55"/>
      <c r="BJ78" s="55"/>
      <c r="BK78" s="55"/>
      <c r="BL78" s="55">
        <f>SUM((AU78:AY78),(BE78:BK78))</f>
        <v>72.308235051741022</v>
      </c>
      <c r="BM78" s="668">
        <f>(AR78-BL78)</f>
        <v>191.22586110729276</v>
      </c>
      <c r="BN78" s="55"/>
      <c r="BO78" s="55"/>
      <c r="BP78" s="55"/>
      <c r="BQ78" s="55"/>
      <c r="BR78" s="55"/>
      <c r="BS78" s="55"/>
      <c r="BT78" s="448"/>
      <c r="BU78" s="57">
        <v>115.958</v>
      </c>
      <c r="BV78" s="350">
        <v>112.505</v>
      </c>
      <c r="BW78" s="55">
        <f>BU78/BV78</f>
        <v>1.0306919692458114</v>
      </c>
      <c r="BX78" s="55"/>
      <c r="BY78" s="55"/>
      <c r="BZ78" s="55"/>
      <c r="CA78" s="55"/>
      <c r="CB78" s="55"/>
      <c r="CC78" s="55"/>
      <c r="CD78" s="55"/>
      <c r="CE78" s="55"/>
      <c r="CF78" s="55"/>
      <c r="CG78" s="55">
        <f>SUM((BN78:BR78),(BZ78:CF78))</f>
        <v>0</v>
      </c>
      <c r="CH78" s="448">
        <f>(BK78-CG78)</f>
        <v>0</v>
      </c>
      <c r="CI78" s="55"/>
      <c r="CJ78" s="55"/>
      <c r="CK78" s="55"/>
      <c r="CL78" s="55"/>
      <c r="CM78" s="55"/>
      <c r="CN78" s="505">
        <f t="shared" si="7"/>
        <v>0</v>
      </c>
      <c r="CO78" s="679">
        <f t="shared" si="8"/>
        <v>0</v>
      </c>
      <c r="CQ78" s="350">
        <v>112.505</v>
      </c>
      <c r="DM78" s="511">
        <f t="shared" si="9"/>
        <v>0</v>
      </c>
    </row>
    <row r="79" spans="1:118" x14ac:dyDescent="0.2">
      <c r="A79" s="120" t="s">
        <v>70</v>
      </c>
      <c r="B79" s="120"/>
      <c r="C79" s="120"/>
      <c r="D79" s="58"/>
      <c r="E79" s="49"/>
      <c r="F79" s="46"/>
      <c r="G79" s="48"/>
      <c r="H79" s="145"/>
      <c r="I79" s="165"/>
      <c r="J79" s="48"/>
      <c r="K79" s="165"/>
      <c r="L79" s="48"/>
      <c r="M79" s="165"/>
      <c r="N79" s="48"/>
      <c r="O79" s="165"/>
      <c r="P79" s="48"/>
      <c r="Q79" s="46"/>
      <c r="R79" s="46"/>
      <c r="S79" s="46"/>
      <c r="T79" s="47"/>
      <c r="U79" s="47"/>
      <c r="V79" s="106"/>
      <c r="W79" s="165"/>
      <c r="X79" s="57"/>
      <c r="Y79" s="80"/>
      <c r="Z79" s="57"/>
      <c r="AA79" s="350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72"/>
      <c r="AR79" s="72"/>
      <c r="AS79" s="55"/>
      <c r="AT79" s="55"/>
      <c r="AU79" s="55">
        <f t="shared" ref="AU79:AW81" si="72">$AP79</f>
        <v>0</v>
      </c>
      <c r="AV79" s="55">
        <f t="shared" si="72"/>
        <v>0</v>
      </c>
      <c r="AW79" s="55">
        <f t="shared" si="72"/>
        <v>0</v>
      </c>
      <c r="AX79" s="55">
        <f t="shared" si="66"/>
        <v>0</v>
      </c>
      <c r="AY79" s="55">
        <f t="shared" si="66"/>
        <v>0</v>
      </c>
      <c r="AZ79" s="57"/>
      <c r="BA79" s="350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668"/>
      <c r="BN79" s="55"/>
      <c r="BO79" s="55"/>
      <c r="BP79" s="55"/>
      <c r="BQ79" s="55"/>
      <c r="BR79" s="55"/>
      <c r="BS79" s="55"/>
      <c r="BT79" s="448"/>
      <c r="BU79" s="57"/>
      <c r="BV79" s="350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448"/>
      <c r="CI79" s="55"/>
      <c r="CJ79" s="55"/>
      <c r="CK79" s="55"/>
      <c r="CL79" s="55"/>
      <c r="CM79" s="55"/>
      <c r="CN79" s="505"/>
      <c r="CO79" s="679"/>
      <c r="CP79" s="55"/>
      <c r="CQ79" s="350"/>
      <c r="CR79" s="55"/>
      <c r="CS79" s="55"/>
      <c r="CT79" s="55"/>
      <c r="CU79" s="55"/>
      <c r="CV79" s="55"/>
      <c r="CW79" s="55"/>
      <c r="CX79" s="55"/>
      <c r="CY79" s="55"/>
      <c r="CZ79" s="55"/>
      <c r="DA79" s="55"/>
      <c r="DB79" s="55"/>
      <c r="DC79" s="55"/>
      <c r="DD79" s="55"/>
      <c r="DE79" s="55"/>
      <c r="DF79" s="55"/>
      <c r="DG79" s="55"/>
      <c r="DH79" s="55"/>
      <c r="DI79" s="55"/>
      <c r="DJ79" s="55"/>
      <c r="DK79" s="55"/>
      <c r="DL79" s="55"/>
      <c r="DM79" s="511">
        <f t="shared" si="9"/>
        <v>0</v>
      </c>
      <c r="DN79" s="55"/>
    </row>
    <row r="80" spans="1:118" x14ac:dyDescent="0.2">
      <c r="A80" s="120" t="s">
        <v>1258</v>
      </c>
      <c r="B80" s="124"/>
      <c r="C80" s="124"/>
      <c r="D80" s="58"/>
      <c r="E80" s="49"/>
      <c r="F80" s="46"/>
      <c r="G80" s="48"/>
      <c r="H80" s="145"/>
      <c r="I80" s="165"/>
      <c r="J80" s="48"/>
      <c r="K80" s="165"/>
      <c r="L80" s="48"/>
      <c r="M80" s="165"/>
      <c r="N80" s="48"/>
      <c r="O80" s="165"/>
      <c r="P80" s="48"/>
      <c r="Q80" s="46"/>
      <c r="R80" s="46"/>
      <c r="S80" s="46"/>
      <c r="T80" s="47"/>
      <c r="U80" s="47"/>
      <c r="V80" s="106"/>
      <c r="W80" s="165"/>
      <c r="X80" s="57"/>
      <c r="Y80" s="80"/>
      <c r="Z80" s="57"/>
      <c r="AA80" s="350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72"/>
      <c r="AR80" s="72"/>
      <c r="AS80" s="55"/>
      <c r="AT80" s="55"/>
      <c r="AU80" s="55">
        <f t="shared" si="72"/>
        <v>0</v>
      </c>
      <c r="AV80" s="55">
        <f t="shared" si="72"/>
        <v>0</v>
      </c>
      <c r="AW80" s="55">
        <f t="shared" si="72"/>
        <v>0</v>
      </c>
      <c r="AX80" s="55">
        <f t="shared" si="66"/>
        <v>0</v>
      </c>
      <c r="AY80" s="55">
        <f t="shared" si="66"/>
        <v>0</v>
      </c>
      <c r="AZ80" s="57"/>
      <c r="BA80" s="350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668"/>
      <c r="BN80" s="55"/>
      <c r="BO80" s="55"/>
      <c r="BP80" s="55"/>
      <c r="BQ80" s="55"/>
      <c r="BR80" s="55"/>
      <c r="BS80" s="55"/>
      <c r="BT80" s="448"/>
      <c r="BU80" s="57"/>
      <c r="BV80" s="350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448"/>
      <c r="CI80" s="55"/>
      <c r="CJ80" s="55"/>
      <c r="CK80" s="55"/>
      <c r="CL80" s="55"/>
      <c r="CM80" s="55"/>
      <c r="CN80" s="505"/>
      <c r="CO80" s="679"/>
      <c r="CP80" s="55"/>
      <c r="CQ80" s="350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11">
        <f t="shared" si="9"/>
        <v>0</v>
      </c>
      <c r="DN80" s="55"/>
    </row>
    <row r="81" spans="1:118" x14ac:dyDescent="0.2">
      <c r="A81" s="45" t="s">
        <v>1018</v>
      </c>
      <c r="B81" s="100" t="s">
        <v>1019</v>
      </c>
      <c r="C81" s="45" t="s">
        <v>427</v>
      </c>
      <c r="D81" s="58">
        <v>10</v>
      </c>
      <c r="E81" s="49">
        <v>0.1</v>
      </c>
      <c r="F81" s="46">
        <v>43281</v>
      </c>
      <c r="G81" s="48">
        <v>120</v>
      </c>
      <c r="H81" s="145">
        <f>100/G81</f>
        <v>0.83333333333333337</v>
      </c>
      <c r="I81" s="165">
        <f>H81*J81</f>
        <v>18.333333333333336</v>
      </c>
      <c r="J81" s="48">
        <f>(YEAR(F81)-YEAR(S81))*12+MONTH(F81)-MONTH(S81)</f>
        <v>22</v>
      </c>
      <c r="K81" s="165">
        <f>L81*H81</f>
        <v>81.666666666666671</v>
      </c>
      <c r="L81" s="48">
        <f>G81-J81</f>
        <v>98</v>
      </c>
      <c r="M81" s="165">
        <f>N81*H81</f>
        <v>0</v>
      </c>
      <c r="N81" s="48">
        <v>0</v>
      </c>
      <c r="O81" s="165">
        <f>P81*H81</f>
        <v>81.666666666666671</v>
      </c>
      <c r="P81" s="48">
        <f>L81-N81</f>
        <v>98</v>
      </c>
      <c r="Q81" s="46">
        <v>45292</v>
      </c>
      <c r="R81" s="46" t="s">
        <v>1020</v>
      </c>
      <c r="S81" s="46">
        <v>42590</v>
      </c>
      <c r="T81" s="47">
        <v>123354.4</v>
      </c>
      <c r="U81" s="47">
        <f>T81*I81%</f>
        <v>22614.973333333335</v>
      </c>
      <c r="V81" s="106">
        <f>T81-U81</f>
        <v>100739.42666666667</v>
      </c>
      <c r="W81" s="165">
        <v>0</v>
      </c>
      <c r="X81" s="57">
        <f>W81*5</f>
        <v>0</v>
      </c>
      <c r="Y81" s="80">
        <v>0</v>
      </c>
      <c r="Z81" s="57">
        <v>115.958</v>
      </c>
      <c r="AA81" s="350">
        <v>112.505</v>
      </c>
      <c r="AB81" s="55">
        <v>0</v>
      </c>
      <c r="AC81" s="55">
        <f>Y81*M81/100/K81*100/7</f>
        <v>0</v>
      </c>
      <c r="AD81" s="55">
        <f>AC81*AB81</f>
        <v>0</v>
      </c>
      <c r="AE81" s="55"/>
      <c r="AF81" s="55"/>
      <c r="AG81" s="55"/>
      <c r="AH81" s="55"/>
      <c r="AI81" s="55"/>
      <c r="AJ81" s="55">
        <f t="shared" ref="AJ81:AP81" si="73">$AD81</f>
        <v>0</v>
      </c>
      <c r="AK81" s="55">
        <f t="shared" si="73"/>
        <v>0</v>
      </c>
      <c r="AL81" s="55">
        <f t="shared" si="73"/>
        <v>0</v>
      </c>
      <c r="AM81" s="55">
        <f t="shared" si="73"/>
        <v>0</v>
      </c>
      <c r="AN81" s="55">
        <f t="shared" si="73"/>
        <v>0</v>
      </c>
      <c r="AO81" s="55">
        <f t="shared" si="73"/>
        <v>0</v>
      </c>
      <c r="AP81" s="55">
        <f t="shared" si="73"/>
        <v>0</v>
      </c>
      <c r="AQ81" s="72">
        <f>SUM(AE81:AP81)</f>
        <v>0</v>
      </c>
      <c r="AR81" s="72">
        <f>Y81-AQ81</f>
        <v>0</v>
      </c>
      <c r="AS81" s="55"/>
      <c r="AT81" s="55"/>
      <c r="AU81" s="55">
        <f t="shared" si="72"/>
        <v>0</v>
      </c>
      <c r="AV81" s="55">
        <f t="shared" si="72"/>
        <v>0</v>
      </c>
      <c r="AW81" s="55">
        <f t="shared" si="72"/>
        <v>0</v>
      </c>
      <c r="AX81" s="55">
        <f t="shared" si="66"/>
        <v>0</v>
      </c>
      <c r="AY81" s="55">
        <f t="shared" si="66"/>
        <v>0</v>
      </c>
      <c r="AZ81" s="57">
        <v>118.901</v>
      </c>
      <c r="BA81" s="350">
        <v>119.547</v>
      </c>
      <c r="BB81" s="55">
        <f>AZ81/BA81</f>
        <v>0.994596267576769</v>
      </c>
      <c r="BC81" s="55">
        <f>T81/(D81*12)</f>
        <v>1027.9533333333334</v>
      </c>
      <c r="BD81" s="55">
        <f>BC81*BB81</f>
        <v>1022.3985485764316</v>
      </c>
      <c r="BE81" s="55"/>
      <c r="BF81" s="55"/>
      <c r="BG81" s="55"/>
      <c r="BH81" s="55">
        <f>$BD81</f>
        <v>1022.3985485764316</v>
      </c>
      <c r="BI81" s="55">
        <v>1022.4</v>
      </c>
      <c r="BJ81" s="55">
        <v>1022.4</v>
      </c>
      <c r="BK81" s="55">
        <v>1022.4</v>
      </c>
      <c r="BL81" s="55">
        <f>SUM((AU81:AY81),(BE81:BK81))</f>
        <v>4089.5985485764318</v>
      </c>
      <c r="BM81" s="668">
        <f>(T81-BL81)</f>
        <v>119264.80145142357</v>
      </c>
      <c r="BN81" s="55">
        <v>1022.4</v>
      </c>
      <c r="BO81" s="55">
        <v>1022.4</v>
      </c>
      <c r="BP81" s="55">
        <v>1022.4</v>
      </c>
      <c r="BQ81" s="55">
        <v>1022.4</v>
      </c>
      <c r="BR81" s="55">
        <v>1022.4</v>
      </c>
      <c r="BS81" s="55">
        <f>SUM(BN81:BR81)</f>
        <v>5112</v>
      </c>
      <c r="BT81" s="448">
        <f>BM81-BS81</f>
        <v>114152.80145142357</v>
      </c>
      <c r="BU81" s="57">
        <v>126.408</v>
      </c>
      <c r="BV81" s="350">
        <v>119.547</v>
      </c>
      <c r="BW81" s="55">
        <f>BU81/BV81</f>
        <v>1.0573916534919321</v>
      </c>
      <c r="BX81" s="55">
        <f>BT81/L81</f>
        <v>1164.824504606363</v>
      </c>
      <c r="BY81" s="55">
        <f>BW81*BX81</f>
        <v>1231.6757089536429</v>
      </c>
      <c r="BZ81" s="55">
        <v>1097.3110861586999</v>
      </c>
      <c r="CA81" s="55">
        <v>1097.3110861586999</v>
      </c>
      <c r="CB81" s="55">
        <v>1097.3110861586999</v>
      </c>
      <c r="CC81" s="55">
        <v>1097.3110861586999</v>
      </c>
      <c r="CD81" s="55">
        <v>1097.3110861586999</v>
      </c>
      <c r="CE81" s="55">
        <v>1097.3110861586999</v>
      </c>
      <c r="CF81" s="55">
        <v>1097.3110861586999</v>
      </c>
      <c r="CG81" s="55">
        <f>SUM(BZ81:CF81)</f>
        <v>7681.1776031109002</v>
      </c>
      <c r="CH81" s="448">
        <f>BT81-CG81</f>
        <v>106471.62384831267</v>
      </c>
      <c r="CI81" s="55">
        <v>1097.3110861586999</v>
      </c>
      <c r="CJ81" s="55">
        <v>1097.3110861586999</v>
      </c>
      <c r="CK81" s="55">
        <v>1097.3110861586999</v>
      </c>
      <c r="CL81" s="55">
        <v>1097.3110861586999</v>
      </c>
      <c r="CM81" s="55">
        <v>1097.3110861586999</v>
      </c>
      <c r="CN81" s="505">
        <f t="shared" ref="CN81:CN88" si="74">SUM(CI81:CM81)</f>
        <v>5486.5554307934999</v>
      </c>
      <c r="CO81" s="679">
        <f t="shared" ref="CO81:CO88" si="75">CH81-CN81</f>
        <v>100985.06841751917</v>
      </c>
      <c r="CP81" s="956">
        <v>132.28200000000001</v>
      </c>
      <c r="CQ81" s="350">
        <v>119.547</v>
      </c>
      <c r="CR81" s="957">
        <f>CP81/CQ81</f>
        <v>1.1065271399533239</v>
      </c>
      <c r="CS81" s="511">
        <f>CO81/P81</f>
        <v>1030.45988181142</v>
      </c>
      <c r="CT81" s="511">
        <f>CS81*CR81</f>
        <v>1140.2318258574307</v>
      </c>
      <c r="CU81" s="511">
        <v>1140.2318258574307</v>
      </c>
      <c r="CV81" s="511">
        <v>1140.2318258574307</v>
      </c>
      <c r="CW81" s="511">
        <v>1140.2318258574307</v>
      </c>
      <c r="CX81" s="511">
        <v>1140.2318258574307</v>
      </c>
      <c r="CY81" s="511">
        <v>1140.2318258574307</v>
      </c>
      <c r="CZ81" s="511">
        <v>1140.2318258574307</v>
      </c>
      <c r="DA81" s="511">
        <v>1140.2318258574307</v>
      </c>
      <c r="DB81" s="511">
        <v>1140.2318258574307</v>
      </c>
      <c r="DC81" s="511">
        <v>1140.2318258574307</v>
      </c>
      <c r="DD81" s="511">
        <v>1140.2318258574307</v>
      </c>
      <c r="DE81" s="511">
        <v>1140.2318258574307</v>
      </c>
      <c r="DF81" s="511">
        <v>1140.2318258574307</v>
      </c>
      <c r="DG81" s="511">
        <v>1140.2318258574307</v>
      </c>
      <c r="DH81" s="511">
        <v>1140.2318258574307</v>
      </c>
      <c r="DI81" s="511">
        <v>1140.2318258574307</v>
      </c>
      <c r="DJ81" s="511">
        <v>1140.2318258574307</v>
      </c>
      <c r="DK81" s="511">
        <v>1140.2318258574307</v>
      </c>
      <c r="DL81" s="511">
        <v>1140.2318258574307</v>
      </c>
      <c r="DM81" s="511">
        <f t="shared" si="9"/>
        <v>20524.172865433753</v>
      </c>
      <c r="DN81" s="756">
        <f>CO81-DM81</f>
        <v>80460.895552085422</v>
      </c>
    </row>
    <row r="82" spans="1:118" x14ac:dyDescent="0.2">
      <c r="A82" s="120" t="s">
        <v>747</v>
      </c>
      <c r="B82" s="120"/>
      <c r="C82" s="120"/>
      <c r="D82" s="58"/>
      <c r="E82" s="49"/>
      <c r="F82" s="46"/>
      <c r="G82" s="48"/>
      <c r="H82" s="145"/>
      <c r="I82" s="165"/>
      <c r="J82" s="48"/>
      <c r="K82" s="165"/>
      <c r="L82" s="48"/>
      <c r="M82" s="165"/>
      <c r="N82" s="48"/>
      <c r="O82" s="165"/>
      <c r="P82" s="48"/>
      <c r="Q82" s="46"/>
      <c r="R82" s="46"/>
      <c r="S82" s="46"/>
      <c r="T82" s="47"/>
      <c r="U82" s="47"/>
      <c r="V82" s="106"/>
      <c r="W82" s="165"/>
      <c r="X82" s="57"/>
      <c r="Y82" s="80"/>
      <c r="Z82" s="57"/>
      <c r="AA82" s="350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72"/>
      <c r="AR82" s="72"/>
      <c r="AS82" s="55"/>
      <c r="AT82" s="55"/>
      <c r="AU82" s="55">
        <f t="shared" si="3"/>
        <v>0</v>
      </c>
      <c r="AV82" s="55">
        <f t="shared" si="3"/>
        <v>0</v>
      </c>
      <c r="AW82" s="55">
        <f t="shared" si="3"/>
        <v>0</v>
      </c>
      <c r="AX82" s="55">
        <f t="shared" si="66"/>
        <v>0</v>
      </c>
      <c r="AY82" s="55">
        <f t="shared" si="66"/>
        <v>0</v>
      </c>
      <c r="AZ82" s="57"/>
      <c r="BA82" s="350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668"/>
      <c r="BN82" s="55"/>
      <c r="BO82" s="55"/>
      <c r="BP82" s="55"/>
      <c r="BQ82" s="55"/>
      <c r="BR82" s="55"/>
      <c r="BS82" s="55"/>
      <c r="BT82" s="448"/>
      <c r="BU82" s="57"/>
      <c r="BV82" s="350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448"/>
      <c r="CI82" s="55"/>
      <c r="CJ82" s="55"/>
      <c r="CK82" s="55"/>
      <c r="CL82" s="55"/>
      <c r="CM82" s="55"/>
      <c r="CN82" s="505"/>
      <c r="CO82" s="679"/>
      <c r="CP82" s="511"/>
      <c r="CQ82" s="350"/>
      <c r="CR82" s="957"/>
      <c r="CS82" s="511"/>
      <c r="CT82" s="511"/>
      <c r="CU82" s="511"/>
      <c r="CV82" s="511"/>
      <c r="CW82" s="511"/>
      <c r="CX82" s="511"/>
      <c r="CY82" s="511"/>
      <c r="CZ82" s="511"/>
      <c r="DA82" s="511"/>
      <c r="DB82" s="511"/>
      <c r="DC82" s="511"/>
      <c r="DD82" s="511"/>
      <c r="DE82" s="511"/>
      <c r="DF82" s="511"/>
      <c r="DG82" s="511"/>
      <c r="DH82" s="511"/>
      <c r="DI82" s="511"/>
      <c r="DJ82" s="511"/>
      <c r="DK82" s="511"/>
      <c r="DL82" s="511"/>
      <c r="DM82" s="511">
        <f t="shared" si="9"/>
        <v>0</v>
      </c>
      <c r="DN82" s="511"/>
    </row>
    <row r="83" spans="1:118" x14ac:dyDescent="0.2">
      <c r="A83" s="120" t="s">
        <v>746</v>
      </c>
      <c r="B83" s="45"/>
      <c r="C83" s="45"/>
      <c r="D83" s="58"/>
      <c r="E83" s="49"/>
      <c r="F83" s="46"/>
      <c r="G83" s="48"/>
      <c r="H83" s="145"/>
      <c r="I83" s="165"/>
      <c r="J83" s="48"/>
      <c r="K83" s="165"/>
      <c r="L83" s="48"/>
      <c r="M83" s="165"/>
      <c r="N83" s="48"/>
      <c r="O83" s="165"/>
      <c r="P83" s="48"/>
      <c r="Q83" s="46"/>
      <c r="R83" s="46"/>
      <c r="S83" s="46"/>
      <c r="T83" s="47"/>
      <c r="U83" s="47"/>
      <c r="V83" s="106"/>
      <c r="W83" s="165"/>
      <c r="X83" s="57"/>
      <c r="Y83" s="80"/>
      <c r="Z83" s="57"/>
      <c r="AA83" s="350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72"/>
      <c r="AR83" s="72"/>
      <c r="AS83" s="55"/>
      <c r="AT83" s="55"/>
      <c r="AU83" s="55">
        <f t="shared" si="3"/>
        <v>0</v>
      </c>
      <c r="AV83" s="55">
        <f t="shared" si="3"/>
        <v>0</v>
      </c>
      <c r="AW83" s="55">
        <f t="shared" si="3"/>
        <v>0</v>
      </c>
      <c r="AX83" s="55">
        <f t="shared" si="66"/>
        <v>0</v>
      </c>
      <c r="AY83" s="55">
        <f t="shared" si="66"/>
        <v>0</v>
      </c>
      <c r="AZ83" s="57"/>
      <c r="BA83" s="350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668"/>
      <c r="BN83" s="55"/>
      <c r="BO83" s="55"/>
      <c r="BP83" s="55"/>
      <c r="BQ83" s="55"/>
      <c r="BR83" s="55"/>
      <c r="BS83" s="55"/>
      <c r="BT83" s="448"/>
      <c r="BU83" s="57"/>
      <c r="BV83" s="350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448"/>
      <c r="CI83" s="55"/>
      <c r="CJ83" s="55"/>
      <c r="CK83" s="55"/>
      <c r="CL83" s="55"/>
      <c r="CM83" s="55"/>
      <c r="CN83" s="505"/>
      <c r="CO83" s="679"/>
      <c r="CP83" s="623"/>
      <c r="CQ83" s="350"/>
      <c r="CR83" s="957"/>
      <c r="CS83" s="511"/>
      <c r="CT83" s="511"/>
      <c r="CU83" s="511"/>
      <c r="CV83" s="511"/>
      <c r="CW83" s="511"/>
      <c r="CX83" s="511"/>
      <c r="CY83" s="511"/>
      <c r="CZ83" s="511"/>
      <c r="DA83" s="511"/>
      <c r="DB83" s="511"/>
      <c r="DC83" s="511"/>
      <c r="DD83" s="511"/>
      <c r="DE83" s="511"/>
      <c r="DF83" s="511"/>
      <c r="DG83" s="511"/>
      <c r="DH83" s="511"/>
      <c r="DI83" s="511"/>
      <c r="DJ83" s="511"/>
      <c r="DK83" s="511"/>
      <c r="DL83" s="511"/>
      <c r="DM83" s="511">
        <f t="shared" ref="DM83:DM88" si="76">SUM(CU83:DL83)</f>
        <v>0</v>
      </c>
      <c r="DN83" s="511"/>
    </row>
    <row r="84" spans="1:118" x14ac:dyDescent="0.2">
      <c r="A84" s="45" t="s">
        <v>745</v>
      </c>
      <c r="B84" s="45" t="s">
        <v>744</v>
      </c>
      <c r="C84" s="45" t="s">
        <v>427</v>
      </c>
      <c r="D84" s="58">
        <v>10</v>
      </c>
      <c r="E84" s="49">
        <v>0.1</v>
      </c>
      <c r="F84" s="46">
        <v>43281</v>
      </c>
      <c r="G84" s="48">
        <f>D84*12</f>
        <v>120</v>
      </c>
      <c r="H84" s="145">
        <f>100/G84</f>
        <v>0.83333333333333337</v>
      </c>
      <c r="I84" s="165">
        <f>H84*J84</f>
        <v>44.166666666666671</v>
      </c>
      <c r="J84" s="48">
        <f>(YEAR(F84)-YEAR(S84))*12+MONTH(F84)-MONTH(S84)</f>
        <v>53</v>
      </c>
      <c r="K84" s="165">
        <f>L84*H84</f>
        <v>55.833333333333336</v>
      </c>
      <c r="L84" s="48">
        <f>G84-J84</f>
        <v>67</v>
      </c>
      <c r="M84" s="165">
        <f>N84*H84</f>
        <v>5.8333333333333339</v>
      </c>
      <c r="N84" s="48">
        <f>(7)</f>
        <v>7</v>
      </c>
      <c r="O84" s="165">
        <f>P84*H84</f>
        <v>50</v>
      </c>
      <c r="P84" s="48">
        <f>L84-N84</f>
        <v>60</v>
      </c>
      <c r="Q84" s="46">
        <v>45292</v>
      </c>
      <c r="R84" s="46" t="s">
        <v>445</v>
      </c>
      <c r="S84" s="46">
        <v>41640</v>
      </c>
      <c r="T84" s="47">
        <f>500*5</f>
        <v>2500</v>
      </c>
      <c r="U84" s="47">
        <f>T84*I84%</f>
        <v>1104.1666666666667</v>
      </c>
      <c r="V84" s="106">
        <f>T84-U84</f>
        <v>1395.8333333333333</v>
      </c>
      <c r="W84" s="165">
        <f>T84*H84%</f>
        <v>20.833333333333332</v>
      </c>
      <c r="X84" s="57">
        <f>W84*5</f>
        <v>104.16666666666666</v>
      </c>
      <c r="Y84" s="80">
        <f>V84-X84</f>
        <v>1291.6666666666665</v>
      </c>
      <c r="Z84" s="57">
        <v>115.958</v>
      </c>
      <c r="AA84" s="350">
        <v>112.505</v>
      </c>
      <c r="AB84" s="55">
        <f>Z84/AA84</f>
        <v>1.0306919692458114</v>
      </c>
      <c r="AC84" s="55">
        <f>Y84*M84/100/K84*100/7</f>
        <v>19.278606965174127</v>
      </c>
      <c r="AD84" s="55">
        <f>AC84*AB84</f>
        <v>19.870305377251338</v>
      </c>
      <c r="AE84" s="55"/>
      <c r="AF84" s="55"/>
      <c r="AG84" s="55"/>
      <c r="AH84" s="55"/>
      <c r="AI84" s="55"/>
      <c r="AJ84" s="55">
        <f t="shared" ref="AJ84:AP84" si="77">$AD84</f>
        <v>19.870305377251338</v>
      </c>
      <c r="AK84" s="55">
        <f t="shared" si="77"/>
        <v>19.870305377251338</v>
      </c>
      <c r="AL84" s="55">
        <f t="shared" si="77"/>
        <v>19.870305377251338</v>
      </c>
      <c r="AM84" s="55">
        <f t="shared" si="77"/>
        <v>19.870305377251338</v>
      </c>
      <c r="AN84" s="55">
        <f t="shared" si="77"/>
        <v>19.870305377251338</v>
      </c>
      <c r="AO84" s="55">
        <f t="shared" si="77"/>
        <v>19.870305377251338</v>
      </c>
      <c r="AP84" s="55">
        <f t="shared" si="77"/>
        <v>19.870305377251338</v>
      </c>
      <c r="AQ84" s="72">
        <f>SUM(AE84:AP84)</f>
        <v>139.09213764075938</v>
      </c>
      <c r="AR84" s="72">
        <f>Y84-AQ84</f>
        <v>1152.5745290259072</v>
      </c>
      <c r="AS84" s="55"/>
      <c r="AT84" s="55"/>
      <c r="AU84" s="55">
        <f t="shared" si="3"/>
        <v>19.870305377251338</v>
      </c>
      <c r="AV84" s="55">
        <f t="shared" si="3"/>
        <v>19.870305377251338</v>
      </c>
      <c r="AW84" s="55">
        <f t="shared" si="3"/>
        <v>19.870305377251338</v>
      </c>
      <c r="AX84" s="55">
        <f t="shared" si="66"/>
        <v>19.870305377251338</v>
      </c>
      <c r="AY84" s="55">
        <f t="shared" si="66"/>
        <v>19.870305377251338</v>
      </c>
      <c r="AZ84" s="57">
        <v>118.901</v>
      </c>
      <c r="BA84" s="350">
        <v>112.505</v>
      </c>
      <c r="BB84" s="55">
        <f>AZ84/BA84</f>
        <v>1.0568508066308164</v>
      </c>
      <c r="BC84" s="55">
        <f>T84/(D84*12)</f>
        <v>20.833333333333332</v>
      </c>
      <c r="BD84" s="55">
        <f>BC84*BB84</f>
        <v>22.017725138142008</v>
      </c>
      <c r="BE84" s="55">
        <f t="shared" ref="BE84:BK84" si="78">$BD84</f>
        <v>22.017725138142008</v>
      </c>
      <c r="BF84" s="55">
        <f t="shared" si="78"/>
        <v>22.017725138142008</v>
      </c>
      <c r="BG84" s="55">
        <f t="shared" si="78"/>
        <v>22.017725138142008</v>
      </c>
      <c r="BH84" s="55">
        <f t="shared" si="78"/>
        <v>22.017725138142008</v>
      </c>
      <c r="BI84" s="55">
        <f t="shared" si="78"/>
        <v>22.017725138142008</v>
      </c>
      <c r="BJ84" s="55">
        <f t="shared" si="78"/>
        <v>22.017725138142008</v>
      </c>
      <c r="BK84" s="55">
        <f t="shared" si="78"/>
        <v>22.017725138142008</v>
      </c>
      <c r="BL84" s="55">
        <f>SUM((AU84:AY84),(BE84:BK84))</f>
        <v>253.47560285325071</v>
      </c>
      <c r="BM84" s="668">
        <f>(AR84-BL84)</f>
        <v>899.09892617265643</v>
      </c>
      <c r="BN84" s="55">
        <f>$BD84</f>
        <v>22.017725138142008</v>
      </c>
      <c r="BO84" s="55">
        <f>$BD84</f>
        <v>22.017725138142008</v>
      </c>
      <c r="BP84" s="55">
        <f>$BD84</f>
        <v>22.017725138142008</v>
      </c>
      <c r="BQ84" s="55">
        <f>$BD84</f>
        <v>22.017725138142008</v>
      </c>
      <c r="BR84" s="55">
        <f>$BD84</f>
        <v>22.017725138142008</v>
      </c>
      <c r="BS84" s="55">
        <f>SUM(BN84:BR84)</f>
        <v>110.08862569071005</v>
      </c>
      <c r="BT84" s="448">
        <f>BM84-BS84</f>
        <v>789.01030048194639</v>
      </c>
      <c r="BU84" s="57">
        <v>126.408</v>
      </c>
      <c r="BV84" s="350">
        <v>112.505</v>
      </c>
      <c r="BW84" s="55">
        <f>BU84/BV84</f>
        <v>1.1235767299231145</v>
      </c>
      <c r="BX84" s="55">
        <f>BT84/L84</f>
        <v>11.776273141521587</v>
      </c>
      <c r="BY84" s="55">
        <f>BW84*BX84</f>
        <v>13.231546467032228</v>
      </c>
      <c r="BZ84" s="55">
        <v>14.735771248712576</v>
      </c>
      <c r="CA84" s="55">
        <v>14.735771248712576</v>
      </c>
      <c r="CB84" s="55">
        <v>14.735771248712576</v>
      </c>
      <c r="CC84" s="55">
        <v>14.735771248712576</v>
      </c>
      <c r="CD84" s="55">
        <v>14.735771248712576</v>
      </c>
      <c r="CE84" s="55">
        <v>14.735771248712576</v>
      </c>
      <c r="CF84" s="55">
        <v>14.735771248712576</v>
      </c>
      <c r="CG84" s="55">
        <f>SUM(BZ84:CF84)</f>
        <v>103.15039874098804</v>
      </c>
      <c r="CH84" s="448">
        <f>BT84-CG84</f>
        <v>685.85990174095832</v>
      </c>
      <c r="CI84" s="55">
        <v>14.735771248712576</v>
      </c>
      <c r="CJ84" s="55">
        <v>14.735771248712576</v>
      </c>
      <c r="CK84" s="55">
        <v>14.735771248712576</v>
      </c>
      <c r="CL84" s="55">
        <v>14.735771248712576</v>
      </c>
      <c r="CM84" s="55">
        <v>14.735771248712576</v>
      </c>
      <c r="CN84" s="505">
        <f t="shared" si="74"/>
        <v>73.678856243562876</v>
      </c>
      <c r="CO84" s="679">
        <f t="shared" si="75"/>
        <v>612.18104549739542</v>
      </c>
      <c r="CP84" s="956">
        <v>132.28200000000001</v>
      </c>
      <c r="CQ84" s="350">
        <v>112.505</v>
      </c>
      <c r="CR84" s="957">
        <f>CP84/CQ84</f>
        <v>1.1757877427669883</v>
      </c>
      <c r="CS84" s="511">
        <f>CO84/P84</f>
        <v>10.20301742495659</v>
      </c>
      <c r="CT84" s="511">
        <f>CS84*CR84</f>
        <v>11.996582827501959</v>
      </c>
      <c r="CU84" s="511">
        <v>11.996582827501959</v>
      </c>
      <c r="CV84" s="511">
        <v>11.996582827501959</v>
      </c>
      <c r="CW84" s="511">
        <v>11.996582827501959</v>
      </c>
      <c r="CX84" s="511">
        <v>11.996582827501959</v>
      </c>
      <c r="CY84" s="511">
        <v>11.996582827501959</v>
      </c>
      <c r="CZ84" s="511">
        <v>11.996582827501959</v>
      </c>
      <c r="DA84" s="511">
        <v>11.996582827501959</v>
      </c>
      <c r="DB84" s="511">
        <v>11.996582827501959</v>
      </c>
      <c r="DC84" s="511">
        <v>11.996582827501959</v>
      </c>
      <c r="DD84" s="511">
        <v>11.996582827501959</v>
      </c>
      <c r="DE84" s="511">
        <v>11.996582827501959</v>
      </c>
      <c r="DF84" s="511">
        <v>11.996582827501959</v>
      </c>
      <c r="DG84" s="511">
        <v>11.996582827501959</v>
      </c>
      <c r="DH84" s="511">
        <v>11.996582827501959</v>
      </c>
      <c r="DI84" s="511">
        <v>11.996582827501959</v>
      </c>
      <c r="DJ84" s="511">
        <v>11.996582827501959</v>
      </c>
      <c r="DK84" s="511">
        <v>11.996582827501959</v>
      </c>
      <c r="DL84" s="511">
        <v>11.996582827501959</v>
      </c>
      <c r="DM84" s="511">
        <f t="shared" si="76"/>
        <v>215.93849089503519</v>
      </c>
      <c r="DN84" s="756">
        <f>CO84-DM84</f>
        <v>396.2425546023602</v>
      </c>
    </row>
    <row r="85" spans="1:118" x14ac:dyDescent="0.2">
      <c r="A85" s="120" t="s">
        <v>126</v>
      </c>
      <c r="B85" s="120"/>
      <c r="C85" s="120"/>
      <c r="D85" s="58"/>
      <c r="E85" s="49"/>
      <c r="F85" s="46"/>
      <c r="G85" s="48"/>
      <c r="H85" s="145"/>
      <c r="I85" s="165"/>
      <c r="J85" s="48"/>
      <c r="K85" s="165"/>
      <c r="L85" s="48"/>
      <c r="M85" s="165"/>
      <c r="N85" s="48"/>
      <c r="O85" s="165"/>
      <c r="P85" s="48"/>
      <c r="Q85" s="46"/>
      <c r="R85" s="46"/>
      <c r="S85" s="46"/>
      <c r="T85" s="47"/>
      <c r="U85" s="47"/>
      <c r="V85" s="106"/>
      <c r="W85" s="165"/>
      <c r="X85" s="57"/>
      <c r="Y85" s="80"/>
      <c r="Z85" s="57"/>
      <c r="AA85" s="350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72"/>
      <c r="AR85" s="72"/>
      <c r="AS85" s="55"/>
      <c r="AT85" s="55"/>
      <c r="AU85" s="55">
        <f t="shared" si="3"/>
        <v>0</v>
      </c>
      <c r="AV85" s="55">
        <f t="shared" si="3"/>
        <v>0</v>
      </c>
      <c r="AW85" s="55">
        <f t="shared" si="3"/>
        <v>0</v>
      </c>
      <c r="AX85" s="55">
        <f t="shared" si="66"/>
        <v>0</v>
      </c>
      <c r="AY85" s="55">
        <f t="shared" si="66"/>
        <v>0</v>
      </c>
      <c r="AZ85" s="57"/>
      <c r="BA85" s="350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668"/>
      <c r="BN85" s="55"/>
      <c r="BO85" s="55"/>
      <c r="BP85" s="55"/>
      <c r="BQ85" s="55"/>
      <c r="BR85" s="55"/>
      <c r="BS85" s="55"/>
      <c r="BT85" s="448"/>
      <c r="BU85" s="57"/>
      <c r="BV85" s="350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448"/>
      <c r="CI85" s="55"/>
      <c r="CJ85" s="55"/>
      <c r="CK85" s="55"/>
      <c r="CL85" s="55"/>
      <c r="CM85" s="55"/>
      <c r="CN85" s="505"/>
      <c r="CO85" s="679"/>
      <c r="CP85" s="623"/>
      <c r="CQ85" s="350"/>
      <c r="CR85" s="957"/>
      <c r="CS85" s="511"/>
      <c r="CT85" s="511"/>
      <c r="CU85" s="511"/>
      <c r="CV85" s="511"/>
      <c r="CW85" s="511"/>
      <c r="CX85" s="511"/>
      <c r="CY85" s="511"/>
      <c r="CZ85" s="511"/>
      <c r="DA85" s="511"/>
      <c r="DB85" s="511"/>
      <c r="DC85" s="511"/>
      <c r="DD85" s="511"/>
      <c r="DE85" s="511"/>
      <c r="DF85" s="511"/>
      <c r="DG85" s="511"/>
      <c r="DH85" s="511"/>
      <c r="DI85" s="511"/>
      <c r="DJ85" s="511"/>
      <c r="DK85" s="511"/>
      <c r="DL85" s="511"/>
      <c r="DM85" s="511">
        <f t="shared" si="76"/>
        <v>0</v>
      </c>
      <c r="DN85" s="511"/>
    </row>
    <row r="86" spans="1:118" x14ac:dyDescent="0.2">
      <c r="A86" s="120" t="s">
        <v>743</v>
      </c>
      <c r="B86" s="45"/>
      <c r="C86" s="45"/>
      <c r="D86" s="58"/>
      <c r="E86" s="49"/>
      <c r="F86" s="46"/>
      <c r="G86" s="48"/>
      <c r="H86" s="145"/>
      <c r="I86" s="165"/>
      <c r="J86" s="48"/>
      <c r="K86" s="165"/>
      <c r="L86" s="48"/>
      <c r="M86" s="165"/>
      <c r="N86" s="48"/>
      <c r="O86" s="165"/>
      <c r="P86" s="48"/>
      <c r="Q86" s="46"/>
      <c r="R86" s="46"/>
      <c r="S86" s="46"/>
      <c r="T86" s="47"/>
      <c r="U86" s="47"/>
      <c r="V86" s="106"/>
      <c r="W86" s="165"/>
      <c r="X86" s="57"/>
      <c r="Y86" s="80"/>
      <c r="Z86" s="57"/>
      <c r="AA86" s="350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72"/>
      <c r="AR86" s="72"/>
      <c r="AS86" s="55"/>
      <c r="AT86" s="55"/>
      <c r="AU86" s="55">
        <f t="shared" si="3"/>
        <v>0</v>
      </c>
      <c r="AV86" s="55">
        <f t="shared" si="3"/>
        <v>0</v>
      </c>
      <c r="AW86" s="55">
        <f t="shared" si="3"/>
        <v>0</v>
      </c>
      <c r="AX86" s="55">
        <f t="shared" si="66"/>
        <v>0</v>
      </c>
      <c r="AY86" s="55">
        <f t="shared" si="66"/>
        <v>0</v>
      </c>
      <c r="AZ86" s="57"/>
      <c r="BA86" s="350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668"/>
      <c r="BN86" s="55"/>
      <c r="BO86" s="55"/>
      <c r="BP86" s="55"/>
      <c r="BQ86" s="55"/>
      <c r="BR86" s="55"/>
      <c r="BS86" s="55"/>
      <c r="BT86" s="448"/>
      <c r="BU86" s="57"/>
      <c r="BV86" s="350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448"/>
      <c r="CI86" s="55"/>
      <c r="CJ86" s="55"/>
      <c r="CK86" s="55"/>
      <c r="CL86" s="55"/>
      <c r="CM86" s="55"/>
      <c r="CN86" s="505"/>
      <c r="CO86" s="679"/>
      <c r="CP86" s="623"/>
      <c r="CQ86" s="350"/>
      <c r="CR86" s="957"/>
      <c r="CS86" s="511"/>
      <c r="CT86" s="511"/>
      <c r="CU86" s="511"/>
      <c r="CV86" s="511"/>
      <c r="CW86" s="511"/>
      <c r="CX86" s="511"/>
      <c r="CY86" s="511"/>
      <c r="CZ86" s="511"/>
      <c r="DA86" s="511"/>
      <c r="DB86" s="511"/>
      <c r="DC86" s="511"/>
      <c r="DD86" s="511"/>
      <c r="DE86" s="511"/>
      <c r="DF86" s="511"/>
      <c r="DG86" s="511"/>
      <c r="DH86" s="511"/>
      <c r="DI86" s="511"/>
      <c r="DJ86" s="511"/>
      <c r="DK86" s="511"/>
      <c r="DL86" s="511"/>
      <c r="DM86" s="511">
        <f t="shared" si="76"/>
        <v>0</v>
      </c>
      <c r="DN86" s="511"/>
    </row>
    <row r="87" spans="1:118" s="12" customFormat="1" x14ac:dyDescent="0.2">
      <c r="A87" s="100" t="s">
        <v>742</v>
      </c>
      <c r="B87" s="100" t="s">
        <v>741</v>
      </c>
      <c r="C87" s="100" t="s">
        <v>427</v>
      </c>
      <c r="D87" s="8">
        <v>10</v>
      </c>
      <c r="E87" s="127">
        <v>0.1</v>
      </c>
      <c r="F87" s="119">
        <v>43281</v>
      </c>
      <c r="G87" s="125">
        <f>D87*12</f>
        <v>120</v>
      </c>
      <c r="H87" s="146">
        <f>100/G87</f>
        <v>0.83333333333333337</v>
      </c>
      <c r="I87" s="1167">
        <f>H87*J87</f>
        <v>44.166666666666671</v>
      </c>
      <c r="J87" s="125">
        <f>(YEAR(F87)-YEAR(S87))*12+MONTH(F87)-MONTH(S87)</f>
        <v>53</v>
      </c>
      <c r="K87" s="1167">
        <f>L87*H87</f>
        <v>55.833333333333336</v>
      </c>
      <c r="L87" s="125">
        <f>G87-J87</f>
        <v>67</v>
      </c>
      <c r="M87" s="1167">
        <f>N87*H87</f>
        <v>5.8333333333333339</v>
      </c>
      <c r="N87" s="125">
        <f>(7)</f>
        <v>7</v>
      </c>
      <c r="O87" s="1167">
        <f>P87*H87</f>
        <v>50</v>
      </c>
      <c r="P87" s="125">
        <f>L87-N87</f>
        <v>60</v>
      </c>
      <c r="Q87" s="119">
        <v>45292</v>
      </c>
      <c r="R87" s="119"/>
      <c r="S87" s="119">
        <v>41640</v>
      </c>
      <c r="T87" s="134">
        <v>6000</v>
      </c>
      <c r="U87" s="134">
        <f>T87*I87%</f>
        <v>2650.0000000000005</v>
      </c>
      <c r="V87" s="7">
        <f>T87-U87</f>
        <v>3349.9999999999995</v>
      </c>
      <c r="W87" s="1167">
        <f>T87*H87%</f>
        <v>50</v>
      </c>
      <c r="X87" s="64">
        <f>W87*5</f>
        <v>250</v>
      </c>
      <c r="Y87" s="82">
        <f>V87-X87</f>
        <v>3099.9999999999995</v>
      </c>
      <c r="Z87" s="64">
        <v>115.958</v>
      </c>
      <c r="AA87" s="1234">
        <v>112.505</v>
      </c>
      <c r="AB87" s="62">
        <f>Z87/AA87</f>
        <v>1.0306919692458114</v>
      </c>
      <c r="AC87" s="62">
        <f>Y87*M87/100/K87*100/7</f>
        <v>46.268656716417901</v>
      </c>
      <c r="AD87" s="62">
        <f>AC87*AB87</f>
        <v>47.688732905403207</v>
      </c>
      <c r="AE87" s="62"/>
      <c r="AF87" s="62"/>
      <c r="AG87" s="62"/>
      <c r="AH87" s="62"/>
      <c r="AI87" s="62"/>
      <c r="AJ87" s="62">
        <f t="shared" ref="AJ87:AP88" si="79">$AD87</f>
        <v>47.688732905403207</v>
      </c>
      <c r="AK87" s="62">
        <f t="shared" si="79"/>
        <v>47.688732905403207</v>
      </c>
      <c r="AL87" s="62">
        <f t="shared" si="79"/>
        <v>47.688732905403207</v>
      </c>
      <c r="AM87" s="62">
        <f t="shared" si="79"/>
        <v>47.688732905403207</v>
      </c>
      <c r="AN87" s="62">
        <f t="shared" si="79"/>
        <v>47.688732905403207</v>
      </c>
      <c r="AO87" s="62">
        <f t="shared" si="79"/>
        <v>47.688732905403207</v>
      </c>
      <c r="AP87" s="62">
        <f t="shared" si="79"/>
        <v>47.688732905403207</v>
      </c>
      <c r="AQ87" s="1169">
        <f>SUM(AE87:AP87)</f>
        <v>333.82113033782241</v>
      </c>
      <c r="AR87" s="1169">
        <f>Y87-AQ87</f>
        <v>2766.178869662177</v>
      </c>
      <c r="AS87" s="62"/>
      <c r="AT87" s="62"/>
      <c r="AU87" s="62">
        <f t="shared" si="3"/>
        <v>47.688732905403207</v>
      </c>
      <c r="AV87" s="62">
        <f t="shared" si="3"/>
        <v>47.688732905403207</v>
      </c>
      <c r="AW87" s="62">
        <f t="shared" si="3"/>
        <v>47.688732905403207</v>
      </c>
      <c r="AX87" s="62">
        <f t="shared" si="66"/>
        <v>47.688732905403207</v>
      </c>
      <c r="AY87" s="62">
        <f t="shared" si="66"/>
        <v>47.688732905403207</v>
      </c>
      <c r="AZ87" s="64">
        <v>115.958</v>
      </c>
      <c r="BA87" s="1234">
        <v>112.505</v>
      </c>
      <c r="BB87" s="62">
        <f>AZ87/BA87</f>
        <v>1.0306919692458114</v>
      </c>
      <c r="BC87" s="62">
        <f>T87/(D87*12)</f>
        <v>50</v>
      </c>
      <c r="BD87" s="62">
        <f>BC87*BB87</f>
        <v>51.534598462290568</v>
      </c>
      <c r="BE87" s="62">
        <f t="shared" ref="BE87:BK87" si="80">$BD87</f>
        <v>51.534598462290568</v>
      </c>
      <c r="BF87" s="62">
        <f t="shared" si="80"/>
        <v>51.534598462290568</v>
      </c>
      <c r="BG87" s="62">
        <f t="shared" si="80"/>
        <v>51.534598462290568</v>
      </c>
      <c r="BH87" s="62">
        <f t="shared" si="80"/>
        <v>51.534598462290568</v>
      </c>
      <c r="BI87" s="62">
        <f t="shared" si="80"/>
        <v>51.534598462290568</v>
      </c>
      <c r="BJ87" s="62">
        <f t="shared" si="80"/>
        <v>51.534598462290568</v>
      </c>
      <c r="BK87" s="62">
        <f t="shared" si="80"/>
        <v>51.534598462290568</v>
      </c>
      <c r="BL87" s="62">
        <f>SUM((AU87:AY87),(BE87:BK87))</f>
        <v>599.18585376304986</v>
      </c>
      <c r="BM87" s="1213">
        <f>(AR87-BL87)</f>
        <v>2166.9930158991274</v>
      </c>
      <c r="BN87" s="62">
        <f t="shared" ref="BN87:BR88" si="81">$BD87</f>
        <v>51.534598462290568</v>
      </c>
      <c r="BO87" s="62">
        <f t="shared" si="81"/>
        <v>51.534598462290568</v>
      </c>
      <c r="BP87" s="62">
        <f t="shared" si="81"/>
        <v>51.534598462290568</v>
      </c>
      <c r="BQ87" s="62">
        <f t="shared" si="81"/>
        <v>51.534598462290568</v>
      </c>
      <c r="BR87" s="62">
        <f t="shared" si="81"/>
        <v>51.534598462290568</v>
      </c>
      <c r="BS87" s="62">
        <f>SUM(BN87:BR87)</f>
        <v>257.67299231145284</v>
      </c>
      <c r="BT87" s="927">
        <f>BM87-BS87</f>
        <v>1909.3200235876745</v>
      </c>
      <c r="BU87" s="64">
        <v>126.408</v>
      </c>
      <c r="BV87" s="1234">
        <v>112.505</v>
      </c>
      <c r="BW87" s="62">
        <f>BU87/BV87</f>
        <v>1.1235767299231145</v>
      </c>
      <c r="BX87" s="62">
        <f>BT87/L87</f>
        <v>28.497313784890665</v>
      </c>
      <c r="BY87" s="62">
        <f>BW87*BX87</f>
        <v>32.018918634020345</v>
      </c>
      <c r="BZ87" s="62">
        <v>35.589077282740327</v>
      </c>
      <c r="CA87" s="62">
        <v>35.589077282740327</v>
      </c>
      <c r="CB87" s="62">
        <v>35.589077282740327</v>
      </c>
      <c r="CC87" s="62">
        <v>35.589077282740327</v>
      </c>
      <c r="CD87" s="62">
        <v>35.589077282740327</v>
      </c>
      <c r="CE87" s="62">
        <v>35.589077282740327</v>
      </c>
      <c r="CF87" s="62">
        <v>35.589077282740327</v>
      </c>
      <c r="CG87" s="62">
        <f>SUM(BZ87:CF87)</f>
        <v>249.12354097918231</v>
      </c>
      <c r="CH87" s="927">
        <f>BT87-CG87</f>
        <v>1660.1964826084923</v>
      </c>
      <c r="CI87" s="62">
        <v>35.589077282740327</v>
      </c>
      <c r="CJ87" s="62">
        <v>35.589077282740327</v>
      </c>
      <c r="CK87" s="62">
        <v>35.589077282740327</v>
      </c>
      <c r="CL87" s="62">
        <v>35.589077282740327</v>
      </c>
      <c r="CM87" s="62">
        <v>35.589077282740327</v>
      </c>
      <c r="CN87" s="1170">
        <f t="shared" si="74"/>
        <v>177.94538641370164</v>
      </c>
      <c r="CO87" s="679">
        <f t="shared" si="75"/>
        <v>1482.2510961947905</v>
      </c>
      <c r="CP87" s="1171">
        <v>132.28200000000001</v>
      </c>
      <c r="CQ87" s="1234">
        <v>112.505</v>
      </c>
      <c r="CR87" s="1200">
        <f>CP87/CQ87</f>
        <v>1.1757877427669883</v>
      </c>
      <c r="CS87" s="510">
        <f>CO87/P87</f>
        <v>24.704184936579843</v>
      </c>
      <c r="CT87" s="510">
        <f>CS87*CR87</f>
        <v>29.046877843479447</v>
      </c>
      <c r="CU87" s="510">
        <v>29.046877843479447</v>
      </c>
      <c r="CV87" s="510">
        <v>29.046877843479447</v>
      </c>
      <c r="CW87" s="510">
        <v>29.046877843479447</v>
      </c>
      <c r="CX87" s="510">
        <v>29.046877843479447</v>
      </c>
      <c r="CY87" s="510">
        <v>29.046877843479447</v>
      </c>
      <c r="CZ87" s="510">
        <v>29.046877843479447</v>
      </c>
      <c r="DA87" s="510">
        <v>29.046877843479447</v>
      </c>
      <c r="DB87" s="510">
        <v>29.046877843479447</v>
      </c>
      <c r="DC87" s="510">
        <v>29.046877843479447</v>
      </c>
      <c r="DD87" s="510">
        <v>29.046877843479447</v>
      </c>
      <c r="DE87" s="510">
        <v>29.046877843479447</v>
      </c>
      <c r="DF87" s="510">
        <v>29.046877843479447</v>
      </c>
      <c r="DG87" s="510">
        <v>29.046877843479447</v>
      </c>
      <c r="DH87" s="510">
        <v>29.046877843479447</v>
      </c>
      <c r="DI87" s="510">
        <v>29.046877843479447</v>
      </c>
      <c r="DJ87" s="510">
        <v>29.046877843479447</v>
      </c>
      <c r="DK87" s="510">
        <v>29.046877843479447</v>
      </c>
      <c r="DL87" s="510">
        <v>29.046877843479447</v>
      </c>
      <c r="DM87" s="510">
        <f t="shared" si="76"/>
        <v>522.84380118262982</v>
      </c>
      <c r="DN87" s="756">
        <f>CO87-DM87</f>
        <v>959.40729501216072</v>
      </c>
    </row>
    <row r="88" spans="1:118" x14ac:dyDescent="0.2">
      <c r="A88" s="45" t="s">
        <v>740</v>
      </c>
      <c r="B88" s="45" t="s">
        <v>739</v>
      </c>
      <c r="C88" s="45" t="s">
        <v>427</v>
      </c>
      <c r="D88" s="58">
        <v>10</v>
      </c>
      <c r="E88" s="49">
        <v>0.1</v>
      </c>
      <c r="F88" s="46">
        <v>43281</v>
      </c>
      <c r="G88" s="48">
        <f>D88*12</f>
        <v>120</v>
      </c>
      <c r="H88" s="145">
        <f>100/G88</f>
        <v>0.83333333333333337</v>
      </c>
      <c r="I88" s="165">
        <f>H88*J88</f>
        <v>44.166666666666671</v>
      </c>
      <c r="J88" s="48">
        <f>(YEAR(F88)-YEAR(S88))*12+MONTH(F88)-MONTH(S88)</f>
        <v>53</v>
      </c>
      <c r="K88" s="165">
        <f>L88*H88</f>
        <v>55.833333333333336</v>
      </c>
      <c r="L88" s="48">
        <f>G88-J88</f>
        <v>67</v>
      </c>
      <c r="M88" s="165">
        <f>N88*H88</f>
        <v>5.8333333333333339</v>
      </c>
      <c r="N88" s="48">
        <f>(7)</f>
        <v>7</v>
      </c>
      <c r="O88" s="165">
        <f>P88*H88</f>
        <v>50</v>
      </c>
      <c r="P88" s="48">
        <f>L88-N88</f>
        <v>60</v>
      </c>
      <c r="Q88" s="46">
        <v>45292</v>
      </c>
      <c r="R88" s="46" t="s">
        <v>445</v>
      </c>
      <c r="S88" s="46">
        <v>41640</v>
      </c>
      <c r="T88" s="47">
        <v>1049</v>
      </c>
      <c r="U88" s="47">
        <f>T88*I88%</f>
        <v>463.30833333333339</v>
      </c>
      <c r="V88" s="106">
        <f>T88-U88</f>
        <v>585.69166666666661</v>
      </c>
      <c r="W88" s="165">
        <f>T88*H88%</f>
        <v>8.7416666666666671</v>
      </c>
      <c r="X88" s="57">
        <f>W88*5</f>
        <v>43.708333333333336</v>
      </c>
      <c r="Y88" s="80">
        <f>V88-X88</f>
        <v>541.98333333333323</v>
      </c>
      <c r="Z88" s="57">
        <v>115.958</v>
      </c>
      <c r="AA88" s="350">
        <v>112.505</v>
      </c>
      <c r="AB88" s="55">
        <f>Z88/AA88</f>
        <v>1.0306919692458114</v>
      </c>
      <c r="AC88" s="55">
        <f>Y88*M88/100/K88*100/7</f>
        <v>8.0893034825870647</v>
      </c>
      <c r="AD88" s="55">
        <f>AC88*AB88</f>
        <v>8.3375801362946618</v>
      </c>
      <c r="AE88" s="55"/>
      <c r="AF88" s="55"/>
      <c r="AG88" s="55"/>
      <c r="AH88" s="55"/>
      <c r="AI88" s="55"/>
      <c r="AJ88" s="55">
        <f t="shared" si="79"/>
        <v>8.3375801362946618</v>
      </c>
      <c r="AK88" s="55">
        <f t="shared" si="79"/>
        <v>8.3375801362946618</v>
      </c>
      <c r="AL88" s="55">
        <f t="shared" si="79"/>
        <v>8.3375801362946618</v>
      </c>
      <c r="AM88" s="55">
        <f t="shared" si="79"/>
        <v>8.3375801362946618</v>
      </c>
      <c r="AN88" s="55">
        <f t="shared" si="79"/>
        <v>8.3375801362946618</v>
      </c>
      <c r="AO88" s="55">
        <f t="shared" si="79"/>
        <v>8.3375801362946618</v>
      </c>
      <c r="AP88" s="55">
        <f t="shared" si="79"/>
        <v>8.3375801362946618</v>
      </c>
      <c r="AQ88" s="72">
        <f>SUM(AE88:AP88)</f>
        <v>58.363060954062632</v>
      </c>
      <c r="AR88" s="72">
        <f>Y88-AQ88</f>
        <v>483.6202723792706</v>
      </c>
      <c r="AS88" s="55"/>
      <c r="AT88" s="55"/>
      <c r="AU88" s="55">
        <f>$AP88</f>
        <v>8.3375801362946618</v>
      </c>
      <c r="AV88" s="55">
        <f>$AP88</f>
        <v>8.3375801362946618</v>
      </c>
      <c r="AW88" s="55">
        <f>$AP88</f>
        <v>8.3375801362946618</v>
      </c>
      <c r="AX88" s="55">
        <f>$AP88</f>
        <v>8.3375801362946618</v>
      </c>
      <c r="AY88" s="55">
        <f>$AP88</f>
        <v>8.3375801362946618</v>
      </c>
      <c r="AZ88" s="57">
        <v>118.901</v>
      </c>
      <c r="BA88" s="350">
        <v>112.505</v>
      </c>
      <c r="BB88" s="55">
        <f>AZ88/BA88</f>
        <v>1.0568508066308164</v>
      </c>
      <c r="BC88" s="55">
        <f>T88/(D88*12)</f>
        <v>8.7416666666666671</v>
      </c>
      <c r="BD88" s="55">
        <f>BC88*BB88</f>
        <v>9.2386374679643879</v>
      </c>
      <c r="BE88" s="55">
        <f t="shared" ref="BE88:BK88" si="82">$BD88</f>
        <v>9.2386374679643879</v>
      </c>
      <c r="BF88" s="55">
        <f t="shared" si="82"/>
        <v>9.2386374679643879</v>
      </c>
      <c r="BG88" s="55">
        <f t="shared" si="82"/>
        <v>9.2386374679643879</v>
      </c>
      <c r="BH88" s="55">
        <f t="shared" si="82"/>
        <v>9.2386374679643879</v>
      </c>
      <c r="BI88" s="55">
        <f t="shared" si="82"/>
        <v>9.2386374679643879</v>
      </c>
      <c r="BJ88" s="55">
        <f t="shared" si="82"/>
        <v>9.2386374679643879</v>
      </c>
      <c r="BK88" s="55">
        <f t="shared" si="82"/>
        <v>9.2386374679643879</v>
      </c>
      <c r="BL88" s="55">
        <f>SUM((AU88:AY88),(BE88:BK88))</f>
        <v>106.35836295722405</v>
      </c>
      <c r="BM88" s="668">
        <f>(AR88-BL88)</f>
        <v>377.26190942204653</v>
      </c>
      <c r="BN88" s="55">
        <f t="shared" si="81"/>
        <v>9.2386374679643879</v>
      </c>
      <c r="BO88" s="55">
        <f t="shared" si="81"/>
        <v>9.2386374679643879</v>
      </c>
      <c r="BP88" s="55">
        <f t="shared" si="81"/>
        <v>9.2386374679643879</v>
      </c>
      <c r="BQ88" s="55">
        <f t="shared" si="81"/>
        <v>9.2386374679643879</v>
      </c>
      <c r="BR88" s="55">
        <f t="shared" si="81"/>
        <v>9.2386374679643879</v>
      </c>
      <c r="BS88" s="55">
        <f>SUM(BN88:BR88)</f>
        <v>46.193187339821939</v>
      </c>
      <c r="BT88" s="448">
        <f>BM88-BS88</f>
        <v>331.06872208222461</v>
      </c>
      <c r="BU88" s="57">
        <v>126.408</v>
      </c>
      <c r="BV88" s="350">
        <v>112.505</v>
      </c>
      <c r="BW88" s="55">
        <f>BU88/BV88</f>
        <v>1.1235767299231145</v>
      </c>
      <c r="BX88" s="55">
        <f>BT88/L88</f>
        <v>4.941324210182457</v>
      </c>
      <c r="BY88" s="55">
        <f>BW88*BX88</f>
        <v>5.5519568975667219</v>
      </c>
      <c r="BZ88" s="55">
        <v>6.1831296159597979</v>
      </c>
      <c r="CA88" s="55">
        <v>6.1831296159597979</v>
      </c>
      <c r="CB88" s="55">
        <v>6.1831296159597979</v>
      </c>
      <c r="CC88" s="55">
        <v>6.1831296159597979</v>
      </c>
      <c r="CD88" s="55">
        <v>6.1831296159597979</v>
      </c>
      <c r="CE88" s="55">
        <v>6.1831296159597979</v>
      </c>
      <c r="CF88" s="55">
        <v>6.1831296159597979</v>
      </c>
      <c r="CG88" s="55">
        <f>SUM(BZ88:CF88)</f>
        <v>43.281907311718591</v>
      </c>
      <c r="CH88" s="448">
        <f>BT88-CG88</f>
        <v>287.786814770506</v>
      </c>
      <c r="CI88" s="55">
        <v>6.1831296159597979</v>
      </c>
      <c r="CJ88" s="55">
        <v>6.1831296159597979</v>
      </c>
      <c r="CK88" s="55">
        <v>6.1831296159597979</v>
      </c>
      <c r="CL88" s="55">
        <v>6.1831296159597979</v>
      </c>
      <c r="CM88" s="55">
        <v>6.1831296159597979</v>
      </c>
      <c r="CN88" s="505">
        <f t="shared" si="74"/>
        <v>30.915648079798991</v>
      </c>
      <c r="CO88" s="679">
        <f t="shared" si="75"/>
        <v>256.87116669070701</v>
      </c>
      <c r="CP88" s="956">
        <v>132.28200000000001</v>
      </c>
      <c r="CQ88" s="350">
        <v>112.505</v>
      </c>
      <c r="CR88" s="957">
        <f>CP88/CQ88</f>
        <v>1.1757877427669883</v>
      </c>
      <c r="CS88" s="511">
        <f>CO88/P88</f>
        <v>4.2811861115117837</v>
      </c>
      <c r="CT88" s="511">
        <f>CS88*CR88</f>
        <v>5.03376615441982</v>
      </c>
      <c r="CU88" s="511">
        <v>5.03376615441982</v>
      </c>
      <c r="CV88" s="511">
        <v>5.03376615441982</v>
      </c>
      <c r="CW88" s="511">
        <v>5.03376615441982</v>
      </c>
      <c r="CX88" s="511">
        <v>5.03376615441982</v>
      </c>
      <c r="CY88" s="511">
        <v>5.03376615441982</v>
      </c>
      <c r="CZ88" s="511">
        <v>5.03376615441982</v>
      </c>
      <c r="DA88" s="511">
        <v>5.03376615441982</v>
      </c>
      <c r="DB88" s="511">
        <v>5.03376615441982</v>
      </c>
      <c r="DC88" s="511">
        <v>5.03376615441982</v>
      </c>
      <c r="DD88" s="511">
        <v>5.03376615441982</v>
      </c>
      <c r="DE88" s="511">
        <v>5.03376615441982</v>
      </c>
      <c r="DF88" s="511">
        <v>5.03376615441982</v>
      </c>
      <c r="DG88" s="511">
        <v>5.03376615441982</v>
      </c>
      <c r="DH88" s="511">
        <v>5.03376615441982</v>
      </c>
      <c r="DI88" s="511">
        <v>5.03376615441982</v>
      </c>
      <c r="DJ88" s="511">
        <v>5.03376615441982</v>
      </c>
      <c r="DK88" s="511">
        <v>5.03376615441982</v>
      </c>
      <c r="DL88" s="511">
        <v>5.03376615441982</v>
      </c>
      <c r="DM88" s="511">
        <f t="shared" si="76"/>
        <v>90.60779077955678</v>
      </c>
      <c r="DN88" s="756">
        <f>CO88-DM88</f>
        <v>166.26337591115023</v>
      </c>
    </row>
    <row r="89" spans="1:118" ht="15.75" x14ac:dyDescent="0.25">
      <c r="D89" s="18"/>
      <c r="E89" s="18"/>
      <c r="R89" s="175"/>
      <c r="S89" s="19"/>
      <c r="T89" s="12"/>
      <c r="U89" s="12"/>
      <c r="V89" s="254">
        <f>SUM(V15:V88)</f>
        <v>195252.12111111113</v>
      </c>
      <c r="Y89" s="77"/>
      <c r="AB89" s="195"/>
      <c r="AH89" s="195">
        <f t="shared" ref="AH89:AO89" si="83">SUM(AH15:AH88)</f>
        <v>0</v>
      </c>
      <c r="AI89" s="195">
        <f t="shared" si="83"/>
        <v>0</v>
      </c>
      <c r="AJ89" s="195">
        <f t="shared" si="83"/>
        <v>1391.7561711844799</v>
      </c>
      <c r="AK89" s="195">
        <f t="shared" si="83"/>
        <v>1391.7561711844799</v>
      </c>
      <c r="AL89" s="195">
        <f t="shared" si="83"/>
        <v>1391.7561711844799</v>
      </c>
      <c r="AM89" s="195">
        <f t="shared" si="83"/>
        <v>1391.7561711844799</v>
      </c>
      <c r="AN89" s="195">
        <f t="shared" si="83"/>
        <v>1827.4322301902876</v>
      </c>
      <c r="AO89" s="195">
        <f t="shared" si="83"/>
        <v>1827.4322301902876</v>
      </c>
      <c r="AP89" s="400">
        <f>SUM(AP14:AP88)</f>
        <v>1833.4422301902875</v>
      </c>
      <c r="AQ89" s="400">
        <f>SUM(AQ14:AQ88)</f>
        <v>11055.331375308786</v>
      </c>
      <c r="AR89" s="400">
        <f>SUM(AR14:AR88)</f>
        <v>117142.0575135801</v>
      </c>
      <c r="AU89" s="13">
        <f>SUM(AU14:AU88)</f>
        <v>1833.4422301902875</v>
      </c>
      <c r="AV89" s="13">
        <f>SUM(AV14:AV88)</f>
        <v>1833.4422301902875</v>
      </c>
      <c r="AW89" s="13">
        <f>SUM(AW14:AW88)</f>
        <v>1833.4422301902875</v>
      </c>
      <c r="AX89" s="13">
        <f>SUM(AX15:AX88)</f>
        <v>1833.4422301902875</v>
      </c>
      <c r="AY89" s="13">
        <f>SUM(AY15:AY88)</f>
        <v>1833.4422301902875</v>
      </c>
      <c r="BB89" s="195"/>
      <c r="BE89" s="502">
        <f t="shared" ref="BE89:BK89" si="84">BE15+BE18+BE19+BE20+BE21+BE24+BE30+BE31+BE32+BE33+BE36+BE39+BE40+BE43+BE44+BE47+BE50+BE53+BE56+BE59+BE62+BE63+BE65+BE64+BE66+BE67+BE72+BE75+BE84+BE88</f>
        <v>2696.865555937854</v>
      </c>
      <c r="BF89" s="502">
        <f t="shared" si="84"/>
        <v>2696.865555937854</v>
      </c>
      <c r="BG89" s="502">
        <f t="shared" si="84"/>
        <v>2696.865555937854</v>
      </c>
      <c r="BH89" s="502">
        <f t="shared" si="84"/>
        <v>2696.865555937854</v>
      </c>
      <c r="BI89" s="502">
        <f t="shared" si="84"/>
        <v>2687.03933942402</v>
      </c>
      <c r="BJ89" s="502">
        <f t="shared" si="84"/>
        <v>2673.4093394240199</v>
      </c>
      <c r="BK89" s="502">
        <f t="shared" si="84"/>
        <v>2673.4093394240199</v>
      </c>
      <c r="BL89" s="459">
        <f>SUM(AU89:BK89)</f>
        <v>27988.53139297491</v>
      </c>
      <c r="BM89" s="669">
        <f>BM88+BM84+BM81+BM75+BM72+BM67+BM66+BM65+BM64+BM63+BM62+BM59+BM56+BM53+BM50+BM47+BM44+BM43+BM40+BM39+BM36+BM33+BM32+BM31+BM30+BM27+BM24+BM21+BM20+BM19+BM18+BM15+BM87</f>
        <v>210075.08767801791</v>
      </c>
      <c r="BN89" s="666">
        <f>SUM(BN13:BN88)</f>
        <v>3766.5727990594614</v>
      </c>
      <c r="BO89" s="666">
        <f t="shared" ref="BO89:DA89" si="85">SUM(BO13:BO88)</f>
        <v>3766.5727990594614</v>
      </c>
      <c r="BP89" s="666">
        <f t="shared" si="85"/>
        <v>3766.5727990594614</v>
      </c>
      <c r="BQ89" s="666">
        <f>SUM(BQ13:BQ88)</f>
        <v>3766.5727990594614</v>
      </c>
      <c r="BR89" s="666">
        <f t="shared" si="85"/>
        <v>3766.5727990594614</v>
      </c>
      <c r="BS89" s="666">
        <f t="shared" si="85"/>
        <v>18832.863995297306</v>
      </c>
      <c r="BT89" s="666">
        <f t="shared" si="85"/>
        <v>211714.07879016787</v>
      </c>
      <c r="BU89" s="666">
        <f t="shared" si="85"/>
        <v>4413.829999999999</v>
      </c>
      <c r="BV89" s="666">
        <f t="shared" si="85"/>
        <v>3985.2250000000022</v>
      </c>
      <c r="BW89" s="666"/>
      <c r="BX89" s="666">
        <f>SUM(BX13:BX88)</f>
        <v>3645.6290757930296</v>
      </c>
      <c r="BY89" s="666">
        <f>SUM(BY13:BY88)</f>
        <v>3912.9986682536078</v>
      </c>
      <c r="BZ89" s="666">
        <f t="shared" si="85"/>
        <v>2779.4203001733995</v>
      </c>
      <c r="CA89" s="666">
        <f>SUM(CA13:CA88)</f>
        <v>2779.4203001733995</v>
      </c>
      <c r="CB89" s="666">
        <f t="shared" si="85"/>
        <v>2779.4203001733995</v>
      </c>
      <c r="CC89" s="666">
        <f t="shared" si="85"/>
        <v>2878.3203001733991</v>
      </c>
      <c r="CD89" s="666">
        <f>SUM(CD13:CD88)</f>
        <v>2878.3203001733991</v>
      </c>
      <c r="CE89" s="932">
        <f t="shared" si="85"/>
        <v>2878.3203001733991</v>
      </c>
      <c r="CF89" s="932">
        <f t="shared" si="85"/>
        <v>2878.3203001733991</v>
      </c>
      <c r="CG89" s="666">
        <f t="shared" si="85"/>
        <v>19851.542101213796</v>
      </c>
      <c r="CH89" s="666">
        <f t="shared" si="85"/>
        <v>191862.53668895413</v>
      </c>
      <c r="CI89" s="666">
        <f t="shared" si="85"/>
        <v>2878.3203001733991</v>
      </c>
      <c r="CJ89" s="666">
        <f t="shared" si="85"/>
        <v>2878.3203001733991</v>
      </c>
      <c r="CK89" s="932">
        <f>SUM(CK13:CK88)</f>
        <v>2878.3203001733991</v>
      </c>
      <c r="CL89" s="932">
        <f>SUM(CL13:CL88)</f>
        <v>2878.3203001733991</v>
      </c>
      <c r="CM89" s="932">
        <f>SUM(CM13:CM88)</f>
        <v>2878.3203001733991</v>
      </c>
      <c r="CN89" s="666">
        <f t="shared" si="85"/>
        <v>14391.601500866997</v>
      </c>
      <c r="CO89" s="666">
        <f>SUM(CO14:CO88)</f>
        <v>178422.91299732027</v>
      </c>
      <c r="CP89" s="666">
        <f t="shared" si="85"/>
        <v>4497.5880000000025</v>
      </c>
      <c r="CQ89" s="666">
        <f t="shared" si="85"/>
        <v>3985.2250000000022</v>
      </c>
      <c r="CR89" s="666"/>
      <c r="CS89" s="666"/>
      <c r="CT89" s="1136">
        <f t="shared" si="85"/>
        <v>2771.9427784494555</v>
      </c>
      <c r="CU89" s="1136">
        <f t="shared" si="85"/>
        <v>2771.9427784494555</v>
      </c>
      <c r="CV89" s="1136">
        <f t="shared" si="85"/>
        <v>2671.9611780966488</v>
      </c>
      <c r="CW89" s="1136">
        <f t="shared" si="85"/>
        <v>2348.8511780966487</v>
      </c>
      <c r="CX89" s="1136">
        <f t="shared" si="85"/>
        <v>2348.8511780966487</v>
      </c>
      <c r="CY89" s="1136">
        <f t="shared" si="85"/>
        <v>2348.8511780966487</v>
      </c>
      <c r="CZ89" s="1136">
        <f t="shared" si="85"/>
        <v>2348.8511780966487</v>
      </c>
      <c r="DA89" s="1136">
        <f t="shared" si="85"/>
        <v>2348.8511780966487</v>
      </c>
      <c r="DB89" s="1136">
        <f t="shared" ref="DB89:DC89" si="86">SUM(DB13:DB88)</f>
        <v>2348.8511780966487</v>
      </c>
      <c r="DC89" s="1136">
        <f t="shared" si="86"/>
        <v>2348.8511780966487</v>
      </c>
      <c r="DD89" s="1136">
        <f t="shared" ref="DD89:DE89" si="87">SUM(DD13:DD88)</f>
        <v>2348.8511780966487</v>
      </c>
      <c r="DE89" s="1136">
        <f t="shared" si="87"/>
        <v>2348.8511780966487</v>
      </c>
      <c r="DF89" s="1136">
        <f t="shared" ref="DF89:DL89" si="88">SUM(DF13:DF88)</f>
        <v>2348.8511780966487</v>
      </c>
      <c r="DG89" s="1136">
        <f t="shared" ref="DG89:DK89" si="89">SUM(DG13:DG88)</f>
        <v>2348.8511780966487</v>
      </c>
      <c r="DH89" s="1136">
        <f t="shared" si="89"/>
        <v>2348.8511780966487</v>
      </c>
      <c r="DI89" s="1136">
        <f t="shared" si="89"/>
        <v>2348.8511780966487</v>
      </c>
      <c r="DJ89" s="1136">
        <f t="shared" si="89"/>
        <v>2348.8511780966487</v>
      </c>
      <c r="DK89" s="1136">
        <f t="shared" si="89"/>
        <v>2348.8511780966487</v>
      </c>
      <c r="DL89" s="1136">
        <f t="shared" si="88"/>
        <v>2348.8511780966487</v>
      </c>
      <c r="DM89" s="1136">
        <f>SUM(DM13:DM88)</f>
        <v>43025.522806092486</v>
      </c>
      <c r="DN89" s="1136">
        <f>SUM(DN13:DN88)</f>
        <v>135397.39019122781</v>
      </c>
    </row>
    <row r="90" spans="1:118" x14ac:dyDescent="0.2">
      <c r="A90" s="110"/>
      <c r="B90" s="87"/>
      <c r="C90" s="87"/>
      <c r="D90" s="88"/>
      <c r="E90" s="88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9"/>
      <c r="S90" s="89"/>
      <c r="T90" s="90"/>
      <c r="U90" s="90"/>
      <c r="V90" s="104"/>
      <c r="Y90" s="77"/>
      <c r="AP90" s="69"/>
      <c r="BM90" s="667">
        <f>BM89-BN89-BO89</f>
        <v>202541.94207989896</v>
      </c>
      <c r="CO90" s="13"/>
      <c r="DN90" s="289">
        <f>CO89-DM89</f>
        <v>135397.39019122778</v>
      </c>
    </row>
    <row r="91" spans="1:118" x14ac:dyDescent="0.2">
      <c r="A91" s="349"/>
      <c r="D91" s="18"/>
      <c r="E91" s="18"/>
      <c r="R91" s="19"/>
      <c r="S91" s="19"/>
      <c r="T91" s="12"/>
      <c r="U91" s="12"/>
      <c r="V91" s="104"/>
      <c r="Y91" s="77"/>
      <c r="AP91" s="69"/>
      <c r="BL91" s="104"/>
      <c r="BM91" s="667"/>
      <c r="CH91" s="760">
        <f>BT89-CG89</f>
        <v>191862.53668895407</v>
      </c>
    </row>
    <row r="92" spans="1:118" x14ac:dyDescent="0.2">
      <c r="A92" s="1249"/>
      <c r="B92" s="1249"/>
      <c r="C92" s="1249"/>
      <c r="D92" s="1249"/>
      <c r="E92" s="1249"/>
      <c r="F92" s="1249"/>
      <c r="G92" s="1249"/>
      <c r="H92" s="1249"/>
      <c r="I92" s="1249"/>
      <c r="J92" s="1249"/>
      <c r="K92" s="1249"/>
      <c r="L92" s="1249"/>
      <c r="M92" s="1249"/>
      <c r="N92" s="1249"/>
      <c r="O92" s="1249"/>
      <c r="P92" s="1249"/>
      <c r="Q92" s="1249"/>
      <c r="R92" s="1249"/>
      <c r="S92" s="1249"/>
      <c r="T92" s="1249"/>
      <c r="U92" s="1249"/>
      <c r="V92" s="1249"/>
      <c r="W92" s="1249"/>
      <c r="X92" s="1249"/>
      <c r="Y92" s="171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Z92" s="170"/>
      <c r="BA92" s="170"/>
      <c r="BB92" s="170"/>
      <c r="BC92" s="170"/>
      <c r="BD92" s="170"/>
      <c r="BU92" s="170"/>
      <c r="BV92" s="170"/>
      <c r="BW92" s="170"/>
      <c r="BX92" s="170"/>
      <c r="BY92" s="170"/>
    </row>
    <row r="93" spans="1:118" x14ac:dyDescent="0.2">
      <c r="A93" s="1249"/>
      <c r="B93" s="1249"/>
      <c r="C93" s="1249"/>
      <c r="D93" s="1249"/>
      <c r="E93" s="1249"/>
      <c r="F93" s="1249"/>
      <c r="G93" s="1249"/>
      <c r="H93" s="1249"/>
      <c r="I93" s="1249"/>
      <c r="J93" s="1249"/>
      <c r="K93" s="1249"/>
      <c r="L93" s="1249"/>
      <c r="M93" s="1249"/>
      <c r="N93" s="1249"/>
      <c r="O93" s="1249"/>
      <c r="P93" s="1249"/>
      <c r="Q93" s="1249"/>
      <c r="R93" s="1249"/>
      <c r="S93" s="1249"/>
      <c r="T93" s="1249"/>
      <c r="U93" s="1249"/>
      <c r="V93" s="1249"/>
      <c r="W93" s="1249"/>
      <c r="X93" s="1249"/>
      <c r="Y93" s="77"/>
      <c r="AP93" s="69"/>
    </row>
    <row r="94" spans="1:118" x14ac:dyDescent="0.2">
      <c r="D94" s="18"/>
      <c r="E94" s="18"/>
      <c r="R94" s="19"/>
      <c r="S94" s="19"/>
      <c r="T94" s="12"/>
      <c r="U94" s="12"/>
      <c r="V94" s="104"/>
      <c r="Y94" s="77"/>
      <c r="AA94" s="12"/>
      <c r="AO94" s="104">
        <f>V89+AO89</f>
        <v>197079.55334130142</v>
      </c>
      <c r="AP94" s="69"/>
      <c r="BA94" s="12"/>
      <c r="BV94" s="12"/>
    </row>
  </sheetData>
  <mergeCells count="40">
    <mergeCell ref="A92:X93"/>
    <mergeCell ref="X11:X12"/>
    <mergeCell ref="Y11:Y12"/>
    <mergeCell ref="AC11:AC12"/>
    <mergeCell ref="R11:R12"/>
    <mergeCell ref="S11:S12"/>
    <mergeCell ref="T11:T12"/>
    <mergeCell ref="U11:U12"/>
    <mergeCell ref="V11:V12"/>
    <mergeCell ref="J11:J12"/>
    <mergeCell ref="A11:A12"/>
    <mergeCell ref="B11:B12"/>
    <mergeCell ref="E11:E12"/>
    <mergeCell ref="F11:F12"/>
    <mergeCell ref="G11:G12"/>
    <mergeCell ref="H11:H12"/>
    <mergeCell ref="D10:P10"/>
    <mergeCell ref="AS11:AS12"/>
    <mergeCell ref="AT11:AT12"/>
    <mergeCell ref="BC11:BC12"/>
    <mergeCell ref="BD11:BD12"/>
    <mergeCell ref="R10:T10"/>
    <mergeCell ref="U10:AP10"/>
    <mergeCell ref="I11:I12"/>
    <mergeCell ref="AD11:AD12"/>
    <mergeCell ref="K11:K12"/>
    <mergeCell ref="L11:L12"/>
    <mergeCell ref="M11:M12"/>
    <mergeCell ref="O11:O12"/>
    <mergeCell ref="BS11:BS12"/>
    <mergeCell ref="BT11:BT12"/>
    <mergeCell ref="BX11:BX12"/>
    <mergeCell ref="BY11:BY12"/>
    <mergeCell ref="Q11:Q12"/>
    <mergeCell ref="DN11:DN12"/>
    <mergeCell ref="CN11:CN12"/>
    <mergeCell ref="CO11:CO12"/>
    <mergeCell ref="CS11:CS12"/>
    <mergeCell ref="CT11:CT12"/>
    <mergeCell ref="DM11:DM12"/>
  </mergeCells>
  <pageMargins left="0.19685039370078741" right="0.19685039370078741" top="0.39370078740157483" bottom="0.39370078740157483" header="0.31496062992125984" footer="0.31496062992125984"/>
  <pageSetup scale="45" orientation="landscape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DN53"/>
  <sheetViews>
    <sheetView topLeftCell="D26" zoomScaleNormal="100" workbookViewId="0">
      <selection activeCell="DL53" sqref="DL53"/>
    </sheetView>
  </sheetViews>
  <sheetFormatPr baseColWidth="10" defaultRowHeight="12.75" x14ac:dyDescent="0.2"/>
  <cols>
    <col min="1" max="1" width="13.85546875" style="408" customWidth="1"/>
    <col min="2" max="2" width="28.42578125" style="404" customWidth="1"/>
    <col min="3" max="3" width="13.7109375" customWidth="1"/>
    <col min="4" max="4" width="5.85546875" customWidth="1"/>
    <col min="5" max="5" width="7" customWidth="1"/>
    <col min="6" max="6" width="10.42578125" customWidth="1"/>
    <col min="7" max="7" width="6.28515625" customWidth="1"/>
    <col min="8" max="8" width="8.5703125" hidden="1" customWidth="1"/>
    <col min="9" max="9" width="7" hidden="1" customWidth="1"/>
    <col min="10" max="10" width="7.28515625" hidden="1" customWidth="1"/>
    <col min="11" max="11" width="7.85546875" hidden="1" customWidth="1"/>
    <col min="12" max="12" width="7.140625" customWidth="1"/>
    <col min="13" max="13" width="7.140625" hidden="1" customWidth="1"/>
    <col min="14" max="14" width="8.140625" hidden="1" customWidth="1"/>
    <col min="15" max="15" width="7.7109375" hidden="1" customWidth="1"/>
    <col min="16" max="16" width="10.7109375" hidden="1" customWidth="1"/>
    <col min="17" max="17" width="10" customWidth="1"/>
    <col min="18" max="18" width="13.5703125" customWidth="1"/>
    <col min="19" max="19" width="11.42578125" customWidth="1"/>
    <col min="21" max="24" width="11.42578125" hidden="1" customWidth="1"/>
    <col min="25" max="25" width="11.7109375" hidden="1" customWidth="1"/>
    <col min="26" max="29" width="11.42578125" hidden="1" customWidth="1"/>
    <col min="30" max="30" width="0" hidden="1" customWidth="1"/>
    <col min="31" max="41" width="11.42578125" hidden="1" customWidth="1"/>
    <col min="42" max="43" width="11.7109375" hidden="1" customWidth="1"/>
    <col min="44" max="44" width="14.42578125" hidden="1" customWidth="1"/>
    <col min="45" max="45" width="10" hidden="1" customWidth="1"/>
    <col min="46" max="46" width="8.7109375" hidden="1" customWidth="1"/>
    <col min="47" max="47" width="11.42578125" hidden="1" customWidth="1"/>
    <col min="48" max="48" width="11.28515625" hidden="1" customWidth="1"/>
    <col min="49" max="53" width="11.42578125" hidden="1" customWidth="1"/>
    <col min="54" max="54" width="9.5703125" hidden="1" customWidth="1"/>
    <col min="55" max="56" width="0" hidden="1" customWidth="1"/>
    <col min="57" max="57" width="11.42578125" hidden="1" customWidth="1"/>
    <col min="58" max="58" width="11.140625" hidden="1" customWidth="1"/>
    <col min="59" max="59" width="11.42578125" hidden="1" customWidth="1"/>
    <col min="60" max="60" width="11" hidden="1" customWidth="1"/>
    <col min="61" max="63" width="11.42578125" hidden="1" customWidth="1"/>
    <col min="64" max="64" width="12.42578125" hidden="1" customWidth="1"/>
    <col min="65" max="65" width="14.42578125" style="436" hidden="1" customWidth="1"/>
    <col min="66" max="66" width="13.7109375" hidden="1" customWidth="1"/>
    <col min="67" max="67" width="11.28515625" hidden="1" customWidth="1"/>
    <col min="68" max="68" width="13.28515625" hidden="1" customWidth="1"/>
    <col min="69" max="69" width="11.42578125" hidden="1" customWidth="1"/>
    <col min="70" max="71" width="12" hidden="1" customWidth="1"/>
    <col min="72" max="72" width="13.85546875" hidden="1" customWidth="1"/>
    <col min="73" max="73" width="9.140625" hidden="1" customWidth="1"/>
    <col min="74" max="74" width="8.5703125" hidden="1" customWidth="1"/>
    <col min="75" max="75" width="8.28515625" hidden="1" customWidth="1"/>
    <col min="76" max="76" width="11.42578125" hidden="1" customWidth="1"/>
    <col min="77" max="77" width="8.7109375" hidden="1" customWidth="1"/>
    <col min="78" max="78" width="11.42578125" hidden="1" customWidth="1"/>
    <col min="79" max="79" width="11.140625" hidden="1" customWidth="1"/>
    <col min="80" max="80" width="11.42578125" hidden="1" customWidth="1"/>
    <col min="81" max="81" width="11" hidden="1" customWidth="1"/>
    <col min="82" max="82" width="11.42578125" hidden="1" customWidth="1"/>
    <col min="83" max="83" width="12.42578125" hidden="1" customWidth="1"/>
    <col min="84" max="84" width="13.42578125" hidden="1" customWidth="1"/>
    <col min="85" max="85" width="12.42578125" hidden="1" customWidth="1"/>
    <col min="86" max="86" width="13.85546875" style="436" hidden="1" customWidth="1"/>
    <col min="87" max="91" width="11.42578125" hidden="1" customWidth="1"/>
    <col min="92" max="92" width="12.7109375" hidden="1" customWidth="1"/>
    <col min="93" max="93" width="12.7109375" bestFit="1" customWidth="1"/>
    <col min="94" max="98" width="11.42578125" customWidth="1"/>
    <col min="99" max="104" width="11.42578125" hidden="1" customWidth="1"/>
    <col min="105" max="115" width="11.28515625" hidden="1" customWidth="1"/>
    <col min="116" max="116" width="11.28515625" customWidth="1"/>
    <col min="117" max="117" width="11.42578125" customWidth="1"/>
    <col min="118" max="118" width="13" customWidth="1"/>
  </cols>
  <sheetData>
    <row r="1" spans="1:118" x14ac:dyDescent="0.2">
      <c r="A1" s="700"/>
      <c r="B1" s="638" t="s">
        <v>27</v>
      </c>
      <c r="C1" s="637"/>
      <c r="D1" s="639"/>
      <c r="E1" s="639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40"/>
      <c r="S1" s="640"/>
      <c r="T1" s="637"/>
      <c r="U1" s="637"/>
      <c r="V1" s="661"/>
      <c r="W1" s="662"/>
      <c r="X1" s="662"/>
      <c r="Y1" s="663"/>
      <c r="Z1" s="662"/>
      <c r="AA1" s="662"/>
      <c r="AB1" s="662"/>
      <c r="AC1" s="662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62" t="s">
        <v>1072</v>
      </c>
      <c r="AO1" s="637"/>
      <c r="AP1" s="664"/>
      <c r="AQ1" s="637"/>
      <c r="AR1" s="637"/>
      <c r="AS1" s="637"/>
      <c r="AT1" s="637"/>
      <c r="AU1" s="637"/>
      <c r="AV1" s="637"/>
      <c r="AW1" s="637"/>
      <c r="AX1" s="637"/>
      <c r="AY1" s="637"/>
      <c r="AZ1" s="662"/>
      <c r="BA1" s="662"/>
      <c r="BB1" s="662"/>
      <c r="BC1" s="662"/>
      <c r="BD1" s="637"/>
      <c r="BE1" s="637"/>
      <c r="BF1" s="637"/>
      <c r="BG1" s="637"/>
      <c r="BH1" s="637"/>
      <c r="BI1" s="637"/>
      <c r="BJ1" s="637"/>
      <c r="BK1" s="637"/>
      <c r="BL1" s="637"/>
      <c r="BM1" s="642"/>
      <c r="BN1" s="637"/>
      <c r="BO1" s="637"/>
      <c r="BP1" s="637"/>
      <c r="BQ1" s="637"/>
      <c r="BR1" s="637"/>
      <c r="BS1" s="637"/>
      <c r="BT1" s="637"/>
      <c r="BU1" s="662"/>
      <c r="BV1" s="662"/>
      <c r="BW1" s="662"/>
      <c r="BX1" s="662"/>
      <c r="BY1" s="637"/>
      <c r="BZ1" s="637"/>
      <c r="CA1" s="637"/>
      <c r="CB1" s="637"/>
      <c r="CC1" s="637"/>
      <c r="CD1" s="637"/>
      <c r="CE1" s="637"/>
      <c r="CF1" s="637"/>
      <c r="CG1" s="637"/>
      <c r="CH1" s="642"/>
    </row>
    <row r="2" spans="1:118" x14ac:dyDescent="0.2">
      <c r="A2" s="700"/>
      <c r="B2" s="638" t="s">
        <v>1273</v>
      </c>
      <c r="C2" s="637"/>
      <c r="D2" s="639"/>
      <c r="E2" s="639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40"/>
      <c r="S2" s="640"/>
      <c r="T2" s="637"/>
      <c r="U2" s="637"/>
      <c r="V2" s="661"/>
      <c r="W2" s="662"/>
      <c r="X2" s="662"/>
      <c r="Y2" s="663"/>
      <c r="Z2" s="662"/>
      <c r="AA2" s="662"/>
      <c r="AB2" s="662"/>
      <c r="AC2" s="662"/>
      <c r="AD2" s="637"/>
      <c r="AE2" s="637"/>
      <c r="AF2" s="637"/>
      <c r="AG2" s="637"/>
      <c r="AH2" s="637"/>
      <c r="AI2" s="637"/>
      <c r="AJ2" s="637"/>
      <c r="AK2" s="637"/>
      <c r="AL2" s="637"/>
      <c r="AM2" s="637"/>
      <c r="AN2" s="637"/>
      <c r="AO2" s="637"/>
      <c r="AP2" s="664"/>
      <c r="AQ2" s="637"/>
      <c r="AR2" s="637"/>
      <c r="AS2" s="637"/>
      <c r="AT2" s="637"/>
      <c r="AU2" s="637"/>
      <c r="AV2" s="637"/>
      <c r="AW2" s="637"/>
      <c r="AX2" s="637"/>
      <c r="AY2" s="637"/>
      <c r="AZ2" s="662"/>
      <c r="BA2" s="662"/>
      <c r="BB2" s="662"/>
      <c r="BC2" s="662"/>
      <c r="BD2" s="637"/>
      <c r="BE2" s="637"/>
      <c r="BF2" s="637"/>
      <c r="BG2" s="637"/>
      <c r="BH2" s="637"/>
      <c r="BI2" s="637"/>
      <c r="BJ2" s="637"/>
      <c r="BK2" s="637"/>
      <c r="BL2" s="637"/>
      <c r="BM2" s="642"/>
      <c r="BN2" s="637"/>
      <c r="BO2" s="637"/>
      <c r="BP2" s="637"/>
      <c r="BQ2" s="637"/>
      <c r="BR2" s="637"/>
      <c r="BS2" s="637"/>
      <c r="BT2" s="637"/>
      <c r="BU2" s="662"/>
      <c r="BV2" s="662"/>
      <c r="BW2" s="662"/>
      <c r="BX2" s="662"/>
      <c r="BY2" s="637"/>
      <c r="BZ2" s="637"/>
      <c r="CA2" s="637"/>
      <c r="CB2" s="637"/>
      <c r="CC2" s="637"/>
      <c r="CD2" s="637"/>
      <c r="CE2" s="637"/>
      <c r="CF2" s="637"/>
      <c r="CG2" s="637"/>
      <c r="CH2" s="642"/>
    </row>
    <row r="3" spans="1:118" x14ac:dyDescent="0.2">
      <c r="A3" s="700"/>
      <c r="B3" s="637"/>
      <c r="C3" s="638"/>
      <c r="D3" s="641"/>
      <c r="E3" s="639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38"/>
      <c r="S3" s="638"/>
      <c r="T3" s="642"/>
      <c r="U3" s="642"/>
      <c r="V3" s="665"/>
      <c r="W3" s="662"/>
      <c r="X3" s="662"/>
      <c r="Y3" s="663"/>
      <c r="Z3" s="662"/>
      <c r="AA3" s="662"/>
      <c r="AB3" s="662"/>
      <c r="AC3" s="662"/>
      <c r="AD3" s="637"/>
      <c r="AE3" s="637"/>
      <c r="AF3" s="637"/>
      <c r="AG3" s="637"/>
      <c r="AH3" s="637"/>
      <c r="AI3" s="637"/>
      <c r="AJ3" s="637"/>
      <c r="AK3" s="637"/>
      <c r="AL3" s="637"/>
      <c r="AM3" s="637"/>
      <c r="AN3" s="637"/>
      <c r="AO3" s="637"/>
      <c r="AP3" s="664"/>
      <c r="AQ3" s="637"/>
      <c r="AR3" s="637"/>
      <c r="AS3" s="637"/>
      <c r="AT3" s="637"/>
      <c r="AU3" s="637"/>
      <c r="AV3" s="637"/>
      <c r="AW3" s="637"/>
      <c r="AX3" s="637"/>
      <c r="AY3" s="637"/>
      <c r="AZ3" s="662"/>
      <c r="BA3" s="662"/>
      <c r="BB3" s="662"/>
      <c r="BC3" s="662"/>
      <c r="BD3" s="637"/>
      <c r="BE3" s="637"/>
      <c r="BF3" s="637"/>
      <c r="BG3" s="637"/>
      <c r="BH3" s="637"/>
      <c r="BI3" s="637"/>
      <c r="BJ3" s="637"/>
      <c r="BK3" s="637"/>
      <c r="BL3" s="637"/>
      <c r="BM3" s="642"/>
      <c r="BN3" s="637"/>
      <c r="BO3" s="637"/>
      <c r="BP3" s="637"/>
      <c r="BQ3" s="637"/>
      <c r="BR3" s="637"/>
      <c r="BS3" s="637"/>
      <c r="BT3" s="637"/>
      <c r="BU3" s="662"/>
      <c r="BV3" s="662"/>
      <c r="BW3" s="662"/>
      <c r="BX3" s="662"/>
      <c r="BY3" s="637"/>
      <c r="BZ3" s="637"/>
      <c r="CA3" s="637"/>
      <c r="CB3" s="637"/>
      <c r="CC3" s="637"/>
      <c r="CD3" s="637"/>
      <c r="CE3" s="637"/>
      <c r="CF3" s="637"/>
      <c r="CG3" s="637"/>
      <c r="CH3" s="642"/>
    </row>
    <row r="4" spans="1:118" x14ac:dyDescent="0.2">
      <c r="A4" s="700"/>
      <c r="B4" s="637" t="s">
        <v>309</v>
      </c>
      <c r="C4" s="638"/>
      <c r="D4" s="641"/>
      <c r="E4" s="639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38"/>
      <c r="S4" s="638"/>
      <c r="T4" s="642"/>
      <c r="U4" s="642"/>
      <c r="V4" s="665"/>
      <c r="W4" s="662"/>
      <c r="X4" s="662"/>
      <c r="Y4" s="663"/>
      <c r="Z4" s="662"/>
      <c r="AA4" s="662"/>
      <c r="AB4" s="662"/>
      <c r="AC4" s="662"/>
      <c r="AD4" s="637"/>
      <c r="AE4" s="637"/>
      <c r="AF4" s="637"/>
      <c r="AG4" s="637"/>
      <c r="AH4" s="637"/>
      <c r="AI4" s="637"/>
      <c r="AJ4" s="637"/>
      <c r="AK4" s="637"/>
      <c r="AL4" s="637"/>
      <c r="AM4" s="637"/>
      <c r="AN4" s="637"/>
      <c r="AO4" s="637"/>
      <c r="AP4" s="664"/>
      <c r="AQ4" s="637"/>
      <c r="AR4" s="637"/>
      <c r="AS4" s="637"/>
      <c r="AT4" s="637"/>
      <c r="AU4" s="637"/>
      <c r="AV4" s="637"/>
      <c r="AW4" s="637"/>
      <c r="AX4" s="637"/>
      <c r="AY4" s="637"/>
      <c r="AZ4" s="662"/>
      <c r="BA4" s="662"/>
      <c r="BB4" s="662"/>
      <c r="BC4" s="662"/>
      <c r="BD4" s="637"/>
      <c r="BE4" s="637"/>
      <c r="BF4" s="637"/>
      <c r="BG4" s="637"/>
      <c r="BH4" s="637"/>
      <c r="BI4" s="637"/>
      <c r="BJ4" s="637"/>
      <c r="BK4" s="637"/>
      <c r="BL4" s="637"/>
      <c r="BM4" s="642"/>
      <c r="BN4" s="637"/>
      <c r="BO4" s="637"/>
      <c r="BP4" s="637"/>
      <c r="BQ4" s="637"/>
      <c r="BR4" s="637"/>
      <c r="BS4" s="637"/>
      <c r="BT4" s="637"/>
      <c r="BU4" s="662"/>
      <c r="BV4" s="662"/>
      <c r="BW4" s="662"/>
      <c r="BX4" s="662"/>
      <c r="BY4" s="637"/>
      <c r="BZ4" s="637"/>
      <c r="CA4" s="637"/>
      <c r="CB4" s="637"/>
      <c r="CC4" s="637"/>
      <c r="CD4" s="637"/>
      <c r="CE4" s="637"/>
      <c r="CF4" s="637"/>
      <c r="CG4" s="637"/>
      <c r="CH4" s="642"/>
    </row>
    <row r="5" spans="1:118" x14ac:dyDescent="0.2">
      <c r="A5" s="700"/>
      <c r="B5" s="642" t="s">
        <v>858</v>
      </c>
      <c r="C5" s="637"/>
      <c r="D5" s="639"/>
      <c r="E5" s="639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40"/>
      <c r="S5" s="640"/>
      <c r="T5" s="637"/>
      <c r="U5" s="637"/>
      <c r="V5" s="661"/>
      <c r="W5" s="662"/>
      <c r="X5" s="662"/>
      <c r="Y5" s="663"/>
      <c r="Z5" s="662"/>
      <c r="AA5" s="662"/>
      <c r="AB5" s="662"/>
      <c r="AC5" s="662"/>
      <c r="AD5" s="637"/>
      <c r="AE5" s="637"/>
      <c r="AF5" s="637"/>
      <c r="AG5" s="637"/>
      <c r="AH5" s="637"/>
      <c r="AI5" s="637"/>
      <c r="AJ5" s="637"/>
      <c r="AK5" s="637"/>
      <c r="AL5" s="637"/>
      <c r="AM5" s="637"/>
      <c r="AN5" s="637"/>
      <c r="AO5" s="637"/>
      <c r="AP5" s="664"/>
      <c r="AQ5" s="637"/>
      <c r="AR5" s="637"/>
      <c r="AS5" s="637"/>
      <c r="AT5" s="637"/>
      <c r="AU5" s="637"/>
      <c r="AV5" s="637"/>
      <c r="AW5" s="637"/>
      <c r="AX5" s="637"/>
      <c r="AY5" s="637"/>
      <c r="AZ5" s="662"/>
      <c r="BA5" s="662"/>
      <c r="BB5" s="662"/>
      <c r="BC5" s="662"/>
      <c r="BD5" s="637"/>
      <c r="BE5" s="637"/>
      <c r="BF5" s="637"/>
      <c r="BG5" s="637"/>
      <c r="BH5" s="637"/>
      <c r="BI5" s="637"/>
      <c r="BJ5" s="637"/>
      <c r="BK5" s="637"/>
      <c r="BL5" s="637"/>
      <c r="BM5" s="642"/>
      <c r="BN5" s="637"/>
      <c r="BO5" s="637"/>
      <c r="BP5" s="637"/>
      <c r="BQ5" s="637"/>
      <c r="BR5" s="637"/>
      <c r="BS5" s="637"/>
      <c r="BT5" s="637"/>
      <c r="BU5" s="662"/>
      <c r="BV5" s="662"/>
      <c r="BW5" s="662"/>
      <c r="BX5" s="662"/>
      <c r="BY5" s="637"/>
      <c r="BZ5" s="637"/>
      <c r="CA5" s="637"/>
      <c r="CB5" s="637"/>
      <c r="CC5" s="637"/>
      <c r="CD5" s="637"/>
      <c r="CE5" s="637"/>
      <c r="CF5" s="637"/>
      <c r="CG5" s="637"/>
      <c r="CH5" s="642"/>
    </row>
    <row r="6" spans="1:118" x14ac:dyDescent="0.2">
      <c r="A6" s="700"/>
      <c r="B6" s="637" t="s">
        <v>1272</v>
      </c>
      <c r="C6" s="637"/>
      <c r="D6" s="639"/>
      <c r="E6" s="639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40"/>
      <c r="S6" s="640"/>
      <c r="T6" s="637"/>
      <c r="U6" s="637"/>
      <c r="V6" s="661"/>
      <c r="W6" s="662"/>
      <c r="X6" s="662"/>
      <c r="Y6" s="663"/>
      <c r="Z6" s="662"/>
      <c r="AA6" s="662"/>
      <c r="AB6" s="662"/>
      <c r="AC6" s="662"/>
      <c r="AD6" s="637"/>
      <c r="AE6" s="637"/>
      <c r="AF6" s="637"/>
      <c r="AG6" s="637"/>
      <c r="AH6" s="637"/>
      <c r="AI6" s="637"/>
      <c r="AJ6" s="637"/>
      <c r="AK6" s="637"/>
      <c r="AL6" s="637"/>
      <c r="AM6" s="637"/>
      <c r="AN6" s="637"/>
      <c r="AO6" s="637"/>
      <c r="AP6" s="664"/>
      <c r="AQ6" s="637"/>
      <c r="AR6" s="637"/>
      <c r="AS6" s="637"/>
      <c r="AT6" s="637"/>
      <c r="AU6" s="637"/>
      <c r="AV6" s="637"/>
      <c r="AW6" s="637"/>
      <c r="AX6" s="637"/>
      <c r="AY6" s="637"/>
      <c r="AZ6" s="662"/>
      <c r="BA6" s="662"/>
      <c r="BB6" s="662"/>
      <c r="BC6" s="662"/>
      <c r="BD6" s="637"/>
      <c r="BE6" s="637"/>
      <c r="BF6" s="637"/>
      <c r="BG6" s="637"/>
      <c r="BH6" s="637"/>
      <c r="BI6" s="637"/>
      <c r="BJ6" s="637"/>
      <c r="BK6" s="637"/>
      <c r="BL6" s="637"/>
      <c r="BM6" s="642"/>
      <c r="BN6" s="637"/>
      <c r="BO6" s="637"/>
      <c r="BP6" s="637"/>
      <c r="BQ6" s="637"/>
      <c r="BR6" s="637"/>
      <c r="BS6" s="637"/>
      <c r="BT6" s="637"/>
      <c r="BU6" s="662"/>
      <c r="BV6" s="662"/>
      <c r="BW6" s="662"/>
      <c r="BX6" s="662"/>
      <c r="BY6" s="637"/>
      <c r="BZ6" s="637"/>
      <c r="CA6" s="637"/>
      <c r="CB6" s="637"/>
      <c r="CC6" s="637"/>
      <c r="CD6" s="637"/>
      <c r="CE6" s="637"/>
      <c r="CF6" s="637"/>
      <c r="CG6" s="637"/>
      <c r="CH6" s="642"/>
    </row>
    <row r="7" spans="1:118" x14ac:dyDescent="0.2">
      <c r="A7" s="700"/>
      <c r="B7" s="701"/>
      <c r="C7" s="637"/>
      <c r="D7" s="639"/>
      <c r="E7" s="639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40"/>
      <c r="S7" s="640"/>
      <c r="T7" s="637"/>
      <c r="U7" s="637"/>
      <c r="V7" s="661"/>
      <c r="W7" s="662"/>
      <c r="X7" s="662"/>
      <c r="Y7" s="663"/>
      <c r="Z7" s="662"/>
      <c r="AA7" s="662"/>
      <c r="AB7" s="662"/>
      <c r="AC7" s="662"/>
      <c r="AD7" s="637"/>
      <c r="AE7" s="637"/>
      <c r="AF7" s="637"/>
      <c r="AG7" s="637"/>
      <c r="AH7" s="637"/>
      <c r="AI7" s="637"/>
      <c r="AJ7" s="637"/>
      <c r="AK7" s="637"/>
      <c r="AL7" s="637"/>
      <c r="AM7" s="637"/>
      <c r="AN7" s="637"/>
      <c r="AO7" s="637"/>
      <c r="AP7" s="664"/>
      <c r="AQ7" s="637"/>
      <c r="AR7" s="637"/>
      <c r="AS7" s="637"/>
      <c r="AT7" s="637"/>
      <c r="AU7" s="637"/>
      <c r="AV7" s="637"/>
      <c r="AW7" s="637"/>
      <c r="AX7" s="637"/>
      <c r="AY7" s="637"/>
      <c r="AZ7" s="662"/>
      <c r="BA7" s="662"/>
      <c r="BB7" s="662"/>
      <c r="BC7" s="662"/>
      <c r="BD7" s="637"/>
      <c r="BE7" s="637"/>
      <c r="BF7" s="637"/>
      <c r="BG7" s="637"/>
      <c r="BH7" s="637"/>
      <c r="BI7" s="637"/>
      <c r="BJ7" s="637"/>
      <c r="BK7" s="637"/>
      <c r="BL7" s="637"/>
      <c r="BM7" s="642"/>
      <c r="BN7" s="637"/>
      <c r="BO7" s="637"/>
      <c r="BP7" s="637"/>
      <c r="BQ7" s="637"/>
      <c r="BR7" s="637"/>
      <c r="BS7" s="637"/>
      <c r="BT7" s="637"/>
      <c r="BU7" s="662"/>
      <c r="BV7" s="662"/>
      <c r="BW7" s="662"/>
      <c r="BX7" s="662"/>
      <c r="BY7" s="637"/>
      <c r="BZ7" s="637"/>
      <c r="CA7" s="637"/>
      <c r="CB7" s="637"/>
      <c r="CC7" s="637"/>
      <c r="CD7" s="637"/>
      <c r="CE7" s="637"/>
      <c r="CF7" s="637"/>
      <c r="CG7" s="637"/>
      <c r="CH7" s="642"/>
    </row>
    <row r="8" spans="1:118" x14ac:dyDescent="0.2">
      <c r="A8" s="407"/>
      <c r="B8" s="403"/>
      <c r="C8" s="16"/>
      <c r="D8" s="38"/>
      <c r="E8" s="38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37"/>
      <c r="S8" s="37"/>
      <c r="T8" s="35"/>
      <c r="U8" s="35"/>
      <c r="V8" s="103"/>
      <c r="W8" s="39"/>
      <c r="X8" s="39"/>
      <c r="Y8" s="76"/>
      <c r="Z8" s="39"/>
      <c r="AA8" s="39"/>
      <c r="AB8" s="39"/>
      <c r="AC8" s="39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68"/>
      <c r="AZ8" s="39"/>
      <c r="BA8" s="39"/>
      <c r="BB8" s="39"/>
      <c r="BC8" s="39"/>
      <c r="BD8" s="16"/>
      <c r="BU8" s="39"/>
      <c r="BV8" s="39"/>
      <c r="BW8" s="39"/>
      <c r="BX8" s="39"/>
      <c r="BY8" s="16"/>
    </row>
    <row r="9" spans="1:118" x14ac:dyDescent="0.2">
      <c r="A9" s="407"/>
      <c r="B9" s="403"/>
      <c r="C9" s="16"/>
      <c r="D9" s="38"/>
      <c r="E9" s="38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37"/>
      <c r="S9" s="37"/>
      <c r="T9" s="35"/>
      <c r="U9" s="35"/>
      <c r="V9" s="103"/>
      <c r="W9" s="39"/>
      <c r="X9" s="39"/>
      <c r="Y9" s="76"/>
      <c r="Z9" s="39"/>
      <c r="AA9" s="39"/>
      <c r="AB9" s="39"/>
      <c r="AC9" s="39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68"/>
      <c r="AZ9" s="39"/>
      <c r="BA9" s="39"/>
      <c r="BB9" s="39"/>
      <c r="BC9" s="39"/>
      <c r="BD9" s="16"/>
      <c r="BU9" s="39"/>
      <c r="BV9" s="39"/>
      <c r="BW9" s="39"/>
      <c r="BX9" s="39"/>
      <c r="BY9" s="16"/>
    </row>
    <row r="10" spans="1:118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1275" t="s">
        <v>450</v>
      </c>
      <c r="V10" s="1275"/>
      <c r="W10" s="1275"/>
      <c r="X10" s="1275"/>
      <c r="Y10" s="1275"/>
      <c r="Z10" s="1275"/>
      <c r="AA10" s="1275"/>
      <c r="AB10" s="1275"/>
      <c r="AC10" s="1275"/>
      <c r="AD10" s="1275"/>
      <c r="AE10" s="1275"/>
      <c r="AF10" s="1275"/>
      <c r="AG10" s="1275"/>
      <c r="AH10" s="1275"/>
      <c r="AI10" s="1275"/>
      <c r="AJ10" s="1275"/>
      <c r="AK10" s="1275"/>
      <c r="AL10" s="1275"/>
      <c r="AM10" s="1275"/>
      <c r="AN10" s="1275"/>
      <c r="AO10" s="1275"/>
      <c r="AP10" s="1275"/>
      <c r="AQ10" s="1275"/>
      <c r="AR10" s="1275"/>
      <c r="AS10" s="1275"/>
      <c r="AT10" s="1275"/>
      <c r="AU10" s="1275"/>
      <c r="AV10" s="1275"/>
      <c r="AW10" s="1275"/>
      <c r="AX10" s="1275"/>
      <c r="AY10" s="1275"/>
      <c r="AZ10" s="1275"/>
      <c r="BA10" s="1275"/>
      <c r="BB10" s="1275"/>
      <c r="BC10" s="1275"/>
      <c r="BN10" s="436"/>
      <c r="BO10" s="436"/>
      <c r="BP10" s="436"/>
      <c r="BQ10" s="436"/>
      <c r="BR10" s="436"/>
      <c r="BS10" s="436"/>
      <c r="BT10" s="436"/>
      <c r="BU10" s="436"/>
      <c r="BV10" s="436"/>
      <c r="BW10" s="436"/>
      <c r="BX10" s="436"/>
    </row>
    <row r="11" spans="1:118" ht="51" customHeight="1" x14ac:dyDescent="0.25">
      <c r="A11" s="1294" t="s">
        <v>57</v>
      </c>
      <c r="B11" s="1296" t="s">
        <v>0</v>
      </c>
      <c r="C11" s="323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1126</v>
      </c>
      <c r="J11" s="1254" t="s">
        <v>1127</v>
      </c>
      <c r="K11" s="1254" t="s">
        <v>534</v>
      </c>
      <c r="L11" s="1254" t="s">
        <v>493</v>
      </c>
      <c r="M11" s="1254" t="s">
        <v>535</v>
      </c>
      <c r="N11" s="324" t="s">
        <v>529</v>
      </c>
      <c r="O11" s="1254" t="s">
        <v>492</v>
      </c>
      <c r="P11" s="327" t="s">
        <v>530</v>
      </c>
      <c r="Q11" s="1256" t="s">
        <v>528</v>
      </c>
      <c r="R11" s="1250" t="s">
        <v>919</v>
      </c>
      <c r="S11" s="1250" t="s">
        <v>857</v>
      </c>
      <c r="T11" s="1252" t="s">
        <v>449</v>
      </c>
      <c r="U11" s="1245" t="s">
        <v>856</v>
      </c>
      <c r="V11" s="1245" t="s">
        <v>596</v>
      </c>
      <c r="W11" s="325"/>
      <c r="X11" s="1268" t="s">
        <v>569</v>
      </c>
      <c r="Y11" s="1245" t="s">
        <v>599</v>
      </c>
      <c r="Z11" s="158" t="s">
        <v>15</v>
      </c>
      <c r="AA11" s="159" t="s">
        <v>15</v>
      </c>
      <c r="AB11" s="158" t="s">
        <v>16</v>
      </c>
      <c r="AC11" s="1245" t="s">
        <v>527</v>
      </c>
      <c r="AD11" s="1245" t="s">
        <v>536</v>
      </c>
      <c r="AE11" s="158" t="s">
        <v>3</v>
      </c>
      <c r="AF11" s="158" t="s">
        <v>4</v>
      </c>
      <c r="AG11" s="158" t="s">
        <v>5</v>
      </c>
      <c r="AH11" s="158" t="s">
        <v>6</v>
      </c>
      <c r="AI11" s="158" t="s">
        <v>7</v>
      </c>
      <c r="AJ11" s="158" t="s">
        <v>8</v>
      </c>
      <c r="AK11" s="158" t="s">
        <v>9</v>
      </c>
      <c r="AL11" s="158" t="s">
        <v>10</v>
      </c>
      <c r="AM11" s="158" t="s">
        <v>11</v>
      </c>
      <c r="AN11" s="158" t="s">
        <v>12</v>
      </c>
      <c r="AO11" s="158" t="s">
        <v>13</v>
      </c>
      <c r="AP11" s="158" t="s">
        <v>14</v>
      </c>
      <c r="AQ11" s="196" t="s">
        <v>531</v>
      </c>
      <c r="AR11" s="160" t="s">
        <v>63</v>
      </c>
      <c r="AS11" s="1245" t="s">
        <v>976</v>
      </c>
      <c r="AT11" s="1245" t="s">
        <v>536</v>
      </c>
      <c r="AU11" s="158" t="s">
        <v>3</v>
      </c>
      <c r="AV11" s="158" t="s">
        <v>4</v>
      </c>
      <c r="AW11" s="158" t="s">
        <v>5</v>
      </c>
      <c r="AX11" s="158" t="s">
        <v>6</v>
      </c>
      <c r="AY11" s="158" t="s">
        <v>7</v>
      </c>
      <c r="AZ11" s="158" t="s">
        <v>15</v>
      </c>
      <c r="BA11" s="159" t="s">
        <v>15</v>
      </c>
      <c r="BB11" s="158" t="s">
        <v>16</v>
      </c>
      <c r="BC11" s="1245" t="s">
        <v>1059</v>
      </c>
      <c r="BD11" s="1245" t="s">
        <v>536</v>
      </c>
      <c r="BE11" s="158" t="s">
        <v>8</v>
      </c>
      <c r="BF11" s="158" t="s">
        <v>9</v>
      </c>
      <c r="BG11" s="158" t="s">
        <v>10</v>
      </c>
      <c r="BH11" s="158" t="s">
        <v>11</v>
      </c>
      <c r="BI11" s="158" t="s">
        <v>12</v>
      </c>
      <c r="BJ11" s="158" t="s">
        <v>13</v>
      </c>
      <c r="BK11" s="158" t="s">
        <v>14</v>
      </c>
      <c r="BL11" s="196" t="s">
        <v>989</v>
      </c>
      <c r="BM11" s="160" t="s">
        <v>63</v>
      </c>
      <c r="BN11" s="158" t="s">
        <v>3</v>
      </c>
      <c r="BO11" s="158" t="s">
        <v>4</v>
      </c>
      <c r="BP11" s="158" t="s">
        <v>5</v>
      </c>
      <c r="BQ11" s="158" t="s">
        <v>6</v>
      </c>
      <c r="BR11" s="158" t="s">
        <v>7</v>
      </c>
      <c r="BS11" s="1247" t="s">
        <v>1150</v>
      </c>
      <c r="BT11" s="1247" t="s">
        <v>1134</v>
      </c>
      <c r="BU11" s="158" t="s">
        <v>15</v>
      </c>
      <c r="BV11" s="159" t="s">
        <v>15</v>
      </c>
      <c r="BW11" s="158" t="s">
        <v>16</v>
      </c>
      <c r="BX11" s="1245" t="s">
        <v>1004</v>
      </c>
      <c r="BY11" s="1245" t="s">
        <v>536</v>
      </c>
      <c r="BZ11" s="158" t="s">
        <v>8</v>
      </c>
      <c r="CA11" s="158" t="s">
        <v>9</v>
      </c>
      <c r="CB11" s="158" t="s">
        <v>10</v>
      </c>
      <c r="CC11" s="158" t="s">
        <v>11</v>
      </c>
      <c r="CD11" s="158" t="s">
        <v>12</v>
      </c>
      <c r="CE11" s="158" t="s">
        <v>13</v>
      </c>
      <c r="CF11" s="158" t="s">
        <v>14</v>
      </c>
      <c r="CG11" s="196" t="s">
        <v>1160</v>
      </c>
      <c r="CH11" s="160" t="s">
        <v>63</v>
      </c>
      <c r="CI11" s="158" t="s">
        <v>3</v>
      </c>
      <c r="CJ11" s="158" t="s">
        <v>4</v>
      </c>
      <c r="CK11" s="158" t="s">
        <v>5</v>
      </c>
      <c r="CL11" s="158" t="s">
        <v>6</v>
      </c>
      <c r="CM11" s="158" t="s">
        <v>7</v>
      </c>
      <c r="CN11" s="1247" t="s">
        <v>1252</v>
      </c>
      <c r="CO11" s="1247" t="s">
        <v>1253</v>
      </c>
      <c r="CP11" s="158" t="s">
        <v>15</v>
      </c>
      <c r="CQ11" s="159" t="s">
        <v>15</v>
      </c>
      <c r="CR11" s="158" t="s">
        <v>16</v>
      </c>
      <c r="CS11" s="1245" t="s">
        <v>1254</v>
      </c>
      <c r="CT11" s="1245" t="s">
        <v>536</v>
      </c>
      <c r="CU11" s="158" t="s">
        <v>8</v>
      </c>
      <c r="CV11" s="158" t="s">
        <v>9</v>
      </c>
      <c r="CW11" s="158" t="s">
        <v>10</v>
      </c>
      <c r="CX11" s="158" t="s">
        <v>11</v>
      </c>
      <c r="CY11" s="158" t="s">
        <v>12</v>
      </c>
      <c r="CZ11" s="158" t="s">
        <v>13</v>
      </c>
      <c r="DA11" s="158" t="s">
        <v>14</v>
      </c>
      <c r="DB11" s="158" t="s">
        <v>3</v>
      </c>
      <c r="DC11" s="158" t="s">
        <v>4</v>
      </c>
      <c r="DD11" s="158" t="s">
        <v>5</v>
      </c>
      <c r="DE11" s="158" t="s">
        <v>6</v>
      </c>
      <c r="DF11" s="158" t="s">
        <v>7</v>
      </c>
      <c r="DG11" s="158" t="s">
        <v>8</v>
      </c>
      <c r="DH11" s="158" t="s">
        <v>9</v>
      </c>
      <c r="DI11" s="158" t="s">
        <v>10</v>
      </c>
      <c r="DJ11" s="158" t="s">
        <v>11</v>
      </c>
      <c r="DK11" s="158" t="s">
        <v>12</v>
      </c>
      <c r="DL11" s="158" t="s">
        <v>13</v>
      </c>
      <c r="DM11" s="1247" t="s">
        <v>1274</v>
      </c>
      <c r="DN11" s="1247" t="s">
        <v>1263</v>
      </c>
    </row>
    <row r="12" spans="1:118" ht="33.75" x14ac:dyDescent="0.25">
      <c r="A12" s="1295"/>
      <c r="B12" s="1297"/>
      <c r="C12" s="161" t="s">
        <v>815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1267"/>
      <c r="V12" s="1267"/>
      <c r="W12" s="326" t="s">
        <v>855</v>
      </c>
      <c r="X12" s="1272"/>
      <c r="Y12" s="1246"/>
      <c r="Z12" s="162" t="s">
        <v>20</v>
      </c>
      <c r="AA12" s="163" t="s">
        <v>21</v>
      </c>
      <c r="AB12" s="162" t="s">
        <v>22</v>
      </c>
      <c r="AC12" s="1246"/>
      <c r="AD12" s="1246"/>
      <c r="AE12" s="162">
        <v>2015</v>
      </c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>
        <v>2015</v>
      </c>
      <c r="AQ12" s="162">
        <v>2015</v>
      </c>
      <c r="AR12" s="162" t="s">
        <v>64</v>
      </c>
      <c r="AS12" s="1246"/>
      <c r="AT12" s="1246"/>
      <c r="AU12" s="162">
        <v>2016</v>
      </c>
      <c r="AV12" s="162">
        <v>2016</v>
      </c>
      <c r="AW12" s="162">
        <v>2016</v>
      </c>
      <c r="AX12" s="162">
        <v>2016</v>
      </c>
      <c r="AY12" s="162">
        <v>2016</v>
      </c>
      <c r="AZ12" s="162" t="s">
        <v>20</v>
      </c>
      <c r="BA12" s="163" t="s">
        <v>21</v>
      </c>
      <c r="BB12" s="162" t="s">
        <v>22</v>
      </c>
      <c r="BC12" s="1246"/>
      <c r="BD12" s="1246"/>
      <c r="BE12" s="162">
        <v>2016</v>
      </c>
      <c r="BF12" s="162">
        <v>2016</v>
      </c>
      <c r="BG12" s="162">
        <v>2016</v>
      </c>
      <c r="BH12" s="162">
        <v>2016</v>
      </c>
      <c r="BI12" s="162">
        <v>2016</v>
      </c>
      <c r="BJ12" s="162">
        <v>2016</v>
      </c>
      <c r="BK12" s="162">
        <v>2016</v>
      </c>
      <c r="BL12" s="162">
        <v>2016</v>
      </c>
      <c r="BM12" s="162" t="s">
        <v>64</v>
      </c>
      <c r="BN12" s="162">
        <v>2017</v>
      </c>
      <c r="BO12" s="162">
        <v>2017</v>
      </c>
      <c r="BP12" s="162">
        <v>2017</v>
      </c>
      <c r="BQ12" s="162">
        <v>2017</v>
      </c>
      <c r="BR12" s="162">
        <v>2017</v>
      </c>
      <c r="BS12" s="1248"/>
      <c r="BT12" s="1248"/>
      <c r="BU12" s="162" t="s">
        <v>20</v>
      </c>
      <c r="BV12" s="163" t="s">
        <v>21</v>
      </c>
      <c r="BW12" s="162" t="s">
        <v>22</v>
      </c>
      <c r="BX12" s="1246"/>
      <c r="BY12" s="1246"/>
      <c r="BZ12" s="162">
        <v>2017</v>
      </c>
      <c r="CA12" s="162">
        <v>2017</v>
      </c>
      <c r="CB12" s="162">
        <v>2017</v>
      </c>
      <c r="CC12" s="162">
        <v>2017</v>
      </c>
      <c r="CD12" s="162">
        <v>2017</v>
      </c>
      <c r="CE12" s="162">
        <v>2017</v>
      </c>
      <c r="CF12" s="162">
        <v>2017</v>
      </c>
      <c r="CG12" s="162">
        <v>2017</v>
      </c>
      <c r="CH12" s="162" t="s">
        <v>64</v>
      </c>
      <c r="CI12" s="162">
        <v>2018</v>
      </c>
      <c r="CJ12" s="162">
        <v>2018</v>
      </c>
      <c r="CK12" s="162">
        <v>2018</v>
      </c>
      <c r="CL12" s="162">
        <v>2018</v>
      </c>
      <c r="CM12" s="162">
        <v>2018</v>
      </c>
      <c r="CN12" s="1248"/>
      <c r="CO12" s="1248"/>
      <c r="CP12" s="162" t="s">
        <v>20</v>
      </c>
      <c r="CQ12" s="163" t="s">
        <v>21</v>
      </c>
      <c r="CR12" s="162" t="s">
        <v>22</v>
      </c>
      <c r="CS12" s="1246"/>
      <c r="CT12" s="1246"/>
      <c r="CU12" s="162">
        <v>2018</v>
      </c>
      <c r="CV12" s="162">
        <v>2018</v>
      </c>
      <c r="CW12" s="162">
        <v>2018</v>
      </c>
      <c r="CX12" s="162">
        <v>2018</v>
      </c>
      <c r="CY12" s="162">
        <v>2018</v>
      </c>
      <c r="CZ12" s="162">
        <v>2018</v>
      </c>
      <c r="DA12" s="162">
        <v>2018</v>
      </c>
      <c r="DB12" s="162">
        <v>2019</v>
      </c>
      <c r="DC12" s="162">
        <v>2019</v>
      </c>
      <c r="DD12" s="162">
        <v>2019</v>
      </c>
      <c r="DE12" s="162">
        <v>2019</v>
      </c>
      <c r="DF12" s="162">
        <v>2019</v>
      </c>
      <c r="DG12" s="162">
        <v>2019</v>
      </c>
      <c r="DH12" s="162">
        <v>2019</v>
      </c>
      <c r="DI12" s="162">
        <v>2019</v>
      </c>
      <c r="DJ12" s="162">
        <v>2019</v>
      </c>
      <c r="DK12" s="162">
        <v>2019</v>
      </c>
      <c r="DL12" s="162">
        <v>2019</v>
      </c>
      <c r="DM12" s="1248"/>
      <c r="DN12" s="1248"/>
    </row>
    <row r="13" spans="1:118" x14ac:dyDescent="0.2">
      <c r="A13" s="120" t="s">
        <v>814</v>
      </c>
      <c r="B13" s="405"/>
      <c r="C13" s="45"/>
      <c r="D13" s="58"/>
      <c r="E13" s="49"/>
      <c r="F13" s="46"/>
      <c r="G13" s="48"/>
      <c r="H13" s="145"/>
      <c r="I13" s="165"/>
      <c r="J13" s="48"/>
      <c r="K13" s="165"/>
      <c r="L13" s="48"/>
      <c r="M13" s="165"/>
      <c r="N13" s="48"/>
      <c r="O13" s="165"/>
      <c r="P13" s="48"/>
      <c r="Q13" s="46"/>
      <c r="R13" s="46"/>
      <c r="S13" s="46"/>
      <c r="T13" s="47"/>
      <c r="U13" s="47"/>
      <c r="V13" s="106"/>
      <c r="W13" s="165"/>
      <c r="X13" s="351"/>
      <c r="Y13" s="80"/>
      <c r="Z13" s="57"/>
      <c r="AA13" s="350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72"/>
      <c r="AR13" s="72"/>
      <c r="AS13" s="55"/>
      <c r="AT13" s="55"/>
      <c r="AU13" s="55"/>
      <c r="AV13" s="55"/>
      <c r="AW13" s="55"/>
      <c r="AX13" s="55"/>
      <c r="AY13" s="55"/>
      <c r="AZ13" s="57"/>
      <c r="BA13" s="350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448"/>
      <c r="BN13" s="55"/>
      <c r="BO13" s="55"/>
      <c r="BP13" s="55"/>
      <c r="BQ13" s="55"/>
      <c r="BR13" s="55"/>
      <c r="BS13" s="55"/>
      <c r="BT13" s="55"/>
      <c r="BU13" s="57"/>
      <c r="BV13" s="350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448"/>
      <c r="CI13" s="968"/>
      <c r="CJ13" s="505"/>
      <c r="CK13" s="505"/>
      <c r="CL13" s="505"/>
      <c r="CM13" s="505"/>
      <c r="CN13" s="505"/>
      <c r="CO13" s="505"/>
      <c r="CP13" s="55"/>
      <c r="CQ13" s="350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</row>
    <row r="14" spans="1:118" x14ac:dyDescent="0.2">
      <c r="A14" s="100" t="s">
        <v>972</v>
      </c>
      <c r="B14" s="406" t="s">
        <v>808</v>
      </c>
      <c r="C14" s="45" t="s">
        <v>804</v>
      </c>
      <c r="D14" s="58">
        <v>25</v>
      </c>
      <c r="E14" s="49">
        <v>0.04</v>
      </c>
      <c r="F14" s="46">
        <v>43281</v>
      </c>
      <c r="G14" s="48">
        <v>300</v>
      </c>
      <c r="H14" s="145">
        <v>0.33333333333333331</v>
      </c>
      <c r="I14" s="165">
        <v>1.6666666666666665</v>
      </c>
      <c r="J14" s="48">
        <f>(YEAR(F14)-YEAR(S14))*12+MONTH(F14)-MONTH(S14)</f>
        <v>41</v>
      </c>
      <c r="K14" s="165">
        <v>98.333333333333329</v>
      </c>
      <c r="L14" s="48">
        <f>G14-J14</f>
        <v>259</v>
      </c>
      <c r="M14" s="165">
        <v>2.333333333333333</v>
      </c>
      <c r="N14" s="48">
        <v>7</v>
      </c>
      <c r="O14" s="165">
        <v>96</v>
      </c>
      <c r="P14" s="48">
        <v>288</v>
      </c>
      <c r="Q14" s="462">
        <f>DATE(YEAR(S14),MONTH(S14)+G14,DAY(S14))</f>
        <v>51136</v>
      </c>
      <c r="R14" s="46" t="s">
        <v>937</v>
      </c>
      <c r="S14" s="46">
        <v>42005</v>
      </c>
      <c r="T14" s="47">
        <v>260000</v>
      </c>
      <c r="U14" s="47">
        <f>T14*I14%</f>
        <v>4333.333333333333</v>
      </c>
      <c r="V14" s="106">
        <v>260000</v>
      </c>
      <c r="W14" s="165">
        <f>T14*H14%</f>
        <v>866.66666666666663</v>
      </c>
      <c r="X14" s="351">
        <f>W14*5</f>
        <v>4333.333333333333</v>
      </c>
      <c r="Y14" s="80">
        <f>V14-X14</f>
        <v>255666.66666666666</v>
      </c>
      <c r="Z14" s="57">
        <v>115.958</v>
      </c>
      <c r="AA14" s="350">
        <v>115.95399999999999</v>
      </c>
      <c r="AB14" s="55">
        <v>1.0000344964382428</v>
      </c>
      <c r="AC14" s="55">
        <f>Y14*M14/100/K14*100/7</f>
        <v>866.66666666666663</v>
      </c>
      <c r="AD14" s="55">
        <f>AC14*AB14</f>
        <v>866.69656357981046</v>
      </c>
      <c r="AE14" s="55"/>
      <c r="AF14" s="55"/>
      <c r="AG14" s="55"/>
      <c r="AH14" s="55"/>
      <c r="AI14" s="55"/>
      <c r="AJ14" s="55">
        <v>866.7</v>
      </c>
      <c r="AK14" s="55">
        <v>866.7</v>
      </c>
      <c r="AL14" s="55">
        <v>866.7</v>
      </c>
      <c r="AM14" s="55">
        <v>866.7</v>
      </c>
      <c r="AN14" s="55">
        <v>866.7</v>
      </c>
      <c r="AO14" s="55">
        <v>866.7</v>
      </c>
      <c r="AP14" s="55">
        <v>866.7</v>
      </c>
      <c r="AQ14" s="72">
        <f>SUM(AE14:AP14)</f>
        <v>6066.9</v>
      </c>
      <c r="AR14" s="72">
        <f>Y14-AQ14</f>
        <v>249599.76666666666</v>
      </c>
      <c r="AS14" s="55"/>
      <c r="AT14" s="55"/>
      <c r="AU14" s="55">
        <f>866.7</f>
        <v>866.7</v>
      </c>
      <c r="AV14" s="55">
        <f>866.7</f>
        <v>866.7</v>
      </c>
      <c r="AW14" s="55">
        <f>866.7</f>
        <v>866.7</v>
      </c>
      <c r="AX14" s="55">
        <f>866.7</f>
        <v>866.7</v>
      </c>
      <c r="AY14" s="55">
        <f>866.7</f>
        <v>866.7</v>
      </c>
      <c r="AZ14" s="57">
        <v>118.901</v>
      </c>
      <c r="BA14" s="350">
        <v>115.95399999999999</v>
      </c>
      <c r="BB14" s="55">
        <f>AZ14/BA14</f>
        <v>1.0254152508753471</v>
      </c>
      <c r="BC14" s="55">
        <f>T14/(D14*12)</f>
        <v>866.66666666666663</v>
      </c>
      <c r="BD14" s="55">
        <f>BC14*BB14</f>
        <v>888.69321742530076</v>
      </c>
      <c r="BE14" s="55">
        <f t="shared" ref="BE14:BK14" si="0">$BD14</f>
        <v>888.69321742530076</v>
      </c>
      <c r="BF14" s="55">
        <f t="shared" si="0"/>
        <v>888.69321742530076</v>
      </c>
      <c r="BG14" s="55">
        <f t="shared" si="0"/>
        <v>888.69321742530076</v>
      </c>
      <c r="BH14" s="55">
        <f t="shared" si="0"/>
        <v>888.69321742530076</v>
      </c>
      <c r="BI14" s="55">
        <f t="shared" si="0"/>
        <v>888.69321742530076</v>
      </c>
      <c r="BJ14" s="55">
        <f t="shared" si="0"/>
        <v>888.69321742530076</v>
      </c>
      <c r="BK14" s="55">
        <f t="shared" si="0"/>
        <v>888.69321742530076</v>
      </c>
      <c r="BL14" s="55">
        <f>SUM((AU14:AY14),(BE14:BK14))</f>
        <v>10554.352521977107</v>
      </c>
      <c r="BM14" s="448">
        <f>(AR14-BL14)</f>
        <v>239045.41414468957</v>
      </c>
      <c r="BN14" s="55">
        <f t="shared" ref="BN14:BR50" si="1">$BD14</f>
        <v>888.69321742530076</v>
      </c>
      <c r="BO14" s="55">
        <f t="shared" si="1"/>
        <v>888.69321742530076</v>
      </c>
      <c r="BP14" s="55">
        <f t="shared" si="1"/>
        <v>888.69321742530076</v>
      </c>
      <c r="BQ14" s="55"/>
      <c r="BR14" s="55">
        <f t="shared" si="1"/>
        <v>888.69321742530076</v>
      </c>
      <c r="BS14" s="55">
        <f>SUM(BN14:BR14)</f>
        <v>3554.772869701203</v>
      </c>
      <c r="BT14" s="448">
        <f>BM14-BS14</f>
        <v>235490.64127498836</v>
      </c>
      <c r="BU14" s="57">
        <v>126.408</v>
      </c>
      <c r="BV14" s="350">
        <v>115.95399999999999</v>
      </c>
      <c r="BW14" s="55">
        <f>BU14/BV14</f>
        <v>1.0901564413474309</v>
      </c>
      <c r="BX14" s="55">
        <f>BT14/L14</f>
        <v>909.23027519300524</v>
      </c>
      <c r="BY14" s="55">
        <f>BX14*BW14</f>
        <v>991.20324116975189</v>
      </c>
      <c r="BZ14" s="55">
        <v>870.24284563717208</v>
      </c>
      <c r="CA14" s="55">
        <v>870.24284563717208</v>
      </c>
      <c r="CB14" s="55">
        <v>870.24284563717208</v>
      </c>
      <c r="CC14" s="55">
        <v>870.24284563717208</v>
      </c>
      <c r="CD14" s="55">
        <v>870.24284563717208</v>
      </c>
      <c r="CE14" s="55">
        <v>870.24284563717208</v>
      </c>
      <c r="CF14" s="55">
        <v>870.24284563717208</v>
      </c>
      <c r="CG14" s="55">
        <f>SUM(BZ14:CF14)</f>
        <v>6091.699919460204</v>
      </c>
      <c r="CH14" s="448">
        <f>BT14-CG14</f>
        <v>229398.94135552816</v>
      </c>
      <c r="CI14" s="55">
        <v>870.24284563717208</v>
      </c>
      <c r="CJ14" s="55">
        <v>870.24284563717208</v>
      </c>
      <c r="CK14" s="55">
        <v>870.24284563717208</v>
      </c>
      <c r="CL14" s="55">
        <v>870.24284563717208</v>
      </c>
      <c r="CM14" s="55">
        <v>870.24284563717208</v>
      </c>
      <c r="CN14" s="505">
        <f t="shared" ref="CN14:CN49" si="2">SUM(CI14:CM14)</f>
        <v>4351.2142281858605</v>
      </c>
      <c r="CO14" s="679">
        <f t="shared" ref="CO14:CO49" si="3">CH14-CN14</f>
        <v>225047.72712734231</v>
      </c>
      <c r="CP14" s="350">
        <v>132.28200000000001</v>
      </c>
      <c r="CQ14" s="350">
        <v>115.95399999999999</v>
      </c>
      <c r="CR14" s="55">
        <f>CP14/CQ14</f>
        <v>1.1408144609069115</v>
      </c>
      <c r="CS14" s="55">
        <f>CO14/P14</f>
        <v>781.41571919216085</v>
      </c>
      <c r="CT14" s="55">
        <f>CS14*CR14</f>
        <v>891.45035243439156</v>
      </c>
      <c r="CU14" s="55">
        <v>891.45035243439156</v>
      </c>
      <c r="CV14" s="55">
        <v>891.45035243439156</v>
      </c>
      <c r="CW14" s="55">
        <v>891.45035243439156</v>
      </c>
      <c r="CX14" s="55">
        <v>891.45035243439156</v>
      </c>
      <c r="CY14" s="55">
        <v>891.45035243439156</v>
      </c>
      <c r="CZ14" s="55">
        <v>891.45035243439156</v>
      </c>
      <c r="DA14" s="55">
        <v>891.45035243439156</v>
      </c>
      <c r="DB14" s="55">
        <v>891.45035243439156</v>
      </c>
      <c r="DC14" s="55">
        <v>891.45035243439156</v>
      </c>
      <c r="DD14" s="55">
        <v>891.45035243439156</v>
      </c>
      <c r="DE14" s="55">
        <v>891.45035243439156</v>
      </c>
      <c r="DF14" s="55">
        <v>891.45035243439156</v>
      </c>
      <c r="DG14" s="55">
        <v>891.45035243439156</v>
      </c>
      <c r="DH14" s="55">
        <v>891.45035243439156</v>
      </c>
      <c r="DI14" s="55">
        <v>891.45035243439156</v>
      </c>
      <c r="DJ14" s="55">
        <v>891.45035243439156</v>
      </c>
      <c r="DK14" s="55">
        <v>891.45035243439156</v>
      </c>
      <c r="DL14" s="55">
        <v>891.45035243439156</v>
      </c>
      <c r="DM14" s="55">
        <f>SUM(CU14:DL14)</f>
        <v>16046.106343819043</v>
      </c>
      <c r="DN14" s="55">
        <f>CO14-DM14</f>
        <v>209001.62078352328</v>
      </c>
    </row>
    <row r="15" spans="1:118" x14ac:dyDescent="0.2">
      <c r="A15" s="100" t="s">
        <v>970</v>
      </c>
      <c r="B15" s="406" t="s">
        <v>807</v>
      </c>
      <c r="C15" s="45" t="s">
        <v>804</v>
      </c>
      <c r="D15" s="58">
        <v>25</v>
      </c>
      <c r="E15" s="49">
        <v>0.04</v>
      </c>
      <c r="F15" s="46">
        <v>43281</v>
      </c>
      <c r="G15" s="48">
        <v>300</v>
      </c>
      <c r="H15" s="145">
        <v>0.33333333333333331</v>
      </c>
      <c r="I15" s="165">
        <v>1.6666666666666665</v>
      </c>
      <c r="J15" s="48">
        <f t="shared" ref="J15:J16" si="4">(YEAR(F15)-YEAR(S15))*12+MONTH(F15)-MONTH(S15)</f>
        <v>41</v>
      </c>
      <c r="K15" s="165">
        <v>98.333333333333329</v>
      </c>
      <c r="L15" s="48">
        <f>G15-J15</f>
        <v>259</v>
      </c>
      <c r="M15" s="165">
        <v>2.333333333333333</v>
      </c>
      <c r="N15" s="48">
        <v>7</v>
      </c>
      <c r="O15" s="165">
        <v>96</v>
      </c>
      <c r="P15" s="48">
        <v>288</v>
      </c>
      <c r="Q15" s="462">
        <f t="shared" ref="Q15:Q50" si="5">DATE(YEAR(S15),MONTH(S15)+G15,DAY(S15))</f>
        <v>51136</v>
      </c>
      <c r="R15" s="46" t="s">
        <v>971</v>
      </c>
      <c r="S15" s="46">
        <v>42005</v>
      </c>
      <c r="T15" s="47">
        <v>63000</v>
      </c>
      <c r="U15" s="47">
        <f>T15*I15%</f>
        <v>1050</v>
      </c>
      <c r="V15" s="106">
        <v>63000</v>
      </c>
      <c r="W15" s="165">
        <f>T15*H15%</f>
        <v>210</v>
      </c>
      <c r="X15" s="351">
        <f>W15*5</f>
        <v>1050</v>
      </c>
      <c r="Y15" s="80">
        <f>V15-X15</f>
        <v>61950</v>
      </c>
      <c r="Z15" s="57">
        <v>115.958</v>
      </c>
      <c r="AA15" s="350">
        <v>115.95399999999999</v>
      </c>
      <c r="AB15" s="55">
        <v>1.0000344964382428</v>
      </c>
      <c r="AC15" s="55">
        <f>Y15*M15/100/K15*100/7</f>
        <v>209.99999999999997</v>
      </c>
      <c r="AD15" s="55">
        <f>AC15*AB15</f>
        <v>210.00724425203097</v>
      </c>
      <c r="AE15" s="55"/>
      <c r="AF15" s="55"/>
      <c r="AG15" s="55"/>
      <c r="AH15" s="55"/>
      <c r="AI15" s="55"/>
      <c r="AJ15" s="55">
        <v>210.00724425203097</v>
      </c>
      <c r="AK15" s="55">
        <v>210.00724425203097</v>
      </c>
      <c r="AL15" s="55">
        <v>210.00724425203097</v>
      </c>
      <c r="AM15" s="55">
        <v>210.00724425203097</v>
      </c>
      <c r="AN15" s="55">
        <v>210.00724425203097</v>
      </c>
      <c r="AO15" s="55">
        <v>210.00724425203097</v>
      </c>
      <c r="AP15" s="55">
        <f>$AD15</f>
        <v>210.00724425203097</v>
      </c>
      <c r="AQ15" s="72">
        <f>SUM(AE15:AP15)</f>
        <v>1470.0507097642167</v>
      </c>
      <c r="AR15" s="72">
        <f>Y15-AQ15</f>
        <v>60479.949290235782</v>
      </c>
      <c r="AS15" s="55"/>
      <c r="AT15" s="55"/>
      <c r="AU15" s="55">
        <f>210.01</f>
        <v>210.01</v>
      </c>
      <c r="AV15" s="55">
        <f t="shared" ref="AV15:AY16" si="6">210.01</f>
        <v>210.01</v>
      </c>
      <c r="AW15" s="55">
        <f t="shared" si="6"/>
        <v>210.01</v>
      </c>
      <c r="AX15" s="55">
        <f t="shared" si="6"/>
        <v>210.01</v>
      </c>
      <c r="AY15" s="55">
        <f t="shared" si="6"/>
        <v>210.01</v>
      </c>
      <c r="AZ15" s="57">
        <v>118.901</v>
      </c>
      <c r="BA15" s="350">
        <v>115.95399999999999</v>
      </c>
      <c r="BB15" s="55">
        <f>AZ15/BA15</f>
        <v>1.0254152508753471</v>
      </c>
      <c r="BC15" s="55">
        <f>T15/(D15*12)</f>
        <v>210</v>
      </c>
      <c r="BD15" s="55">
        <f>BC15*BB15</f>
        <v>215.33720268382291</v>
      </c>
      <c r="BE15" s="55">
        <f t="shared" ref="BE15:BK50" si="7">$BD15</f>
        <v>215.33720268382291</v>
      </c>
      <c r="BF15" s="55">
        <f t="shared" si="7"/>
        <v>215.33720268382291</v>
      </c>
      <c r="BG15" s="55">
        <f t="shared" si="7"/>
        <v>215.33720268382291</v>
      </c>
      <c r="BH15" s="55">
        <f t="shared" si="7"/>
        <v>215.33720268382291</v>
      </c>
      <c r="BI15" s="55">
        <f t="shared" si="7"/>
        <v>215.33720268382291</v>
      </c>
      <c r="BJ15" s="55">
        <f t="shared" si="7"/>
        <v>215.33720268382291</v>
      </c>
      <c r="BK15" s="55">
        <f t="shared" si="7"/>
        <v>215.33720268382291</v>
      </c>
      <c r="BL15" s="55">
        <f>SUM((AU15:AY15),(BE15:BK15))</f>
        <v>2557.4104187867601</v>
      </c>
      <c r="BM15" s="448">
        <f>(AR15-BL15)</f>
        <v>57922.538871449018</v>
      </c>
      <c r="BN15" s="55">
        <f t="shared" si="1"/>
        <v>215.33720268382291</v>
      </c>
      <c r="BO15" s="55">
        <f t="shared" si="1"/>
        <v>215.33720268382291</v>
      </c>
      <c r="BP15" s="55">
        <f t="shared" si="1"/>
        <v>215.33720268382291</v>
      </c>
      <c r="BQ15" s="55"/>
      <c r="BR15" s="55">
        <f t="shared" si="1"/>
        <v>215.33720268382291</v>
      </c>
      <c r="BS15" s="55">
        <f>SUM(BN15:BR15)</f>
        <v>861.34881073529164</v>
      </c>
      <c r="BT15" s="448">
        <f t="shared" ref="BT15:BT50" si="8">BM15-BS15</f>
        <v>57061.190060713729</v>
      </c>
      <c r="BU15" s="57">
        <v>126.408</v>
      </c>
      <c r="BV15" s="350">
        <v>115.95399999999999</v>
      </c>
      <c r="BW15" s="55">
        <f>BU15/BV15</f>
        <v>1.0901564413474309</v>
      </c>
      <c r="BX15" s="55">
        <f>BT15/L15</f>
        <v>220.31347513789083</v>
      </c>
      <c r="BY15" s="55">
        <f>BX15*BW15</f>
        <v>240.17615403720876</v>
      </c>
      <c r="BZ15" s="55">
        <v>210.86652168012566</v>
      </c>
      <c r="CA15" s="55">
        <v>210.86652168012566</v>
      </c>
      <c r="CB15" s="55">
        <v>210.86652168012566</v>
      </c>
      <c r="CC15" s="55">
        <v>210.86652168012566</v>
      </c>
      <c r="CD15" s="55">
        <v>210.86652168012566</v>
      </c>
      <c r="CE15" s="55">
        <v>210.86652168012566</v>
      </c>
      <c r="CF15" s="55">
        <v>210.86652168012566</v>
      </c>
      <c r="CG15" s="55">
        <f>SUM(BZ15:CF15)</f>
        <v>1476.0656517608797</v>
      </c>
      <c r="CH15" s="448">
        <f>BT15-CG15</f>
        <v>55585.124408952848</v>
      </c>
      <c r="CI15" s="55">
        <v>210.86652168012566</v>
      </c>
      <c r="CJ15" s="55">
        <v>210.86652168012566</v>
      </c>
      <c r="CK15" s="55">
        <v>210.86652168012566</v>
      </c>
      <c r="CL15" s="55">
        <v>210.86652168012566</v>
      </c>
      <c r="CM15" s="55">
        <v>210.86652168012566</v>
      </c>
      <c r="CN15" s="505">
        <f t="shared" si="2"/>
        <v>1054.3326084006283</v>
      </c>
      <c r="CO15" s="679">
        <f t="shared" si="3"/>
        <v>54530.791800552222</v>
      </c>
      <c r="CP15" s="350">
        <v>132.28200000000001</v>
      </c>
      <c r="CQ15" s="350">
        <v>115.95399999999999</v>
      </c>
      <c r="CR15" s="55">
        <f>CP15/CQ15</f>
        <v>1.1408144609069115</v>
      </c>
      <c r="CS15" s="55">
        <f t="shared" ref="CS15:CS50" si="9">CO15/P15</f>
        <v>189.34302708525078</v>
      </c>
      <c r="CT15" s="55">
        <f t="shared" ref="CT15:CT50" si="10">CS15*CR15</f>
        <v>216.00526337074311</v>
      </c>
      <c r="CU15" s="511">
        <v>216.00526337074311</v>
      </c>
      <c r="CV15" s="511">
        <v>216.00526337074311</v>
      </c>
      <c r="CW15" s="511">
        <v>216.00526337074311</v>
      </c>
      <c r="CX15" s="511">
        <v>216.00526337074311</v>
      </c>
      <c r="CY15" s="511">
        <v>216.00526337074311</v>
      </c>
      <c r="CZ15" s="511">
        <v>216.00526337074311</v>
      </c>
      <c r="DA15" s="511">
        <v>216.00526337074311</v>
      </c>
      <c r="DB15" s="511">
        <v>216.00526337074311</v>
      </c>
      <c r="DC15" s="511">
        <v>216.00526337074311</v>
      </c>
      <c r="DD15" s="511">
        <v>216.00526337074311</v>
      </c>
      <c r="DE15" s="511">
        <v>216.00526337074311</v>
      </c>
      <c r="DF15" s="511">
        <v>216.00526337074311</v>
      </c>
      <c r="DG15" s="511">
        <v>216.00526337074311</v>
      </c>
      <c r="DH15" s="511">
        <v>216.00526337074311</v>
      </c>
      <c r="DI15" s="511">
        <v>216.00526337074311</v>
      </c>
      <c r="DJ15" s="511">
        <v>216.00526337074311</v>
      </c>
      <c r="DK15" s="511">
        <v>216.00526337074311</v>
      </c>
      <c r="DL15" s="511">
        <v>216.00526337074311</v>
      </c>
      <c r="DM15" s="55">
        <f t="shared" ref="DM15:DM50" si="11">SUM(CU15:DL15)</f>
        <v>3888.0947406733767</v>
      </c>
      <c r="DN15" s="55">
        <f t="shared" ref="DN15:DN50" si="12">CO15-DM15</f>
        <v>50642.697059878847</v>
      </c>
    </row>
    <row r="16" spans="1:118" x14ac:dyDescent="0.2">
      <c r="A16" s="100" t="s">
        <v>1120</v>
      </c>
      <c r="B16" s="406" t="s">
        <v>1121</v>
      </c>
      <c r="C16" s="45" t="s">
        <v>804</v>
      </c>
      <c r="D16" s="58">
        <v>25</v>
      </c>
      <c r="E16" s="49">
        <v>0.04</v>
      </c>
      <c r="F16" s="46">
        <v>43281</v>
      </c>
      <c r="G16" s="48">
        <v>300</v>
      </c>
      <c r="H16" s="145">
        <v>0.33333333333333331</v>
      </c>
      <c r="I16" s="165">
        <v>1.6666666666666665</v>
      </c>
      <c r="J16" s="48">
        <f t="shared" si="4"/>
        <v>24</v>
      </c>
      <c r="K16" s="165">
        <v>98.333333333333329</v>
      </c>
      <c r="L16" s="48">
        <f>G16-J16</f>
        <v>276</v>
      </c>
      <c r="M16" s="165">
        <v>2.333333333333333</v>
      </c>
      <c r="N16" s="48">
        <v>7</v>
      </c>
      <c r="O16" s="165">
        <v>96</v>
      </c>
      <c r="P16" s="48">
        <v>288</v>
      </c>
      <c r="Q16" s="462">
        <f t="shared" si="5"/>
        <v>51662</v>
      </c>
      <c r="R16" s="46" t="s">
        <v>1122</v>
      </c>
      <c r="S16" s="46">
        <v>42531</v>
      </c>
      <c r="T16" s="47">
        <v>800000</v>
      </c>
      <c r="U16" s="47">
        <f>T16*I16%</f>
        <v>13333.333333333334</v>
      </c>
      <c r="V16" s="106">
        <v>63000</v>
      </c>
      <c r="W16" s="165">
        <f>T16*H16%</f>
        <v>2666.6666666666665</v>
      </c>
      <c r="X16" s="351">
        <f>W16*5</f>
        <v>13333.333333333332</v>
      </c>
      <c r="Y16" s="80">
        <f>V16-X16</f>
        <v>49666.666666666672</v>
      </c>
      <c r="Z16" s="57">
        <v>115.958</v>
      </c>
      <c r="AA16" s="350">
        <v>115.95399999999999</v>
      </c>
      <c r="AB16" s="55">
        <v>1.0000344964382428</v>
      </c>
      <c r="AC16" s="55">
        <f>Y16*M16/100/K16*100/7</f>
        <v>168.36158192090394</v>
      </c>
      <c r="AD16" s="55">
        <f>AC16*AB16</f>
        <v>168.36738979581713</v>
      </c>
      <c r="AE16" s="55"/>
      <c r="AF16" s="55"/>
      <c r="AG16" s="55"/>
      <c r="AH16" s="55"/>
      <c r="AI16" s="55"/>
      <c r="AJ16" s="55">
        <v>210.00724425203097</v>
      </c>
      <c r="AK16" s="55">
        <v>210.00724425203097</v>
      </c>
      <c r="AL16" s="55">
        <v>210.00724425203097</v>
      </c>
      <c r="AM16" s="55">
        <v>210.00724425203097</v>
      </c>
      <c r="AN16" s="55">
        <v>210.00724425203097</v>
      </c>
      <c r="AO16" s="55">
        <v>210.00724425203097</v>
      </c>
      <c r="AP16" s="55">
        <f>$AD16</f>
        <v>168.36738979581713</v>
      </c>
      <c r="AQ16" s="72">
        <f>SUM(AE16:AP16)</f>
        <v>1428.410855308003</v>
      </c>
      <c r="AR16" s="72">
        <f>Y16-AQ16</f>
        <v>48238.255811358671</v>
      </c>
      <c r="AS16" s="55"/>
      <c r="AT16" s="55"/>
      <c r="AU16" s="55">
        <f>210.01</f>
        <v>210.01</v>
      </c>
      <c r="AV16" s="55">
        <f t="shared" si="6"/>
        <v>210.01</v>
      </c>
      <c r="AW16" s="55">
        <f t="shared" si="6"/>
        <v>210.01</v>
      </c>
      <c r="AX16" s="55">
        <f t="shared" si="6"/>
        <v>210.01</v>
      </c>
      <c r="AY16" s="55">
        <f t="shared" si="6"/>
        <v>210.01</v>
      </c>
      <c r="AZ16" s="57">
        <v>118.901</v>
      </c>
      <c r="BA16" s="350">
        <v>118.901</v>
      </c>
      <c r="BB16" s="55">
        <f>AZ16/BA16</f>
        <v>1</v>
      </c>
      <c r="BC16" s="55">
        <f t="shared" ref="BC16:BC50" si="13">T16/(D16*12)</f>
        <v>2666.6666666666665</v>
      </c>
      <c r="BD16" s="55">
        <f t="shared" ref="BD16:BD50" si="14">BC16*BB16</f>
        <v>2666.6666666666665</v>
      </c>
      <c r="BE16" s="55">
        <f t="shared" si="7"/>
        <v>2666.6666666666665</v>
      </c>
      <c r="BF16" s="55">
        <f t="shared" si="7"/>
        <v>2666.6666666666665</v>
      </c>
      <c r="BG16" s="55">
        <f t="shared" si="7"/>
        <v>2666.6666666666665</v>
      </c>
      <c r="BH16" s="55">
        <f t="shared" si="7"/>
        <v>2666.6666666666665</v>
      </c>
      <c r="BI16" s="55">
        <f t="shared" si="7"/>
        <v>2666.6666666666665</v>
      </c>
      <c r="BJ16" s="55">
        <f t="shared" si="7"/>
        <v>2666.6666666666665</v>
      </c>
      <c r="BK16" s="55">
        <f t="shared" si="7"/>
        <v>2666.6666666666665</v>
      </c>
      <c r="BL16" s="55">
        <v>0</v>
      </c>
      <c r="BM16" s="448">
        <v>800000</v>
      </c>
      <c r="BN16" s="55"/>
      <c r="BO16" s="55"/>
      <c r="BP16" s="55">
        <v>24000.03</v>
      </c>
      <c r="BQ16" s="55"/>
      <c r="BR16" s="55">
        <v>24000.03</v>
      </c>
      <c r="BS16" s="55">
        <f>SUM(BN16:BR16)</f>
        <v>48000.06</v>
      </c>
      <c r="BT16" s="448">
        <f t="shared" si="8"/>
        <v>751999.94</v>
      </c>
      <c r="BU16" s="57">
        <v>126.408</v>
      </c>
      <c r="BV16" s="350">
        <v>115.95399999999999</v>
      </c>
      <c r="BW16" s="55">
        <f>BU16/BV16</f>
        <v>1.0901564413474309</v>
      </c>
      <c r="BX16" s="55">
        <f>BT16/L16</f>
        <v>2724.6374637681156</v>
      </c>
      <c r="BY16" s="55">
        <f>BX16*BW16</f>
        <v>2970.2810814633385</v>
      </c>
      <c r="BZ16" s="55">
        <v>2778.9748423182427</v>
      </c>
      <c r="CA16" s="55">
        <v>2778.9748423182427</v>
      </c>
      <c r="CB16" s="55">
        <v>2778.9748423182427</v>
      </c>
      <c r="CC16" s="55">
        <v>2778.9748423182427</v>
      </c>
      <c r="CD16" s="55">
        <v>2778.9748423182427</v>
      </c>
      <c r="CE16" s="55">
        <v>2778.9748423182427</v>
      </c>
      <c r="CF16" s="55">
        <v>2778.9748423182427</v>
      </c>
      <c r="CG16" s="55">
        <f>SUM(BZ16:CF16)</f>
        <v>19452.823896227699</v>
      </c>
      <c r="CH16" s="448">
        <f>BT16-CG16</f>
        <v>732547.11610377219</v>
      </c>
      <c r="CI16" s="55">
        <v>2778.9748423182427</v>
      </c>
      <c r="CJ16" s="55">
        <v>2778.9748423182427</v>
      </c>
      <c r="CK16" s="55">
        <v>2778.9748423182427</v>
      </c>
      <c r="CL16" s="55">
        <v>2778.9748423182427</v>
      </c>
      <c r="CM16" s="55">
        <v>2778.9748423182427</v>
      </c>
      <c r="CN16" s="505">
        <f t="shared" si="2"/>
        <v>13894.874211591214</v>
      </c>
      <c r="CO16" s="679">
        <f t="shared" si="3"/>
        <v>718652.24189218099</v>
      </c>
      <c r="CP16" s="350">
        <v>132.28200000000001</v>
      </c>
      <c r="CQ16" s="350">
        <v>115.95399999999999</v>
      </c>
      <c r="CR16" s="55">
        <f>CP16/CQ16</f>
        <v>1.1408144609069115</v>
      </c>
      <c r="CS16" s="55">
        <f t="shared" si="9"/>
        <v>2495.3202843478507</v>
      </c>
      <c r="CT16" s="55">
        <f t="shared" si="10"/>
        <v>2846.6974649783747</v>
      </c>
      <c r="CU16" s="511">
        <v>2846.6974649783747</v>
      </c>
      <c r="CV16" s="511">
        <v>2846.6974649783747</v>
      </c>
      <c r="CW16" s="511">
        <v>2846.6974649783747</v>
      </c>
      <c r="CX16" s="511">
        <v>2846.6974649783747</v>
      </c>
      <c r="CY16" s="511">
        <v>2846.6974649783747</v>
      </c>
      <c r="CZ16" s="511">
        <v>2846.6974649783747</v>
      </c>
      <c r="DA16" s="511">
        <v>2846.6974649783747</v>
      </c>
      <c r="DB16" s="511">
        <v>2846.6974649783747</v>
      </c>
      <c r="DC16" s="511">
        <v>2846.6974649783747</v>
      </c>
      <c r="DD16" s="511">
        <v>2846.6974649783747</v>
      </c>
      <c r="DE16" s="511">
        <v>2846.6974649783747</v>
      </c>
      <c r="DF16" s="511">
        <v>2846.6974649783747</v>
      </c>
      <c r="DG16" s="511">
        <v>2846.6974649783747</v>
      </c>
      <c r="DH16" s="511">
        <v>2846.6974649783747</v>
      </c>
      <c r="DI16" s="511">
        <v>2846.6974649783747</v>
      </c>
      <c r="DJ16" s="511">
        <v>2846.6974649783747</v>
      </c>
      <c r="DK16" s="511">
        <v>2846.6974649783747</v>
      </c>
      <c r="DL16" s="511">
        <v>2846.6974649783747</v>
      </c>
      <c r="DM16" s="55">
        <f t="shared" si="11"/>
        <v>51240.554369610727</v>
      </c>
      <c r="DN16" s="55">
        <f t="shared" si="12"/>
        <v>667411.68752257025</v>
      </c>
    </row>
    <row r="17" spans="1:118" x14ac:dyDescent="0.2">
      <c r="A17" s="120" t="s">
        <v>854</v>
      </c>
      <c r="B17" s="405"/>
      <c r="C17" s="120"/>
      <c r="D17" s="131"/>
      <c r="E17" s="130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462">
        <f t="shared" si="5"/>
        <v>0</v>
      </c>
      <c r="R17" s="119"/>
      <c r="S17" s="119"/>
      <c r="T17" s="134"/>
      <c r="U17" s="134"/>
      <c r="V17" s="108"/>
      <c r="W17" s="66"/>
      <c r="X17" s="353"/>
      <c r="Y17" s="81"/>
      <c r="Z17" s="66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73"/>
      <c r="AQ17" s="73"/>
      <c r="AR17" s="73"/>
      <c r="AS17" s="55"/>
      <c r="AT17" s="55"/>
      <c r="AU17" s="55"/>
      <c r="AV17" s="55"/>
      <c r="AW17" s="55"/>
      <c r="AX17" s="55"/>
      <c r="AY17" s="55"/>
      <c r="AZ17" s="66"/>
      <c r="BA17" s="6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448"/>
      <c r="BN17" s="55"/>
      <c r="BO17" s="55"/>
      <c r="BP17" s="55"/>
      <c r="BQ17" s="55"/>
      <c r="BR17" s="55"/>
      <c r="BS17" s="55"/>
      <c r="BT17" s="448"/>
      <c r="BU17" s="66"/>
      <c r="BV17" s="6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448"/>
      <c r="CI17" s="55"/>
      <c r="CJ17" s="55"/>
      <c r="CK17" s="55"/>
      <c r="CL17" s="55"/>
      <c r="CM17" s="55"/>
      <c r="CN17" s="505">
        <f t="shared" si="2"/>
        <v>0</v>
      </c>
      <c r="CO17" s="679">
        <f t="shared" si="3"/>
        <v>0</v>
      </c>
      <c r="CP17" s="1077"/>
      <c r="CQ17" s="65"/>
      <c r="CR17" s="957"/>
      <c r="CS17" s="511"/>
      <c r="CT17" s="511"/>
      <c r="CU17" s="511"/>
      <c r="CV17" s="511"/>
      <c r="CW17" s="511"/>
      <c r="CX17" s="511"/>
      <c r="CY17" s="511"/>
      <c r="CZ17" s="511"/>
      <c r="DA17" s="511"/>
      <c r="DB17" s="511"/>
      <c r="DC17" s="511"/>
      <c r="DD17" s="511"/>
      <c r="DE17" s="511"/>
      <c r="DF17" s="511"/>
      <c r="DG17" s="511"/>
      <c r="DH17" s="511"/>
      <c r="DI17" s="511"/>
      <c r="DJ17" s="511"/>
      <c r="DK17" s="511"/>
      <c r="DL17" s="511"/>
      <c r="DM17" s="55">
        <f t="shared" si="11"/>
        <v>0</v>
      </c>
      <c r="DN17" s="511"/>
    </row>
    <row r="18" spans="1:118" x14ac:dyDescent="0.2">
      <c r="A18" s="100" t="s">
        <v>963</v>
      </c>
      <c r="B18" s="406" t="s">
        <v>811</v>
      </c>
      <c r="C18" s="45" t="s">
        <v>815</v>
      </c>
      <c r="D18" s="58">
        <v>25</v>
      </c>
      <c r="E18" s="49">
        <v>0.04</v>
      </c>
      <c r="F18" s="46">
        <v>43281</v>
      </c>
      <c r="G18" s="48">
        <f t="shared" ref="G18:G40" si="15">D18*12</f>
        <v>300</v>
      </c>
      <c r="H18" s="145">
        <f t="shared" ref="H18:H40" si="16">100/G18</f>
        <v>0.33333333333333331</v>
      </c>
      <c r="I18" s="165">
        <f t="shared" ref="I18:I27" si="17">H18*J18</f>
        <v>13.666666666666666</v>
      </c>
      <c r="J18" s="48">
        <f t="shared" ref="J18:J50" si="18">(YEAR(F18)-YEAR(S18))*12+MONTH(F18)-MONTH(S18)</f>
        <v>41</v>
      </c>
      <c r="K18" s="165">
        <f t="shared" ref="K18:K40" si="19">L18*H18</f>
        <v>86.333333333333329</v>
      </c>
      <c r="L18" s="48">
        <f t="shared" ref="L18:L50" si="20">G18-J18</f>
        <v>259</v>
      </c>
      <c r="M18" s="165">
        <f t="shared" ref="M18:M40" si="21">N18*H18</f>
        <v>2.333333333333333</v>
      </c>
      <c r="N18" s="48">
        <v>7</v>
      </c>
      <c r="O18" s="165">
        <f t="shared" ref="O18:O40" si="22">P18*H18</f>
        <v>84</v>
      </c>
      <c r="P18" s="48">
        <f t="shared" ref="P18:P40" si="23">L18-N18</f>
        <v>252</v>
      </c>
      <c r="Q18" s="462">
        <f t="shared" si="5"/>
        <v>51136</v>
      </c>
      <c r="R18" s="46" t="s">
        <v>964</v>
      </c>
      <c r="S18" s="46">
        <v>42005</v>
      </c>
      <c r="T18" s="47">
        <v>196800</v>
      </c>
      <c r="U18" s="47">
        <f t="shared" ref="U18:U40" si="24">T18*I18%</f>
        <v>26896</v>
      </c>
      <c r="V18" s="106">
        <f>T18</f>
        <v>196800</v>
      </c>
      <c r="W18" s="165">
        <f t="shared" ref="W18:W40" si="25">T18*H18%</f>
        <v>656</v>
      </c>
      <c r="X18" s="351">
        <f t="shared" ref="X18:X27" si="26">W18*5</f>
        <v>3280</v>
      </c>
      <c r="Y18" s="80">
        <f t="shared" ref="Y18:Y40" si="27">V18-X18</f>
        <v>193520</v>
      </c>
      <c r="Z18" s="57">
        <v>115.958</v>
      </c>
      <c r="AA18" s="350">
        <v>115.95399999999999</v>
      </c>
      <c r="AB18" s="55">
        <f t="shared" ref="AB18:AB27" si="28">Z18/AA18</f>
        <v>1.0000344964382428</v>
      </c>
      <c r="AC18" s="55">
        <f t="shared" ref="AC18:AC40" si="29">Y18*M18/100/K18*100/7</f>
        <v>747.18146718146716</v>
      </c>
      <c r="AD18" s="55">
        <f t="shared" ref="AD18:AD40" si="30">AC18*AB18</f>
        <v>747.20724228080599</v>
      </c>
      <c r="AE18" s="55"/>
      <c r="AF18" s="55"/>
      <c r="AG18" s="55"/>
      <c r="AH18" s="55"/>
      <c r="AI18" s="55"/>
      <c r="AJ18" s="55">
        <f t="shared" ref="AJ18:AP27" si="31">$AD18</f>
        <v>747.20724228080599</v>
      </c>
      <c r="AK18" s="55">
        <f t="shared" si="31"/>
        <v>747.20724228080599</v>
      </c>
      <c r="AL18" s="55">
        <f t="shared" si="31"/>
        <v>747.20724228080599</v>
      </c>
      <c r="AM18" s="55">
        <f t="shared" si="31"/>
        <v>747.20724228080599</v>
      </c>
      <c r="AN18" s="55">
        <f t="shared" si="31"/>
        <v>747.20724228080599</v>
      </c>
      <c r="AO18" s="55">
        <f t="shared" si="31"/>
        <v>747.20724228080599</v>
      </c>
      <c r="AP18" s="55">
        <f t="shared" si="31"/>
        <v>747.20724228080599</v>
      </c>
      <c r="AQ18" s="72">
        <f t="shared" ref="AQ18:AQ40" si="32">SUM(AE18:AP18)</f>
        <v>5230.4506959656419</v>
      </c>
      <c r="AR18" s="72">
        <f t="shared" ref="AR18:AR40" si="33">Y18-AQ18</f>
        <v>188289.54930403436</v>
      </c>
      <c r="AS18" s="55"/>
      <c r="AT18" s="55"/>
      <c r="AU18" s="55">
        <f>656.02</f>
        <v>656.02</v>
      </c>
      <c r="AV18" s="55">
        <f>656.02</f>
        <v>656.02</v>
      </c>
      <c r="AW18" s="55">
        <f>656.02</f>
        <v>656.02</v>
      </c>
      <c r="AX18" s="55">
        <f>656.02</f>
        <v>656.02</v>
      </c>
      <c r="AY18" s="55">
        <f>656.02</f>
        <v>656.02</v>
      </c>
      <c r="AZ18" s="57">
        <v>118.901</v>
      </c>
      <c r="BA18" s="350">
        <v>115.95399999999999</v>
      </c>
      <c r="BB18" s="55">
        <f t="shared" ref="BB18:BB50" si="34">AZ18/BA18</f>
        <v>1.0254152508753471</v>
      </c>
      <c r="BC18" s="55">
        <f t="shared" si="13"/>
        <v>656</v>
      </c>
      <c r="BD18" s="55">
        <f t="shared" si="14"/>
        <v>672.6724045742277</v>
      </c>
      <c r="BE18" s="55">
        <f t="shared" si="7"/>
        <v>672.6724045742277</v>
      </c>
      <c r="BF18" s="55">
        <f t="shared" si="7"/>
        <v>672.6724045742277</v>
      </c>
      <c r="BG18" s="55">
        <f t="shared" si="7"/>
        <v>672.6724045742277</v>
      </c>
      <c r="BH18" s="55">
        <f t="shared" si="7"/>
        <v>672.6724045742277</v>
      </c>
      <c r="BI18" s="55">
        <f t="shared" si="7"/>
        <v>672.6724045742277</v>
      </c>
      <c r="BJ18" s="55">
        <f t="shared" si="7"/>
        <v>672.6724045742277</v>
      </c>
      <c r="BK18" s="55">
        <f t="shared" si="7"/>
        <v>672.6724045742277</v>
      </c>
      <c r="BL18" s="55">
        <f t="shared" ref="BL18:BL51" si="35">SUM((AU18:AY18),(BE18:BK18))</f>
        <v>7988.8068320195935</v>
      </c>
      <c r="BM18" s="448">
        <f t="shared" ref="BM18:BM51" si="36">(AR18-BL18)</f>
        <v>180300.74247201477</v>
      </c>
      <c r="BN18" s="55">
        <f t="shared" si="1"/>
        <v>672.6724045742277</v>
      </c>
      <c r="BO18" s="55">
        <f t="shared" si="1"/>
        <v>672.6724045742277</v>
      </c>
      <c r="BP18" s="55">
        <f t="shared" si="1"/>
        <v>672.6724045742277</v>
      </c>
      <c r="BQ18" s="55"/>
      <c r="BR18" s="55">
        <f t="shared" si="1"/>
        <v>672.6724045742277</v>
      </c>
      <c r="BS18" s="55">
        <f t="shared" ref="BS18:BS50" si="37">SUM(BN18:BR18)</f>
        <v>2690.6896182969108</v>
      </c>
      <c r="BT18" s="448">
        <f t="shared" si="8"/>
        <v>177610.05285371785</v>
      </c>
      <c r="BU18" s="57">
        <v>126.408</v>
      </c>
      <c r="BV18" s="350">
        <v>115.95399999999999</v>
      </c>
      <c r="BW18" s="55">
        <f t="shared" ref="BW18:BW50" si="38">BU18/BV18</f>
        <v>1.0901564413474309</v>
      </c>
      <c r="BX18" s="55">
        <f t="shared" ref="BX18:BX50" si="39">BT18/L18</f>
        <v>685.75309982130443</v>
      </c>
      <c r="BY18" s="55">
        <f t="shared" ref="BY18:BY50" si="40">BX18*BW18</f>
        <v>747.57815894416285</v>
      </c>
      <c r="BZ18" s="55">
        <v>715.40675525033873</v>
      </c>
      <c r="CA18" s="55">
        <v>715.40675525033873</v>
      </c>
      <c r="CB18" s="55">
        <v>715.40675525033873</v>
      </c>
      <c r="CC18" s="55">
        <v>715.40675525033873</v>
      </c>
      <c r="CD18" s="55">
        <v>715.40675525033873</v>
      </c>
      <c r="CE18" s="55">
        <v>715.40675525033873</v>
      </c>
      <c r="CF18" s="55">
        <v>715.40675525033873</v>
      </c>
      <c r="CG18" s="55">
        <f t="shared" ref="CG18:CG50" si="41">SUM(BZ18:CF18)</f>
        <v>5007.8472867523706</v>
      </c>
      <c r="CH18" s="448">
        <f t="shared" ref="CH18:CH50" si="42">BT18-CG18</f>
        <v>172602.20556696548</v>
      </c>
      <c r="CI18" s="55">
        <v>715.40675525033873</v>
      </c>
      <c r="CJ18" s="55">
        <v>715.40675525033873</v>
      </c>
      <c r="CK18" s="55">
        <v>715.40675525033873</v>
      </c>
      <c r="CL18" s="55">
        <v>715.40675525033873</v>
      </c>
      <c r="CM18" s="55">
        <v>715.40675525033873</v>
      </c>
      <c r="CN18" s="505">
        <f t="shared" si="2"/>
        <v>3577.0337762516938</v>
      </c>
      <c r="CO18" s="679">
        <f t="shared" si="3"/>
        <v>169025.17179071379</v>
      </c>
      <c r="CP18" s="350">
        <v>132.28200000000001</v>
      </c>
      <c r="CQ18" s="350">
        <v>115.95399999999999</v>
      </c>
      <c r="CR18" s="55">
        <f>CP18/CQ18</f>
        <v>1.1408144609069115</v>
      </c>
      <c r="CS18" s="55">
        <f t="shared" si="9"/>
        <v>670.73480869330865</v>
      </c>
      <c r="CT18" s="55">
        <f t="shared" si="10"/>
        <v>765.18396919095733</v>
      </c>
      <c r="CU18" s="511">
        <v>765.18396919095733</v>
      </c>
      <c r="CV18" s="511">
        <v>765.18396919095733</v>
      </c>
      <c r="CW18" s="511">
        <v>765.18396919095733</v>
      </c>
      <c r="CX18" s="511">
        <v>765.18396919095733</v>
      </c>
      <c r="CY18" s="511">
        <v>765.18396919095733</v>
      </c>
      <c r="CZ18" s="511">
        <v>765.18396919095733</v>
      </c>
      <c r="DA18" s="511">
        <v>765.18396919095733</v>
      </c>
      <c r="DB18" s="511">
        <v>765.18396919095733</v>
      </c>
      <c r="DC18" s="511">
        <v>765.18396919095733</v>
      </c>
      <c r="DD18" s="511">
        <v>765.18396919095733</v>
      </c>
      <c r="DE18" s="511">
        <v>765.18396919095733</v>
      </c>
      <c r="DF18" s="511">
        <v>765.18396919095733</v>
      </c>
      <c r="DG18" s="511">
        <v>765.18396919095733</v>
      </c>
      <c r="DH18" s="511">
        <v>765.18396919095733</v>
      </c>
      <c r="DI18" s="511">
        <v>765.18396919095733</v>
      </c>
      <c r="DJ18" s="511">
        <v>765.18396919095733</v>
      </c>
      <c r="DK18" s="511">
        <v>765.18396919095733</v>
      </c>
      <c r="DL18" s="511">
        <v>765.18396919095733</v>
      </c>
      <c r="DM18" s="55">
        <f t="shared" si="11"/>
        <v>13773.311445437232</v>
      </c>
      <c r="DN18" s="55">
        <f t="shared" si="12"/>
        <v>155251.86034527657</v>
      </c>
    </row>
    <row r="19" spans="1:118" x14ac:dyDescent="0.2">
      <c r="A19" s="242" t="s">
        <v>853</v>
      </c>
      <c r="B19" s="406" t="s">
        <v>852</v>
      </c>
      <c r="C19" s="45" t="s">
        <v>815</v>
      </c>
      <c r="D19" s="58">
        <v>25</v>
      </c>
      <c r="E19" s="49">
        <v>0.04</v>
      </c>
      <c r="F19" s="46">
        <v>43281</v>
      </c>
      <c r="G19" s="48">
        <f t="shared" si="15"/>
        <v>300</v>
      </c>
      <c r="H19" s="145">
        <f t="shared" si="16"/>
        <v>0.33333333333333331</v>
      </c>
      <c r="I19" s="165">
        <f t="shared" si="17"/>
        <v>13.666666666666666</v>
      </c>
      <c r="J19" s="48">
        <f t="shared" si="18"/>
        <v>41</v>
      </c>
      <c r="K19" s="165">
        <f t="shared" si="19"/>
        <v>86.333333333333329</v>
      </c>
      <c r="L19" s="48">
        <f t="shared" si="20"/>
        <v>259</v>
      </c>
      <c r="M19" s="165">
        <f t="shared" si="21"/>
        <v>2.333333333333333</v>
      </c>
      <c r="N19" s="48">
        <v>7</v>
      </c>
      <c r="O19" s="165">
        <f t="shared" si="22"/>
        <v>84</v>
      </c>
      <c r="P19" s="48">
        <f t="shared" si="23"/>
        <v>252</v>
      </c>
      <c r="Q19" s="462">
        <f t="shared" si="5"/>
        <v>51136</v>
      </c>
      <c r="R19" s="46" t="s">
        <v>920</v>
      </c>
      <c r="S19" s="46">
        <v>42005</v>
      </c>
      <c r="T19" s="47">
        <v>2433646.7999999998</v>
      </c>
      <c r="U19" s="47">
        <f t="shared" si="24"/>
        <v>332598.39599999995</v>
      </c>
      <c r="V19" s="106">
        <f>T19</f>
        <v>2433646.7999999998</v>
      </c>
      <c r="W19" s="165">
        <f t="shared" si="25"/>
        <v>8112.155999999999</v>
      </c>
      <c r="X19" s="351">
        <f t="shared" si="26"/>
        <v>40560.78</v>
      </c>
      <c r="Y19" s="80">
        <f t="shared" si="27"/>
        <v>2393086.02</v>
      </c>
      <c r="Z19" s="57">
        <v>115.958</v>
      </c>
      <c r="AA19" s="350">
        <v>115.95399999999999</v>
      </c>
      <c r="AB19" s="352">
        <f t="shared" si="28"/>
        <v>1.0000344964382428</v>
      </c>
      <c r="AC19" s="55">
        <f t="shared" si="29"/>
        <v>9239.7143629343609</v>
      </c>
      <c r="AD19" s="55">
        <f t="shared" si="30"/>
        <v>9240.0331001702634</v>
      </c>
      <c r="AE19" s="55"/>
      <c r="AF19" s="55"/>
      <c r="AG19" s="55"/>
      <c r="AH19" s="55"/>
      <c r="AI19" s="55"/>
      <c r="AJ19" s="55">
        <f t="shared" si="31"/>
        <v>9240.0331001702634</v>
      </c>
      <c r="AK19" s="55">
        <f t="shared" si="31"/>
        <v>9240.0331001702634</v>
      </c>
      <c r="AL19" s="55">
        <f t="shared" si="31"/>
        <v>9240.0331001702634</v>
      </c>
      <c r="AM19" s="55">
        <f t="shared" si="31"/>
        <v>9240.0331001702634</v>
      </c>
      <c r="AN19" s="55">
        <f t="shared" si="31"/>
        <v>9240.0331001702634</v>
      </c>
      <c r="AO19" s="55">
        <f t="shared" si="31"/>
        <v>9240.0331001702634</v>
      </c>
      <c r="AP19" s="55">
        <f t="shared" si="31"/>
        <v>9240.0331001702634</v>
      </c>
      <c r="AQ19" s="72">
        <f t="shared" si="32"/>
        <v>64680.231701191849</v>
      </c>
      <c r="AR19" s="72">
        <f t="shared" si="33"/>
        <v>2328405.788298808</v>
      </c>
      <c r="AS19" s="55"/>
      <c r="AT19" s="55"/>
      <c r="AU19" s="55">
        <f>8112.44</f>
        <v>8112.44</v>
      </c>
      <c r="AV19" s="55">
        <f>8112.44</f>
        <v>8112.44</v>
      </c>
      <c r="AW19" s="55">
        <f>8112.44</f>
        <v>8112.44</v>
      </c>
      <c r="AX19" s="55">
        <f>8112.44</f>
        <v>8112.44</v>
      </c>
      <c r="AY19" s="55">
        <f>8112.44</f>
        <v>8112.44</v>
      </c>
      <c r="AZ19" s="57">
        <v>118.901</v>
      </c>
      <c r="BA19" s="350">
        <v>115.95399999999999</v>
      </c>
      <c r="BB19" s="55">
        <f t="shared" si="34"/>
        <v>1.0254152508753471</v>
      </c>
      <c r="BC19" s="55">
        <f t="shared" si="13"/>
        <v>8112.155999999999</v>
      </c>
      <c r="BD19" s="55">
        <f t="shared" si="14"/>
        <v>8318.3284798799523</v>
      </c>
      <c r="BE19" s="55">
        <f t="shared" si="7"/>
        <v>8318.3284798799523</v>
      </c>
      <c r="BF19" s="55">
        <f t="shared" si="7"/>
        <v>8318.3284798799523</v>
      </c>
      <c r="BG19" s="55">
        <f t="shared" si="7"/>
        <v>8318.3284798799523</v>
      </c>
      <c r="BH19" s="55">
        <f t="shared" si="7"/>
        <v>8318.3284798799523</v>
      </c>
      <c r="BI19" s="55">
        <f t="shared" si="7"/>
        <v>8318.3284798799523</v>
      </c>
      <c r="BJ19" s="55">
        <f t="shared" si="7"/>
        <v>8318.3284798799523</v>
      </c>
      <c r="BK19" s="55">
        <f t="shared" si="7"/>
        <v>8318.3284798799523</v>
      </c>
      <c r="BL19" s="55">
        <f t="shared" si="35"/>
        <v>98790.499359159672</v>
      </c>
      <c r="BM19" s="448">
        <f t="shared" si="36"/>
        <v>2229615.2889396483</v>
      </c>
      <c r="BN19" s="55">
        <f t="shared" si="1"/>
        <v>8318.3284798799523</v>
      </c>
      <c r="BO19" s="55">
        <f t="shared" si="1"/>
        <v>8318.3284798799523</v>
      </c>
      <c r="BP19" s="55">
        <f t="shared" si="1"/>
        <v>8318.3284798799523</v>
      </c>
      <c r="BQ19" s="55"/>
      <c r="BR19" s="55">
        <f t="shared" si="1"/>
        <v>8318.3284798799523</v>
      </c>
      <c r="BS19" s="55">
        <f t="shared" si="37"/>
        <v>33273.313919519809</v>
      </c>
      <c r="BT19" s="448">
        <f t="shared" si="8"/>
        <v>2196341.9750201283</v>
      </c>
      <c r="BU19" s="57">
        <v>126.408</v>
      </c>
      <c r="BV19" s="350">
        <v>115.95399999999999</v>
      </c>
      <c r="BW19" s="55">
        <f t="shared" si="38"/>
        <v>1.0901564413474309</v>
      </c>
      <c r="BX19" s="55">
        <f t="shared" si="39"/>
        <v>8480.0848456375606</v>
      </c>
      <c r="BY19" s="55">
        <f t="shared" si="40"/>
        <v>9244.6191176445209</v>
      </c>
      <c r="BZ19" s="55">
        <v>8846.7846312407801</v>
      </c>
      <c r="CA19" s="55">
        <v>8846.7846312407801</v>
      </c>
      <c r="CB19" s="55">
        <v>8846.7846312407801</v>
      </c>
      <c r="CC19" s="55">
        <v>8846.7846312407801</v>
      </c>
      <c r="CD19" s="55">
        <v>8846.7846312407801</v>
      </c>
      <c r="CE19" s="55">
        <v>8846.7846312407801</v>
      </c>
      <c r="CF19" s="55">
        <v>8846.7846312407801</v>
      </c>
      <c r="CG19" s="55">
        <f t="shared" si="41"/>
        <v>61927.492418685455</v>
      </c>
      <c r="CH19" s="448">
        <f t="shared" si="42"/>
        <v>2134414.4826014428</v>
      </c>
      <c r="CI19" s="55">
        <v>8846.7846312407801</v>
      </c>
      <c r="CJ19" s="55">
        <v>8846.7846312407801</v>
      </c>
      <c r="CK19" s="55">
        <v>8846.7846312407801</v>
      </c>
      <c r="CL19" s="55">
        <v>8846.7846312407801</v>
      </c>
      <c r="CM19" s="55">
        <v>8846.7846312407801</v>
      </c>
      <c r="CN19" s="505">
        <f t="shared" si="2"/>
        <v>44233.923156203899</v>
      </c>
      <c r="CO19" s="679">
        <f t="shared" si="3"/>
        <v>2090180.5594452389</v>
      </c>
      <c r="CP19" s="350">
        <v>132.28200000000001</v>
      </c>
      <c r="CQ19" s="350">
        <v>115.95399999999999</v>
      </c>
      <c r="CR19" s="55">
        <f>CP19/CQ19</f>
        <v>1.1408144609069115</v>
      </c>
      <c r="CS19" s="55">
        <f t="shared" si="9"/>
        <v>8294.367299385869</v>
      </c>
      <c r="CT19" s="55">
        <f t="shared" si="10"/>
        <v>9462.3341592128054</v>
      </c>
      <c r="CU19" s="511">
        <v>9462.3341592128054</v>
      </c>
      <c r="CV19" s="511">
        <v>9462.3341592128054</v>
      </c>
      <c r="CW19" s="511">
        <v>9462.3341592128054</v>
      </c>
      <c r="CX19" s="511">
        <v>9462.3341592128054</v>
      </c>
      <c r="CY19" s="511">
        <v>9462.3341592128054</v>
      </c>
      <c r="CZ19" s="511">
        <v>9462.3341592128054</v>
      </c>
      <c r="DA19" s="511">
        <v>9462.3341592128054</v>
      </c>
      <c r="DB19" s="511">
        <v>9462.3341592128054</v>
      </c>
      <c r="DC19" s="511">
        <v>9462.3341592128054</v>
      </c>
      <c r="DD19" s="511">
        <v>9462.3341592128054</v>
      </c>
      <c r="DE19" s="511">
        <v>9462.3341592128054</v>
      </c>
      <c r="DF19" s="511">
        <v>9462.3341592128054</v>
      </c>
      <c r="DG19" s="511">
        <v>9462.3341592128054</v>
      </c>
      <c r="DH19" s="511">
        <v>9462.3341592128054</v>
      </c>
      <c r="DI19" s="511">
        <v>9462.3341592128054</v>
      </c>
      <c r="DJ19" s="511">
        <v>9462.3341592128054</v>
      </c>
      <c r="DK19" s="511">
        <v>9462.3341592128054</v>
      </c>
      <c r="DL19" s="511">
        <v>9462.3341592128054</v>
      </c>
      <c r="DM19" s="55">
        <f t="shared" si="11"/>
        <v>170322.01486583042</v>
      </c>
      <c r="DN19" s="55">
        <f t="shared" si="12"/>
        <v>1919858.5445794086</v>
      </c>
    </row>
    <row r="20" spans="1:118" x14ac:dyDescent="0.2">
      <c r="A20" s="242" t="s">
        <v>851</v>
      </c>
      <c r="B20" s="406" t="s">
        <v>427</v>
      </c>
      <c r="C20" s="45" t="s">
        <v>815</v>
      </c>
      <c r="D20" s="58">
        <v>25</v>
      </c>
      <c r="E20" s="49">
        <v>0.04</v>
      </c>
      <c r="F20" s="46">
        <v>43281</v>
      </c>
      <c r="G20" s="48">
        <f t="shared" si="15"/>
        <v>300</v>
      </c>
      <c r="H20" s="145">
        <f t="shared" si="16"/>
        <v>0.33333333333333331</v>
      </c>
      <c r="I20" s="165">
        <f t="shared" si="17"/>
        <v>13.666666666666666</v>
      </c>
      <c r="J20" s="48">
        <f t="shared" si="18"/>
        <v>41</v>
      </c>
      <c r="K20" s="165">
        <f t="shared" si="19"/>
        <v>86.333333333333329</v>
      </c>
      <c r="L20" s="48">
        <f t="shared" si="20"/>
        <v>259</v>
      </c>
      <c r="M20" s="165">
        <f t="shared" si="21"/>
        <v>2.333333333333333</v>
      </c>
      <c r="N20" s="48">
        <v>7</v>
      </c>
      <c r="O20" s="165">
        <f t="shared" si="22"/>
        <v>84</v>
      </c>
      <c r="P20" s="48">
        <f t="shared" si="23"/>
        <v>252</v>
      </c>
      <c r="Q20" s="462">
        <f t="shared" si="5"/>
        <v>51136</v>
      </c>
      <c r="R20" s="46" t="s">
        <v>921</v>
      </c>
      <c r="S20" s="46">
        <v>42005</v>
      </c>
      <c r="T20" s="47">
        <v>102630</v>
      </c>
      <c r="U20" s="47">
        <f t="shared" si="24"/>
        <v>14026.099999999999</v>
      </c>
      <c r="V20" s="106">
        <f>T20</f>
        <v>102630</v>
      </c>
      <c r="W20" s="165">
        <f t="shared" si="25"/>
        <v>342.09999999999997</v>
      </c>
      <c r="X20" s="351">
        <f t="shared" si="26"/>
        <v>1710.4999999999998</v>
      </c>
      <c r="Y20" s="80">
        <f t="shared" si="27"/>
        <v>100919.5</v>
      </c>
      <c r="Z20" s="57">
        <v>115.958</v>
      </c>
      <c r="AA20" s="350">
        <v>115.95399999999999</v>
      </c>
      <c r="AB20" s="55">
        <f t="shared" si="28"/>
        <v>1.0000344964382428</v>
      </c>
      <c r="AC20" s="55">
        <f t="shared" si="29"/>
        <v>389.65057915057912</v>
      </c>
      <c r="AD20" s="55">
        <f t="shared" si="30"/>
        <v>389.66402070771909</v>
      </c>
      <c r="AE20" s="55"/>
      <c r="AF20" s="55"/>
      <c r="AG20" s="55"/>
      <c r="AH20" s="55"/>
      <c r="AI20" s="55"/>
      <c r="AJ20" s="55">
        <f t="shared" si="31"/>
        <v>389.66402070771909</v>
      </c>
      <c r="AK20" s="55">
        <f t="shared" si="31"/>
        <v>389.66402070771909</v>
      </c>
      <c r="AL20" s="55">
        <f t="shared" si="31"/>
        <v>389.66402070771909</v>
      </c>
      <c r="AM20" s="55">
        <f t="shared" si="31"/>
        <v>389.66402070771909</v>
      </c>
      <c r="AN20" s="55">
        <f t="shared" si="31"/>
        <v>389.66402070771909</v>
      </c>
      <c r="AO20" s="55">
        <f t="shared" si="31"/>
        <v>389.66402070771909</v>
      </c>
      <c r="AP20" s="55">
        <f t="shared" si="31"/>
        <v>389.66402070771909</v>
      </c>
      <c r="AQ20" s="72">
        <f t="shared" si="32"/>
        <v>2727.6481449540333</v>
      </c>
      <c r="AR20" s="72">
        <f t="shared" si="33"/>
        <v>98191.85185504597</v>
      </c>
      <c r="AS20" s="55"/>
      <c r="AT20" s="55"/>
      <c r="AU20" s="55">
        <f>342.11</f>
        <v>342.11</v>
      </c>
      <c r="AV20" s="55">
        <f>342.11</f>
        <v>342.11</v>
      </c>
      <c r="AW20" s="55">
        <f>342.11</f>
        <v>342.11</v>
      </c>
      <c r="AX20" s="55">
        <f>342.11</f>
        <v>342.11</v>
      </c>
      <c r="AY20" s="55">
        <f>342.11</f>
        <v>342.11</v>
      </c>
      <c r="AZ20" s="57">
        <v>118.901</v>
      </c>
      <c r="BA20" s="350">
        <v>115.95399999999999</v>
      </c>
      <c r="BB20" s="55">
        <f t="shared" si="34"/>
        <v>1.0254152508753471</v>
      </c>
      <c r="BC20" s="55">
        <f t="shared" si="13"/>
        <v>342.1</v>
      </c>
      <c r="BD20" s="55">
        <f t="shared" si="14"/>
        <v>350.79455732445626</v>
      </c>
      <c r="BE20" s="55">
        <f t="shared" si="7"/>
        <v>350.79455732445626</v>
      </c>
      <c r="BF20" s="55">
        <f t="shared" si="7"/>
        <v>350.79455732445626</v>
      </c>
      <c r="BG20" s="55">
        <f t="shared" si="7"/>
        <v>350.79455732445626</v>
      </c>
      <c r="BH20" s="55">
        <f t="shared" si="7"/>
        <v>350.79455732445626</v>
      </c>
      <c r="BI20" s="55">
        <f t="shared" si="7"/>
        <v>350.79455732445626</v>
      </c>
      <c r="BJ20" s="55">
        <f t="shared" si="7"/>
        <v>350.79455732445626</v>
      </c>
      <c r="BK20" s="55">
        <f t="shared" si="7"/>
        <v>350.79455732445626</v>
      </c>
      <c r="BL20" s="55">
        <f t="shared" si="35"/>
        <v>4166.1119012711924</v>
      </c>
      <c r="BM20" s="448">
        <f t="shared" si="36"/>
        <v>94025.739953774784</v>
      </c>
      <c r="BN20" s="55">
        <f t="shared" si="1"/>
        <v>350.79455732445626</v>
      </c>
      <c r="BO20" s="55">
        <f t="shared" si="1"/>
        <v>350.79455732445626</v>
      </c>
      <c r="BP20" s="55">
        <f t="shared" si="1"/>
        <v>350.79455732445626</v>
      </c>
      <c r="BQ20" s="55"/>
      <c r="BR20" s="55">
        <f t="shared" si="1"/>
        <v>350.79455732445626</v>
      </c>
      <c r="BS20" s="55">
        <f t="shared" si="37"/>
        <v>1403.1782292978251</v>
      </c>
      <c r="BT20" s="448">
        <f t="shared" si="8"/>
        <v>92622.561724476953</v>
      </c>
      <c r="BU20" s="57">
        <v>126.408</v>
      </c>
      <c r="BV20" s="350">
        <v>115.95399999999999</v>
      </c>
      <c r="BW20" s="55">
        <f t="shared" si="38"/>
        <v>1.0901564413474309</v>
      </c>
      <c r="BX20" s="55">
        <f t="shared" si="39"/>
        <v>357.61606843427393</v>
      </c>
      <c r="BY20" s="55">
        <f t="shared" si="40"/>
        <v>389.85746053296742</v>
      </c>
      <c r="BZ20" s="55">
        <v>373.08026927312898</v>
      </c>
      <c r="CA20" s="55">
        <v>373.08026927312898</v>
      </c>
      <c r="CB20" s="55">
        <v>373.08026927312898</v>
      </c>
      <c r="CC20" s="55">
        <v>373.08026927312898</v>
      </c>
      <c r="CD20" s="55">
        <v>373.08026927312898</v>
      </c>
      <c r="CE20" s="55">
        <v>373.08026927312898</v>
      </c>
      <c r="CF20" s="55">
        <v>373.08026927312898</v>
      </c>
      <c r="CG20" s="55">
        <f t="shared" si="41"/>
        <v>2611.5618849119028</v>
      </c>
      <c r="CH20" s="448">
        <f t="shared" si="42"/>
        <v>90010.999839565047</v>
      </c>
      <c r="CI20" s="55">
        <v>373.08026927312898</v>
      </c>
      <c r="CJ20" s="55">
        <v>373.08026927312898</v>
      </c>
      <c r="CK20" s="55">
        <v>373.08026927312898</v>
      </c>
      <c r="CL20" s="55">
        <v>373.08026927312898</v>
      </c>
      <c r="CM20" s="55">
        <v>373.08026927312898</v>
      </c>
      <c r="CN20" s="505">
        <f t="shared" si="2"/>
        <v>1865.4013463656449</v>
      </c>
      <c r="CO20" s="679">
        <f t="shared" si="3"/>
        <v>88145.598493199403</v>
      </c>
      <c r="CP20" s="350">
        <v>132.28200000000001</v>
      </c>
      <c r="CQ20" s="350">
        <v>115.95399999999999</v>
      </c>
      <c r="CR20" s="55">
        <f t="shared" ref="CR20:CR50" si="43">CP20/CQ20</f>
        <v>1.1408144609069115</v>
      </c>
      <c r="CS20" s="55">
        <f t="shared" si="9"/>
        <v>349.78412100475953</v>
      </c>
      <c r="CT20" s="55">
        <f t="shared" si="10"/>
        <v>399.03878343784265</v>
      </c>
      <c r="CU20" s="55">
        <v>399.03878343784265</v>
      </c>
      <c r="CV20" s="55">
        <v>399.03878343784265</v>
      </c>
      <c r="CW20" s="55">
        <v>399.03878343784265</v>
      </c>
      <c r="CX20" s="55">
        <v>399.03878343784265</v>
      </c>
      <c r="CY20" s="55">
        <v>399.03878343784265</v>
      </c>
      <c r="CZ20" s="55">
        <v>399.03878343784265</v>
      </c>
      <c r="DA20" s="55">
        <v>399.03878343784265</v>
      </c>
      <c r="DB20" s="55">
        <v>399.03878343784265</v>
      </c>
      <c r="DC20" s="55">
        <v>399.03878343784265</v>
      </c>
      <c r="DD20" s="55">
        <v>399.03878343784265</v>
      </c>
      <c r="DE20" s="55">
        <v>399.03878343784265</v>
      </c>
      <c r="DF20" s="55">
        <v>399.03878343784265</v>
      </c>
      <c r="DG20" s="55">
        <v>399.03878343784265</v>
      </c>
      <c r="DH20" s="55">
        <v>399.03878343784265</v>
      </c>
      <c r="DI20" s="55">
        <v>399.03878343784265</v>
      </c>
      <c r="DJ20" s="55">
        <v>399.03878343784265</v>
      </c>
      <c r="DK20" s="55">
        <v>399.03878343784265</v>
      </c>
      <c r="DL20" s="55">
        <v>399.03878343784265</v>
      </c>
      <c r="DM20" s="55">
        <f t="shared" si="11"/>
        <v>7182.6981018811666</v>
      </c>
      <c r="DN20" s="55">
        <f t="shared" si="12"/>
        <v>80962.900391318239</v>
      </c>
    </row>
    <row r="21" spans="1:118" x14ac:dyDescent="0.2">
      <c r="A21" s="242" t="s">
        <v>850</v>
      </c>
      <c r="B21" s="406" t="s">
        <v>849</v>
      </c>
      <c r="C21" s="45" t="s">
        <v>815</v>
      </c>
      <c r="D21" s="58">
        <v>25</v>
      </c>
      <c r="E21" s="49">
        <v>0.04</v>
      </c>
      <c r="F21" s="46">
        <v>43281</v>
      </c>
      <c r="G21" s="48">
        <f t="shared" si="15"/>
        <v>300</v>
      </c>
      <c r="H21" s="145">
        <f t="shared" si="16"/>
        <v>0.33333333333333331</v>
      </c>
      <c r="I21" s="165">
        <f t="shared" si="17"/>
        <v>13.666666666666666</v>
      </c>
      <c r="J21" s="48">
        <f t="shared" si="18"/>
        <v>41</v>
      </c>
      <c r="K21" s="165">
        <f t="shared" si="19"/>
        <v>86.333333333333329</v>
      </c>
      <c r="L21" s="48">
        <f t="shared" si="20"/>
        <v>259</v>
      </c>
      <c r="M21" s="165">
        <f t="shared" si="21"/>
        <v>2.333333333333333</v>
      </c>
      <c r="N21" s="48">
        <v>7</v>
      </c>
      <c r="O21" s="165">
        <f t="shared" si="22"/>
        <v>84</v>
      </c>
      <c r="P21" s="48">
        <f t="shared" si="23"/>
        <v>252</v>
      </c>
      <c r="Q21" s="462">
        <f t="shared" si="5"/>
        <v>51136</v>
      </c>
      <c r="R21" s="46" t="s">
        <v>924</v>
      </c>
      <c r="S21" s="46">
        <v>42005</v>
      </c>
      <c r="T21" s="47">
        <v>573600</v>
      </c>
      <c r="U21" s="47">
        <f t="shared" si="24"/>
        <v>78392</v>
      </c>
      <c r="V21" s="106">
        <f>T21</f>
        <v>573600</v>
      </c>
      <c r="W21" s="165">
        <f t="shared" si="25"/>
        <v>1911.9999999999998</v>
      </c>
      <c r="X21" s="351">
        <f t="shared" si="26"/>
        <v>9559.9999999999982</v>
      </c>
      <c r="Y21" s="80">
        <f t="shared" si="27"/>
        <v>564040</v>
      </c>
      <c r="Z21" s="57">
        <v>115.958</v>
      </c>
      <c r="AA21" s="350">
        <v>115.95399999999999</v>
      </c>
      <c r="AB21" s="55">
        <f t="shared" si="28"/>
        <v>1.0000344964382428</v>
      </c>
      <c r="AC21" s="55">
        <f t="shared" si="29"/>
        <v>2177.7606177606181</v>
      </c>
      <c r="AD21" s="55">
        <f t="shared" si="30"/>
        <v>2177.8357427452761</v>
      </c>
      <c r="AE21" s="55"/>
      <c r="AF21" s="55"/>
      <c r="AG21" s="55"/>
      <c r="AH21" s="55"/>
      <c r="AI21" s="55"/>
      <c r="AJ21" s="55">
        <f t="shared" si="31"/>
        <v>2177.8357427452761</v>
      </c>
      <c r="AK21" s="55">
        <f t="shared" si="31"/>
        <v>2177.8357427452761</v>
      </c>
      <c r="AL21" s="55">
        <f t="shared" si="31"/>
        <v>2177.8357427452761</v>
      </c>
      <c r="AM21" s="55">
        <f t="shared" si="31"/>
        <v>2177.8357427452761</v>
      </c>
      <c r="AN21" s="55">
        <f t="shared" si="31"/>
        <v>2177.8357427452761</v>
      </c>
      <c r="AO21" s="55">
        <f t="shared" si="31"/>
        <v>2177.8357427452761</v>
      </c>
      <c r="AP21" s="55">
        <f t="shared" si="31"/>
        <v>2177.8357427452761</v>
      </c>
      <c r="AQ21" s="72">
        <f t="shared" si="32"/>
        <v>15244.850199216931</v>
      </c>
      <c r="AR21" s="72">
        <f t="shared" si="33"/>
        <v>548795.14980078302</v>
      </c>
      <c r="AS21" s="55"/>
      <c r="AT21" s="55"/>
      <c r="AU21" s="55">
        <f>1912.07</f>
        <v>1912.07</v>
      </c>
      <c r="AV21" s="55">
        <f>1912.07</f>
        <v>1912.07</v>
      </c>
      <c r="AW21" s="55">
        <f>1912.07</f>
        <v>1912.07</v>
      </c>
      <c r="AX21" s="55">
        <f>1912.07</f>
        <v>1912.07</v>
      </c>
      <c r="AY21" s="55">
        <f>1912.07</f>
        <v>1912.07</v>
      </c>
      <c r="AZ21" s="57">
        <v>118.901</v>
      </c>
      <c r="BA21" s="350">
        <v>115.95399999999999</v>
      </c>
      <c r="BB21" s="55">
        <f t="shared" si="34"/>
        <v>1.0254152508753471</v>
      </c>
      <c r="BC21" s="55">
        <f t="shared" si="13"/>
        <v>1912</v>
      </c>
      <c r="BD21" s="55">
        <f t="shared" si="14"/>
        <v>1960.5939596736637</v>
      </c>
      <c r="BE21" s="55">
        <f t="shared" si="7"/>
        <v>1960.5939596736637</v>
      </c>
      <c r="BF21" s="55">
        <f t="shared" si="7"/>
        <v>1960.5939596736637</v>
      </c>
      <c r="BG21" s="55">
        <f t="shared" si="7"/>
        <v>1960.5939596736637</v>
      </c>
      <c r="BH21" s="55">
        <f t="shared" si="7"/>
        <v>1960.5939596736637</v>
      </c>
      <c r="BI21" s="55">
        <f t="shared" si="7"/>
        <v>1960.5939596736637</v>
      </c>
      <c r="BJ21" s="55">
        <f t="shared" si="7"/>
        <v>1960.5939596736637</v>
      </c>
      <c r="BK21" s="55">
        <f t="shared" si="7"/>
        <v>1960.5939596736637</v>
      </c>
      <c r="BL21" s="55">
        <f t="shared" si="35"/>
        <v>23284.507717715649</v>
      </c>
      <c r="BM21" s="448">
        <f t="shared" si="36"/>
        <v>525510.64208306733</v>
      </c>
      <c r="BN21" s="55">
        <f t="shared" si="1"/>
        <v>1960.5939596736637</v>
      </c>
      <c r="BO21" s="55">
        <f t="shared" si="1"/>
        <v>1960.5939596736637</v>
      </c>
      <c r="BP21" s="55">
        <f t="shared" si="1"/>
        <v>1960.5939596736637</v>
      </c>
      <c r="BQ21" s="55"/>
      <c r="BR21" s="55">
        <f t="shared" si="1"/>
        <v>1960.5939596736637</v>
      </c>
      <c r="BS21" s="55">
        <f t="shared" si="37"/>
        <v>7842.3758386946547</v>
      </c>
      <c r="BT21" s="448">
        <f t="shared" si="8"/>
        <v>517668.2662443727</v>
      </c>
      <c r="BU21" s="57">
        <v>126.408</v>
      </c>
      <c r="BV21" s="350">
        <v>115.95399999999999</v>
      </c>
      <c r="BW21" s="55">
        <f t="shared" si="38"/>
        <v>1.0901564413474309</v>
      </c>
      <c r="BX21" s="55">
        <f t="shared" si="39"/>
        <v>1998.7191746886976</v>
      </c>
      <c r="BY21" s="55">
        <f t="shared" si="40"/>
        <v>2178.9165827315046</v>
      </c>
      <c r="BZ21" s="55">
        <v>2085.1487218998413</v>
      </c>
      <c r="CA21" s="55">
        <v>2085.1487218998413</v>
      </c>
      <c r="CB21" s="55">
        <v>2085.1487218998413</v>
      </c>
      <c r="CC21" s="55">
        <v>2085.1487218998413</v>
      </c>
      <c r="CD21" s="55">
        <v>2085.1487218998413</v>
      </c>
      <c r="CE21" s="55">
        <v>2085.1487218998413</v>
      </c>
      <c r="CF21" s="55">
        <v>2085.1487218998413</v>
      </c>
      <c r="CG21" s="55">
        <f t="shared" si="41"/>
        <v>14596.041053298888</v>
      </c>
      <c r="CH21" s="448">
        <f t="shared" si="42"/>
        <v>503072.22519107384</v>
      </c>
      <c r="CI21" s="55">
        <v>2085.1487218998413</v>
      </c>
      <c r="CJ21" s="55">
        <v>2085.1487218998413</v>
      </c>
      <c r="CK21" s="55">
        <v>2085.1487218998413</v>
      </c>
      <c r="CL21" s="55">
        <v>2085.1487218998413</v>
      </c>
      <c r="CM21" s="55">
        <v>2085.1487218998413</v>
      </c>
      <c r="CN21" s="505">
        <f t="shared" si="2"/>
        <v>10425.743609499206</v>
      </c>
      <c r="CO21" s="679">
        <f t="shared" si="3"/>
        <v>492646.48158157466</v>
      </c>
      <c r="CP21" s="350">
        <v>132.28200000000001</v>
      </c>
      <c r="CQ21" s="350">
        <v>115.95399999999999</v>
      </c>
      <c r="CR21" s="55">
        <f t="shared" si="43"/>
        <v>1.1408144609069115</v>
      </c>
      <c r="CS21" s="55">
        <f t="shared" si="9"/>
        <v>1954.946355482439</v>
      </c>
      <c r="CT21" s="55">
        <f t="shared" si="10"/>
        <v>2230.23107263163</v>
      </c>
      <c r="CU21" s="511">
        <v>2230.23107263163</v>
      </c>
      <c r="CV21" s="511">
        <v>2230.23107263163</v>
      </c>
      <c r="CW21" s="511">
        <v>2230.23107263163</v>
      </c>
      <c r="CX21" s="511">
        <v>2230.23107263163</v>
      </c>
      <c r="CY21" s="511">
        <v>2230.23107263163</v>
      </c>
      <c r="CZ21" s="511">
        <v>2230.23107263163</v>
      </c>
      <c r="DA21" s="511">
        <v>2230.23107263163</v>
      </c>
      <c r="DB21" s="511">
        <v>2230.23107263163</v>
      </c>
      <c r="DC21" s="511">
        <v>2230.23107263163</v>
      </c>
      <c r="DD21" s="511">
        <v>2230.23107263163</v>
      </c>
      <c r="DE21" s="511">
        <v>2230.23107263163</v>
      </c>
      <c r="DF21" s="511">
        <v>2230.23107263163</v>
      </c>
      <c r="DG21" s="511">
        <v>2230.23107263163</v>
      </c>
      <c r="DH21" s="511">
        <v>2230.23107263163</v>
      </c>
      <c r="DI21" s="511">
        <v>2230.23107263163</v>
      </c>
      <c r="DJ21" s="511">
        <v>2230.23107263163</v>
      </c>
      <c r="DK21" s="511">
        <v>2230.23107263163</v>
      </c>
      <c r="DL21" s="511">
        <v>2230.23107263163</v>
      </c>
      <c r="DM21" s="55">
        <f t="shared" si="11"/>
        <v>40144.159307369322</v>
      </c>
      <c r="DN21" s="55">
        <f t="shared" si="12"/>
        <v>452502.32227420533</v>
      </c>
    </row>
    <row r="22" spans="1:118" x14ac:dyDescent="0.2">
      <c r="A22" s="242" t="s">
        <v>848</v>
      </c>
      <c r="B22" s="406" t="s">
        <v>847</v>
      </c>
      <c r="C22" s="45" t="s">
        <v>815</v>
      </c>
      <c r="D22" s="58">
        <v>25</v>
      </c>
      <c r="E22" s="49">
        <v>0.04</v>
      </c>
      <c r="F22" s="46">
        <v>43281</v>
      </c>
      <c r="G22" s="48">
        <f t="shared" si="15"/>
        <v>300</v>
      </c>
      <c r="H22" s="145">
        <f t="shared" si="16"/>
        <v>0.33333333333333331</v>
      </c>
      <c r="I22" s="165">
        <f t="shared" si="17"/>
        <v>13.666666666666666</v>
      </c>
      <c r="J22" s="48">
        <f t="shared" si="18"/>
        <v>41</v>
      </c>
      <c r="K22" s="165">
        <f t="shared" si="19"/>
        <v>86.333333333333329</v>
      </c>
      <c r="L22" s="48">
        <f t="shared" si="20"/>
        <v>259</v>
      </c>
      <c r="M22" s="165">
        <f t="shared" si="21"/>
        <v>2.333333333333333</v>
      </c>
      <c r="N22" s="48">
        <v>7</v>
      </c>
      <c r="O22" s="165">
        <f t="shared" si="22"/>
        <v>84</v>
      </c>
      <c r="P22" s="48">
        <f t="shared" si="23"/>
        <v>252</v>
      </c>
      <c r="Q22" s="462">
        <f t="shared" si="5"/>
        <v>51136</v>
      </c>
      <c r="R22" s="46" t="s">
        <v>927</v>
      </c>
      <c r="S22" s="46">
        <v>42005</v>
      </c>
      <c r="T22" s="47">
        <v>2526075</v>
      </c>
      <c r="U22" s="47">
        <f t="shared" si="24"/>
        <v>345230.25</v>
      </c>
      <c r="V22" s="106">
        <f>T22</f>
        <v>2526075</v>
      </c>
      <c r="W22" s="165">
        <f t="shared" si="25"/>
        <v>8420.25</v>
      </c>
      <c r="X22" s="351">
        <f t="shared" si="26"/>
        <v>42101.25</v>
      </c>
      <c r="Y22" s="80">
        <f t="shared" si="27"/>
        <v>2483973.75</v>
      </c>
      <c r="Z22" s="57">
        <v>115.958</v>
      </c>
      <c r="AA22" s="350">
        <v>115.95399999999999</v>
      </c>
      <c r="AB22" s="55">
        <f t="shared" si="28"/>
        <v>1.0000344964382428</v>
      </c>
      <c r="AC22" s="55">
        <f t="shared" si="29"/>
        <v>9590.6322393822375</v>
      </c>
      <c r="AD22" s="55">
        <f t="shared" si="30"/>
        <v>9590.9630820349921</v>
      </c>
      <c r="AE22" s="55"/>
      <c r="AF22" s="55"/>
      <c r="AG22" s="55"/>
      <c r="AH22" s="55"/>
      <c r="AI22" s="55"/>
      <c r="AJ22" s="55">
        <f t="shared" si="31"/>
        <v>9590.9630820349921</v>
      </c>
      <c r="AK22" s="55">
        <f t="shared" si="31"/>
        <v>9590.9630820349921</v>
      </c>
      <c r="AL22" s="55">
        <f t="shared" si="31"/>
        <v>9590.9630820349921</v>
      </c>
      <c r="AM22" s="55">
        <f t="shared" si="31"/>
        <v>9590.9630820349921</v>
      </c>
      <c r="AN22" s="55">
        <f t="shared" si="31"/>
        <v>9590.9630820349921</v>
      </c>
      <c r="AO22" s="55">
        <f t="shared" si="31"/>
        <v>9590.9630820349921</v>
      </c>
      <c r="AP22" s="55">
        <f t="shared" si="31"/>
        <v>9590.9630820349921</v>
      </c>
      <c r="AQ22" s="72">
        <f t="shared" si="32"/>
        <v>67136.741574244952</v>
      </c>
      <c r="AR22" s="72">
        <f t="shared" si="33"/>
        <v>2416837.008425755</v>
      </c>
      <c r="AS22" s="55"/>
      <c r="AT22" s="55"/>
      <c r="AU22" s="55">
        <f>8420.54</f>
        <v>8420.5400000000009</v>
      </c>
      <c r="AV22" s="55">
        <f>8420.54</f>
        <v>8420.5400000000009</v>
      </c>
      <c r="AW22" s="55">
        <f>8420.54</f>
        <v>8420.5400000000009</v>
      </c>
      <c r="AX22" s="55">
        <f>8420.54</f>
        <v>8420.5400000000009</v>
      </c>
      <c r="AY22" s="55">
        <f>8420.54</f>
        <v>8420.5400000000009</v>
      </c>
      <c r="AZ22" s="57">
        <v>118.901</v>
      </c>
      <c r="BA22" s="350">
        <v>115.95399999999999</v>
      </c>
      <c r="BB22" s="55">
        <f t="shared" si="34"/>
        <v>1.0254152508753471</v>
      </c>
      <c r="BC22" s="55">
        <f t="shared" si="13"/>
        <v>8420.25</v>
      </c>
      <c r="BD22" s="55">
        <f t="shared" si="14"/>
        <v>8634.2527661831409</v>
      </c>
      <c r="BE22" s="55">
        <f t="shared" si="7"/>
        <v>8634.2527661831409</v>
      </c>
      <c r="BF22" s="55">
        <f t="shared" si="7"/>
        <v>8634.2527661831409</v>
      </c>
      <c r="BG22" s="55">
        <f t="shared" si="7"/>
        <v>8634.2527661831409</v>
      </c>
      <c r="BH22" s="55">
        <f t="shared" si="7"/>
        <v>8634.2527661831409</v>
      </c>
      <c r="BI22" s="55">
        <f t="shared" si="7"/>
        <v>8634.2527661831409</v>
      </c>
      <c r="BJ22" s="55">
        <f t="shared" si="7"/>
        <v>8634.2527661831409</v>
      </c>
      <c r="BK22" s="55">
        <f t="shared" si="7"/>
        <v>8634.2527661831409</v>
      </c>
      <c r="BL22" s="55">
        <f t="shared" si="35"/>
        <v>102542.469363282</v>
      </c>
      <c r="BM22" s="448">
        <f t="shared" si="36"/>
        <v>2314294.539062473</v>
      </c>
      <c r="BN22" s="55">
        <f t="shared" si="1"/>
        <v>8634.2527661831409</v>
      </c>
      <c r="BO22" s="55">
        <f t="shared" si="1"/>
        <v>8634.2527661831409</v>
      </c>
      <c r="BP22" s="55">
        <f t="shared" si="1"/>
        <v>8634.2527661831409</v>
      </c>
      <c r="BQ22" s="55"/>
      <c r="BR22" s="55">
        <f t="shared" si="1"/>
        <v>8634.2527661831409</v>
      </c>
      <c r="BS22" s="55">
        <f t="shared" si="37"/>
        <v>34537.011064732564</v>
      </c>
      <c r="BT22" s="448">
        <f t="shared" si="8"/>
        <v>2279757.5279977405</v>
      </c>
      <c r="BU22" s="57">
        <v>126.408</v>
      </c>
      <c r="BV22" s="350">
        <v>115.95399999999999</v>
      </c>
      <c r="BW22" s="55">
        <f t="shared" si="38"/>
        <v>1.0901564413474309</v>
      </c>
      <c r="BX22" s="55">
        <f t="shared" si="39"/>
        <v>8802.1526177518936</v>
      </c>
      <c r="BY22" s="55">
        <f t="shared" si="40"/>
        <v>9595.7233739653784</v>
      </c>
      <c r="BZ22" s="55">
        <v>9182.7794081043958</v>
      </c>
      <c r="CA22" s="55">
        <v>9182.7794081043958</v>
      </c>
      <c r="CB22" s="55">
        <v>9182.7794081043958</v>
      </c>
      <c r="CC22" s="55">
        <v>9182.7794081043958</v>
      </c>
      <c r="CD22" s="55">
        <v>9182.7794081043958</v>
      </c>
      <c r="CE22" s="55">
        <v>9182.7794081043958</v>
      </c>
      <c r="CF22" s="55">
        <v>9182.7794081043958</v>
      </c>
      <c r="CG22" s="55">
        <f t="shared" si="41"/>
        <v>64279.455856730776</v>
      </c>
      <c r="CH22" s="448">
        <f t="shared" si="42"/>
        <v>2215478.0721410098</v>
      </c>
      <c r="CI22" s="55">
        <v>9182.7794081043958</v>
      </c>
      <c r="CJ22" s="55">
        <v>9182.7794081043958</v>
      </c>
      <c r="CK22" s="55">
        <v>9182.7794081043958</v>
      </c>
      <c r="CL22" s="55">
        <v>9182.7794081043958</v>
      </c>
      <c r="CM22" s="55">
        <v>9182.7794081043958</v>
      </c>
      <c r="CN22" s="505">
        <f t="shared" si="2"/>
        <v>45913.897040521981</v>
      </c>
      <c r="CO22" s="679">
        <f t="shared" si="3"/>
        <v>2169564.1751004877</v>
      </c>
      <c r="CP22" s="350">
        <v>132.28200000000001</v>
      </c>
      <c r="CQ22" s="350">
        <v>115.95399999999999</v>
      </c>
      <c r="CR22" s="55">
        <f t="shared" si="43"/>
        <v>1.1408144609069115</v>
      </c>
      <c r="CS22" s="55">
        <f t="shared" si="9"/>
        <v>8609.3816472241579</v>
      </c>
      <c r="CT22" s="55">
        <f t="shared" si="10"/>
        <v>9821.7070826198851</v>
      </c>
      <c r="CU22" s="511">
        <v>9821.7070826198851</v>
      </c>
      <c r="CV22" s="511">
        <v>9821.7070826198851</v>
      </c>
      <c r="CW22" s="511">
        <v>9821.7070826198851</v>
      </c>
      <c r="CX22" s="511">
        <v>9821.7070826198851</v>
      </c>
      <c r="CY22" s="511">
        <v>9821.7070826198851</v>
      </c>
      <c r="CZ22" s="511">
        <v>9821.7070826198851</v>
      </c>
      <c r="DA22" s="511">
        <v>9821.7070826198851</v>
      </c>
      <c r="DB22" s="511">
        <v>9821.7070826198851</v>
      </c>
      <c r="DC22" s="511">
        <v>9821.7070826198851</v>
      </c>
      <c r="DD22" s="511">
        <v>9821.7070826198851</v>
      </c>
      <c r="DE22" s="511">
        <v>9821.7070826198851</v>
      </c>
      <c r="DF22" s="511">
        <v>9821.7070826198851</v>
      </c>
      <c r="DG22" s="511">
        <v>9821.7070826198851</v>
      </c>
      <c r="DH22" s="511">
        <v>9821.7070826198851</v>
      </c>
      <c r="DI22" s="511">
        <v>9821.7070826198851</v>
      </c>
      <c r="DJ22" s="511">
        <v>9821.7070826198851</v>
      </c>
      <c r="DK22" s="511">
        <v>9821.7070826198851</v>
      </c>
      <c r="DL22" s="511">
        <v>9821.7070826198851</v>
      </c>
      <c r="DM22" s="55">
        <f t="shared" si="11"/>
        <v>176790.72748715797</v>
      </c>
      <c r="DN22" s="55">
        <f t="shared" si="12"/>
        <v>1992773.4476133296</v>
      </c>
    </row>
    <row r="23" spans="1:118" x14ac:dyDescent="0.2">
      <c r="A23" s="242" t="s">
        <v>846</v>
      </c>
      <c r="B23" s="406" t="s">
        <v>845</v>
      </c>
      <c r="C23" s="45" t="s">
        <v>815</v>
      </c>
      <c r="D23" s="58">
        <v>25</v>
      </c>
      <c r="E23" s="49">
        <v>0.04</v>
      </c>
      <c r="F23" s="46">
        <v>43281</v>
      </c>
      <c r="G23" s="48">
        <f t="shared" si="15"/>
        <v>300</v>
      </c>
      <c r="H23" s="145">
        <f t="shared" si="16"/>
        <v>0.33333333333333331</v>
      </c>
      <c r="I23" s="165">
        <f t="shared" si="17"/>
        <v>27.333333333333332</v>
      </c>
      <c r="J23" s="48">
        <f t="shared" si="18"/>
        <v>82</v>
      </c>
      <c r="K23" s="165">
        <f t="shared" si="19"/>
        <v>72.666666666666657</v>
      </c>
      <c r="L23" s="48">
        <f t="shared" si="20"/>
        <v>218</v>
      </c>
      <c r="M23" s="165">
        <f t="shared" si="21"/>
        <v>2.333333333333333</v>
      </c>
      <c r="N23" s="48">
        <v>7</v>
      </c>
      <c r="O23" s="165">
        <f t="shared" si="22"/>
        <v>70.333333333333329</v>
      </c>
      <c r="P23" s="48">
        <f t="shared" si="23"/>
        <v>211</v>
      </c>
      <c r="Q23" s="462">
        <f t="shared" si="5"/>
        <v>49914</v>
      </c>
      <c r="R23" s="46" t="s">
        <v>928</v>
      </c>
      <c r="S23" s="46">
        <v>40782</v>
      </c>
      <c r="T23" s="47">
        <v>1220229.8400000001</v>
      </c>
      <c r="U23" s="47">
        <f t="shared" si="24"/>
        <v>333529.48960000003</v>
      </c>
      <c r="V23" s="106">
        <f>T23-U23</f>
        <v>886700.35040000011</v>
      </c>
      <c r="W23" s="165">
        <f t="shared" si="25"/>
        <v>4067.4328</v>
      </c>
      <c r="X23" s="351">
        <f t="shared" si="26"/>
        <v>20337.164000000001</v>
      </c>
      <c r="Y23" s="80">
        <f t="shared" si="27"/>
        <v>866363.18640000012</v>
      </c>
      <c r="Z23" s="57">
        <v>115.958</v>
      </c>
      <c r="AA23" s="350">
        <v>100.68</v>
      </c>
      <c r="AB23" s="55">
        <f t="shared" si="28"/>
        <v>1.1517481128327374</v>
      </c>
      <c r="AC23" s="55">
        <f t="shared" si="29"/>
        <v>3974.1430568807336</v>
      </c>
      <c r="AD23" s="55">
        <f t="shared" si="30"/>
        <v>4577.2117658897114</v>
      </c>
      <c r="AE23" s="55"/>
      <c r="AF23" s="55"/>
      <c r="AG23" s="55"/>
      <c r="AH23" s="55"/>
      <c r="AI23" s="55"/>
      <c r="AJ23" s="55">
        <f t="shared" si="31"/>
        <v>4577.2117658897114</v>
      </c>
      <c r="AK23" s="55">
        <f t="shared" si="31"/>
        <v>4577.2117658897114</v>
      </c>
      <c r="AL23" s="55">
        <f t="shared" si="31"/>
        <v>4577.2117658897114</v>
      </c>
      <c r="AM23" s="55">
        <f t="shared" si="31"/>
        <v>4577.2117658897114</v>
      </c>
      <c r="AN23" s="55">
        <f t="shared" si="31"/>
        <v>4577.2117658897114</v>
      </c>
      <c r="AO23" s="55">
        <f t="shared" si="31"/>
        <v>4577.2117658897114</v>
      </c>
      <c r="AP23" s="55">
        <f t="shared" si="31"/>
        <v>4577.2117658897114</v>
      </c>
      <c r="AQ23" s="72">
        <f t="shared" si="32"/>
        <v>32040.48236122798</v>
      </c>
      <c r="AR23" s="72">
        <f t="shared" si="33"/>
        <v>834322.70403877215</v>
      </c>
      <c r="AS23" s="55"/>
      <c r="AT23" s="55"/>
      <c r="AU23" s="55">
        <f>4592.44</f>
        <v>4592.4399999999996</v>
      </c>
      <c r="AV23" s="55">
        <f>4592.44</f>
        <v>4592.4399999999996</v>
      </c>
      <c r="AW23" s="55">
        <f>4592.44</f>
        <v>4592.4399999999996</v>
      </c>
      <c r="AX23" s="55">
        <f>4592.44</f>
        <v>4592.4399999999996</v>
      </c>
      <c r="AY23" s="55">
        <f>4592.44</f>
        <v>4592.4399999999996</v>
      </c>
      <c r="AZ23" s="57">
        <v>118.901</v>
      </c>
      <c r="BA23" s="350">
        <v>100.68</v>
      </c>
      <c r="BB23" s="55">
        <f t="shared" si="34"/>
        <v>1.180979340484704</v>
      </c>
      <c r="BC23" s="55">
        <f t="shared" si="13"/>
        <v>4067.4328000000005</v>
      </c>
      <c r="BD23" s="55">
        <f t="shared" si="14"/>
        <v>4803.5541056098537</v>
      </c>
      <c r="BE23" s="55">
        <f t="shared" si="7"/>
        <v>4803.5541056098537</v>
      </c>
      <c r="BF23" s="55">
        <f t="shared" si="7"/>
        <v>4803.5541056098537</v>
      </c>
      <c r="BG23" s="55">
        <f t="shared" si="7"/>
        <v>4803.5541056098537</v>
      </c>
      <c r="BH23" s="55">
        <f t="shared" si="7"/>
        <v>4803.5541056098537</v>
      </c>
      <c r="BI23" s="55">
        <f t="shared" si="7"/>
        <v>4803.5541056098537</v>
      </c>
      <c r="BJ23" s="55">
        <f t="shared" si="7"/>
        <v>4803.5541056098537</v>
      </c>
      <c r="BK23" s="55">
        <f t="shared" si="7"/>
        <v>4803.5541056098537</v>
      </c>
      <c r="BL23" s="55">
        <f t="shared" si="35"/>
        <v>56587.07873926896</v>
      </c>
      <c r="BM23" s="448">
        <f t="shared" si="36"/>
        <v>777735.62529950321</v>
      </c>
      <c r="BN23" s="55">
        <f t="shared" si="1"/>
        <v>4803.5541056098537</v>
      </c>
      <c r="BO23" s="55">
        <f t="shared" si="1"/>
        <v>4803.5541056098537</v>
      </c>
      <c r="BP23" s="55">
        <f t="shared" si="1"/>
        <v>4803.5541056098537</v>
      </c>
      <c r="BQ23" s="55"/>
      <c r="BR23" s="55">
        <f t="shared" si="1"/>
        <v>4803.5541056098537</v>
      </c>
      <c r="BS23" s="55">
        <f t="shared" si="37"/>
        <v>19214.216422439415</v>
      </c>
      <c r="BT23" s="448">
        <f t="shared" si="8"/>
        <v>758521.40887706378</v>
      </c>
      <c r="BU23" s="57">
        <v>126.408</v>
      </c>
      <c r="BV23" s="350">
        <v>100.68</v>
      </c>
      <c r="BW23" s="55">
        <f t="shared" si="38"/>
        <v>1.2555423122765197</v>
      </c>
      <c r="BX23" s="55">
        <f t="shared" si="39"/>
        <v>3479.4560040232282</v>
      </c>
      <c r="BY23" s="55">
        <f t="shared" si="40"/>
        <v>4368.6042367557429</v>
      </c>
      <c r="BZ23" s="55">
        <v>4406.9063580574648</v>
      </c>
      <c r="CA23" s="55">
        <v>4406.9063580574648</v>
      </c>
      <c r="CB23" s="55">
        <v>4406.9063580574648</v>
      </c>
      <c r="CC23" s="55">
        <v>4406.9063580574648</v>
      </c>
      <c r="CD23" s="55">
        <v>4406.9063580574648</v>
      </c>
      <c r="CE23" s="55">
        <v>4406.9063580574648</v>
      </c>
      <c r="CF23" s="55">
        <v>4406.9063580574648</v>
      </c>
      <c r="CG23" s="55">
        <f t="shared" si="41"/>
        <v>30848.344506402256</v>
      </c>
      <c r="CH23" s="448">
        <f t="shared" si="42"/>
        <v>727673.06437066151</v>
      </c>
      <c r="CI23" s="55">
        <v>4406.9063580574648</v>
      </c>
      <c r="CJ23" s="55">
        <v>4406.9063580574648</v>
      </c>
      <c r="CK23" s="55">
        <v>4406.9063580574648</v>
      </c>
      <c r="CL23" s="55">
        <v>4406.9063580574648</v>
      </c>
      <c r="CM23" s="55">
        <v>4406.9063580574648</v>
      </c>
      <c r="CN23" s="505">
        <f t="shared" si="2"/>
        <v>22034.531790287325</v>
      </c>
      <c r="CO23" s="679">
        <f t="shared" si="3"/>
        <v>705638.53258037416</v>
      </c>
      <c r="CP23" s="350">
        <v>132.28200000000001</v>
      </c>
      <c r="CQ23" s="350">
        <v>100.68</v>
      </c>
      <c r="CR23" s="55">
        <f t="shared" si="43"/>
        <v>1.3138855780691299</v>
      </c>
      <c r="CS23" s="55">
        <f t="shared" si="9"/>
        <v>3344.2584482482189</v>
      </c>
      <c r="CT23" s="55">
        <f t="shared" si="10"/>
        <v>4393.9729444891827</v>
      </c>
      <c r="CU23" s="511">
        <v>4393.9729444891827</v>
      </c>
      <c r="CV23" s="511">
        <v>4393.9729444891827</v>
      </c>
      <c r="CW23" s="511">
        <v>4393.9729444891827</v>
      </c>
      <c r="CX23" s="511">
        <v>4393.9729444891827</v>
      </c>
      <c r="CY23" s="511">
        <v>4393.9729444891827</v>
      </c>
      <c r="CZ23" s="511">
        <v>4393.9729444891827</v>
      </c>
      <c r="DA23" s="511">
        <v>4393.9729444891827</v>
      </c>
      <c r="DB23" s="511">
        <v>4393.9729444891827</v>
      </c>
      <c r="DC23" s="511">
        <v>4393.9729444891827</v>
      </c>
      <c r="DD23" s="511">
        <v>4393.9729444891827</v>
      </c>
      <c r="DE23" s="511">
        <v>4393.9729444891827</v>
      </c>
      <c r="DF23" s="511">
        <v>4393.9729444891827</v>
      </c>
      <c r="DG23" s="511">
        <v>4393.9729444891827</v>
      </c>
      <c r="DH23" s="511">
        <v>4393.9729444891827</v>
      </c>
      <c r="DI23" s="511">
        <v>4393.9729444891827</v>
      </c>
      <c r="DJ23" s="511">
        <v>4393.9729444891827</v>
      </c>
      <c r="DK23" s="511">
        <v>4393.9729444891827</v>
      </c>
      <c r="DL23" s="511">
        <v>4393.9729444891827</v>
      </c>
      <c r="DM23" s="55">
        <f t="shared" si="11"/>
        <v>79091.513000805309</v>
      </c>
      <c r="DN23" s="55">
        <f t="shared" si="12"/>
        <v>626547.01957956888</v>
      </c>
    </row>
    <row r="24" spans="1:118" x14ac:dyDescent="0.2">
      <c r="A24" s="100" t="s">
        <v>844</v>
      </c>
      <c r="B24" s="406" t="s">
        <v>843</v>
      </c>
      <c r="C24" s="45" t="s">
        <v>815</v>
      </c>
      <c r="D24" s="58">
        <v>25</v>
      </c>
      <c r="E24" s="49">
        <v>0.04</v>
      </c>
      <c r="F24" s="46">
        <v>43281</v>
      </c>
      <c r="G24" s="48">
        <f t="shared" si="15"/>
        <v>300</v>
      </c>
      <c r="H24" s="145">
        <f t="shared" si="16"/>
        <v>0.33333333333333331</v>
      </c>
      <c r="I24" s="165">
        <f t="shared" si="17"/>
        <v>13.666666666666666</v>
      </c>
      <c r="J24" s="48">
        <f t="shared" si="18"/>
        <v>41</v>
      </c>
      <c r="K24" s="165">
        <f t="shared" si="19"/>
        <v>86.333333333333329</v>
      </c>
      <c r="L24" s="48">
        <f t="shared" si="20"/>
        <v>259</v>
      </c>
      <c r="M24" s="165">
        <f t="shared" si="21"/>
        <v>2.333333333333333</v>
      </c>
      <c r="N24" s="48">
        <v>7</v>
      </c>
      <c r="O24" s="165">
        <f t="shared" si="22"/>
        <v>84</v>
      </c>
      <c r="P24" s="48">
        <f t="shared" si="23"/>
        <v>252</v>
      </c>
      <c r="Q24" s="462">
        <f t="shared" si="5"/>
        <v>51136</v>
      </c>
      <c r="R24" s="46" t="s">
        <v>922</v>
      </c>
      <c r="S24" s="46">
        <v>42005</v>
      </c>
      <c r="T24" s="47">
        <v>6378780</v>
      </c>
      <c r="U24" s="47">
        <f t="shared" si="24"/>
        <v>871766.6</v>
      </c>
      <c r="V24" s="106">
        <f t="shared" ref="V24:V40" si="44">T24</f>
        <v>6378780</v>
      </c>
      <c r="W24" s="165">
        <f t="shared" si="25"/>
        <v>21262.6</v>
      </c>
      <c r="X24" s="351">
        <f t="shared" si="26"/>
        <v>106313</v>
      </c>
      <c r="Y24" s="80">
        <f t="shared" si="27"/>
        <v>6272467</v>
      </c>
      <c r="Z24" s="57">
        <v>115.958</v>
      </c>
      <c r="AA24" s="350">
        <v>115.95399999999999</v>
      </c>
      <c r="AB24" s="55">
        <f t="shared" si="28"/>
        <v>1.0000344964382428</v>
      </c>
      <c r="AC24" s="55">
        <f t="shared" si="29"/>
        <v>24218.019305019301</v>
      </c>
      <c r="AD24" s="55">
        <f t="shared" si="30"/>
        <v>24218.854740426621</v>
      </c>
      <c r="AE24" s="55"/>
      <c r="AF24" s="55"/>
      <c r="AG24" s="55"/>
      <c r="AH24" s="55"/>
      <c r="AI24" s="55"/>
      <c r="AJ24" s="55">
        <f t="shared" si="31"/>
        <v>24218.854740426621</v>
      </c>
      <c r="AK24" s="55">
        <f t="shared" si="31"/>
        <v>24218.854740426621</v>
      </c>
      <c r="AL24" s="55">
        <f t="shared" si="31"/>
        <v>24218.854740426621</v>
      </c>
      <c r="AM24" s="55">
        <f t="shared" si="31"/>
        <v>24218.854740426621</v>
      </c>
      <c r="AN24" s="55">
        <f t="shared" si="31"/>
        <v>24218.854740426621</v>
      </c>
      <c r="AO24" s="55">
        <f t="shared" si="31"/>
        <v>24218.854740426621</v>
      </c>
      <c r="AP24" s="55">
        <f t="shared" si="31"/>
        <v>24218.854740426621</v>
      </c>
      <c r="AQ24" s="72">
        <f t="shared" si="32"/>
        <v>169531.98318298633</v>
      </c>
      <c r="AR24" s="72">
        <f t="shared" si="33"/>
        <v>6102935.0168170137</v>
      </c>
      <c r="AS24" s="55"/>
      <c r="AT24" s="55"/>
      <c r="AU24" s="55">
        <f>21263.33</f>
        <v>21263.33</v>
      </c>
      <c r="AV24" s="55">
        <f>21263.33</f>
        <v>21263.33</v>
      </c>
      <c r="AW24" s="55">
        <f>21263.33</f>
        <v>21263.33</v>
      </c>
      <c r="AX24" s="55">
        <f>21263.33</f>
        <v>21263.33</v>
      </c>
      <c r="AY24" s="55">
        <f>21263.33</f>
        <v>21263.33</v>
      </c>
      <c r="AZ24" s="57">
        <v>118.901</v>
      </c>
      <c r="BA24" s="350">
        <v>115.95399999999999</v>
      </c>
      <c r="BB24" s="55">
        <f t="shared" si="34"/>
        <v>1.0254152508753471</v>
      </c>
      <c r="BC24" s="55">
        <f t="shared" si="13"/>
        <v>21262.6</v>
      </c>
      <c r="BD24" s="55">
        <f t="shared" si="14"/>
        <v>21802.994313262156</v>
      </c>
      <c r="BE24" s="55">
        <f t="shared" si="7"/>
        <v>21802.994313262156</v>
      </c>
      <c r="BF24" s="55">
        <f t="shared" si="7"/>
        <v>21802.994313262156</v>
      </c>
      <c r="BG24" s="55">
        <f t="shared" si="7"/>
        <v>21802.994313262156</v>
      </c>
      <c r="BH24" s="55">
        <f t="shared" si="7"/>
        <v>21802.994313262156</v>
      </c>
      <c r="BI24" s="55">
        <f t="shared" si="7"/>
        <v>21802.994313262156</v>
      </c>
      <c r="BJ24" s="55">
        <f t="shared" si="7"/>
        <v>21802.994313262156</v>
      </c>
      <c r="BK24" s="55">
        <f t="shared" si="7"/>
        <v>21802.994313262156</v>
      </c>
      <c r="BL24" s="55">
        <f t="shared" si="35"/>
        <v>258937.61019283516</v>
      </c>
      <c r="BM24" s="448">
        <f t="shared" si="36"/>
        <v>5843997.4066241784</v>
      </c>
      <c r="BN24" s="55">
        <f t="shared" si="1"/>
        <v>21802.994313262156</v>
      </c>
      <c r="BO24" s="55">
        <f t="shared" si="1"/>
        <v>21802.994313262156</v>
      </c>
      <c r="BP24" s="55">
        <f t="shared" si="1"/>
        <v>21802.994313262156</v>
      </c>
      <c r="BQ24" s="55"/>
      <c r="BR24" s="55">
        <f t="shared" si="1"/>
        <v>21802.994313262156</v>
      </c>
      <c r="BS24" s="55">
        <f t="shared" si="37"/>
        <v>87211.977253048623</v>
      </c>
      <c r="BT24" s="448">
        <f t="shared" si="8"/>
        <v>5756785.4293711297</v>
      </c>
      <c r="BU24" s="57">
        <v>126.408</v>
      </c>
      <c r="BV24" s="350">
        <v>115.95399999999999</v>
      </c>
      <c r="BW24" s="55">
        <f t="shared" si="38"/>
        <v>1.0901564413474309</v>
      </c>
      <c r="BX24" s="55">
        <f t="shared" si="39"/>
        <v>22226.970769772703</v>
      </c>
      <c r="BY24" s="55">
        <f t="shared" si="40"/>
        <v>24230.875356308778</v>
      </c>
      <c r="BZ24" s="55">
        <v>23188.119810265831</v>
      </c>
      <c r="CA24" s="55">
        <v>23188.119810265831</v>
      </c>
      <c r="CB24" s="55">
        <v>23188.119810265831</v>
      </c>
      <c r="CC24" s="55">
        <v>23188.119810265831</v>
      </c>
      <c r="CD24" s="55">
        <v>23188.119810265831</v>
      </c>
      <c r="CE24" s="55">
        <v>23188.119810265831</v>
      </c>
      <c r="CF24" s="55">
        <v>23188.119810265831</v>
      </c>
      <c r="CG24" s="55">
        <f t="shared" si="41"/>
        <v>162316.83867186084</v>
      </c>
      <c r="CH24" s="448">
        <f t="shared" si="42"/>
        <v>5594468.5906992685</v>
      </c>
      <c r="CI24" s="55">
        <v>23188.119810265831</v>
      </c>
      <c r="CJ24" s="55">
        <v>23188.119810265831</v>
      </c>
      <c r="CK24" s="55">
        <v>23188.119810265831</v>
      </c>
      <c r="CL24" s="55">
        <v>23188.119810265831</v>
      </c>
      <c r="CM24" s="55">
        <v>23188.119810265831</v>
      </c>
      <c r="CN24" s="505">
        <f t="shared" si="2"/>
        <v>115940.59905132916</v>
      </c>
      <c r="CO24" s="679">
        <f t="shared" si="3"/>
        <v>5478527.9916479392</v>
      </c>
      <c r="CP24" s="350">
        <v>132.28200000000001</v>
      </c>
      <c r="CQ24" s="350">
        <v>115.95399999999999</v>
      </c>
      <c r="CR24" s="55">
        <f t="shared" si="43"/>
        <v>1.1408144609069115</v>
      </c>
      <c r="CS24" s="55">
        <f t="shared" si="9"/>
        <v>21740.190443047377</v>
      </c>
      <c r="CT24" s="55">
        <f t="shared" si="10"/>
        <v>24801.523640298685</v>
      </c>
      <c r="CU24" s="511">
        <v>24801.523640298685</v>
      </c>
      <c r="CV24" s="511">
        <v>24801.523640298685</v>
      </c>
      <c r="CW24" s="511">
        <v>24801.523640298685</v>
      </c>
      <c r="CX24" s="511">
        <v>24801.523640298685</v>
      </c>
      <c r="CY24" s="511">
        <v>24801.523640298685</v>
      </c>
      <c r="CZ24" s="511">
        <v>24801.523640298685</v>
      </c>
      <c r="DA24" s="511">
        <v>24801.523640298685</v>
      </c>
      <c r="DB24" s="511">
        <v>24801.523640298685</v>
      </c>
      <c r="DC24" s="511">
        <v>24801.523640298685</v>
      </c>
      <c r="DD24" s="511">
        <v>24801.523640298685</v>
      </c>
      <c r="DE24" s="511">
        <v>24801.523640298685</v>
      </c>
      <c r="DF24" s="511">
        <v>24801.523640298685</v>
      </c>
      <c r="DG24" s="511">
        <v>24801.523640298685</v>
      </c>
      <c r="DH24" s="511">
        <v>24801.523640298685</v>
      </c>
      <c r="DI24" s="511">
        <v>24801.523640298685</v>
      </c>
      <c r="DJ24" s="511">
        <v>24801.523640298685</v>
      </c>
      <c r="DK24" s="511">
        <v>24801.523640298685</v>
      </c>
      <c r="DL24" s="511">
        <v>24801.523640298685</v>
      </c>
      <c r="DM24" s="55">
        <f t="shared" si="11"/>
        <v>446427.4255253764</v>
      </c>
      <c r="DN24" s="55">
        <f t="shared" si="12"/>
        <v>5032100.5661225626</v>
      </c>
    </row>
    <row r="25" spans="1:118" x14ac:dyDescent="0.2">
      <c r="A25" s="100" t="s">
        <v>842</v>
      </c>
      <c r="B25" s="406" t="s">
        <v>841</v>
      </c>
      <c r="C25" s="45" t="s">
        <v>815</v>
      </c>
      <c r="D25" s="58">
        <v>25</v>
      </c>
      <c r="E25" s="49">
        <v>0.04</v>
      </c>
      <c r="F25" s="46">
        <v>43281</v>
      </c>
      <c r="G25" s="48">
        <f t="shared" si="15"/>
        <v>300</v>
      </c>
      <c r="H25" s="145">
        <f t="shared" si="16"/>
        <v>0.33333333333333331</v>
      </c>
      <c r="I25" s="165">
        <f t="shared" si="17"/>
        <v>13.666666666666666</v>
      </c>
      <c r="J25" s="48">
        <f t="shared" si="18"/>
        <v>41</v>
      </c>
      <c r="K25" s="165">
        <f t="shared" si="19"/>
        <v>86.333333333333329</v>
      </c>
      <c r="L25" s="48">
        <f t="shared" si="20"/>
        <v>259</v>
      </c>
      <c r="M25" s="165">
        <f t="shared" si="21"/>
        <v>2.333333333333333</v>
      </c>
      <c r="N25" s="48">
        <v>7</v>
      </c>
      <c r="O25" s="165">
        <f t="shared" si="22"/>
        <v>84</v>
      </c>
      <c r="P25" s="48">
        <f t="shared" si="23"/>
        <v>252</v>
      </c>
      <c r="Q25" s="462">
        <f t="shared" si="5"/>
        <v>51136</v>
      </c>
      <c r="R25" s="46" t="s">
        <v>923</v>
      </c>
      <c r="S25" s="46">
        <v>42005</v>
      </c>
      <c r="T25" s="47">
        <v>416440</v>
      </c>
      <c r="U25" s="47">
        <f t="shared" si="24"/>
        <v>56913.46666666666</v>
      </c>
      <c r="V25" s="106">
        <f t="shared" si="44"/>
        <v>416440</v>
      </c>
      <c r="W25" s="165">
        <f t="shared" si="25"/>
        <v>1388.1333333333332</v>
      </c>
      <c r="X25" s="351">
        <f t="shared" si="26"/>
        <v>6940.6666666666661</v>
      </c>
      <c r="Y25" s="80">
        <f t="shared" si="27"/>
        <v>409499.33333333331</v>
      </c>
      <c r="Z25" s="57">
        <v>115.958</v>
      </c>
      <c r="AA25" s="350">
        <v>115.95399999999999</v>
      </c>
      <c r="AB25" s="55">
        <f t="shared" si="28"/>
        <v>1.0000344964382428</v>
      </c>
      <c r="AC25" s="55">
        <f t="shared" si="29"/>
        <v>1581.0785070785071</v>
      </c>
      <c r="AD25" s="55">
        <f t="shared" si="30"/>
        <v>1581.1330486555835</v>
      </c>
      <c r="AE25" s="55"/>
      <c r="AF25" s="55"/>
      <c r="AG25" s="55"/>
      <c r="AH25" s="55"/>
      <c r="AI25" s="55"/>
      <c r="AJ25" s="55">
        <f t="shared" si="31"/>
        <v>1581.1330486555835</v>
      </c>
      <c r="AK25" s="55">
        <f t="shared" si="31"/>
        <v>1581.1330486555835</v>
      </c>
      <c r="AL25" s="55">
        <f t="shared" si="31"/>
        <v>1581.1330486555835</v>
      </c>
      <c r="AM25" s="55">
        <f t="shared" si="31"/>
        <v>1581.1330486555835</v>
      </c>
      <c r="AN25" s="55">
        <f t="shared" si="31"/>
        <v>1581.1330486555835</v>
      </c>
      <c r="AO25" s="55">
        <f t="shared" si="31"/>
        <v>1581.1330486555835</v>
      </c>
      <c r="AP25" s="55">
        <f t="shared" si="31"/>
        <v>1581.1330486555835</v>
      </c>
      <c r="AQ25" s="72">
        <f t="shared" si="32"/>
        <v>11067.931340589084</v>
      </c>
      <c r="AR25" s="72">
        <f t="shared" si="33"/>
        <v>398431.40199274424</v>
      </c>
      <c r="AS25" s="55"/>
      <c r="AT25" s="55"/>
      <c r="AU25" s="55">
        <f>1388.18</f>
        <v>1388.18</v>
      </c>
      <c r="AV25" s="55">
        <f>1388.18</f>
        <v>1388.18</v>
      </c>
      <c r="AW25" s="55">
        <f>1388.18</f>
        <v>1388.18</v>
      </c>
      <c r="AX25" s="55">
        <f>1388.18</f>
        <v>1388.18</v>
      </c>
      <c r="AY25" s="55">
        <f>1388.18</f>
        <v>1388.18</v>
      </c>
      <c r="AZ25" s="57">
        <v>118.901</v>
      </c>
      <c r="BA25" s="350">
        <v>115.95399999999999</v>
      </c>
      <c r="BB25" s="55">
        <f t="shared" si="34"/>
        <v>1.0254152508753471</v>
      </c>
      <c r="BC25" s="55">
        <f t="shared" si="13"/>
        <v>1388.1333333333334</v>
      </c>
      <c r="BD25" s="55">
        <f t="shared" si="14"/>
        <v>1423.4130902484319</v>
      </c>
      <c r="BE25" s="55">
        <f t="shared" si="7"/>
        <v>1423.4130902484319</v>
      </c>
      <c r="BF25" s="55">
        <f t="shared" si="7"/>
        <v>1423.4130902484319</v>
      </c>
      <c r="BG25" s="55">
        <f t="shared" si="7"/>
        <v>1423.4130902484319</v>
      </c>
      <c r="BH25" s="55">
        <f t="shared" si="7"/>
        <v>1423.4130902484319</v>
      </c>
      <c r="BI25" s="55">
        <f t="shared" si="7"/>
        <v>1423.4130902484319</v>
      </c>
      <c r="BJ25" s="55">
        <f t="shared" si="7"/>
        <v>1423.4130902484319</v>
      </c>
      <c r="BK25" s="55">
        <f t="shared" si="7"/>
        <v>1423.4130902484319</v>
      </c>
      <c r="BL25" s="55">
        <f t="shared" si="35"/>
        <v>16904.791631739023</v>
      </c>
      <c r="BM25" s="448">
        <f t="shared" si="36"/>
        <v>381526.61036100524</v>
      </c>
      <c r="BN25" s="55">
        <f t="shared" si="1"/>
        <v>1423.4130902484319</v>
      </c>
      <c r="BO25" s="55">
        <f t="shared" si="1"/>
        <v>1423.4130902484319</v>
      </c>
      <c r="BP25" s="55">
        <f t="shared" si="1"/>
        <v>1423.4130902484319</v>
      </c>
      <c r="BQ25" s="55"/>
      <c r="BR25" s="55">
        <f t="shared" si="1"/>
        <v>1423.4130902484319</v>
      </c>
      <c r="BS25" s="55">
        <f t="shared" si="37"/>
        <v>5693.6523609937276</v>
      </c>
      <c r="BT25" s="448">
        <f t="shared" si="8"/>
        <v>375832.95800001151</v>
      </c>
      <c r="BU25" s="57">
        <v>126.408</v>
      </c>
      <c r="BV25" s="350">
        <v>115.95399999999999</v>
      </c>
      <c r="BW25" s="55">
        <f t="shared" si="38"/>
        <v>1.0901564413474309</v>
      </c>
      <c r="BX25" s="55">
        <f t="shared" si="39"/>
        <v>1451.0925019305464</v>
      </c>
      <c r="BY25" s="55">
        <f t="shared" si="40"/>
        <v>1581.9178379705445</v>
      </c>
      <c r="BZ25" s="55">
        <v>1513.8413209111334</v>
      </c>
      <c r="CA25" s="55">
        <v>1513.8413209111334</v>
      </c>
      <c r="CB25" s="55">
        <v>1513.8413209111334</v>
      </c>
      <c r="CC25" s="55">
        <v>1513.8413209111334</v>
      </c>
      <c r="CD25" s="55">
        <v>1513.8413209111334</v>
      </c>
      <c r="CE25" s="55">
        <v>1513.8413209111334</v>
      </c>
      <c r="CF25" s="55">
        <v>1513.8413209111334</v>
      </c>
      <c r="CG25" s="55">
        <f t="shared" si="41"/>
        <v>10596.889246377934</v>
      </c>
      <c r="CH25" s="448">
        <f t="shared" si="42"/>
        <v>365236.06875363359</v>
      </c>
      <c r="CI25" s="55">
        <v>1513.8413209111334</v>
      </c>
      <c r="CJ25" s="55">
        <v>1513.8413209111334</v>
      </c>
      <c r="CK25" s="55">
        <v>1513.8413209111334</v>
      </c>
      <c r="CL25" s="55">
        <v>1513.8413209111334</v>
      </c>
      <c r="CM25" s="55">
        <v>1513.8413209111334</v>
      </c>
      <c r="CN25" s="505">
        <f t="shared" si="2"/>
        <v>7569.2066045556667</v>
      </c>
      <c r="CO25" s="679">
        <f t="shared" si="3"/>
        <v>357666.86214907793</v>
      </c>
      <c r="CP25" s="350">
        <v>132.28200000000001</v>
      </c>
      <c r="CQ25" s="350">
        <v>115.95399999999999</v>
      </c>
      <c r="CR25" s="55">
        <f t="shared" si="43"/>
        <v>1.1408144609069115</v>
      </c>
      <c r="CS25" s="55">
        <f t="shared" si="9"/>
        <v>1419.3129450360236</v>
      </c>
      <c r="CT25" s="55">
        <f t="shared" si="10"/>
        <v>1619.1727322494721</v>
      </c>
      <c r="CU25" s="511">
        <v>1619.1727322494721</v>
      </c>
      <c r="CV25" s="511">
        <v>1619.1727322494721</v>
      </c>
      <c r="CW25" s="511">
        <v>1619.1727322494721</v>
      </c>
      <c r="CX25" s="511">
        <v>1619.1727322494721</v>
      </c>
      <c r="CY25" s="511">
        <v>1619.1727322494721</v>
      </c>
      <c r="CZ25" s="511">
        <v>1619.1727322494721</v>
      </c>
      <c r="DA25" s="511">
        <v>1619.1727322494721</v>
      </c>
      <c r="DB25" s="511">
        <v>1619.1727322494721</v>
      </c>
      <c r="DC25" s="511">
        <v>1619.1727322494721</v>
      </c>
      <c r="DD25" s="511">
        <v>1619.1727322494721</v>
      </c>
      <c r="DE25" s="511">
        <v>1619.1727322494721</v>
      </c>
      <c r="DF25" s="511">
        <v>1619.1727322494721</v>
      </c>
      <c r="DG25" s="511">
        <v>1619.1727322494721</v>
      </c>
      <c r="DH25" s="511">
        <v>1619.1727322494721</v>
      </c>
      <c r="DI25" s="511">
        <v>1619.1727322494721</v>
      </c>
      <c r="DJ25" s="511">
        <v>1619.1727322494721</v>
      </c>
      <c r="DK25" s="511">
        <v>1619.1727322494721</v>
      </c>
      <c r="DL25" s="511">
        <v>1619.1727322494721</v>
      </c>
      <c r="DM25" s="55">
        <f t="shared" si="11"/>
        <v>29145.109180490505</v>
      </c>
      <c r="DN25" s="55">
        <f t="shared" si="12"/>
        <v>328521.75296858745</v>
      </c>
    </row>
    <row r="26" spans="1:118" x14ac:dyDescent="0.2">
      <c r="A26" s="100" t="s">
        <v>840</v>
      </c>
      <c r="B26" s="406" t="s">
        <v>918</v>
      </c>
      <c r="C26" s="45" t="s">
        <v>815</v>
      </c>
      <c r="D26" s="58">
        <v>25</v>
      </c>
      <c r="E26" s="49">
        <v>0.04</v>
      </c>
      <c r="F26" s="46">
        <v>43281</v>
      </c>
      <c r="G26" s="48">
        <f t="shared" si="15"/>
        <v>300</v>
      </c>
      <c r="H26" s="145">
        <f t="shared" si="16"/>
        <v>0.33333333333333331</v>
      </c>
      <c r="I26" s="165">
        <f t="shared" si="17"/>
        <v>13.666666666666666</v>
      </c>
      <c r="J26" s="48">
        <f t="shared" si="18"/>
        <v>41</v>
      </c>
      <c r="K26" s="165">
        <f t="shared" si="19"/>
        <v>86.333333333333329</v>
      </c>
      <c r="L26" s="48">
        <f t="shared" si="20"/>
        <v>259</v>
      </c>
      <c r="M26" s="165">
        <f t="shared" si="21"/>
        <v>2.333333333333333</v>
      </c>
      <c r="N26" s="48">
        <v>7</v>
      </c>
      <c r="O26" s="165">
        <f t="shared" si="22"/>
        <v>84</v>
      </c>
      <c r="P26" s="48">
        <f t="shared" si="23"/>
        <v>252</v>
      </c>
      <c r="Q26" s="462">
        <f t="shared" si="5"/>
        <v>51136</v>
      </c>
      <c r="R26" s="46" t="s">
        <v>925</v>
      </c>
      <c r="S26" s="46">
        <v>42005</v>
      </c>
      <c r="T26" s="47">
        <v>6600</v>
      </c>
      <c r="U26" s="47">
        <f t="shared" si="24"/>
        <v>902</v>
      </c>
      <c r="V26" s="106">
        <f t="shared" si="44"/>
        <v>6600</v>
      </c>
      <c r="W26" s="165">
        <f t="shared" si="25"/>
        <v>22</v>
      </c>
      <c r="X26" s="351">
        <f t="shared" si="26"/>
        <v>110</v>
      </c>
      <c r="Y26" s="80">
        <f t="shared" si="27"/>
        <v>6490</v>
      </c>
      <c r="Z26" s="57">
        <v>115.958</v>
      </c>
      <c r="AA26" s="350">
        <v>115.95399999999999</v>
      </c>
      <c r="AB26" s="55">
        <f t="shared" si="28"/>
        <v>1.0000344964382428</v>
      </c>
      <c r="AC26" s="55">
        <f t="shared" si="29"/>
        <v>25.057915057915057</v>
      </c>
      <c r="AD26" s="55">
        <f t="shared" si="30"/>
        <v>25.058779466734347</v>
      </c>
      <c r="AE26" s="55"/>
      <c r="AF26" s="55"/>
      <c r="AG26" s="55"/>
      <c r="AH26" s="55"/>
      <c r="AI26" s="55"/>
      <c r="AJ26" s="55">
        <f t="shared" si="31"/>
        <v>25.058779466734347</v>
      </c>
      <c r="AK26" s="55">
        <f t="shared" si="31"/>
        <v>25.058779466734347</v>
      </c>
      <c r="AL26" s="55">
        <f t="shared" si="31"/>
        <v>25.058779466734347</v>
      </c>
      <c r="AM26" s="55">
        <f t="shared" si="31"/>
        <v>25.058779466734347</v>
      </c>
      <c r="AN26" s="55">
        <f t="shared" si="31"/>
        <v>25.058779466734347</v>
      </c>
      <c r="AO26" s="55">
        <f t="shared" si="31"/>
        <v>25.058779466734347</v>
      </c>
      <c r="AP26" s="55">
        <f t="shared" si="31"/>
        <v>25.058779466734347</v>
      </c>
      <c r="AQ26" s="72">
        <f t="shared" si="32"/>
        <v>175.41145626714041</v>
      </c>
      <c r="AR26" s="72">
        <f t="shared" si="33"/>
        <v>6314.5885437328598</v>
      </c>
      <c r="AS26" s="55"/>
      <c r="AT26" s="55"/>
      <c r="AU26" s="55">
        <f>22</f>
        <v>22</v>
      </c>
      <c r="AV26" s="55">
        <f>22</f>
        <v>22</v>
      </c>
      <c r="AW26" s="55">
        <f>22</f>
        <v>22</v>
      </c>
      <c r="AX26" s="55">
        <f>22</f>
        <v>22</v>
      </c>
      <c r="AY26" s="55">
        <f>22</f>
        <v>22</v>
      </c>
      <c r="AZ26" s="57">
        <v>118.901</v>
      </c>
      <c r="BA26" s="350">
        <v>115.95399999999999</v>
      </c>
      <c r="BB26" s="55">
        <f t="shared" si="34"/>
        <v>1.0254152508753471</v>
      </c>
      <c r="BC26" s="55">
        <f t="shared" si="13"/>
        <v>22</v>
      </c>
      <c r="BD26" s="55">
        <f t="shared" si="14"/>
        <v>22.559135519257637</v>
      </c>
      <c r="BE26" s="55">
        <f t="shared" si="7"/>
        <v>22.559135519257637</v>
      </c>
      <c r="BF26" s="55">
        <f t="shared" si="7"/>
        <v>22.559135519257637</v>
      </c>
      <c r="BG26" s="55">
        <f t="shared" si="7"/>
        <v>22.559135519257637</v>
      </c>
      <c r="BH26" s="55">
        <f t="shared" si="7"/>
        <v>22.559135519257637</v>
      </c>
      <c r="BI26" s="55">
        <f t="shared" si="7"/>
        <v>22.559135519257637</v>
      </c>
      <c r="BJ26" s="55">
        <f t="shared" si="7"/>
        <v>22.559135519257637</v>
      </c>
      <c r="BK26" s="55">
        <f t="shared" si="7"/>
        <v>22.559135519257637</v>
      </c>
      <c r="BL26" s="55">
        <f t="shared" si="35"/>
        <v>267.91394863480343</v>
      </c>
      <c r="BM26" s="448">
        <f t="shared" si="36"/>
        <v>6046.6745950980567</v>
      </c>
      <c r="BN26" s="55">
        <f t="shared" si="1"/>
        <v>22.559135519257637</v>
      </c>
      <c r="BO26" s="55">
        <f t="shared" si="1"/>
        <v>22.559135519257637</v>
      </c>
      <c r="BP26" s="55">
        <f t="shared" si="1"/>
        <v>22.559135519257637</v>
      </c>
      <c r="BQ26" s="55"/>
      <c r="BR26" s="55">
        <f t="shared" si="1"/>
        <v>22.559135519257637</v>
      </c>
      <c r="BS26" s="55">
        <f t="shared" si="37"/>
        <v>90.236542077030549</v>
      </c>
      <c r="BT26" s="448">
        <f t="shared" si="8"/>
        <v>5956.4380530210265</v>
      </c>
      <c r="BU26" s="57">
        <v>126.408</v>
      </c>
      <c r="BV26" s="350">
        <v>115.95399999999999</v>
      </c>
      <c r="BW26" s="55">
        <f t="shared" si="38"/>
        <v>1.0901564413474309</v>
      </c>
      <c r="BX26" s="55">
        <f t="shared" si="39"/>
        <v>22.997830320544505</v>
      </c>
      <c r="BY26" s="55">
        <f t="shared" si="40"/>
        <v>25.071232860956844</v>
      </c>
      <c r="BZ26" s="55">
        <v>23.992313209582235</v>
      </c>
      <c r="CA26" s="55">
        <v>23.992313209582235</v>
      </c>
      <c r="CB26" s="55">
        <v>23.992313209582235</v>
      </c>
      <c r="CC26" s="55">
        <v>23.992313209582235</v>
      </c>
      <c r="CD26" s="55">
        <v>23.992313209582235</v>
      </c>
      <c r="CE26" s="55">
        <v>23.992313209582235</v>
      </c>
      <c r="CF26" s="55">
        <v>23.992313209582235</v>
      </c>
      <c r="CG26" s="55">
        <f t="shared" si="41"/>
        <v>167.94619246707566</v>
      </c>
      <c r="CH26" s="448">
        <f t="shared" si="42"/>
        <v>5788.4918605539506</v>
      </c>
      <c r="CI26" s="55">
        <v>23.992313209582235</v>
      </c>
      <c r="CJ26" s="55">
        <v>23.992313209582235</v>
      </c>
      <c r="CK26" s="55">
        <v>23.992313209582235</v>
      </c>
      <c r="CL26" s="55">
        <v>23.992313209582235</v>
      </c>
      <c r="CM26" s="55">
        <v>23.992313209582235</v>
      </c>
      <c r="CN26" s="505">
        <f t="shared" si="2"/>
        <v>119.96156604791118</v>
      </c>
      <c r="CO26" s="679">
        <f t="shared" si="3"/>
        <v>5668.5302945060394</v>
      </c>
      <c r="CP26" s="350">
        <v>132.28200000000001</v>
      </c>
      <c r="CQ26" s="350">
        <v>115.95399999999999</v>
      </c>
      <c r="CR26" s="55">
        <f t="shared" si="43"/>
        <v>1.1408144609069115</v>
      </c>
      <c r="CS26" s="55">
        <f t="shared" si="9"/>
        <v>22.494167835341425</v>
      </c>
      <c r="CT26" s="55">
        <f t="shared" si="10"/>
        <v>25.661671952624616</v>
      </c>
      <c r="CU26" s="55">
        <v>25.661671952624616</v>
      </c>
      <c r="CV26" s="55">
        <v>25.661671952624616</v>
      </c>
      <c r="CW26" s="55">
        <v>25.661671952624616</v>
      </c>
      <c r="CX26" s="55">
        <v>25.661671952624616</v>
      </c>
      <c r="CY26" s="55">
        <v>25.661671952624616</v>
      </c>
      <c r="CZ26" s="55">
        <v>25.661671952624616</v>
      </c>
      <c r="DA26" s="55">
        <v>25.661671952624616</v>
      </c>
      <c r="DB26" s="55">
        <v>25.661671952624616</v>
      </c>
      <c r="DC26" s="55">
        <v>25.661671952624616</v>
      </c>
      <c r="DD26" s="55">
        <v>25.661671952624616</v>
      </c>
      <c r="DE26" s="55">
        <v>25.661671952624616</v>
      </c>
      <c r="DF26" s="55">
        <v>25.661671952624616</v>
      </c>
      <c r="DG26" s="55">
        <v>25.661671952624616</v>
      </c>
      <c r="DH26" s="55">
        <v>25.661671952624616</v>
      </c>
      <c r="DI26" s="55">
        <v>25.661671952624616</v>
      </c>
      <c r="DJ26" s="55">
        <v>25.661671952624616</v>
      </c>
      <c r="DK26" s="55">
        <v>25.661671952624616</v>
      </c>
      <c r="DL26" s="55">
        <v>25.661671952624616</v>
      </c>
      <c r="DM26" s="55">
        <f t="shared" si="11"/>
        <v>461.91009514724288</v>
      </c>
      <c r="DN26" s="55">
        <f t="shared" si="12"/>
        <v>5206.6201993587965</v>
      </c>
    </row>
    <row r="27" spans="1:118" x14ac:dyDescent="0.2">
      <c r="A27" s="100" t="s">
        <v>839</v>
      </c>
      <c r="B27" s="406" t="s">
        <v>838</v>
      </c>
      <c r="C27" s="45" t="s">
        <v>815</v>
      </c>
      <c r="D27" s="58">
        <v>25</v>
      </c>
      <c r="E27" s="49">
        <v>0.04</v>
      </c>
      <c r="F27" s="46">
        <v>43281</v>
      </c>
      <c r="G27" s="48">
        <f t="shared" si="15"/>
        <v>300</v>
      </c>
      <c r="H27" s="145">
        <f t="shared" si="16"/>
        <v>0.33333333333333331</v>
      </c>
      <c r="I27" s="165">
        <f t="shared" si="17"/>
        <v>13</v>
      </c>
      <c r="J27" s="48">
        <f t="shared" si="18"/>
        <v>39</v>
      </c>
      <c r="K27" s="165">
        <f t="shared" si="19"/>
        <v>87</v>
      </c>
      <c r="L27" s="48">
        <f t="shared" si="20"/>
        <v>261</v>
      </c>
      <c r="M27" s="165">
        <f t="shared" si="21"/>
        <v>2.333333333333333</v>
      </c>
      <c r="N27" s="48">
        <v>7</v>
      </c>
      <c r="O27" s="165">
        <f t="shared" si="22"/>
        <v>84.666666666666657</v>
      </c>
      <c r="P27" s="48">
        <f t="shared" si="23"/>
        <v>254</v>
      </c>
      <c r="Q27" s="462">
        <f t="shared" si="5"/>
        <v>51201</v>
      </c>
      <c r="R27" s="46" t="s">
        <v>926</v>
      </c>
      <c r="S27" s="46">
        <v>42069</v>
      </c>
      <c r="T27" s="47">
        <v>4360087</v>
      </c>
      <c r="U27" s="47">
        <f t="shared" si="24"/>
        <v>566811.31000000006</v>
      </c>
      <c r="V27" s="106">
        <f t="shared" si="44"/>
        <v>4360087</v>
      </c>
      <c r="W27" s="165">
        <f t="shared" si="25"/>
        <v>14533.623333333333</v>
      </c>
      <c r="X27" s="351">
        <f t="shared" si="26"/>
        <v>72668.116666666669</v>
      </c>
      <c r="Y27" s="80">
        <f t="shared" si="27"/>
        <v>4287418.8833333338</v>
      </c>
      <c r="Z27" s="57">
        <v>115.958</v>
      </c>
      <c r="AA27" s="350">
        <v>116.64700000000001</v>
      </c>
      <c r="AB27" s="55">
        <f t="shared" si="28"/>
        <v>0.99409329001174473</v>
      </c>
      <c r="AC27" s="55">
        <f t="shared" si="29"/>
        <v>16426.892273307789</v>
      </c>
      <c r="AD27" s="55">
        <f t="shared" si="30"/>
        <v>16329.863384641048</v>
      </c>
      <c r="AE27" s="55"/>
      <c r="AF27" s="55"/>
      <c r="AG27" s="55"/>
      <c r="AH27" s="55"/>
      <c r="AI27" s="55"/>
      <c r="AJ27" s="55">
        <f t="shared" si="31"/>
        <v>16329.863384641048</v>
      </c>
      <c r="AK27" s="55">
        <f t="shared" si="31"/>
        <v>16329.863384641048</v>
      </c>
      <c r="AL27" s="55">
        <f t="shared" si="31"/>
        <v>16329.863384641048</v>
      </c>
      <c r="AM27" s="55">
        <f t="shared" si="31"/>
        <v>16329.863384641048</v>
      </c>
      <c r="AN27" s="55">
        <f t="shared" si="31"/>
        <v>16329.863384641048</v>
      </c>
      <c r="AO27" s="55">
        <f t="shared" si="31"/>
        <v>16329.863384641048</v>
      </c>
      <c r="AP27" s="55">
        <f t="shared" si="31"/>
        <v>16329.863384641048</v>
      </c>
      <c r="AQ27" s="72">
        <f t="shared" si="32"/>
        <v>114309.04369248735</v>
      </c>
      <c r="AR27" s="72">
        <f t="shared" si="33"/>
        <v>4173109.8396408465</v>
      </c>
      <c r="AS27" s="55"/>
      <c r="AT27" s="55"/>
      <c r="AU27" s="55">
        <f>14350.49</f>
        <v>14350.49</v>
      </c>
      <c r="AV27" s="55">
        <f>14350.49</f>
        <v>14350.49</v>
      </c>
      <c r="AW27" s="55">
        <f>14350.49</f>
        <v>14350.49</v>
      </c>
      <c r="AX27" s="55">
        <f>14350.49</f>
        <v>14350.49</v>
      </c>
      <c r="AY27" s="55">
        <f>14350.49</f>
        <v>14350.49</v>
      </c>
      <c r="AZ27" s="57">
        <v>118.901</v>
      </c>
      <c r="BA27" s="350">
        <v>116.64700000000001</v>
      </c>
      <c r="BB27" s="55">
        <f t="shared" si="34"/>
        <v>1.019323257349096</v>
      </c>
      <c r="BC27" s="55">
        <f t="shared" si="13"/>
        <v>14533.623333333333</v>
      </c>
      <c r="BD27" s="55">
        <f t="shared" si="14"/>
        <v>14814.460277218159</v>
      </c>
      <c r="BE27" s="55">
        <f t="shared" si="7"/>
        <v>14814.460277218159</v>
      </c>
      <c r="BF27" s="55">
        <f t="shared" si="7"/>
        <v>14814.460277218159</v>
      </c>
      <c r="BG27" s="55">
        <f t="shared" si="7"/>
        <v>14814.460277218159</v>
      </c>
      <c r="BH27" s="55">
        <f t="shared" si="7"/>
        <v>14814.460277218159</v>
      </c>
      <c r="BI27" s="55">
        <f t="shared" si="7"/>
        <v>14814.460277218159</v>
      </c>
      <c r="BJ27" s="55">
        <f t="shared" si="7"/>
        <v>14814.460277218159</v>
      </c>
      <c r="BK27" s="55">
        <f t="shared" si="7"/>
        <v>14814.460277218159</v>
      </c>
      <c r="BL27" s="55">
        <f t="shared" si="35"/>
        <v>175453.6719405271</v>
      </c>
      <c r="BM27" s="448">
        <f t="shared" si="36"/>
        <v>3997656.1677003196</v>
      </c>
      <c r="BN27" s="55">
        <f t="shared" si="1"/>
        <v>14814.460277218159</v>
      </c>
      <c r="BO27" s="55">
        <f t="shared" si="1"/>
        <v>14814.460277218159</v>
      </c>
      <c r="BP27" s="55">
        <f t="shared" si="1"/>
        <v>14814.460277218159</v>
      </c>
      <c r="BQ27" s="55"/>
      <c r="BR27" s="55">
        <f t="shared" si="1"/>
        <v>14814.460277218159</v>
      </c>
      <c r="BS27" s="55">
        <f t="shared" si="37"/>
        <v>59257.841108872635</v>
      </c>
      <c r="BT27" s="448">
        <f t="shared" si="8"/>
        <v>3938398.326591447</v>
      </c>
      <c r="BU27" s="57">
        <v>126.408</v>
      </c>
      <c r="BV27" s="350">
        <v>116.64700000000001</v>
      </c>
      <c r="BW27" s="55">
        <f t="shared" si="38"/>
        <v>1.083679820312567</v>
      </c>
      <c r="BX27" s="55">
        <f t="shared" si="39"/>
        <v>15089.64876088677</v>
      </c>
      <c r="BY27" s="55">
        <f t="shared" si="40"/>
        <v>16352.347857777526</v>
      </c>
      <c r="BZ27" s="55">
        <v>15653.508496791414</v>
      </c>
      <c r="CA27" s="55">
        <v>15653.508496791414</v>
      </c>
      <c r="CB27" s="55">
        <v>15653.508496791414</v>
      </c>
      <c r="CC27" s="55">
        <v>15653.508496791414</v>
      </c>
      <c r="CD27" s="55">
        <v>15653.508496791414</v>
      </c>
      <c r="CE27" s="55">
        <v>15653.508496791414</v>
      </c>
      <c r="CF27" s="55">
        <v>15653.508496791414</v>
      </c>
      <c r="CG27" s="55">
        <f t="shared" si="41"/>
        <v>109574.55947753989</v>
      </c>
      <c r="CH27" s="448">
        <f t="shared" si="42"/>
        <v>3828823.7671139073</v>
      </c>
      <c r="CI27" s="55">
        <v>15653.508496791414</v>
      </c>
      <c r="CJ27" s="55">
        <v>15653.508496791414</v>
      </c>
      <c r="CK27" s="55">
        <v>15653.508496791414</v>
      </c>
      <c r="CL27" s="55">
        <v>15653.508496791414</v>
      </c>
      <c r="CM27" s="55">
        <v>15653.508496791414</v>
      </c>
      <c r="CN27" s="505">
        <f t="shared" si="2"/>
        <v>78267.542483957062</v>
      </c>
      <c r="CO27" s="679">
        <f t="shared" si="3"/>
        <v>3750556.2246299502</v>
      </c>
      <c r="CP27" s="350">
        <v>132.28200000000001</v>
      </c>
      <c r="CQ27" s="350">
        <v>116.64700000000001</v>
      </c>
      <c r="CR27" s="55">
        <f t="shared" si="43"/>
        <v>1.1340368805027135</v>
      </c>
      <c r="CS27" s="55">
        <f t="shared" si="9"/>
        <v>14765.96938830689</v>
      </c>
      <c r="CT27" s="55">
        <f t="shared" si="10"/>
        <v>16745.153862714105</v>
      </c>
      <c r="CU27" s="511">
        <v>16745.153862714105</v>
      </c>
      <c r="CV27" s="511">
        <v>16745.153862714105</v>
      </c>
      <c r="CW27" s="511">
        <v>16745.153862714105</v>
      </c>
      <c r="CX27" s="511">
        <v>16745.153862714105</v>
      </c>
      <c r="CY27" s="511">
        <v>16745.153862714105</v>
      </c>
      <c r="CZ27" s="511">
        <v>16745.153862714105</v>
      </c>
      <c r="DA27" s="511">
        <v>16745.153862714105</v>
      </c>
      <c r="DB27" s="511">
        <v>16745.153862714105</v>
      </c>
      <c r="DC27" s="511">
        <v>16745.153862714105</v>
      </c>
      <c r="DD27" s="511">
        <v>16745.153862714105</v>
      </c>
      <c r="DE27" s="511">
        <v>16745.153862714105</v>
      </c>
      <c r="DF27" s="511">
        <v>16745.153862714105</v>
      </c>
      <c r="DG27" s="511">
        <v>16745.153862714105</v>
      </c>
      <c r="DH27" s="511">
        <v>16745.153862714105</v>
      </c>
      <c r="DI27" s="511">
        <v>16745.153862714105</v>
      </c>
      <c r="DJ27" s="511">
        <v>16745.153862714105</v>
      </c>
      <c r="DK27" s="511">
        <v>16745.153862714105</v>
      </c>
      <c r="DL27" s="511">
        <v>16745.153862714105</v>
      </c>
      <c r="DM27" s="55">
        <f t="shared" si="11"/>
        <v>301412.76952885388</v>
      </c>
      <c r="DN27" s="55">
        <f t="shared" si="12"/>
        <v>3449143.4551010965</v>
      </c>
    </row>
    <row r="28" spans="1:118" x14ac:dyDescent="0.2">
      <c r="A28" s="100" t="s">
        <v>837</v>
      </c>
      <c r="B28" s="406" t="s">
        <v>836</v>
      </c>
      <c r="C28" s="45" t="s">
        <v>815</v>
      </c>
      <c r="D28" s="58">
        <v>25</v>
      </c>
      <c r="E28" s="49">
        <v>0.04</v>
      </c>
      <c r="F28" s="46">
        <v>43281</v>
      </c>
      <c r="G28" s="48">
        <f t="shared" si="15"/>
        <v>300</v>
      </c>
      <c r="H28" s="145">
        <f t="shared" si="16"/>
        <v>0.33333333333333331</v>
      </c>
      <c r="I28" s="165">
        <v>0</v>
      </c>
      <c r="J28" s="48">
        <f t="shared" si="18"/>
        <v>34</v>
      </c>
      <c r="K28" s="165">
        <f t="shared" si="19"/>
        <v>88.666666666666657</v>
      </c>
      <c r="L28" s="48">
        <f t="shared" si="20"/>
        <v>266</v>
      </c>
      <c r="M28" s="165">
        <f t="shared" si="21"/>
        <v>1.3333333333333333</v>
      </c>
      <c r="N28" s="48">
        <v>4</v>
      </c>
      <c r="O28" s="165">
        <f t="shared" si="22"/>
        <v>87.333333333333329</v>
      </c>
      <c r="P28" s="48">
        <f t="shared" si="23"/>
        <v>262</v>
      </c>
      <c r="Q28" s="462">
        <f t="shared" si="5"/>
        <v>51368</v>
      </c>
      <c r="R28" s="46" t="s">
        <v>926</v>
      </c>
      <c r="S28" s="46">
        <v>42236</v>
      </c>
      <c r="T28" s="47">
        <v>2998211</v>
      </c>
      <c r="U28" s="47">
        <f t="shared" si="24"/>
        <v>0</v>
      </c>
      <c r="V28" s="106">
        <f t="shared" si="44"/>
        <v>2998211</v>
      </c>
      <c r="W28" s="165">
        <f t="shared" si="25"/>
        <v>9994.0366666666669</v>
      </c>
      <c r="X28" s="351">
        <v>0</v>
      </c>
      <c r="Y28" s="80">
        <f t="shared" si="27"/>
        <v>2998211</v>
      </c>
      <c r="Z28" s="57">
        <v>0</v>
      </c>
      <c r="AA28" s="350">
        <v>0</v>
      </c>
      <c r="AB28" s="55">
        <v>0</v>
      </c>
      <c r="AC28" s="55">
        <f t="shared" si="29"/>
        <v>6440.8399570354459</v>
      </c>
      <c r="AD28" s="55">
        <f t="shared" si="30"/>
        <v>0</v>
      </c>
      <c r="AE28" s="55"/>
      <c r="AF28" s="55"/>
      <c r="AG28" s="55"/>
      <c r="AH28" s="55"/>
      <c r="AI28" s="55"/>
      <c r="AJ28" s="55">
        <f>$AD28</f>
        <v>0</v>
      </c>
      <c r="AK28" s="55">
        <f>$AD28</f>
        <v>0</v>
      </c>
      <c r="AL28" s="55">
        <f>$AD28</f>
        <v>0</v>
      </c>
      <c r="AM28" s="55">
        <f t="shared" ref="AM28:AP29" si="45">$AC28</f>
        <v>6440.8399570354459</v>
      </c>
      <c r="AN28" s="55">
        <f t="shared" si="45"/>
        <v>6440.8399570354459</v>
      </c>
      <c r="AO28" s="55">
        <f t="shared" si="45"/>
        <v>6440.8399570354459</v>
      </c>
      <c r="AP28" s="55">
        <f t="shared" si="45"/>
        <v>6440.8399570354459</v>
      </c>
      <c r="AQ28" s="72">
        <f t="shared" si="32"/>
        <v>25763.359828141784</v>
      </c>
      <c r="AR28" s="72">
        <f t="shared" si="33"/>
        <v>2972447.640171858</v>
      </c>
      <c r="AS28" s="55"/>
      <c r="AT28" s="55"/>
      <c r="AU28" s="55"/>
      <c r="AV28" s="55"/>
      <c r="AW28" s="55"/>
      <c r="AX28" s="55">
        <f>AP28*4</f>
        <v>25763.359828141784</v>
      </c>
      <c r="AY28" s="55">
        <f>$AP28</f>
        <v>6440.8399570354459</v>
      </c>
      <c r="AZ28" s="57">
        <v>118.901</v>
      </c>
      <c r="BA28" s="350">
        <v>116.373</v>
      </c>
      <c r="BB28" s="55">
        <f t="shared" si="34"/>
        <v>1.0217232519570689</v>
      </c>
      <c r="BC28" s="55">
        <f t="shared" si="13"/>
        <v>9994.0366666666669</v>
      </c>
      <c r="BD28" s="55">
        <f t="shared" si="14"/>
        <v>10211.139643244853</v>
      </c>
      <c r="BE28" s="55">
        <f t="shared" si="7"/>
        <v>10211.139643244853</v>
      </c>
      <c r="BF28" s="55">
        <f t="shared" si="7"/>
        <v>10211.139643244853</v>
      </c>
      <c r="BG28" s="55">
        <f t="shared" si="7"/>
        <v>10211.139643244853</v>
      </c>
      <c r="BH28" s="55">
        <f t="shared" si="7"/>
        <v>10211.139643244853</v>
      </c>
      <c r="BI28" s="55">
        <f t="shared" si="7"/>
        <v>10211.139643244853</v>
      </c>
      <c r="BJ28" s="55">
        <f t="shared" si="7"/>
        <v>10211.139643244853</v>
      </c>
      <c r="BK28" s="55">
        <f t="shared" si="7"/>
        <v>10211.139643244853</v>
      </c>
      <c r="BL28" s="55">
        <f t="shared" si="35"/>
        <v>103682.1772878912</v>
      </c>
      <c r="BM28" s="448">
        <f t="shared" si="36"/>
        <v>2868765.462883967</v>
      </c>
      <c r="BN28" s="55">
        <f t="shared" si="1"/>
        <v>10211.139643244853</v>
      </c>
      <c r="BO28" s="55">
        <f t="shared" si="1"/>
        <v>10211.139643244853</v>
      </c>
      <c r="BP28" s="55">
        <f t="shared" si="1"/>
        <v>10211.139643244853</v>
      </c>
      <c r="BQ28" s="55"/>
      <c r="BR28" s="55">
        <f t="shared" si="1"/>
        <v>10211.139643244853</v>
      </c>
      <c r="BS28" s="55">
        <f t="shared" si="37"/>
        <v>40844.558572979411</v>
      </c>
      <c r="BT28" s="448">
        <f t="shared" si="8"/>
        <v>2827920.9043109873</v>
      </c>
      <c r="BU28" s="57">
        <v>126.408</v>
      </c>
      <c r="BV28" s="350">
        <v>116.373</v>
      </c>
      <c r="BW28" s="55">
        <f t="shared" si="38"/>
        <v>1.0862313423216725</v>
      </c>
      <c r="BX28" s="55">
        <f t="shared" si="39"/>
        <v>10631.281595154087</v>
      </c>
      <c r="BY28" s="55">
        <f t="shared" si="40"/>
        <v>11548.031277703916</v>
      </c>
      <c r="BZ28" s="55">
        <v>10263.041623153655</v>
      </c>
      <c r="CA28" s="55">
        <v>10263.041623153655</v>
      </c>
      <c r="CB28" s="55">
        <v>10263.041623153655</v>
      </c>
      <c r="CC28" s="55">
        <v>10263.041623153655</v>
      </c>
      <c r="CD28" s="55">
        <v>10263.041623153655</v>
      </c>
      <c r="CE28" s="55">
        <v>10263.041623153655</v>
      </c>
      <c r="CF28" s="55">
        <v>10263.041623153655</v>
      </c>
      <c r="CG28" s="55">
        <f t="shared" si="41"/>
        <v>71841.291362075572</v>
      </c>
      <c r="CH28" s="448">
        <f t="shared" si="42"/>
        <v>2756079.6129489117</v>
      </c>
      <c r="CI28" s="55">
        <v>10263.041623153655</v>
      </c>
      <c r="CJ28" s="55">
        <v>10263.041623153655</v>
      </c>
      <c r="CK28" s="55">
        <v>10263.041623153655</v>
      </c>
      <c r="CL28" s="55">
        <v>10263.041623153655</v>
      </c>
      <c r="CM28" s="55">
        <v>10263.041623153655</v>
      </c>
      <c r="CN28" s="505">
        <f t="shared" si="2"/>
        <v>51315.20811576827</v>
      </c>
      <c r="CO28" s="679">
        <f t="shared" si="3"/>
        <v>2704764.4048331436</v>
      </c>
      <c r="CP28" s="350">
        <v>132.28200000000001</v>
      </c>
      <c r="CQ28" s="350">
        <v>116.373</v>
      </c>
      <c r="CR28" s="55">
        <f t="shared" si="43"/>
        <v>1.1367069681111599</v>
      </c>
      <c r="CS28" s="55">
        <f t="shared" si="9"/>
        <v>10323.528262721922</v>
      </c>
      <c r="CT28" s="55">
        <f t="shared" si="10"/>
        <v>11734.826511728506</v>
      </c>
      <c r="CU28" s="511">
        <v>10412.136218532814</v>
      </c>
      <c r="CV28" s="511">
        <v>10412.136218532814</v>
      </c>
      <c r="CW28" s="511">
        <v>10412.136218532814</v>
      </c>
      <c r="CX28" s="511">
        <v>10412.136218532814</v>
      </c>
      <c r="CY28" s="511">
        <v>10412.136218532814</v>
      </c>
      <c r="CZ28" s="511">
        <v>10412.136218532814</v>
      </c>
      <c r="DA28" s="511">
        <v>10412.136218532814</v>
      </c>
      <c r="DB28" s="511">
        <v>10412.136218532814</v>
      </c>
      <c r="DC28" s="511">
        <v>10412.136218532814</v>
      </c>
      <c r="DD28" s="511">
        <v>10412.136218532814</v>
      </c>
      <c r="DE28" s="511">
        <v>10412.136218532814</v>
      </c>
      <c r="DF28" s="511">
        <v>10412.136218532814</v>
      </c>
      <c r="DG28" s="511">
        <v>10412.136218532814</v>
      </c>
      <c r="DH28" s="511">
        <v>10412.136218532814</v>
      </c>
      <c r="DI28" s="511">
        <v>10412.136218532814</v>
      </c>
      <c r="DJ28" s="511">
        <v>10412.136218532814</v>
      </c>
      <c r="DK28" s="511">
        <v>10412.136218532814</v>
      </c>
      <c r="DL28" s="511">
        <v>10412.136218532814</v>
      </c>
      <c r="DM28" s="55">
        <f t="shared" si="11"/>
        <v>187418.45193359064</v>
      </c>
      <c r="DN28" s="55">
        <f t="shared" si="12"/>
        <v>2517345.9528995529</v>
      </c>
    </row>
    <row r="29" spans="1:118" x14ac:dyDescent="0.2">
      <c r="A29" s="100" t="s">
        <v>835</v>
      </c>
      <c r="B29" s="406" t="s">
        <v>834</v>
      </c>
      <c r="C29" s="45" t="s">
        <v>815</v>
      </c>
      <c r="D29" s="58">
        <v>25</v>
      </c>
      <c r="E29" s="49">
        <v>0.04</v>
      </c>
      <c r="F29" s="46">
        <v>43281</v>
      </c>
      <c r="G29" s="48">
        <f t="shared" si="15"/>
        <v>300</v>
      </c>
      <c r="H29" s="145">
        <f t="shared" si="16"/>
        <v>0.33333333333333331</v>
      </c>
      <c r="I29" s="165">
        <v>0</v>
      </c>
      <c r="J29" s="48">
        <f t="shared" si="18"/>
        <v>35</v>
      </c>
      <c r="K29" s="165">
        <f t="shared" si="19"/>
        <v>88.333333333333329</v>
      </c>
      <c r="L29" s="48">
        <f t="shared" si="20"/>
        <v>265</v>
      </c>
      <c r="M29" s="165">
        <f t="shared" si="21"/>
        <v>1.6666666666666665</v>
      </c>
      <c r="N29" s="48">
        <v>5</v>
      </c>
      <c r="O29" s="165">
        <f t="shared" si="22"/>
        <v>86.666666666666657</v>
      </c>
      <c r="P29" s="48">
        <f t="shared" si="23"/>
        <v>260</v>
      </c>
      <c r="Q29" s="462">
        <f t="shared" si="5"/>
        <v>51330</v>
      </c>
      <c r="R29" s="46" t="s">
        <v>929</v>
      </c>
      <c r="S29" s="46">
        <v>42198</v>
      </c>
      <c r="T29" s="47">
        <v>2538100</v>
      </c>
      <c r="U29" s="47">
        <f t="shared" si="24"/>
        <v>0</v>
      </c>
      <c r="V29" s="106">
        <f t="shared" si="44"/>
        <v>2538100</v>
      </c>
      <c r="W29" s="165">
        <f t="shared" si="25"/>
        <v>8460.3333333333321</v>
      </c>
      <c r="X29" s="351">
        <v>0</v>
      </c>
      <c r="Y29" s="80">
        <f t="shared" si="27"/>
        <v>2538100</v>
      </c>
      <c r="Z29" s="57">
        <v>0</v>
      </c>
      <c r="AA29" s="350">
        <v>0</v>
      </c>
      <c r="AB29" s="55">
        <v>0</v>
      </c>
      <c r="AC29" s="55">
        <f t="shared" si="29"/>
        <v>6841.2398921832873</v>
      </c>
      <c r="AD29" s="55">
        <f t="shared" si="30"/>
        <v>0</v>
      </c>
      <c r="AE29" s="55"/>
      <c r="AF29" s="55"/>
      <c r="AG29" s="55"/>
      <c r="AH29" s="55"/>
      <c r="AI29" s="55"/>
      <c r="AJ29" s="55">
        <f t="shared" ref="AJ29:AK40" si="46">$AD29</f>
        <v>0</v>
      </c>
      <c r="AK29" s="55">
        <f t="shared" si="46"/>
        <v>0</v>
      </c>
      <c r="AL29" s="55">
        <f>$AC29</f>
        <v>6841.2398921832873</v>
      </c>
      <c r="AM29" s="55">
        <f t="shared" si="45"/>
        <v>6841.2398921832873</v>
      </c>
      <c r="AN29" s="55">
        <f t="shared" si="45"/>
        <v>6841.2398921832873</v>
      </c>
      <c r="AO29" s="55">
        <f t="shared" si="45"/>
        <v>6841.2398921832873</v>
      </c>
      <c r="AP29" s="55">
        <f t="shared" si="45"/>
        <v>6841.2398921832873</v>
      </c>
      <c r="AQ29" s="72">
        <f t="shared" si="32"/>
        <v>34206.199460916439</v>
      </c>
      <c r="AR29" s="72">
        <f t="shared" si="33"/>
        <v>2503893.8005390838</v>
      </c>
      <c r="AS29" s="55"/>
      <c r="AT29" s="55"/>
      <c r="AU29" s="55"/>
      <c r="AV29" s="55"/>
      <c r="AW29" s="55"/>
      <c r="AX29" s="55">
        <f>AP29*4</f>
        <v>27364.959568733149</v>
      </c>
      <c r="AY29" s="55">
        <f>$AP29</f>
        <v>6841.2398921832873</v>
      </c>
      <c r="AZ29" s="57">
        <v>118.901</v>
      </c>
      <c r="BA29" s="350">
        <v>116.128</v>
      </c>
      <c r="BB29" s="55">
        <f t="shared" si="34"/>
        <v>1.0238788233673188</v>
      </c>
      <c r="BC29" s="55">
        <f t="shared" si="13"/>
        <v>8460.3333333333339</v>
      </c>
      <c r="BD29" s="55">
        <f t="shared" si="14"/>
        <v>8662.3561386286401</v>
      </c>
      <c r="BE29" s="55">
        <f t="shared" si="7"/>
        <v>8662.3561386286401</v>
      </c>
      <c r="BF29" s="55">
        <f t="shared" si="7"/>
        <v>8662.3561386286401</v>
      </c>
      <c r="BG29" s="55">
        <f t="shared" si="7"/>
        <v>8662.3561386286401</v>
      </c>
      <c r="BH29" s="55">
        <f t="shared" si="7"/>
        <v>8662.3561386286401</v>
      </c>
      <c r="BI29" s="55">
        <f t="shared" si="7"/>
        <v>8662.3561386286401</v>
      </c>
      <c r="BJ29" s="55">
        <f t="shared" si="7"/>
        <v>8662.3561386286401</v>
      </c>
      <c r="BK29" s="55">
        <f t="shared" si="7"/>
        <v>8662.3561386286401</v>
      </c>
      <c r="BL29" s="55">
        <f t="shared" si="35"/>
        <v>94842.692431316929</v>
      </c>
      <c r="BM29" s="448">
        <f t="shared" si="36"/>
        <v>2409051.1081077671</v>
      </c>
      <c r="BN29" s="55">
        <f t="shared" si="1"/>
        <v>8662.3561386286401</v>
      </c>
      <c r="BO29" s="55">
        <f t="shared" si="1"/>
        <v>8662.3561386286401</v>
      </c>
      <c r="BP29" s="55">
        <f t="shared" si="1"/>
        <v>8662.3561386286401</v>
      </c>
      <c r="BQ29" s="55"/>
      <c r="BR29" s="55">
        <f t="shared" si="1"/>
        <v>8662.3561386286401</v>
      </c>
      <c r="BS29" s="55">
        <f t="shared" si="37"/>
        <v>34649.42455451456</v>
      </c>
      <c r="BT29" s="448">
        <f t="shared" si="8"/>
        <v>2374401.6835532524</v>
      </c>
      <c r="BU29" s="57">
        <v>126.408</v>
      </c>
      <c r="BV29" s="350">
        <v>116.128</v>
      </c>
      <c r="BW29" s="55">
        <f t="shared" si="38"/>
        <v>1.0885230090934142</v>
      </c>
      <c r="BX29" s="55">
        <f t="shared" si="39"/>
        <v>8960.0063530311418</v>
      </c>
      <c r="BY29" s="55">
        <f t="shared" si="40"/>
        <v>9753.1730768975667</v>
      </c>
      <c r="BZ29" s="55">
        <v>8644.2628452781737</v>
      </c>
      <c r="CA29" s="55">
        <v>8644.2628452781737</v>
      </c>
      <c r="CB29" s="55">
        <v>8644.2628452781737</v>
      </c>
      <c r="CC29" s="55">
        <v>8644.2628452781737</v>
      </c>
      <c r="CD29" s="55">
        <v>8644.2628452781737</v>
      </c>
      <c r="CE29" s="55">
        <v>8644.2628452781737</v>
      </c>
      <c r="CF29" s="55">
        <v>8644.2628452781737</v>
      </c>
      <c r="CG29" s="55">
        <f t="shared" si="41"/>
        <v>60509.83991694721</v>
      </c>
      <c r="CH29" s="448">
        <f t="shared" si="42"/>
        <v>2313891.8436363051</v>
      </c>
      <c r="CI29" s="55">
        <v>8644.2628452781737</v>
      </c>
      <c r="CJ29" s="55">
        <v>8644.2628452781737</v>
      </c>
      <c r="CK29" s="55">
        <v>8644.2628452781737</v>
      </c>
      <c r="CL29" s="55">
        <v>8644.2628452781737</v>
      </c>
      <c r="CM29" s="55">
        <v>8644.2628452781737</v>
      </c>
      <c r="CN29" s="505">
        <f t="shared" si="2"/>
        <v>43221.314226390867</v>
      </c>
      <c r="CO29" s="679">
        <f t="shared" si="3"/>
        <v>2270670.5294099143</v>
      </c>
      <c r="CP29" s="350">
        <v>132.28200000000001</v>
      </c>
      <c r="CQ29" s="350">
        <v>116.128</v>
      </c>
      <c r="CR29" s="55">
        <f t="shared" si="43"/>
        <v>1.1391051253788924</v>
      </c>
      <c r="CS29" s="55">
        <f t="shared" si="9"/>
        <v>8733.3481900381321</v>
      </c>
      <c r="CT29" s="55">
        <f t="shared" si="10"/>
        <v>9948.2016849909087</v>
      </c>
      <c r="CU29" s="511">
        <v>8798.7259144416621</v>
      </c>
      <c r="CV29" s="511">
        <v>8798.7259144416621</v>
      </c>
      <c r="CW29" s="511">
        <v>8798.7259144416621</v>
      </c>
      <c r="CX29" s="511">
        <v>8798.7259144416621</v>
      </c>
      <c r="CY29" s="511">
        <v>8798.7259144416621</v>
      </c>
      <c r="CZ29" s="511">
        <v>8798.7259144416621</v>
      </c>
      <c r="DA29" s="511">
        <v>8798.7259144416621</v>
      </c>
      <c r="DB29" s="511">
        <v>8798.7259144416621</v>
      </c>
      <c r="DC29" s="511">
        <v>8798.7259144416621</v>
      </c>
      <c r="DD29" s="511">
        <v>8798.7259144416621</v>
      </c>
      <c r="DE29" s="511">
        <v>8798.7259144416621</v>
      </c>
      <c r="DF29" s="511">
        <v>8798.7259144416621</v>
      </c>
      <c r="DG29" s="511">
        <v>8798.7259144416621</v>
      </c>
      <c r="DH29" s="511">
        <v>8798.7259144416621</v>
      </c>
      <c r="DI29" s="511">
        <v>8798.7259144416621</v>
      </c>
      <c r="DJ29" s="511">
        <v>8798.7259144416621</v>
      </c>
      <c r="DK29" s="511">
        <v>8798.7259144416621</v>
      </c>
      <c r="DL29" s="511">
        <v>8798.7259144416621</v>
      </c>
      <c r="DM29" s="55">
        <f t="shared" si="11"/>
        <v>158377.06645994991</v>
      </c>
      <c r="DN29" s="55">
        <f t="shared" si="12"/>
        <v>2112293.4629499642</v>
      </c>
    </row>
    <row r="30" spans="1:118" x14ac:dyDescent="0.2">
      <c r="A30" s="100" t="s">
        <v>833</v>
      </c>
      <c r="B30" s="406" t="s">
        <v>832</v>
      </c>
      <c r="C30" s="45" t="s">
        <v>815</v>
      </c>
      <c r="D30" s="58">
        <v>25</v>
      </c>
      <c r="E30" s="49">
        <v>0.04</v>
      </c>
      <c r="F30" s="46">
        <v>43281</v>
      </c>
      <c r="G30" s="48">
        <f t="shared" si="15"/>
        <v>300</v>
      </c>
      <c r="H30" s="145">
        <f t="shared" si="16"/>
        <v>0.33333333333333331</v>
      </c>
      <c r="I30" s="165">
        <f t="shared" ref="I30:I40" si="47">H30*J30</f>
        <v>13.666666666666666</v>
      </c>
      <c r="J30" s="48">
        <f t="shared" si="18"/>
        <v>41</v>
      </c>
      <c r="K30" s="165">
        <f t="shared" si="19"/>
        <v>86.333333333333329</v>
      </c>
      <c r="L30" s="48">
        <f t="shared" si="20"/>
        <v>259</v>
      </c>
      <c r="M30" s="165">
        <f t="shared" si="21"/>
        <v>2.333333333333333</v>
      </c>
      <c r="N30" s="48">
        <v>7</v>
      </c>
      <c r="O30" s="165">
        <f t="shared" si="22"/>
        <v>84</v>
      </c>
      <c r="P30" s="48">
        <f t="shared" si="23"/>
        <v>252</v>
      </c>
      <c r="Q30" s="462">
        <f t="shared" si="5"/>
        <v>51136</v>
      </c>
      <c r="R30" s="46" t="s">
        <v>930</v>
      </c>
      <c r="S30" s="46">
        <v>42005</v>
      </c>
      <c r="T30" s="47">
        <v>55258.5</v>
      </c>
      <c r="U30" s="47">
        <f t="shared" si="24"/>
        <v>7551.9949999999999</v>
      </c>
      <c r="V30" s="106">
        <f t="shared" si="44"/>
        <v>55258.5</v>
      </c>
      <c r="W30" s="165">
        <f t="shared" si="25"/>
        <v>184.19499999999999</v>
      </c>
      <c r="X30" s="351">
        <f t="shared" ref="X30:X40" si="48">W30*5</f>
        <v>920.97499999999991</v>
      </c>
      <c r="Y30" s="80">
        <f t="shared" si="27"/>
        <v>54337.525000000001</v>
      </c>
      <c r="Z30" s="57">
        <v>115.958</v>
      </c>
      <c r="AA30" s="350">
        <v>115.95399999999999</v>
      </c>
      <c r="AB30" s="55">
        <f t="shared" ref="AB30:AB40" si="49">Z30/AA30</f>
        <v>1.0000344964382428</v>
      </c>
      <c r="AC30" s="55">
        <f t="shared" si="29"/>
        <v>209.79739382239381</v>
      </c>
      <c r="AD30" s="55">
        <f t="shared" si="30"/>
        <v>209.80463108523332</v>
      </c>
      <c r="AE30" s="55"/>
      <c r="AF30" s="55"/>
      <c r="AG30" s="55"/>
      <c r="AH30" s="55"/>
      <c r="AI30" s="55"/>
      <c r="AJ30" s="55">
        <f t="shared" si="46"/>
        <v>209.80463108523332</v>
      </c>
      <c r="AK30" s="55">
        <f t="shared" si="46"/>
        <v>209.80463108523332</v>
      </c>
      <c r="AL30" s="55">
        <f t="shared" ref="AL30:AP40" si="50">$AD30</f>
        <v>209.80463108523332</v>
      </c>
      <c r="AM30" s="55">
        <f t="shared" si="50"/>
        <v>209.80463108523332</v>
      </c>
      <c r="AN30" s="55">
        <f t="shared" si="50"/>
        <v>209.80463108523332</v>
      </c>
      <c r="AO30" s="55">
        <f t="shared" si="50"/>
        <v>209.80463108523332</v>
      </c>
      <c r="AP30" s="55">
        <f t="shared" si="50"/>
        <v>209.80463108523332</v>
      </c>
      <c r="AQ30" s="72">
        <f t="shared" si="32"/>
        <v>1468.6324175966331</v>
      </c>
      <c r="AR30" s="72">
        <f t="shared" si="33"/>
        <v>52868.892582403365</v>
      </c>
      <c r="AS30" s="55"/>
      <c r="AT30" s="55"/>
      <c r="AU30" s="55"/>
      <c r="AV30" s="55"/>
      <c r="AW30" s="55"/>
      <c r="AX30" s="55">
        <f>AP30*4</f>
        <v>839.2185243409333</v>
      </c>
      <c r="AY30" s="55">
        <f>$AP30</f>
        <v>209.80463108523332</v>
      </c>
      <c r="AZ30" s="57">
        <v>118.901</v>
      </c>
      <c r="BA30" s="350">
        <v>115.95399999999999</v>
      </c>
      <c r="BB30" s="55">
        <f t="shared" si="34"/>
        <v>1.0254152508753471</v>
      </c>
      <c r="BC30" s="55">
        <f t="shared" si="13"/>
        <v>184.19499999999999</v>
      </c>
      <c r="BD30" s="55">
        <f t="shared" si="14"/>
        <v>188.87636213498456</v>
      </c>
      <c r="BE30" s="55">
        <f t="shared" si="7"/>
        <v>188.87636213498456</v>
      </c>
      <c r="BF30" s="55">
        <f t="shared" si="7"/>
        <v>188.87636213498456</v>
      </c>
      <c r="BG30" s="55">
        <f t="shared" si="7"/>
        <v>188.87636213498456</v>
      </c>
      <c r="BH30" s="55">
        <f t="shared" si="7"/>
        <v>188.87636213498456</v>
      </c>
      <c r="BI30" s="55">
        <f t="shared" si="7"/>
        <v>188.87636213498456</v>
      </c>
      <c r="BJ30" s="55">
        <f t="shared" si="7"/>
        <v>188.87636213498456</v>
      </c>
      <c r="BK30" s="55">
        <f t="shared" si="7"/>
        <v>188.87636213498456</v>
      </c>
      <c r="BL30" s="55">
        <f t="shared" si="35"/>
        <v>2371.1576903710579</v>
      </c>
      <c r="BM30" s="448">
        <f t="shared" si="36"/>
        <v>50497.734892032306</v>
      </c>
      <c r="BN30" s="55">
        <f t="shared" si="1"/>
        <v>188.87636213498456</v>
      </c>
      <c r="BO30" s="55">
        <f t="shared" si="1"/>
        <v>188.87636213498456</v>
      </c>
      <c r="BP30" s="55">
        <f t="shared" si="1"/>
        <v>188.87636213498456</v>
      </c>
      <c r="BQ30" s="55"/>
      <c r="BR30" s="55">
        <f t="shared" si="1"/>
        <v>188.87636213498456</v>
      </c>
      <c r="BS30" s="55">
        <f t="shared" si="37"/>
        <v>755.50544853993824</v>
      </c>
      <c r="BT30" s="448">
        <f t="shared" si="8"/>
        <v>49742.229443492368</v>
      </c>
      <c r="BU30" s="57">
        <v>126.408</v>
      </c>
      <c r="BV30" s="350">
        <v>115.95399999999999</v>
      </c>
      <c r="BW30" s="55">
        <f t="shared" si="38"/>
        <v>1.0901564413474309</v>
      </c>
      <c r="BX30" s="55">
        <f t="shared" si="39"/>
        <v>192.05493993626396</v>
      </c>
      <c r="BY30" s="55">
        <f t="shared" si="40"/>
        <v>209.36992986411212</v>
      </c>
      <c r="BZ30" s="55">
        <v>200.5474008865956</v>
      </c>
      <c r="CA30" s="55">
        <v>200.5474008865956</v>
      </c>
      <c r="CB30" s="55">
        <v>200.5474008865956</v>
      </c>
      <c r="CC30" s="55">
        <v>200.5474008865956</v>
      </c>
      <c r="CD30" s="55">
        <v>200.5474008865956</v>
      </c>
      <c r="CE30" s="55">
        <v>200.5474008865956</v>
      </c>
      <c r="CF30" s="55">
        <v>200.5474008865956</v>
      </c>
      <c r="CG30" s="55">
        <f t="shared" si="41"/>
        <v>1403.8318062061692</v>
      </c>
      <c r="CH30" s="448">
        <f t="shared" si="42"/>
        <v>48338.397637286202</v>
      </c>
      <c r="CI30" s="55">
        <v>200.5474008865956</v>
      </c>
      <c r="CJ30" s="55">
        <v>200.5474008865956</v>
      </c>
      <c r="CK30" s="55">
        <v>200.5474008865956</v>
      </c>
      <c r="CL30" s="55">
        <v>200.5474008865956</v>
      </c>
      <c r="CM30" s="55">
        <v>200.5474008865956</v>
      </c>
      <c r="CN30" s="505">
        <f t="shared" si="2"/>
        <v>1002.737004432978</v>
      </c>
      <c r="CO30" s="679">
        <f t="shared" si="3"/>
        <v>47335.660632853222</v>
      </c>
      <c r="CP30" s="350">
        <v>132.28200000000001</v>
      </c>
      <c r="CQ30" s="350">
        <v>115.95399999999999</v>
      </c>
      <c r="CR30" s="55">
        <f t="shared" si="43"/>
        <v>1.1408144609069115</v>
      </c>
      <c r="CS30" s="55">
        <f t="shared" si="9"/>
        <v>187.83992314624294</v>
      </c>
      <c r="CT30" s="55">
        <f t="shared" si="10"/>
        <v>214.29050066087683</v>
      </c>
      <c r="CU30" s="511">
        <v>214.29050066087683</v>
      </c>
      <c r="CV30" s="511">
        <v>214.29050066087683</v>
      </c>
      <c r="CW30" s="511">
        <v>214.29050066087683</v>
      </c>
      <c r="CX30" s="511">
        <v>214.29050066087683</v>
      </c>
      <c r="CY30" s="511">
        <v>214.29050066087683</v>
      </c>
      <c r="CZ30" s="511">
        <v>214.29050066087683</v>
      </c>
      <c r="DA30" s="511">
        <v>214.29050066087683</v>
      </c>
      <c r="DB30" s="511">
        <v>214.29050066087683</v>
      </c>
      <c r="DC30" s="511">
        <v>214.29050066087683</v>
      </c>
      <c r="DD30" s="511">
        <v>214.29050066087683</v>
      </c>
      <c r="DE30" s="511">
        <v>214.29050066087683</v>
      </c>
      <c r="DF30" s="511">
        <v>214.29050066087683</v>
      </c>
      <c r="DG30" s="511">
        <v>214.29050066087683</v>
      </c>
      <c r="DH30" s="511">
        <v>214.29050066087683</v>
      </c>
      <c r="DI30" s="511">
        <v>214.29050066087683</v>
      </c>
      <c r="DJ30" s="511">
        <v>214.29050066087683</v>
      </c>
      <c r="DK30" s="511">
        <v>214.29050066087683</v>
      </c>
      <c r="DL30" s="511">
        <v>214.29050066087683</v>
      </c>
      <c r="DM30" s="55">
        <f t="shared" si="11"/>
        <v>3857.2290118957817</v>
      </c>
      <c r="DN30" s="55">
        <f t="shared" si="12"/>
        <v>43478.431620957439</v>
      </c>
    </row>
    <row r="31" spans="1:118" x14ac:dyDescent="0.2">
      <c r="A31" s="100" t="s">
        <v>831</v>
      </c>
      <c r="B31" s="406" t="s">
        <v>830</v>
      </c>
      <c r="C31" s="45" t="s">
        <v>815</v>
      </c>
      <c r="D31" s="58">
        <v>25</v>
      </c>
      <c r="E31" s="49">
        <v>0.04</v>
      </c>
      <c r="F31" s="46">
        <v>43281</v>
      </c>
      <c r="G31" s="48">
        <f t="shared" si="15"/>
        <v>300</v>
      </c>
      <c r="H31" s="145">
        <f t="shared" si="16"/>
        <v>0.33333333333333331</v>
      </c>
      <c r="I31" s="165">
        <f t="shared" si="47"/>
        <v>13.666666666666666</v>
      </c>
      <c r="J31" s="48">
        <f t="shared" si="18"/>
        <v>41</v>
      </c>
      <c r="K31" s="165">
        <f t="shared" si="19"/>
        <v>86.333333333333329</v>
      </c>
      <c r="L31" s="48">
        <f t="shared" si="20"/>
        <v>259</v>
      </c>
      <c r="M31" s="165">
        <f t="shared" si="21"/>
        <v>2.333333333333333</v>
      </c>
      <c r="N31" s="48">
        <v>7</v>
      </c>
      <c r="O31" s="165">
        <f t="shared" si="22"/>
        <v>84</v>
      </c>
      <c r="P31" s="48">
        <f t="shared" si="23"/>
        <v>252</v>
      </c>
      <c r="Q31" s="462">
        <f t="shared" si="5"/>
        <v>51136</v>
      </c>
      <c r="R31" s="46" t="s">
        <v>931</v>
      </c>
      <c r="S31" s="46">
        <v>42005</v>
      </c>
      <c r="T31" s="47">
        <v>316434</v>
      </c>
      <c r="U31" s="47">
        <f t="shared" si="24"/>
        <v>43245.979999999996</v>
      </c>
      <c r="V31" s="106">
        <f t="shared" si="44"/>
        <v>316434</v>
      </c>
      <c r="W31" s="165">
        <f t="shared" si="25"/>
        <v>1054.78</v>
      </c>
      <c r="X31" s="351">
        <f t="shared" si="48"/>
        <v>5273.9</v>
      </c>
      <c r="Y31" s="80">
        <f t="shared" si="27"/>
        <v>311160.09999999998</v>
      </c>
      <c r="Z31" s="57">
        <v>115.958</v>
      </c>
      <c r="AA31" s="350">
        <v>115.95399999999999</v>
      </c>
      <c r="AB31" s="55">
        <f t="shared" si="49"/>
        <v>1.0000344964382428</v>
      </c>
      <c r="AC31" s="55">
        <f t="shared" si="29"/>
        <v>1201.3903474903473</v>
      </c>
      <c r="AD31" s="55">
        <f t="shared" si="30"/>
        <v>1201.431791178275</v>
      </c>
      <c r="AE31" s="55"/>
      <c r="AF31" s="55"/>
      <c r="AG31" s="55"/>
      <c r="AH31" s="55"/>
      <c r="AI31" s="55"/>
      <c r="AJ31" s="55">
        <f t="shared" si="46"/>
        <v>1201.431791178275</v>
      </c>
      <c r="AK31" s="55">
        <f t="shared" si="46"/>
        <v>1201.431791178275</v>
      </c>
      <c r="AL31" s="55">
        <f t="shared" si="50"/>
        <v>1201.431791178275</v>
      </c>
      <c r="AM31" s="55">
        <f t="shared" si="50"/>
        <v>1201.431791178275</v>
      </c>
      <c r="AN31" s="55">
        <f t="shared" si="50"/>
        <v>1201.431791178275</v>
      </c>
      <c r="AO31" s="55">
        <f t="shared" si="50"/>
        <v>1201.431791178275</v>
      </c>
      <c r="AP31" s="55">
        <f t="shared" si="50"/>
        <v>1201.431791178275</v>
      </c>
      <c r="AQ31" s="72">
        <f t="shared" si="32"/>
        <v>8410.0225382479239</v>
      </c>
      <c r="AR31" s="72">
        <f t="shared" si="33"/>
        <v>302750.07746175205</v>
      </c>
      <c r="AS31" s="55"/>
      <c r="AT31" s="55"/>
      <c r="AU31" s="55">
        <f>1054.78</f>
        <v>1054.78</v>
      </c>
      <c r="AV31" s="55">
        <f>1054.78</f>
        <v>1054.78</v>
      </c>
      <c r="AW31" s="55">
        <f>1054.78</f>
        <v>1054.78</v>
      </c>
      <c r="AX31" s="55">
        <f>1054.78</f>
        <v>1054.78</v>
      </c>
      <c r="AY31" s="55">
        <f>1054.78</f>
        <v>1054.78</v>
      </c>
      <c r="AZ31" s="57">
        <v>118.901</v>
      </c>
      <c r="BA31" s="350">
        <v>115.95399999999999</v>
      </c>
      <c r="BB31" s="55">
        <f t="shared" si="34"/>
        <v>1.0254152508753471</v>
      </c>
      <c r="BC31" s="55">
        <f t="shared" si="13"/>
        <v>1054.78</v>
      </c>
      <c r="BD31" s="55">
        <f t="shared" si="14"/>
        <v>1081.5874983182987</v>
      </c>
      <c r="BE31" s="55">
        <f t="shared" si="7"/>
        <v>1081.5874983182987</v>
      </c>
      <c r="BF31" s="55">
        <f t="shared" si="7"/>
        <v>1081.5874983182987</v>
      </c>
      <c r="BG31" s="55">
        <f t="shared" si="7"/>
        <v>1081.5874983182987</v>
      </c>
      <c r="BH31" s="55">
        <f t="shared" si="7"/>
        <v>1081.5874983182987</v>
      </c>
      <c r="BI31" s="55">
        <f t="shared" si="7"/>
        <v>1081.5874983182987</v>
      </c>
      <c r="BJ31" s="55">
        <f t="shared" si="7"/>
        <v>1081.5874983182987</v>
      </c>
      <c r="BK31" s="55">
        <f t="shared" si="7"/>
        <v>1081.5874983182987</v>
      </c>
      <c r="BL31" s="761">
        <f t="shared" si="35"/>
        <v>12845.012488228089</v>
      </c>
      <c r="BM31" s="448">
        <f t="shared" si="36"/>
        <v>289905.06497352396</v>
      </c>
      <c r="BN31" s="55">
        <f t="shared" si="1"/>
        <v>1081.5874983182987</v>
      </c>
      <c r="BO31" s="55">
        <f t="shared" si="1"/>
        <v>1081.5874983182987</v>
      </c>
      <c r="BP31" s="55">
        <f t="shared" si="1"/>
        <v>1081.5874983182987</v>
      </c>
      <c r="BQ31" s="55"/>
      <c r="BR31" s="55">
        <f t="shared" si="1"/>
        <v>1081.5874983182987</v>
      </c>
      <c r="BS31" s="55">
        <f t="shared" si="37"/>
        <v>4326.3499932731947</v>
      </c>
      <c r="BT31" s="448">
        <f t="shared" si="8"/>
        <v>285578.71498025075</v>
      </c>
      <c r="BU31" s="57">
        <v>126.408</v>
      </c>
      <c r="BV31" s="350">
        <v>115.95399999999999</v>
      </c>
      <c r="BW31" s="55">
        <f t="shared" si="38"/>
        <v>1.0901564413474309</v>
      </c>
      <c r="BX31" s="55">
        <f t="shared" si="39"/>
        <v>1102.6205211592694</v>
      </c>
      <c r="BY31" s="55">
        <f t="shared" si="40"/>
        <v>1202.0288635036388</v>
      </c>
      <c r="BZ31" s="55">
        <v>1150.3005512365064</v>
      </c>
      <c r="CA31" s="55">
        <v>1150.3005512365064</v>
      </c>
      <c r="CB31" s="55">
        <v>1150.3005512365064</v>
      </c>
      <c r="CC31" s="55">
        <v>1150.3005512365064</v>
      </c>
      <c r="CD31" s="55">
        <v>1150.3005512365064</v>
      </c>
      <c r="CE31" s="55">
        <v>1150.3005512365064</v>
      </c>
      <c r="CF31" s="55">
        <v>1150.3005512365064</v>
      </c>
      <c r="CG31" s="55">
        <f t="shared" si="41"/>
        <v>8052.1038586555442</v>
      </c>
      <c r="CH31" s="448">
        <f t="shared" si="42"/>
        <v>277526.6111215952</v>
      </c>
      <c r="CI31" s="55">
        <v>1150.3005512365064</v>
      </c>
      <c r="CJ31" s="55">
        <v>1150.3005512365064</v>
      </c>
      <c r="CK31" s="55">
        <v>1150.3005512365064</v>
      </c>
      <c r="CL31" s="55">
        <v>1150.3005512365064</v>
      </c>
      <c r="CM31" s="55">
        <v>1150.3005512365064</v>
      </c>
      <c r="CN31" s="505">
        <f t="shared" si="2"/>
        <v>5751.5027561825318</v>
      </c>
      <c r="CO31" s="679">
        <f t="shared" si="3"/>
        <v>271775.10836541269</v>
      </c>
      <c r="CP31" s="350">
        <v>132.28200000000001</v>
      </c>
      <c r="CQ31" s="350">
        <v>115.95399999999999</v>
      </c>
      <c r="CR31" s="55">
        <f t="shared" si="43"/>
        <v>1.1408144609069115</v>
      </c>
      <c r="CS31" s="55">
        <f t="shared" si="9"/>
        <v>1078.4726522437011</v>
      </c>
      <c r="CT31" s="55">
        <f t="shared" si="10"/>
        <v>1230.3371973722449</v>
      </c>
      <c r="CU31" s="511">
        <v>1230.3371973722449</v>
      </c>
      <c r="CV31" s="511">
        <v>1230.3371973722449</v>
      </c>
      <c r="CW31" s="511">
        <v>1230.3371973722449</v>
      </c>
      <c r="CX31" s="511">
        <v>1230.3371973722449</v>
      </c>
      <c r="CY31" s="511">
        <v>1230.3371973722449</v>
      </c>
      <c r="CZ31" s="511">
        <v>1230.3371973722449</v>
      </c>
      <c r="DA31" s="511">
        <v>1230.3371973722449</v>
      </c>
      <c r="DB31" s="511">
        <v>1230.3371973722449</v>
      </c>
      <c r="DC31" s="511">
        <v>1230.3371973722449</v>
      </c>
      <c r="DD31" s="511">
        <v>1230.3371973722449</v>
      </c>
      <c r="DE31" s="511">
        <v>1230.3371973722449</v>
      </c>
      <c r="DF31" s="511">
        <v>1230.3371973722449</v>
      </c>
      <c r="DG31" s="511">
        <v>1230.3371973722449</v>
      </c>
      <c r="DH31" s="511">
        <v>1230.3371973722449</v>
      </c>
      <c r="DI31" s="511">
        <v>1230.3371973722449</v>
      </c>
      <c r="DJ31" s="511">
        <v>1230.3371973722449</v>
      </c>
      <c r="DK31" s="511">
        <v>1230.3371973722449</v>
      </c>
      <c r="DL31" s="511">
        <v>1230.3371973722449</v>
      </c>
      <c r="DM31" s="55">
        <f t="shared" si="11"/>
        <v>22146.06955270041</v>
      </c>
      <c r="DN31" s="55">
        <f t="shared" si="12"/>
        <v>249629.03881271227</v>
      </c>
    </row>
    <row r="32" spans="1:118" x14ac:dyDescent="0.2">
      <c r="A32" s="100" t="s">
        <v>829</v>
      </c>
      <c r="B32" s="406" t="s">
        <v>828</v>
      </c>
      <c r="C32" s="45" t="s">
        <v>815</v>
      </c>
      <c r="D32" s="58">
        <v>25</v>
      </c>
      <c r="E32" s="49">
        <v>0.04</v>
      </c>
      <c r="F32" s="46">
        <v>43281</v>
      </c>
      <c r="G32" s="48">
        <f t="shared" si="15"/>
        <v>300</v>
      </c>
      <c r="H32" s="145">
        <f t="shared" si="16"/>
        <v>0.33333333333333331</v>
      </c>
      <c r="I32" s="165">
        <f t="shared" si="47"/>
        <v>13.666666666666666</v>
      </c>
      <c r="J32" s="48">
        <f t="shared" si="18"/>
        <v>41</v>
      </c>
      <c r="K32" s="165">
        <f t="shared" si="19"/>
        <v>86.333333333333329</v>
      </c>
      <c r="L32" s="48">
        <f t="shared" si="20"/>
        <v>259</v>
      </c>
      <c r="M32" s="165">
        <f t="shared" si="21"/>
        <v>2.333333333333333</v>
      </c>
      <c r="N32" s="48">
        <v>7</v>
      </c>
      <c r="O32" s="165">
        <f t="shared" si="22"/>
        <v>84</v>
      </c>
      <c r="P32" s="48">
        <f t="shared" si="23"/>
        <v>252</v>
      </c>
      <c r="Q32" s="462">
        <f t="shared" si="5"/>
        <v>51136</v>
      </c>
      <c r="R32" s="46" t="s">
        <v>932</v>
      </c>
      <c r="S32" s="46">
        <v>42005</v>
      </c>
      <c r="T32" s="47">
        <v>458896</v>
      </c>
      <c r="U32" s="47">
        <f t="shared" si="24"/>
        <v>62715.78666666666</v>
      </c>
      <c r="V32" s="106">
        <f t="shared" si="44"/>
        <v>458896</v>
      </c>
      <c r="W32" s="165">
        <f t="shared" si="25"/>
        <v>1529.6533333333332</v>
      </c>
      <c r="X32" s="351">
        <f t="shared" si="48"/>
        <v>7648.2666666666664</v>
      </c>
      <c r="Y32" s="80">
        <f t="shared" si="27"/>
        <v>451247.73333333334</v>
      </c>
      <c r="Z32" s="57">
        <v>115.958</v>
      </c>
      <c r="AA32" s="350">
        <v>115.95399999999999</v>
      </c>
      <c r="AB32" s="55">
        <f t="shared" si="49"/>
        <v>1.0000344964382428</v>
      </c>
      <c r="AC32" s="55">
        <f t="shared" si="29"/>
        <v>1742.2692406692406</v>
      </c>
      <c r="AD32" s="55">
        <f t="shared" si="30"/>
        <v>1742.3293427525036</v>
      </c>
      <c r="AE32" s="55"/>
      <c r="AF32" s="55"/>
      <c r="AG32" s="55"/>
      <c r="AH32" s="55"/>
      <c r="AI32" s="55"/>
      <c r="AJ32" s="55">
        <f t="shared" si="46"/>
        <v>1742.3293427525036</v>
      </c>
      <c r="AK32" s="55">
        <f t="shared" si="46"/>
        <v>1742.3293427525036</v>
      </c>
      <c r="AL32" s="55">
        <f t="shared" si="50"/>
        <v>1742.3293427525036</v>
      </c>
      <c r="AM32" s="55">
        <f t="shared" si="50"/>
        <v>1742.3293427525036</v>
      </c>
      <c r="AN32" s="55">
        <f t="shared" si="50"/>
        <v>1742.3293427525036</v>
      </c>
      <c r="AO32" s="55">
        <f t="shared" si="50"/>
        <v>1742.3293427525036</v>
      </c>
      <c r="AP32" s="55">
        <f t="shared" si="50"/>
        <v>1742.3293427525036</v>
      </c>
      <c r="AQ32" s="72">
        <f t="shared" si="32"/>
        <v>12196.305399267527</v>
      </c>
      <c r="AR32" s="72">
        <f t="shared" si="33"/>
        <v>439051.42793406581</v>
      </c>
      <c r="AS32" s="55"/>
      <c r="AT32" s="55"/>
      <c r="AU32" s="55">
        <f>1529.65</f>
        <v>1529.65</v>
      </c>
      <c r="AV32" s="55">
        <f>1529.65</f>
        <v>1529.65</v>
      </c>
      <c r="AW32" s="55">
        <f>1529.65</f>
        <v>1529.65</v>
      </c>
      <c r="AX32" s="55">
        <f>1529.65</f>
        <v>1529.65</v>
      </c>
      <c r="AY32" s="55">
        <f>1529.65</f>
        <v>1529.65</v>
      </c>
      <c r="AZ32" s="57">
        <v>118.901</v>
      </c>
      <c r="BA32" s="350">
        <v>115.95399999999999</v>
      </c>
      <c r="BB32" s="55">
        <f t="shared" si="34"/>
        <v>1.0254152508753471</v>
      </c>
      <c r="BC32" s="55">
        <f t="shared" si="13"/>
        <v>1529.6533333333334</v>
      </c>
      <c r="BD32" s="55">
        <f t="shared" si="14"/>
        <v>1568.529856552311</v>
      </c>
      <c r="BE32" s="55">
        <f t="shared" si="7"/>
        <v>1568.529856552311</v>
      </c>
      <c r="BF32" s="55">
        <f t="shared" si="7"/>
        <v>1568.529856552311</v>
      </c>
      <c r="BG32" s="55">
        <f t="shared" si="7"/>
        <v>1568.529856552311</v>
      </c>
      <c r="BH32" s="55">
        <f t="shared" si="7"/>
        <v>1568.529856552311</v>
      </c>
      <c r="BI32" s="55">
        <f t="shared" si="7"/>
        <v>1568.529856552311</v>
      </c>
      <c r="BJ32" s="55">
        <f t="shared" si="7"/>
        <v>1568.529856552311</v>
      </c>
      <c r="BK32" s="55">
        <f t="shared" si="7"/>
        <v>1568.529856552311</v>
      </c>
      <c r="BL32" s="55">
        <f t="shared" si="35"/>
        <v>18627.958995866182</v>
      </c>
      <c r="BM32" s="448">
        <f t="shared" si="36"/>
        <v>420423.46893819963</v>
      </c>
      <c r="BN32" s="55">
        <f t="shared" si="1"/>
        <v>1568.529856552311</v>
      </c>
      <c r="BO32" s="55">
        <f t="shared" si="1"/>
        <v>1568.529856552311</v>
      </c>
      <c r="BP32" s="55">
        <f t="shared" si="1"/>
        <v>1568.529856552311</v>
      </c>
      <c r="BQ32" s="55"/>
      <c r="BR32" s="55">
        <f t="shared" si="1"/>
        <v>1568.529856552311</v>
      </c>
      <c r="BS32" s="55">
        <f t="shared" si="37"/>
        <v>6274.119426209244</v>
      </c>
      <c r="BT32" s="448">
        <f t="shared" si="8"/>
        <v>414149.34951199038</v>
      </c>
      <c r="BU32" s="57">
        <v>126.408</v>
      </c>
      <c r="BV32" s="350">
        <v>115.95399999999999</v>
      </c>
      <c r="BW32" s="55">
        <f t="shared" si="38"/>
        <v>1.0901564413474309</v>
      </c>
      <c r="BX32" s="55">
        <f t="shared" si="39"/>
        <v>1599.0322374980324</v>
      </c>
      <c r="BY32" s="55">
        <f t="shared" si="40"/>
        <v>1743.195293630675</v>
      </c>
      <c r="BZ32" s="55">
        <v>1668.1783341096018</v>
      </c>
      <c r="CA32" s="55">
        <v>1668.1783341096018</v>
      </c>
      <c r="CB32" s="55">
        <v>1668.1783341096018</v>
      </c>
      <c r="CC32" s="55">
        <v>1668.1783341096018</v>
      </c>
      <c r="CD32" s="55">
        <v>1668.1783341096018</v>
      </c>
      <c r="CE32" s="55">
        <v>1668.1783341096018</v>
      </c>
      <c r="CF32" s="55">
        <v>1668.1783341096018</v>
      </c>
      <c r="CG32" s="55">
        <f t="shared" si="41"/>
        <v>11677.248338767213</v>
      </c>
      <c r="CH32" s="448">
        <f t="shared" si="42"/>
        <v>402472.10117322317</v>
      </c>
      <c r="CI32" s="55">
        <v>1668.1783341096018</v>
      </c>
      <c r="CJ32" s="55">
        <v>1668.1783341096018</v>
      </c>
      <c r="CK32" s="55">
        <v>1668.1783341096018</v>
      </c>
      <c r="CL32" s="55">
        <v>1668.1783341096018</v>
      </c>
      <c r="CM32" s="55">
        <v>1668.1783341096018</v>
      </c>
      <c r="CN32" s="505">
        <f t="shared" si="2"/>
        <v>8340.8916705480096</v>
      </c>
      <c r="CO32" s="679">
        <f t="shared" si="3"/>
        <v>394131.20950267516</v>
      </c>
      <c r="CP32" s="350">
        <v>132.28200000000001</v>
      </c>
      <c r="CQ32" s="350">
        <v>115.95399999999999</v>
      </c>
      <c r="CR32" s="55">
        <f t="shared" si="43"/>
        <v>1.1408144609069115</v>
      </c>
      <c r="CS32" s="55">
        <f t="shared" si="9"/>
        <v>1564.0127361217269</v>
      </c>
      <c r="CT32" s="55">
        <f t="shared" si="10"/>
        <v>1784.2483464102515</v>
      </c>
      <c r="CU32" s="55">
        <v>1784.2483464102515</v>
      </c>
      <c r="CV32" s="55">
        <v>1784.2483464102515</v>
      </c>
      <c r="CW32" s="55">
        <v>1784.2483464102515</v>
      </c>
      <c r="CX32" s="55">
        <v>1784.2483464102515</v>
      </c>
      <c r="CY32" s="55">
        <v>1784.2483464102515</v>
      </c>
      <c r="CZ32" s="55">
        <v>1784.2483464102515</v>
      </c>
      <c r="DA32" s="55">
        <v>1784.2483464102515</v>
      </c>
      <c r="DB32" s="55">
        <v>1784.2483464102515</v>
      </c>
      <c r="DC32" s="55">
        <v>1784.2483464102515</v>
      </c>
      <c r="DD32" s="55">
        <v>1784.2483464102515</v>
      </c>
      <c r="DE32" s="55">
        <v>1784.2483464102515</v>
      </c>
      <c r="DF32" s="55">
        <v>1784.2483464102515</v>
      </c>
      <c r="DG32" s="55">
        <v>1784.2483464102515</v>
      </c>
      <c r="DH32" s="55">
        <v>1784.2483464102515</v>
      </c>
      <c r="DI32" s="55">
        <v>1784.2483464102515</v>
      </c>
      <c r="DJ32" s="55">
        <v>1784.2483464102515</v>
      </c>
      <c r="DK32" s="55">
        <v>1784.2483464102515</v>
      </c>
      <c r="DL32" s="55">
        <v>1784.2483464102515</v>
      </c>
      <c r="DM32" s="55">
        <f t="shared" si="11"/>
        <v>32116.470235384528</v>
      </c>
      <c r="DN32" s="55">
        <f t="shared" si="12"/>
        <v>362014.73926729063</v>
      </c>
    </row>
    <row r="33" spans="1:118" hidden="1" x14ac:dyDescent="0.2">
      <c r="A33" s="100" t="s">
        <v>822</v>
      </c>
      <c r="B33" s="406" t="s">
        <v>821</v>
      </c>
      <c r="C33" s="45" t="s">
        <v>815</v>
      </c>
      <c r="D33" s="58">
        <v>25</v>
      </c>
      <c r="E33" s="49">
        <v>0.04</v>
      </c>
      <c r="F33" s="46">
        <v>43281</v>
      </c>
      <c r="G33" s="48">
        <f t="shared" si="15"/>
        <v>300</v>
      </c>
      <c r="H33" s="145">
        <f t="shared" si="16"/>
        <v>0.33333333333333331</v>
      </c>
      <c r="I33" s="165">
        <f t="shared" si="47"/>
        <v>13.666666666666666</v>
      </c>
      <c r="J33" s="48">
        <f t="shared" si="18"/>
        <v>41</v>
      </c>
      <c r="K33" s="165">
        <f t="shared" si="19"/>
        <v>86.333333333333329</v>
      </c>
      <c r="L33" s="48">
        <f t="shared" si="20"/>
        <v>259</v>
      </c>
      <c r="M33" s="165">
        <f t="shared" si="21"/>
        <v>2.333333333333333</v>
      </c>
      <c r="N33" s="48">
        <v>7</v>
      </c>
      <c r="O33" s="165">
        <f t="shared" si="22"/>
        <v>84</v>
      </c>
      <c r="P33" s="48">
        <f t="shared" si="23"/>
        <v>252</v>
      </c>
      <c r="Q33" s="462">
        <f t="shared" si="5"/>
        <v>51136</v>
      </c>
      <c r="R33" s="46"/>
      <c r="S33" s="46">
        <v>42005</v>
      </c>
      <c r="T33" s="47">
        <v>0</v>
      </c>
      <c r="U33" s="47">
        <f t="shared" si="24"/>
        <v>0</v>
      </c>
      <c r="V33" s="106">
        <f t="shared" si="44"/>
        <v>0</v>
      </c>
      <c r="W33" s="165">
        <f t="shared" si="25"/>
        <v>0</v>
      </c>
      <c r="X33" s="351">
        <f t="shared" si="48"/>
        <v>0</v>
      </c>
      <c r="Y33" s="80">
        <f t="shared" si="27"/>
        <v>0</v>
      </c>
      <c r="Z33" s="57">
        <v>115.958</v>
      </c>
      <c r="AA33" s="350">
        <v>115.95399999999999</v>
      </c>
      <c r="AB33" s="55">
        <f t="shared" si="49"/>
        <v>1.0000344964382428</v>
      </c>
      <c r="AC33" s="55">
        <f t="shared" si="29"/>
        <v>0</v>
      </c>
      <c r="AD33" s="55">
        <f t="shared" si="30"/>
        <v>0</v>
      </c>
      <c r="AE33" s="55"/>
      <c r="AF33" s="55"/>
      <c r="AG33" s="55"/>
      <c r="AH33" s="55"/>
      <c r="AI33" s="55"/>
      <c r="AJ33" s="55">
        <f t="shared" si="46"/>
        <v>0</v>
      </c>
      <c r="AK33" s="55">
        <f t="shared" si="46"/>
        <v>0</v>
      </c>
      <c r="AL33" s="55">
        <f t="shared" si="50"/>
        <v>0</v>
      </c>
      <c r="AM33" s="55">
        <f t="shared" si="50"/>
        <v>0</v>
      </c>
      <c r="AN33" s="55">
        <f t="shared" si="50"/>
        <v>0</v>
      </c>
      <c r="AO33" s="55">
        <f t="shared" si="50"/>
        <v>0</v>
      </c>
      <c r="AP33" s="55">
        <f t="shared" si="50"/>
        <v>0</v>
      </c>
      <c r="AQ33" s="72">
        <f t="shared" si="32"/>
        <v>0</v>
      </c>
      <c r="AR33" s="72">
        <f t="shared" si="33"/>
        <v>0</v>
      </c>
      <c r="AS33" s="55"/>
      <c r="AT33" s="55"/>
      <c r="AU33" s="55"/>
      <c r="AV33" s="55"/>
      <c r="AW33" s="55"/>
      <c r="AX33" s="55"/>
      <c r="AY33" s="55"/>
      <c r="AZ33" s="57">
        <v>118.901</v>
      </c>
      <c r="BA33" s="350">
        <v>115.95399999999999</v>
      </c>
      <c r="BB33" s="55">
        <f t="shared" si="34"/>
        <v>1.0254152508753471</v>
      </c>
      <c r="BC33" s="55">
        <f t="shared" si="13"/>
        <v>0</v>
      </c>
      <c r="BD33" s="55">
        <f t="shared" si="14"/>
        <v>0</v>
      </c>
      <c r="BE33" s="55">
        <f t="shared" si="7"/>
        <v>0</v>
      </c>
      <c r="BF33" s="55">
        <f t="shared" si="7"/>
        <v>0</v>
      </c>
      <c r="BG33" s="55">
        <f t="shared" si="7"/>
        <v>0</v>
      </c>
      <c r="BH33" s="55">
        <f t="shared" si="7"/>
        <v>0</v>
      </c>
      <c r="BI33" s="55">
        <f t="shared" si="7"/>
        <v>0</v>
      </c>
      <c r="BJ33" s="55">
        <f t="shared" si="7"/>
        <v>0</v>
      </c>
      <c r="BK33" s="55">
        <f t="shared" si="7"/>
        <v>0</v>
      </c>
      <c r="BL33" s="55">
        <f t="shared" si="35"/>
        <v>0</v>
      </c>
      <c r="BM33" s="448">
        <f t="shared" si="36"/>
        <v>0</v>
      </c>
      <c r="BN33" s="55">
        <f t="shared" si="1"/>
        <v>0</v>
      </c>
      <c r="BO33" s="55">
        <f t="shared" si="1"/>
        <v>0</v>
      </c>
      <c r="BP33" s="55">
        <f t="shared" si="1"/>
        <v>0</v>
      </c>
      <c r="BQ33" s="55"/>
      <c r="BR33" s="55">
        <f t="shared" si="1"/>
        <v>0</v>
      </c>
      <c r="BS33" s="55">
        <f t="shared" si="37"/>
        <v>0</v>
      </c>
      <c r="BT33" s="448">
        <f t="shared" si="8"/>
        <v>0</v>
      </c>
      <c r="BU33" s="57">
        <v>126.408</v>
      </c>
      <c r="BV33" s="350">
        <v>115.95399999999999</v>
      </c>
      <c r="BW33" s="55">
        <f t="shared" si="38"/>
        <v>1.0901564413474309</v>
      </c>
      <c r="BX33" s="55">
        <f t="shared" si="39"/>
        <v>0</v>
      </c>
      <c r="BY33" s="55">
        <f t="shared" si="40"/>
        <v>0</v>
      </c>
      <c r="BZ33" s="55">
        <v>0</v>
      </c>
      <c r="CA33" s="55">
        <v>0</v>
      </c>
      <c r="CB33" s="55">
        <v>0</v>
      </c>
      <c r="CC33" s="55">
        <v>0</v>
      </c>
      <c r="CD33" s="55">
        <v>0</v>
      </c>
      <c r="CE33" s="55">
        <v>0</v>
      </c>
      <c r="CF33" s="55">
        <v>0</v>
      </c>
      <c r="CG33" s="55">
        <f t="shared" si="41"/>
        <v>0</v>
      </c>
      <c r="CH33" s="448">
        <f t="shared" si="42"/>
        <v>0</v>
      </c>
      <c r="CI33" s="55">
        <v>0</v>
      </c>
      <c r="CJ33" s="55">
        <v>0</v>
      </c>
      <c r="CK33" s="55">
        <v>0</v>
      </c>
      <c r="CL33" s="55">
        <v>0</v>
      </c>
      <c r="CM33" s="55">
        <v>0</v>
      </c>
      <c r="CN33" s="505">
        <f t="shared" si="2"/>
        <v>0</v>
      </c>
      <c r="CO33" s="679">
        <f t="shared" si="3"/>
        <v>0</v>
      </c>
      <c r="CP33" s="350">
        <v>132.28200000000001</v>
      </c>
      <c r="CQ33" s="350">
        <v>115.95399999999999</v>
      </c>
      <c r="CR33" s="55">
        <f t="shared" si="43"/>
        <v>1.1408144609069115</v>
      </c>
      <c r="CS33" s="55">
        <f t="shared" si="9"/>
        <v>0</v>
      </c>
      <c r="CT33" s="55">
        <f t="shared" si="10"/>
        <v>0</v>
      </c>
      <c r="CU33" s="511">
        <v>0</v>
      </c>
      <c r="CV33" s="511">
        <v>0</v>
      </c>
      <c r="CW33" s="511">
        <v>0</v>
      </c>
      <c r="CX33" s="511">
        <v>0</v>
      </c>
      <c r="CY33" s="511">
        <v>0</v>
      </c>
      <c r="CZ33" s="511">
        <v>0</v>
      </c>
      <c r="DA33" s="511">
        <v>0</v>
      </c>
      <c r="DB33" s="511">
        <v>0</v>
      </c>
      <c r="DC33" s="511">
        <v>0</v>
      </c>
      <c r="DD33" s="511">
        <v>0</v>
      </c>
      <c r="DE33" s="511">
        <v>0</v>
      </c>
      <c r="DF33" s="511">
        <v>0</v>
      </c>
      <c r="DG33" s="511">
        <v>0</v>
      </c>
      <c r="DH33" s="511">
        <v>0</v>
      </c>
      <c r="DI33" s="511">
        <v>0</v>
      </c>
      <c r="DJ33" s="511">
        <v>0</v>
      </c>
      <c r="DK33" s="511">
        <v>0</v>
      </c>
      <c r="DL33" s="511">
        <v>0</v>
      </c>
      <c r="DM33" s="55">
        <f t="shared" si="11"/>
        <v>0</v>
      </c>
      <c r="DN33" s="55">
        <f t="shared" si="12"/>
        <v>0</v>
      </c>
    </row>
    <row r="34" spans="1:118" x14ac:dyDescent="0.2">
      <c r="A34" s="100" t="s">
        <v>827</v>
      </c>
      <c r="B34" s="406" t="s">
        <v>826</v>
      </c>
      <c r="C34" s="45" t="s">
        <v>815</v>
      </c>
      <c r="D34" s="58">
        <v>25</v>
      </c>
      <c r="E34" s="49">
        <v>0.04</v>
      </c>
      <c r="F34" s="46">
        <v>43281</v>
      </c>
      <c r="G34" s="48">
        <f t="shared" si="15"/>
        <v>300</v>
      </c>
      <c r="H34" s="145">
        <f t="shared" si="16"/>
        <v>0.33333333333333331</v>
      </c>
      <c r="I34" s="165">
        <f t="shared" si="47"/>
        <v>13.666666666666666</v>
      </c>
      <c r="J34" s="48">
        <f t="shared" si="18"/>
        <v>41</v>
      </c>
      <c r="K34" s="165">
        <f t="shared" si="19"/>
        <v>86.333333333333329</v>
      </c>
      <c r="L34" s="48">
        <f t="shared" si="20"/>
        <v>259</v>
      </c>
      <c r="M34" s="165">
        <f t="shared" si="21"/>
        <v>2.333333333333333</v>
      </c>
      <c r="N34" s="48">
        <v>7</v>
      </c>
      <c r="O34" s="165">
        <f t="shared" si="22"/>
        <v>84</v>
      </c>
      <c r="P34" s="48">
        <f t="shared" si="23"/>
        <v>252</v>
      </c>
      <c r="Q34" s="462">
        <f t="shared" si="5"/>
        <v>51136</v>
      </c>
      <c r="R34" s="46" t="s">
        <v>933</v>
      </c>
      <c r="S34" s="46">
        <v>42005</v>
      </c>
      <c r="T34" s="47">
        <v>508990</v>
      </c>
      <c r="U34" s="47">
        <f t="shared" si="24"/>
        <v>69561.96666666666</v>
      </c>
      <c r="V34" s="106">
        <f t="shared" si="44"/>
        <v>508990</v>
      </c>
      <c r="W34" s="165">
        <f t="shared" si="25"/>
        <v>1696.6333333333332</v>
      </c>
      <c r="X34" s="351">
        <f t="shared" si="48"/>
        <v>8483.1666666666661</v>
      </c>
      <c r="Y34" s="80">
        <f t="shared" si="27"/>
        <v>500506.83333333331</v>
      </c>
      <c r="Z34" s="57">
        <v>115.958</v>
      </c>
      <c r="AA34" s="350">
        <v>115.95399999999999</v>
      </c>
      <c r="AB34" s="55">
        <f t="shared" si="49"/>
        <v>1.0000344964382428</v>
      </c>
      <c r="AC34" s="55">
        <f t="shared" si="29"/>
        <v>1932.4588159588154</v>
      </c>
      <c r="AD34" s="55">
        <f t="shared" si="30"/>
        <v>1932.5254789050171</v>
      </c>
      <c r="AE34" s="55"/>
      <c r="AF34" s="55"/>
      <c r="AG34" s="55"/>
      <c r="AH34" s="55"/>
      <c r="AI34" s="55"/>
      <c r="AJ34" s="55">
        <f t="shared" si="46"/>
        <v>1932.5254789050171</v>
      </c>
      <c r="AK34" s="55">
        <f t="shared" si="46"/>
        <v>1932.5254789050171</v>
      </c>
      <c r="AL34" s="55">
        <f t="shared" si="50"/>
        <v>1932.5254789050171</v>
      </c>
      <c r="AM34" s="55">
        <f t="shared" si="50"/>
        <v>1932.5254789050171</v>
      </c>
      <c r="AN34" s="55">
        <f t="shared" si="50"/>
        <v>1932.5254789050171</v>
      </c>
      <c r="AO34" s="55">
        <f t="shared" si="50"/>
        <v>1932.5254789050171</v>
      </c>
      <c r="AP34" s="55">
        <f t="shared" si="50"/>
        <v>1932.5254789050171</v>
      </c>
      <c r="AQ34" s="72">
        <f t="shared" si="32"/>
        <v>13527.678352335121</v>
      </c>
      <c r="AR34" s="72">
        <f t="shared" si="33"/>
        <v>486979.1549809982</v>
      </c>
      <c r="AS34" s="55"/>
      <c r="AT34" s="55"/>
      <c r="AU34" s="55">
        <f>1696.63</f>
        <v>1696.63</v>
      </c>
      <c r="AV34" s="55">
        <f>1696.63</f>
        <v>1696.63</v>
      </c>
      <c r="AW34" s="55">
        <f>1696.63</f>
        <v>1696.63</v>
      </c>
      <c r="AX34" s="55">
        <f>1696.63</f>
        <v>1696.63</v>
      </c>
      <c r="AY34" s="55">
        <f>1696.63</f>
        <v>1696.63</v>
      </c>
      <c r="AZ34" s="57">
        <v>118.901</v>
      </c>
      <c r="BA34" s="350">
        <v>115.95399999999999</v>
      </c>
      <c r="BB34" s="55">
        <f t="shared" si="34"/>
        <v>1.0254152508753471</v>
      </c>
      <c r="BC34" s="55">
        <f t="shared" si="13"/>
        <v>1696.6333333333334</v>
      </c>
      <c r="BD34" s="55">
        <f t="shared" si="14"/>
        <v>1739.7536951434765</v>
      </c>
      <c r="BE34" s="55">
        <f t="shared" si="7"/>
        <v>1739.7536951434765</v>
      </c>
      <c r="BF34" s="55">
        <f t="shared" si="7"/>
        <v>1739.7536951434765</v>
      </c>
      <c r="BG34" s="55">
        <f t="shared" si="7"/>
        <v>1739.7536951434765</v>
      </c>
      <c r="BH34" s="55">
        <f t="shared" si="7"/>
        <v>1739.7536951434765</v>
      </c>
      <c r="BI34" s="55">
        <f t="shared" si="7"/>
        <v>1739.7536951434765</v>
      </c>
      <c r="BJ34" s="55">
        <f t="shared" si="7"/>
        <v>1739.7536951434765</v>
      </c>
      <c r="BK34" s="55">
        <f t="shared" si="7"/>
        <v>1739.7536951434765</v>
      </c>
      <c r="BL34" s="55">
        <f t="shared" si="35"/>
        <v>20661.425866004338</v>
      </c>
      <c r="BM34" s="448">
        <f t="shared" si="36"/>
        <v>466317.72911499388</v>
      </c>
      <c r="BN34" s="55">
        <f t="shared" si="1"/>
        <v>1739.7536951434765</v>
      </c>
      <c r="BO34" s="55">
        <f t="shared" si="1"/>
        <v>1739.7536951434765</v>
      </c>
      <c r="BP34" s="55">
        <f t="shared" si="1"/>
        <v>1739.7536951434765</v>
      </c>
      <c r="BQ34" s="55"/>
      <c r="BR34" s="55">
        <f t="shared" si="1"/>
        <v>1739.7536951434765</v>
      </c>
      <c r="BS34" s="55">
        <f t="shared" si="37"/>
        <v>6959.0147805739061</v>
      </c>
      <c r="BT34" s="448">
        <f t="shared" si="8"/>
        <v>459358.71433441999</v>
      </c>
      <c r="BU34" s="57">
        <v>126.408</v>
      </c>
      <c r="BV34" s="350">
        <v>115.95399999999999</v>
      </c>
      <c r="BW34" s="55">
        <f t="shared" si="38"/>
        <v>1.0901564413474309</v>
      </c>
      <c r="BX34" s="55">
        <f t="shared" si="39"/>
        <v>1773.5857696309652</v>
      </c>
      <c r="BY34" s="55">
        <f t="shared" si="40"/>
        <v>1933.4859510453375</v>
      </c>
      <c r="BZ34" s="55">
        <v>1850.2799913703311</v>
      </c>
      <c r="CA34" s="55">
        <v>1850.2799913703311</v>
      </c>
      <c r="CB34" s="55">
        <v>1850.2799913703311</v>
      </c>
      <c r="CC34" s="55">
        <v>1850.2799913703311</v>
      </c>
      <c r="CD34" s="55">
        <v>1850.2799913703311</v>
      </c>
      <c r="CE34" s="55">
        <v>1850.2799913703311</v>
      </c>
      <c r="CF34" s="55">
        <v>1850.2799913703311</v>
      </c>
      <c r="CG34" s="55">
        <f t="shared" si="41"/>
        <v>12951.959939592318</v>
      </c>
      <c r="CH34" s="448">
        <f t="shared" si="42"/>
        <v>446406.75439482764</v>
      </c>
      <c r="CI34" s="55">
        <v>1850.2799913703311</v>
      </c>
      <c r="CJ34" s="55">
        <v>1850.2799913703311</v>
      </c>
      <c r="CK34" s="55">
        <v>1850.2799913703311</v>
      </c>
      <c r="CL34" s="55">
        <v>1850.2799913703311</v>
      </c>
      <c r="CM34" s="55">
        <v>1850.2799913703311</v>
      </c>
      <c r="CN34" s="505">
        <f t="shared" si="2"/>
        <v>9251.3999568516556</v>
      </c>
      <c r="CO34" s="679">
        <f t="shared" si="3"/>
        <v>437155.35443797597</v>
      </c>
      <c r="CP34" s="350">
        <v>132.28200000000001</v>
      </c>
      <c r="CQ34" s="350">
        <v>115.95399999999999</v>
      </c>
      <c r="CR34" s="55">
        <f t="shared" si="43"/>
        <v>1.1408144609069115</v>
      </c>
      <c r="CS34" s="55">
        <f t="shared" si="9"/>
        <v>1734.7434699919681</v>
      </c>
      <c r="CT34" s="55">
        <f t="shared" si="10"/>
        <v>1979.0204365306722</v>
      </c>
      <c r="CU34" s="511">
        <v>1979.0204365306722</v>
      </c>
      <c r="CV34" s="511">
        <v>1979.0204365306722</v>
      </c>
      <c r="CW34" s="511">
        <v>1979.0204365306722</v>
      </c>
      <c r="CX34" s="511">
        <v>1979.0204365306722</v>
      </c>
      <c r="CY34" s="511">
        <v>1979.0204365306722</v>
      </c>
      <c r="CZ34" s="511">
        <v>1979.0204365306722</v>
      </c>
      <c r="DA34" s="511">
        <v>1979.0204365306722</v>
      </c>
      <c r="DB34" s="511">
        <v>1979.0204365306722</v>
      </c>
      <c r="DC34" s="511">
        <v>1979.0204365306722</v>
      </c>
      <c r="DD34" s="511">
        <v>1979.0204365306722</v>
      </c>
      <c r="DE34" s="511">
        <v>1979.0204365306722</v>
      </c>
      <c r="DF34" s="511">
        <v>1979.0204365306722</v>
      </c>
      <c r="DG34" s="511">
        <v>1979.0204365306722</v>
      </c>
      <c r="DH34" s="511">
        <v>1979.0204365306722</v>
      </c>
      <c r="DI34" s="511">
        <v>1979.0204365306722</v>
      </c>
      <c r="DJ34" s="511">
        <v>1979.0204365306722</v>
      </c>
      <c r="DK34" s="511">
        <v>1979.0204365306722</v>
      </c>
      <c r="DL34" s="511">
        <v>1979.0204365306722</v>
      </c>
      <c r="DM34" s="55">
        <f t="shared" si="11"/>
        <v>35622.36785755209</v>
      </c>
      <c r="DN34" s="55">
        <f t="shared" si="12"/>
        <v>401532.98658042389</v>
      </c>
    </row>
    <row r="35" spans="1:118" x14ac:dyDescent="0.2">
      <c r="A35" s="100" t="s">
        <v>825</v>
      </c>
      <c r="B35" s="406" t="s">
        <v>824</v>
      </c>
      <c r="C35" s="45" t="s">
        <v>815</v>
      </c>
      <c r="D35" s="58">
        <v>25</v>
      </c>
      <c r="E35" s="49">
        <v>0.04</v>
      </c>
      <c r="F35" s="46">
        <v>43281</v>
      </c>
      <c r="G35" s="48">
        <f t="shared" si="15"/>
        <v>300</v>
      </c>
      <c r="H35" s="145">
        <f t="shared" si="16"/>
        <v>0.33333333333333331</v>
      </c>
      <c r="I35" s="165">
        <f t="shared" si="47"/>
        <v>13.666666666666666</v>
      </c>
      <c r="J35" s="48">
        <f t="shared" si="18"/>
        <v>41</v>
      </c>
      <c r="K35" s="165">
        <f t="shared" si="19"/>
        <v>86.333333333333329</v>
      </c>
      <c r="L35" s="48">
        <f t="shared" si="20"/>
        <v>259</v>
      </c>
      <c r="M35" s="165">
        <f t="shared" si="21"/>
        <v>2.333333333333333</v>
      </c>
      <c r="N35" s="48">
        <v>7</v>
      </c>
      <c r="O35" s="165">
        <f t="shared" si="22"/>
        <v>84</v>
      </c>
      <c r="P35" s="48">
        <f t="shared" si="23"/>
        <v>252</v>
      </c>
      <c r="Q35" s="462">
        <f t="shared" si="5"/>
        <v>51136</v>
      </c>
      <c r="R35" s="46" t="s">
        <v>934</v>
      </c>
      <c r="S35" s="46">
        <v>42005</v>
      </c>
      <c r="T35" s="47">
        <v>417128</v>
      </c>
      <c r="U35" s="47">
        <f t="shared" si="24"/>
        <v>57007.493333333332</v>
      </c>
      <c r="V35" s="106">
        <f t="shared" si="44"/>
        <v>417128</v>
      </c>
      <c r="W35" s="165">
        <f t="shared" si="25"/>
        <v>1390.4266666666665</v>
      </c>
      <c r="X35" s="351">
        <f t="shared" si="48"/>
        <v>6952.1333333333323</v>
      </c>
      <c r="Y35" s="80">
        <f t="shared" si="27"/>
        <v>410175.86666666664</v>
      </c>
      <c r="Z35" s="57">
        <v>115.958</v>
      </c>
      <c r="AA35" s="350">
        <v>115.95399999999999</v>
      </c>
      <c r="AB35" s="55">
        <f t="shared" si="49"/>
        <v>1.0000344964382428</v>
      </c>
      <c r="AC35" s="55">
        <f t="shared" si="29"/>
        <v>1583.6906048906051</v>
      </c>
      <c r="AD35" s="55">
        <f t="shared" si="30"/>
        <v>1583.7452365757524</v>
      </c>
      <c r="AE35" s="55"/>
      <c r="AF35" s="55"/>
      <c r="AG35" s="55"/>
      <c r="AH35" s="55"/>
      <c r="AI35" s="55"/>
      <c r="AJ35" s="55">
        <f t="shared" si="46"/>
        <v>1583.7452365757524</v>
      </c>
      <c r="AK35" s="55">
        <f t="shared" si="46"/>
        <v>1583.7452365757524</v>
      </c>
      <c r="AL35" s="55">
        <f t="shared" si="50"/>
        <v>1583.7452365757524</v>
      </c>
      <c r="AM35" s="55">
        <f t="shared" si="50"/>
        <v>1583.7452365757524</v>
      </c>
      <c r="AN35" s="55">
        <f t="shared" si="50"/>
        <v>1583.7452365757524</v>
      </c>
      <c r="AO35" s="55">
        <f t="shared" si="50"/>
        <v>1583.7452365757524</v>
      </c>
      <c r="AP35" s="55">
        <f t="shared" si="50"/>
        <v>1583.7452365757524</v>
      </c>
      <c r="AQ35" s="72">
        <f t="shared" si="32"/>
        <v>11086.216656030267</v>
      </c>
      <c r="AR35" s="72">
        <f t="shared" si="33"/>
        <v>399089.65001063637</v>
      </c>
      <c r="AS35" s="55"/>
      <c r="AT35" s="55"/>
      <c r="AU35" s="55">
        <f>1390.4</f>
        <v>1390.4</v>
      </c>
      <c r="AV35" s="55">
        <f>1390.4</f>
        <v>1390.4</v>
      </c>
      <c r="AW35" s="55">
        <f>1390.4</f>
        <v>1390.4</v>
      </c>
      <c r="AX35" s="55">
        <f>1390.4</f>
        <v>1390.4</v>
      </c>
      <c r="AY35" s="55">
        <f>1390.4</f>
        <v>1390.4</v>
      </c>
      <c r="AZ35" s="57">
        <v>118.901</v>
      </c>
      <c r="BA35" s="350">
        <v>115.95399999999999</v>
      </c>
      <c r="BB35" s="55">
        <f t="shared" si="34"/>
        <v>1.0254152508753471</v>
      </c>
      <c r="BC35" s="55">
        <f t="shared" si="13"/>
        <v>1390.4266666666667</v>
      </c>
      <c r="BD35" s="55">
        <f t="shared" si="14"/>
        <v>1425.7647092237728</v>
      </c>
      <c r="BE35" s="55">
        <f t="shared" si="7"/>
        <v>1425.7647092237728</v>
      </c>
      <c r="BF35" s="55">
        <f t="shared" si="7"/>
        <v>1425.7647092237728</v>
      </c>
      <c r="BG35" s="55">
        <f t="shared" si="7"/>
        <v>1425.7647092237728</v>
      </c>
      <c r="BH35" s="55">
        <f t="shared" si="7"/>
        <v>1425.7647092237728</v>
      </c>
      <c r="BI35" s="55">
        <f t="shared" si="7"/>
        <v>1425.7647092237728</v>
      </c>
      <c r="BJ35" s="55">
        <f t="shared" si="7"/>
        <v>1425.7647092237728</v>
      </c>
      <c r="BK35" s="55">
        <f t="shared" si="7"/>
        <v>1425.7647092237728</v>
      </c>
      <c r="BL35" s="55">
        <f t="shared" si="35"/>
        <v>16932.352964566409</v>
      </c>
      <c r="BM35" s="448">
        <f t="shared" si="36"/>
        <v>382157.29704606999</v>
      </c>
      <c r="BN35" s="55">
        <f t="shared" si="1"/>
        <v>1425.7647092237728</v>
      </c>
      <c r="BO35" s="55">
        <f t="shared" si="1"/>
        <v>1425.7647092237728</v>
      </c>
      <c r="BP35" s="55">
        <f t="shared" si="1"/>
        <v>1425.7647092237728</v>
      </c>
      <c r="BQ35" s="55"/>
      <c r="BR35" s="55">
        <f t="shared" si="1"/>
        <v>1425.7647092237728</v>
      </c>
      <c r="BS35" s="55">
        <f t="shared" si="37"/>
        <v>5703.0588368950912</v>
      </c>
      <c r="BT35" s="448">
        <f t="shared" si="8"/>
        <v>376454.23820917489</v>
      </c>
      <c r="BU35" s="57">
        <v>126.408</v>
      </c>
      <c r="BV35" s="350">
        <v>115.95399999999999</v>
      </c>
      <c r="BW35" s="55">
        <f t="shared" si="38"/>
        <v>1.0901564413474309</v>
      </c>
      <c r="BX35" s="55">
        <f t="shared" si="39"/>
        <v>1453.4912672168914</v>
      </c>
      <c r="BY35" s="55">
        <f t="shared" si="40"/>
        <v>1584.5328673987342</v>
      </c>
      <c r="BZ35" s="55">
        <v>1516.343812799699</v>
      </c>
      <c r="CA35" s="55">
        <v>1516.343812799699</v>
      </c>
      <c r="CB35" s="55">
        <v>1516.343812799699</v>
      </c>
      <c r="CC35" s="55">
        <v>1516.343812799699</v>
      </c>
      <c r="CD35" s="55">
        <v>1516.343812799699</v>
      </c>
      <c r="CE35" s="55">
        <v>1516.343812799699</v>
      </c>
      <c r="CF35" s="55">
        <v>1516.343812799699</v>
      </c>
      <c r="CG35" s="55">
        <f t="shared" si="41"/>
        <v>10614.406689597894</v>
      </c>
      <c r="CH35" s="448">
        <f t="shared" si="42"/>
        <v>365839.83151957701</v>
      </c>
      <c r="CI35" s="55">
        <v>1516.343812799699</v>
      </c>
      <c r="CJ35" s="55">
        <v>1516.343812799699</v>
      </c>
      <c r="CK35" s="55">
        <v>1516.343812799699</v>
      </c>
      <c r="CL35" s="55">
        <v>1516.343812799699</v>
      </c>
      <c r="CM35" s="55">
        <v>1516.343812799699</v>
      </c>
      <c r="CN35" s="505">
        <f t="shared" si="2"/>
        <v>7581.7190639984947</v>
      </c>
      <c r="CO35" s="679">
        <f t="shared" si="3"/>
        <v>358258.11245557852</v>
      </c>
      <c r="CP35" s="350">
        <v>132.28200000000001</v>
      </c>
      <c r="CQ35" s="350">
        <v>115.95399999999999</v>
      </c>
      <c r="CR35" s="55">
        <f t="shared" si="43"/>
        <v>1.1408144609069115</v>
      </c>
      <c r="CS35" s="55">
        <f t="shared" si="9"/>
        <v>1421.6591764110258</v>
      </c>
      <c r="CT35" s="55">
        <f t="shared" si="10"/>
        <v>1621.8493469307082</v>
      </c>
      <c r="CU35" s="511">
        <v>1621.8493469307082</v>
      </c>
      <c r="CV35" s="511">
        <v>1621.8493469307082</v>
      </c>
      <c r="CW35" s="511">
        <v>1621.8493469307082</v>
      </c>
      <c r="CX35" s="511">
        <v>1621.8493469307082</v>
      </c>
      <c r="CY35" s="511">
        <v>1621.8493469307082</v>
      </c>
      <c r="CZ35" s="511">
        <v>1621.8493469307082</v>
      </c>
      <c r="DA35" s="511">
        <v>1621.8493469307082</v>
      </c>
      <c r="DB35" s="511">
        <v>1621.8493469307082</v>
      </c>
      <c r="DC35" s="511">
        <v>1621.8493469307082</v>
      </c>
      <c r="DD35" s="511">
        <v>1621.8493469307082</v>
      </c>
      <c r="DE35" s="511">
        <v>1621.8493469307082</v>
      </c>
      <c r="DF35" s="511">
        <v>1621.8493469307082</v>
      </c>
      <c r="DG35" s="511">
        <v>1621.8493469307082</v>
      </c>
      <c r="DH35" s="511">
        <v>1621.8493469307082</v>
      </c>
      <c r="DI35" s="511">
        <v>1621.8493469307082</v>
      </c>
      <c r="DJ35" s="511">
        <v>1621.8493469307082</v>
      </c>
      <c r="DK35" s="511">
        <v>1621.8493469307082</v>
      </c>
      <c r="DL35" s="511">
        <v>1621.8493469307082</v>
      </c>
      <c r="DM35" s="55">
        <f t="shared" si="11"/>
        <v>29193.288244752741</v>
      </c>
      <c r="DN35" s="55">
        <f t="shared" si="12"/>
        <v>329064.82421082578</v>
      </c>
    </row>
    <row r="36" spans="1:118" x14ac:dyDescent="0.2">
      <c r="A36" s="100" t="s">
        <v>957</v>
      </c>
      <c r="B36" s="406" t="s">
        <v>823</v>
      </c>
      <c r="C36" s="45" t="s">
        <v>815</v>
      </c>
      <c r="D36" s="58">
        <v>25</v>
      </c>
      <c r="E36" s="49">
        <v>0.04</v>
      </c>
      <c r="F36" s="46">
        <v>43281</v>
      </c>
      <c r="G36" s="48">
        <f t="shared" si="15"/>
        <v>300</v>
      </c>
      <c r="H36" s="145">
        <f t="shared" si="16"/>
        <v>0.33333333333333331</v>
      </c>
      <c r="I36" s="165">
        <f t="shared" si="47"/>
        <v>13.666666666666666</v>
      </c>
      <c r="J36" s="48">
        <f t="shared" si="18"/>
        <v>41</v>
      </c>
      <c r="K36" s="165">
        <f t="shared" si="19"/>
        <v>86.333333333333329</v>
      </c>
      <c r="L36" s="48">
        <f t="shared" si="20"/>
        <v>259</v>
      </c>
      <c r="M36" s="165">
        <f t="shared" si="21"/>
        <v>2.333333333333333</v>
      </c>
      <c r="N36" s="48">
        <v>7</v>
      </c>
      <c r="O36" s="165">
        <f t="shared" si="22"/>
        <v>84</v>
      </c>
      <c r="P36" s="48">
        <f t="shared" si="23"/>
        <v>252</v>
      </c>
      <c r="Q36" s="462">
        <f t="shared" si="5"/>
        <v>51136</v>
      </c>
      <c r="R36" s="46" t="s">
        <v>958</v>
      </c>
      <c r="S36" s="46">
        <v>42005</v>
      </c>
      <c r="T36" s="47">
        <v>472800</v>
      </c>
      <c r="U36" s="47">
        <f t="shared" si="24"/>
        <v>64615.999999999993</v>
      </c>
      <c r="V36" s="106">
        <f t="shared" si="44"/>
        <v>472800</v>
      </c>
      <c r="W36" s="165">
        <f t="shared" si="25"/>
        <v>1576</v>
      </c>
      <c r="X36" s="351">
        <f t="shared" si="48"/>
        <v>7880</v>
      </c>
      <c r="Y36" s="80">
        <f t="shared" si="27"/>
        <v>464920</v>
      </c>
      <c r="Z36" s="57">
        <v>115.958</v>
      </c>
      <c r="AA36" s="350">
        <v>115.95399999999999</v>
      </c>
      <c r="AB36" s="55">
        <f t="shared" si="49"/>
        <v>1.0000344964382428</v>
      </c>
      <c r="AC36" s="55">
        <f t="shared" si="29"/>
        <v>1795.0579150579149</v>
      </c>
      <c r="AD36" s="55">
        <f t="shared" si="30"/>
        <v>1795.119838162424</v>
      </c>
      <c r="AE36" s="55"/>
      <c r="AF36" s="55"/>
      <c r="AG36" s="55"/>
      <c r="AH36" s="55"/>
      <c r="AI36" s="55"/>
      <c r="AJ36" s="55">
        <f t="shared" si="46"/>
        <v>1795.119838162424</v>
      </c>
      <c r="AK36" s="55">
        <f t="shared" si="46"/>
        <v>1795.119838162424</v>
      </c>
      <c r="AL36" s="55">
        <f t="shared" si="50"/>
        <v>1795.119838162424</v>
      </c>
      <c r="AM36" s="55">
        <f t="shared" si="50"/>
        <v>1795.119838162424</v>
      </c>
      <c r="AN36" s="55">
        <f t="shared" si="50"/>
        <v>1795.119838162424</v>
      </c>
      <c r="AO36" s="55">
        <f t="shared" si="50"/>
        <v>1795.119838162424</v>
      </c>
      <c r="AP36" s="55">
        <f t="shared" si="50"/>
        <v>1795.119838162424</v>
      </c>
      <c r="AQ36" s="72">
        <f t="shared" si="32"/>
        <v>12565.838867136967</v>
      </c>
      <c r="AR36" s="72">
        <f t="shared" si="33"/>
        <v>452354.16113286302</v>
      </c>
      <c r="AS36" s="55"/>
      <c r="AT36" s="55"/>
      <c r="AU36" s="55">
        <f>1576</f>
        <v>1576</v>
      </c>
      <c r="AV36" s="55">
        <f>1576</f>
        <v>1576</v>
      </c>
      <c r="AW36" s="55">
        <f>1576</f>
        <v>1576</v>
      </c>
      <c r="AX36" s="55">
        <f>1576</f>
        <v>1576</v>
      </c>
      <c r="AY36" s="55">
        <f>1576</f>
        <v>1576</v>
      </c>
      <c r="AZ36" s="57">
        <v>118.901</v>
      </c>
      <c r="BA36" s="350">
        <v>115.95399999999999</v>
      </c>
      <c r="BB36" s="55">
        <f t="shared" si="34"/>
        <v>1.0254152508753471</v>
      </c>
      <c r="BC36" s="55">
        <f t="shared" si="13"/>
        <v>1576</v>
      </c>
      <c r="BD36" s="55">
        <f t="shared" si="14"/>
        <v>1616.0544353795472</v>
      </c>
      <c r="BE36" s="55">
        <f t="shared" si="7"/>
        <v>1616.0544353795472</v>
      </c>
      <c r="BF36" s="55">
        <f t="shared" si="7"/>
        <v>1616.0544353795472</v>
      </c>
      <c r="BG36" s="55">
        <f t="shared" si="7"/>
        <v>1616.0544353795472</v>
      </c>
      <c r="BH36" s="55">
        <f t="shared" si="7"/>
        <v>1616.0544353795472</v>
      </c>
      <c r="BI36" s="55">
        <f t="shared" si="7"/>
        <v>1616.0544353795472</v>
      </c>
      <c r="BJ36" s="55">
        <f t="shared" si="7"/>
        <v>1616.0544353795472</v>
      </c>
      <c r="BK36" s="55">
        <f t="shared" si="7"/>
        <v>1616.0544353795472</v>
      </c>
      <c r="BL36" s="55">
        <f t="shared" si="35"/>
        <v>19192.381047656829</v>
      </c>
      <c r="BM36" s="448">
        <f t="shared" si="36"/>
        <v>433161.78008520621</v>
      </c>
      <c r="BN36" s="55">
        <f t="shared" si="1"/>
        <v>1616.0544353795472</v>
      </c>
      <c r="BO36" s="55">
        <f t="shared" si="1"/>
        <v>1616.0544353795472</v>
      </c>
      <c r="BP36" s="55">
        <f t="shared" si="1"/>
        <v>1616.0544353795472</v>
      </c>
      <c r="BQ36" s="55"/>
      <c r="BR36" s="55">
        <f t="shared" si="1"/>
        <v>1616.0544353795472</v>
      </c>
      <c r="BS36" s="55">
        <f t="shared" si="37"/>
        <v>6464.2177415181886</v>
      </c>
      <c r="BT36" s="448">
        <f t="shared" si="8"/>
        <v>426697.56234368804</v>
      </c>
      <c r="BU36" s="57">
        <v>126.408</v>
      </c>
      <c r="BV36" s="350">
        <v>115.95399999999999</v>
      </c>
      <c r="BW36" s="55">
        <f t="shared" si="38"/>
        <v>1.0901564413474309</v>
      </c>
      <c r="BX36" s="55">
        <f t="shared" si="39"/>
        <v>1647.4809356899152</v>
      </c>
      <c r="BY36" s="55">
        <f t="shared" si="40"/>
        <v>1796.0119540394537</v>
      </c>
      <c r="BZ36" s="55">
        <v>1718.7220735591636</v>
      </c>
      <c r="CA36" s="55">
        <v>1718.7220735591636</v>
      </c>
      <c r="CB36" s="55">
        <v>1718.7220735591636</v>
      </c>
      <c r="CC36" s="55">
        <v>1718.7220735591636</v>
      </c>
      <c r="CD36" s="55">
        <v>1718.7220735591636</v>
      </c>
      <c r="CE36" s="55">
        <v>1718.7220735591636</v>
      </c>
      <c r="CF36" s="55">
        <v>1718.7220735591636</v>
      </c>
      <c r="CG36" s="55">
        <f t="shared" si="41"/>
        <v>12031.054514914145</v>
      </c>
      <c r="CH36" s="448">
        <f t="shared" si="42"/>
        <v>414666.50782877387</v>
      </c>
      <c r="CI36" s="55">
        <v>1718.7220735591636</v>
      </c>
      <c r="CJ36" s="55">
        <v>1718.7220735591636</v>
      </c>
      <c r="CK36" s="55">
        <v>1718.7220735591636</v>
      </c>
      <c r="CL36" s="55">
        <v>1718.7220735591636</v>
      </c>
      <c r="CM36" s="55">
        <v>1718.7220735591636</v>
      </c>
      <c r="CN36" s="505">
        <f t="shared" si="2"/>
        <v>8593.6103677958181</v>
      </c>
      <c r="CO36" s="679">
        <f t="shared" si="3"/>
        <v>406072.89746097807</v>
      </c>
      <c r="CP36" s="350">
        <v>132.28200000000001</v>
      </c>
      <c r="CQ36" s="350">
        <v>115.95399999999999</v>
      </c>
      <c r="CR36" s="55">
        <f t="shared" si="43"/>
        <v>1.1408144609069115</v>
      </c>
      <c r="CS36" s="55">
        <f t="shared" si="9"/>
        <v>1611.400386749913</v>
      </c>
      <c r="CT36" s="55">
        <f t="shared" si="10"/>
        <v>1838.3088635152908</v>
      </c>
      <c r="CU36" s="511">
        <v>1838.3088635152908</v>
      </c>
      <c r="CV36" s="511">
        <v>1838.3088635152908</v>
      </c>
      <c r="CW36" s="511">
        <v>1838.3088635152908</v>
      </c>
      <c r="CX36" s="511">
        <v>1838.3088635152908</v>
      </c>
      <c r="CY36" s="511">
        <v>1838.3088635152908</v>
      </c>
      <c r="CZ36" s="511">
        <v>1838.3088635152908</v>
      </c>
      <c r="DA36" s="511">
        <v>1838.3088635152908</v>
      </c>
      <c r="DB36" s="511">
        <v>1838.3088635152908</v>
      </c>
      <c r="DC36" s="511">
        <v>1838.3088635152908</v>
      </c>
      <c r="DD36" s="511">
        <v>1838.3088635152908</v>
      </c>
      <c r="DE36" s="511">
        <v>1838.3088635152908</v>
      </c>
      <c r="DF36" s="511">
        <v>1838.3088635152908</v>
      </c>
      <c r="DG36" s="511">
        <v>1838.3088635152908</v>
      </c>
      <c r="DH36" s="511">
        <v>1838.3088635152908</v>
      </c>
      <c r="DI36" s="511">
        <v>1838.3088635152908</v>
      </c>
      <c r="DJ36" s="511">
        <v>1838.3088635152908</v>
      </c>
      <c r="DK36" s="511">
        <v>1838.3088635152908</v>
      </c>
      <c r="DL36" s="511">
        <v>1838.3088635152908</v>
      </c>
      <c r="DM36" s="55">
        <f t="shared" si="11"/>
        <v>33089.559543275216</v>
      </c>
      <c r="DN36" s="55">
        <f t="shared" si="12"/>
        <v>372983.33791770285</v>
      </c>
    </row>
    <row r="37" spans="1:118" hidden="1" x14ac:dyDescent="0.2">
      <c r="A37" s="100" t="s">
        <v>817</v>
      </c>
      <c r="B37" s="406" t="s">
        <v>816</v>
      </c>
      <c r="C37" s="45" t="s">
        <v>815</v>
      </c>
      <c r="D37" s="58">
        <v>25</v>
      </c>
      <c r="E37" s="49">
        <v>0.04</v>
      </c>
      <c r="F37" s="46">
        <v>43281</v>
      </c>
      <c r="G37" s="48">
        <f t="shared" si="15"/>
        <v>300</v>
      </c>
      <c r="H37" s="145">
        <f t="shared" si="16"/>
        <v>0.33333333333333331</v>
      </c>
      <c r="I37" s="165">
        <f t="shared" si="47"/>
        <v>13.666666666666666</v>
      </c>
      <c r="J37" s="48">
        <f t="shared" si="18"/>
        <v>41</v>
      </c>
      <c r="K37" s="165">
        <f t="shared" si="19"/>
        <v>86.333333333333329</v>
      </c>
      <c r="L37" s="48">
        <f t="shared" si="20"/>
        <v>259</v>
      </c>
      <c r="M37" s="165">
        <f t="shared" si="21"/>
        <v>2.333333333333333</v>
      </c>
      <c r="N37" s="48">
        <v>7</v>
      </c>
      <c r="O37" s="165">
        <f t="shared" si="22"/>
        <v>84</v>
      </c>
      <c r="P37" s="48">
        <f t="shared" si="23"/>
        <v>252</v>
      </c>
      <c r="Q37" s="462">
        <f t="shared" si="5"/>
        <v>51136</v>
      </c>
      <c r="R37" s="46"/>
      <c r="S37" s="46">
        <v>42005</v>
      </c>
      <c r="T37" s="47">
        <v>0</v>
      </c>
      <c r="U37" s="47">
        <f t="shared" si="24"/>
        <v>0</v>
      </c>
      <c r="V37" s="106">
        <f t="shared" si="44"/>
        <v>0</v>
      </c>
      <c r="W37" s="165">
        <f t="shared" si="25"/>
        <v>0</v>
      </c>
      <c r="X37" s="351">
        <f t="shared" si="48"/>
        <v>0</v>
      </c>
      <c r="Y37" s="80">
        <f t="shared" si="27"/>
        <v>0</v>
      </c>
      <c r="Z37" s="57">
        <v>115.958</v>
      </c>
      <c r="AA37" s="350">
        <v>115.95399999999999</v>
      </c>
      <c r="AB37" s="55">
        <f t="shared" si="49"/>
        <v>1.0000344964382428</v>
      </c>
      <c r="AC37" s="55">
        <f t="shared" si="29"/>
        <v>0</v>
      </c>
      <c r="AD37" s="55">
        <f t="shared" si="30"/>
        <v>0</v>
      </c>
      <c r="AE37" s="55"/>
      <c r="AF37" s="55"/>
      <c r="AG37" s="55"/>
      <c r="AH37" s="55"/>
      <c r="AI37" s="55"/>
      <c r="AJ37" s="55">
        <f t="shared" si="46"/>
        <v>0</v>
      </c>
      <c r="AK37" s="55">
        <f t="shared" si="46"/>
        <v>0</v>
      </c>
      <c r="AL37" s="55">
        <f t="shared" si="50"/>
        <v>0</v>
      </c>
      <c r="AM37" s="55">
        <f t="shared" si="50"/>
        <v>0</v>
      </c>
      <c r="AN37" s="55">
        <f t="shared" si="50"/>
        <v>0</v>
      </c>
      <c r="AO37" s="55">
        <f t="shared" si="50"/>
        <v>0</v>
      </c>
      <c r="AP37" s="55">
        <f t="shared" si="50"/>
        <v>0</v>
      </c>
      <c r="AQ37" s="72">
        <f t="shared" si="32"/>
        <v>0</v>
      </c>
      <c r="AR37" s="72">
        <f t="shared" si="33"/>
        <v>0</v>
      </c>
      <c r="AS37" s="55"/>
      <c r="AT37" s="55"/>
      <c r="AU37" s="55"/>
      <c r="AV37" s="55"/>
      <c r="AW37" s="55"/>
      <c r="AX37" s="55"/>
      <c r="AY37" s="55"/>
      <c r="AZ37" s="57">
        <v>118.901</v>
      </c>
      <c r="BA37" s="350">
        <v>115.95399999999999</v>
      </c>
      <c r="BB37" s="55">
        <f t="shared" si="34"/>
        <v>1.0254152508753471</v>
      </c>
      <c r="BC37" s="55">
        <f t="shared" si="13"/>
        <v>0</v>
      </c>
      <c r="BD37" s="55">
        <f t="shared" si="14"/>
        <v>0</v>
      </c>
      <c r="BE37" s="55">
        <f t="shared" si="7"/>
        <v>0</v>
      </c>
      <c r="BF37" s="55">
        <f t="shared" si="7"/>
        <v>0</v>
      </c>
      <c r="BG37" s="55">
        <f t="shared" si="7"/>
        <v>0</v>
      </c>
      <c r="BH37" s="55">
        <f t="shared" si="7"/>
        <v>0</v>
      </c>
      <c r="BI37" s="55">
        <f t="shared" si="7"/>
        <v>0</v>
      </c>
      <c r="BJ37" s="55">
        <f t="shared" si="7"/>
        <v>0</v>
      </c>
      <c r="BK37" s="55">
        <f t="shared" si="7"/>
        <v>0</v>
      </c>
      <c r="BL37" s="55">
        <f t="shared" si="35"/>
        <v>0</v>
      </c>
      <c r="BM37" s="448">
        <f t="shared" si="36"/>
        <v>0</v>
      </c>
      <c r="BN37" s="55">
        <f t="shared" si="1"/>
        <v>0</v>
      </c>
      <c r="BO37" s="55">
        <f t="shared" si="1"/>
        <v>0</v>
      </c>
      <c r="BP37" s="55">
        <f t="shared" si="1"/>
        <v>0</v>
      </c>
      <c r="BQ37" s="55"/>
      <c r="BR37" s="55">
        <f t="shared" si="1"/>
        <v>0</v>
      </c>
      <c r="BS37" s="55">
        <f t="shared" si="37"/>
        <v>0</v>
      </c>
      <c r="BT37" s="448">
        <f t="shared" si="8"/>
        <v>0</v>
      </c>
      <c r="BU37" s="57">
        <v>126.408</v>
      </c>
      <c r="BV37" s="350">
        <v>115.95399999999999</v>
      </c>
      <c r="BW37" s="55">
        <f t="shared" si="38"/>
        <v>1.0901564413474309</v>
      </c>
      <c r="BX37" s="55">
        <f t="shared" si="39"/>
        <v>0</v>
      </c>
      <c r="BY37" s="55">
        <f t="shared" si="40"/>
        <v>0</v>
      </c>
      <c r="BZ37" s="55">
        <v>0</v>
      </c>
      <c r="CA37" s="55">
        <v>0</v>
      </c>
      <c r="CB37" s="55">
        <v>0</v>
      </c>
      <c r="CC37" s="55">
        <v>0</v>
      </c>
      <c r="CD37" s="55">
        <v>0</v>
      </c>
      <c r="CE37" s="55">
        <v>0</v>
      </c>
      <c r="CF37" s="55">
        <v>0</v>
      </c>
      <c r="CG37" s="55">
        <f t="shared" si="41"/>
        <v>0</v>
      </c>
      <c r="CH37" s="448">
        <f t="shared" si="42"/>
        <v>0</v>
      </c>
      <c r="CI37" s="55">
        <v>0</v>
      </c>
      <c r="CJ37" s="55">
        <v>0</v>
      </c>
      <c r="CK37" s="55">
        <v>0</v>
      </c>
      <c r="CL37" s="55">
        <v>0</v>
      </c>
      <c r="CM37" s="55">
        <v>0</v>
      </c>
      <c r="CN37" s="505">
        <f t="shared" si="2"/>
        <v>0</v>
      </c>
      <c r="CO37" s="679">
        <f t="shared" si="3"/>
        <v>0</v>
      </c>
      <c r="CP37" s="350">
        <v>132.28200000000001</v>
      </c>
      <c r="CQ37" s="350">
        <v>115.95399999999999</v>
      </c>
      <c r="CR37" s="55">
        <f t="shared" si="43"/>
        <v>1.1408144609069115</v>
      </c>
      <c r="CS37" s="55">
        <f t="shared" si="9"/>
        <v>0</v>
      </c>
      <c r="CT37" s="55">
        <f t="shared" si="10"/>
        <v>0</v>
      </c>
      <c r="CU37" s="511">
        <v>0</v>
      </c>
      <c r="CV37" s="511">
        <v>0</v>
      </c>
      <c r="CW37" s="511">
        <v>0</v>
      </c>
      <c r="CX37" s="511">
        <v>0</v>
      </c>
      <c r="CY37" s="511">
        <v>0</v>
      </c>
      <c r="CZ37" s="511">
        <v>0</v>
      </c>
      <c r="DA37" s="511">
        <v>0</v>
      </c>
      <c r="DB37" s="511">
        <v>0</v>
      </c>
      <c r="DC37" s="511">
        <v>0</v>
      </c>
      <c r="DD37" s="511">
        <v>0</v>
      </c>
      <c r="DE37" s="511">
        <v>0</v>
      </c>
      <c r="DF37" s="511">
        <v>0</v>
      </c>
      <c r="DG37" s="511">
        <v>0</v>
      </c>
      <c r="DH37" s="511">
        <v>0</v>
      </c>
      <c r="DI37" s="511">
        <v>0</v>
      </c>
      <c r="DJ37" s="511">
        <v>0</v>
      </c>
      <c r="DK37" s="511">
        <v>0</v>
      </c>
      <c r="DL37" s="511">
        <v>0</v>
      </c>
      <c r="DM37" s="55">
        <f t="shared" si="11"/>
        <v>0</v>
      </c>
      <c r="DN37" s="55">
        <f t="shared" si="12"/>
        <v>0</v>
      </c>
    </row>
    <row r="38" spans="1:118" x14ac:dyDescent="0.2">
      <c r="A38" s="100" t="s">
        <v>942</v>
      </c>
      <c r="B38" s="406" t="s">
        <v>820</v>
      </c>
      <c r="C38" s="45" t="s">
        <v>815</v>
      </c>
      <c r="D38" s="58">
        <v>25</v>
      </c>
      <c r="E38" s="49">
        <v>0.04</v>
      </c>
      <c r="F38" s="46">
        <v>43281</v>
      </c>
      <c r="G38" s="48">
        <f t="shared" si="15"/>
        <v>300</v>
      </c>
      <c r="H38" s="145">
        <f t="shared" si="16"/>
        <v>0.33333333333333331</v>
      </c>
      <c r="I38" s="165">
        <f t="shared" si="47"/>
        <v>13.666666666666666</v>
      </c>
      <c r="J38" s="48">
        <f t="shared" si="18"/>
        <v>41</v>
      </c>
      <c r="K38" s="165">
        <f t="shared" si="19"/>
        <v>86.333333333333329</v>
      </c>
      <c r="L38" s="48">
        <f t="shared" si="20"/>
        <v>259</v>
      </c>
      <c r="M38" s="165">
        <f t="shared" si="21"/>
        <v>2.333333333333333</v>
      </c>
      <c r="N38" s="48">
        <v>7</v>
      </c>
      <c r="O38" s="165">
        <f t="shared" si="22"/>
        <v>84</v>
      </c>
      <c r="P38" s="48">
        <f t="shared" si="23"/>
        <v>252</v>
      </c>
      <c r="Q38" s="462">
        <f t="shared" si="5"/>
        <v>51136</v>
      </c>
      <c r="R38" s="46" t="s">
        <v>956</v>
      </c>
      <c r="S38" s="46">
        <v>42005</v>
      </c>
      <c r="T38" s="47">
        <v>120000</v>
      </c>
      <c r="U38" s="47">
        <f t="shared" si="24"/>
        <v>16400</v>
      </c>
      <c r="V38" s="106">
        <f t="shared" si="44"/>
        <v>120000</v>
      </c>
      <c r="W38" s="165">
        <f t="shared" si="25"/>
        <v>400</v>
      </c>
      <c r="X38" s="351">
        <f t="shared" si="48"/>
        <v>2000</v>
      </c>
      <c r="Y38" s="80">
        <f t="shared" si="27"/>
        <v>118000</v>
      </c>
      <c r="Z38" s="57">
        <v>115.958</v>
      </c>
      <c r="AA38" s="350">
        <v>115.95399999999999</v>
      </c>
      <c r="AB38" s="55">
        <f t="shared" si="49"/>
        <v>1.0000344964382428</v>
      </c>
      <c r="AC38" s="55">
        <f t="shared" si="29"/>
        <v>455.59845559845559</v>
      </c>
      <c r="AD38" s="55">
        <f t="shared" si="30"/>
        <v>455.61417212244265</v>
      </c>
      <c r="AE38" s="55"/>
      <c r="AF38" s="55"/>
      <c r="AG38" s="55"/>
      <c r="AH38" s="55"/>
      <c r="AI38" s="55"/>
      <c r="AJ38" s="55">
        <f t="shared" si="46"/>
        <v>455.61417212244265</v>
      </c>
      <c r="AK38" s="55">
        <f t="shared" si="46"/>
        <v>455.61417212244265</v>
      </c>
      <c r="AL38" s="55">
        <f t="shared" si="50"/>
        <v>455.61417212244265</v>
      </c>
      <c r="AM38" s="55">
        <f t="shared" si="50"/>
        <v>455.61417212244265</v>
      </c>
      <c r="AN38" s="55">
        <f t="shared" si="50"/>
        <v>455.61417212244265</v>
      </c>
      <c r="AO38" s="55">
        <f t="shared" si="50"/>
        <v>455.61417212244265</v>
      </c>
      <c r="AP38" s="55">
        <f t="shared" si="50"/>
        <v>455.61417212244265</v>
      </c>
      <c r="AQ38" s="72">
        <f t="shared" si="32"/>
        <v>3189.2992048570986</v>
      </c>
      <c r="AR38" s="72">
        <f t="shared" si="33"/>
        <v>114810.7007951429</v>
      </c>
      <c r="AS38" s="55"/>
      <c r="AT38" s="55"/>
      <c r="AU38" s="55">
        <f>400</f>
        <v>400</v>
      </c>
      <c r="AV38" s="55">
        <f>400</f>
        <v>400</v>
      </c>
      <c r="AW38" s="55">
        <f>400</f>
        <v>400</v>
      </c>
      <c r="AX38" s="55">
        <f>400</f>
        <v>400</v>
      </c>
      <c r="AY38" s="55">
        <f>400</f>
        <v>400</v>
      </c>
      <c r="AZ38" s="57">
        <v>118.901</v>
      </c>
      <c r="BA38" s="350">
        <v>115.95399999999999</v>
      </c>
      <c r="BB38" s="55">
        <f t="shared" si="34"/>
        <v>1.0254152508753471</v>
      </c>
      <c r="BC38" s="55">
        <f t="shared" si="13"/>
        <v>400</v>
      </c>
      <c r="BD38" s="55">
        <f t="shared" si="14"/>
        <v>410.16610035013883</v>
      </c>
      <c r="BE38" s="55">
        <f t="shared" si="7"/>
        <v>410.16610035013883</v>
      </c>
      <c r="BF38" s="55">
        <f t="shared" si="7"/>
        <v>410.16610035013883</v>
      </c>
      <c r="BG38" s="55">
        <f t="shared" si="7"/>
        <v>410.16610035013883</v>
      </c>
      <c r="BH38" s="55">
        <f t="shared" si="7"/>
        <v>410.16610035013883</v>
      </c>
      <c r="BI38" s="55">
        <f t="shared" si="7"/>
        <v>410.16610035013883</v>
      </c>
      <c r="BJ38" s="55">
        <f t="shared" si="7"/>
        <v>410.16610035013883</v>
      </c>
      <c r="BK38" s="55">
        <f t="shared" si="7"/>
        <v>410.16610035013883</v>
      </c>
      <c r="BL38" s="55">
        <f t="shared" si="35"/>
        <v>4871.1627024509726</v>
      </c>
      <c r="BM38" s="448">
        <f t="shared" si="36"/>
        <v>109939.53809269192</v>
      </c>
      <c r="BN38" s="55">
        <f t="shared" si="1"/>
        <v>410.16610035013883</v>
      </c>
      <c r="BO38" s="55">
        <f t="shared" si="1"/>
        <v>410.16610035013883</v>
      </c>
      <c r="BP38" s="55">
        <f t="shared" si="1"/>
        <v>410.16610035013883</v>
      </c>
      <c r="BQ38" s="55"/>
      <c r="BR38" s="55">
        <f t="shared" si="1"/>
        <v>410.16610035013883</v>
      </c>
      <c r="BS38" s="55">
        <f t="shared" si="37"/>
        <v>1640.6644014005553</v>
      </c>
      <c r="BT38" s="448">
        <f t="shared" si="8"/>
        <v>108298.87369129136</v>
      </c>
      <c r="BU38" s="57">
        <v>126.408</v>
      </c>
      <c r="BV38" s="350">
        <v>115.95399999999999</v>
      </c>
      <c r="BW38" s="55">
        <f t="shared" si="38"/>
        <v>1.0901564413474309</v>
      </c>
      <c r="BX38" s="55">
        <f t="shared" si="39"/>
        <v>418.14236946444538</v>
      </c>
      <c r="BY38" s="55">
        <f t="shared" si="40"/>
        <v>455.84059747194243</v>
      </c>
      <c r="BZ38" s="55">
        <v>436.22387653785876</v>
      </c>
      <c r="CA38" s="55">
        <v>436.22387653785876</v>
      </c>
      <c r="CB38" s="55">
        <v>436.22387653785876</v>
      </c>
      <c r="CC38" s="55">
        <v>436.22387653785876</v>
      </c>
      <c r="CD38" s="55">
        <v>436.22387653785876</v>
      </c>
      <c r="CE38" s="55">
        <v>436.22387653785876</v>
      </c>
      <c r="CF38" s="55">
        <v>436.22387653785876</v>
      </c>
      <c r="CG38" s="55">
        <f t="shared" si="41"/>
        <v>3053.5671357650112</v>
      </c>
      <c r="CH38" s="448">
        <f t="shared" si="42"/>
        <v>105245.30655552635</v>
      </c>
      <c r="CI38" s="55">
        <v>436.22387653785876</v>
      </c>
      <c r="CJ38" s="55">
        <v>436.22387653785876</v>
      </c>
      <c r="CK38" s="55">
        <v>436.22387653785876</v>
      </c>
      <c r="CL38" s="55">
        <v>436.22387653785876</v>
      </c>
      <c r="CM38" s="55">
        <v>436.22387653785876</v>
      </c>
      <c r="CN38" s="505">
        <f t="shared" si="2"/>
        <v>2181.1193826892936</v>
      </c>
      <c r="CO38" s="679">
        <f t="shared" si="3"/>
        <v>103064.18717283705</v>
      </c>
      <c r="CP38" s="350">
        <v>132.28200000000001</v>
      </c>
      <c r="CQ38" s="350">
        <v>115.95399999999999</v>
      </c>
      <c r="CR38" s="55">
        <f t="shared" si="43"/>
        <v>1.1408144609069115</v>
      </c>
      <c r="CS38" s="55">
        <f t="shared" si="9"/>
        <v>408.98486973348037</v>
      </c>
      <c r="CT38" s="55">
        <f t="shared" si="10"/>
        <v>466.57585368408382</v>
      </c>
      <c r="CU38" s="55">
        <v>466.57585368408382</v>
      </c>
      <c r="CV38" s="55">
        <v>466.57585368408382</v>
      </c>
      <c r="CW38" s="55">
        <v>466.57585368408382</v>
      </c>
      <c r="CX38" s="55">
        <v>466.57585368408382</v>
      </c>
      <c r="CY38" s="55">
        <v>466.57585368408382</v>
      </c>
      <c r="CZ38" s="55">
        <v>466.57585368408382</v>
      </c>
      <c r="DA38" s="55">
        <v>466.57585368408382</v>
      </c>
      <c r="DB38" s="55">
        <v>466.57585368408382</v>
      </c>
      <c r="DC38" s="55">
        <v>466.57585368408382</v>
      </c>
      <c r="DD38" s="55">
        <v>466.57585368408382</v>
      </c>
      <c r="DE38" s="55">
        <v>466.57585368408382</v>
      </c>
      <c r="DF38" s="55">
        <v>466.57585368408382</v>
      </c>
      <c r="DG38" s="55">
        <v>466.57585368408382</v>
      </c>
      <c r="DH38" s="55">
        <v>466.57585368408382</v>
      </c>
      <c r="DI38" s="55">
        <v>466.57585368408382</v>
      </c>
      <c r="DJ38" s="55">
        <v>466.57585368408382</v>
      </c>
      <c r="DK38" s="55">
        <v>466.57585368408382</v>
      </c>
      <c r="DL38" s="55">
        <v>466.57585368408382</v>
      </c>
      <c r="DM38" s="55">
        <f t="shared" si="11"/>
        <v>8398.3653663135101</v>
      </c>
      <c r="DN38" s="55">
        <f t="shared" si="12"/>
        <v>94665.821806523541</v>
      </c>
    </row>
    <row r="39" spans="1:118" x14ac:dyDescent="0.2">
      <c r="A39" s="100" t="s">
        <v>940</v>
      </c>
      <c r="B39" s="406" t="s">
        <v>819</v>
      </c>
      <c r="C39" s="45" t="s">
        <v>815</v>
      </c>
      <c r="D39" s="58">
        <v>25</v>
      </c>
      <c r="E39" s="49">
        <v>0.04</v>
      </c>
      <c r="F39" s="46">
        <v>43281</v>
      </c>
      <c r="G39" s="48">
        <f t="shared" si="15"/>
        <v>300</v>
      </c>
      <c r="H39" s="145">
        <f t="shared" si="16"/>
        <v>0.33333333333333331</v>
      </c>
      <c r="I39" s="165">
        <f t="shared" si="47"/>
        <v>13.666666666666666</v>
      </c>
      <c r="J39" s="48">
        <f t="shared" si="18"/>
        <v>41</v>
      </c>
      <c r="K39" s="165">
        <f t="shared" si="19"/>
        <v>86.333333333333329</v>
      </c>
      <c r="L39" s="48">
        <f t="shared" si="20"/>
        <v>259</v>
      </c>
      <c r="M39" s="165">
        <f t="shared" si="21"/>
        <v>2.333333333333333</v>
      </c>
      <c r="N39" s="48">
        <v>7</v>
      </c>
      <c r="O39" s="165">
        <f t="shared" si="22"/>
        <v>84</v>
      </c>
      <c r="P39" s="48">
        <f t="shared" si="23"/>
        <v>252</v>
      </c>
      <c r="Q39" s="462">
        <f t="shared" si="5"/>
        <v>51136</v>
      </c>
      <c r="R39" s="46" t="s">
        <v>941</v>
      </c>
      <c r="S39" s="46">
        <v>42005</v>
      </c>
      <c r="T39" s="47">
        <v>134379</v>
      </c>
      <c r="U39" s="47">
        <f t="shared" si="24"/>
        <v>18365.129999999997</v>
      </c>
      <c r="V39" s="106">
        <f t="shared" si="44"/>
        <v>134379</v>
      </c>
      <c r="W39" s="165">
        <f t="shared" si="25"/>
        <v>447.92999999999995</v>
      </c>
      <c r="X39" s="351">
        <f t="shared" si="48"/>
        <v>2239.6499999999996</v>
      </c>
      <c r="Y39" s="80">
        <f t="shared" si="27"/>
        <v>132139.35</v>
      </c>
      <c r="Z39" s="57">
        <v>115.958</v>
      </c>
      <c r="AA39" s="350">
        <v>115.95399999999999</v>
      </c>
      <c r="AB39" s="55">
        <f t="shared" si="49"/>
        <v>1.0000344964382428</v>
      </c>
      <c r="AC39" s="55">
        <f t="shared" si="29"/>
        <v>510.19054054054055</v>
      </c>
      <c r="AD39" s="55">
        <f t="shared" si="30"/>
        <v>510.20814029701438</v>
      </c>
      <c r="AE39" s="55"/>
      <c r="AF39" s="55"/>
      <c r="AG39" s="55"/>
      <c r="AH39" s="55"/>
      <c r="AI39" s="55"/>
      <c r="AJ39" s="55">
        <f t="shared" si="46"/>
        <v>510.20814029701438</v>
      </c>
      <c r="AK39" s="55">
        <f t="shared" si="46"/>
        <v>510.20814029701438</v>
      </c>
      <c r="AL39" s="55">
        <f t="shared" si="50"/>
        <v>510.20814029701438</v>
      </c>
      <c r="AM39" s="55">
        <f t="shared" si="50"/>
        <v>510.20814029701438</v>
      </c>
      <c r="AN39" s="55">
        <f t="shared" si="50"/>
        <v>510.20814029701438</v>
      </c>
      <c r="AO39" s="55">
        <f t="shared" si="50"/>
        <v>510.20814029701438</v>
      </c>
      <c r="AP39" s="55">
        <f t="shared" si="50"/>
        <v>510.20814029701438</v>
      </c>
      <c r="AQ39" s="72">
        <f t="shared" si="32"/>
        <v>3571.4569820791007</v>
      </c>
      <c r="AR39" s="72">
        <f t="shared" si="33"/>
        <v>128567.8930179209</v>
      </c>
      <c r="AS39" s="55"/>
      <c r="AT39" s="55"/>
      <c r="AU39" s="55">
        <f>447.93</f>
        <v>447.93</v>
      </c>
      <c r="AV39" s="55">
        <f>447.93</f>
        <v>447.93</v>
      </c>
      <c r="AW39" s="55">
        <f>447.93</f>
        <v>447.93</v>
      </c>
      <c r="AX39" s="55">
        <f>447.93</f>
        <v>447.93</v>
      </c>
      <c r="AY39" s="55">
        <f>447.93</f>
        <v>447.93</v>
      </c>
      <c r="AZ39" s="57">
        <v>118.901</v>
      </c>
      <c r="BA39" s="350">
        <v>115.95399999999999</v>
      </c>
      <c r="BB39" s="55">
        <f t="shared" si="34"/>
        <v>1.0254152508753471</v>
      </c>
      <c r="BC39" s="55">
        <f t="shared" si="13"/>
        <v>447.93</v>
      </c>
      <c r="BD39" s="55">
        <f t="shared" si="14"/>
        <v>459.31425332459423</v>
      </c>
      <c r="BE39" s="55">
        <f t="shared" si="7"/>
        <v>459.31425332459423</v>
      </c>
      <c r="BF39" s="55">
        <f t="shared" si="7"/>
        <v>459.31425332459423</v>
      </c>
      <c r="BG39" s="55">
        <f t="shared" si="7"/>
        <v>459.31425332459423</v>
      </c>
      <c r="BH39" s="55">
        <f t="shared" si="7"/>
        <v>459.31425332459423</v>
      </c>
      <c r="BI39" s="55">
        <f t="shared" si="7"/>
        <v>459.31425332459423</v>
      </c>
      <c r="BJ39" s="55">
        <f t="shared" si="7"/>
        <v>459.31425332459423</v>
      </c>
      <c r="BK39" s="55">
        <f t="shared" si="7"/>
        <v>459.31425332459423</v>
      </c>
      <c r="BL39" s="55">
        <f t="shared" si="35"/>
        <v>5454.8497732721598</v>
      </c>
      <c r="BM39" s="448">
        <f t="shared" si="36"/>
        <v>123113.04324464874</v>
      </c>
      <c r="BN39" s="55">
        <f t="shared" si="1"/>
        <v>459.31425332459423</v>
      </c>
      <c r="BO39" s="55">
        <f t="shared" si="1"/>
        <v>459.31425332459423</v>
      </c>
      <c r="BP39" s="55">
        <f t="shared" si="1"/>
        <v>459.31425332459423</v>
      </c>
      <c r="BQ39" s="55"/>
      <c r="BR39" s="55">
        <f t="shared" si="1"/>
        <v>459.31425332459423</v>
      </c>
      <c r="BS39" s="55">
        <f t="shared" si="37"/>
        <v>1837.2570132983769</v>
      </c>
      <c r="BT39" s="448">
        <f t="shared" si="8"/>
        <v>121275.78623135036</v>
      </c>
      <c r="BU39" s="57">
        <v>126.408</v>
      </c>
      <c r="BV39" s="350">
        <v>115.95399999999999</v>
      </c>
      <c r="BW39" s="55">
        <f t="shared" si="38"/>
        <v>1.0901564413474309</v>
      </c>
      <c r="BX39" s="55">
        <f t="shared" si="39"/>
        <v>468.2462788855226</v>
      </c>
      <c r="BY39" s="55">
        <f t="shared" si="40"/>
        <v>510.46169706401804</v>
      </c>
      <c r="BZ39" s="55">
        <v>488.49440254400776</v>
      </c>
      <c r="CA39" s="55">
        <v>488.49440254400776</v>
      </c>
      <c r="CB39" s="55">
        <v>488.49440254400776</v>
      </c>
      <c r="CC39" s="55">
        <v>488.49440254400776</v>
      </c>
      <c r="CD39" s="55">
        <v>488.49440254400776</v>
      </c>
      <c r="CE39" s="55">
        <v>488.49440254400776</v>
      </c>
      <c r="CF39" s="55">
        <v>488.49440254400776</v>
      </c>
      <c r="CG39" s="55">
        <f t="shared" si="41"/>
        <v>3419.4608178080543</v>
      </c>
      <c r="CH39" s="448">
        <f t="shared" si="42"/>
        <v>117856.3254135423</v>
      </c>
      <c r="CI39" s="55">
        <v>488.49440254400776</v>
      </c>
      <c r="CJ39" s="55">
        <v>488.49440254400776</v>
      </c>
      <c r="CK39" s="55">
        <v>488.49440254400776</v>
      </c>
      <c r="CL39" s="55">
        <v>488.49440254400776</v>
      </c>
      <c r="CM39" s="55">
        <v>488.49440254400776</v>
      </c>
      <c r="CN39" s="505">
        <f t="shared" si="2"/>
        <v>2442.4720127200389</v>
      </c>
      <c r="CO39" s="679">
        <f t="shared" si="3"/>
        <v>115413.85340082226</v>
      </c>
      <c r="CP39" s="350">
        <v>132.28200000000001</v>
      </c>
      <c r="CQ39" s="350">
        <v>115.95399999999999</v>
      </c>
      <c r="CR39" s="55">
        <f t="shared" si="43"/>
        <v>1.1408144609069115</v>
      </c>
      <c r="CS39" s="55">
        <f t="shared" si="9"/>
        <v>457.99148174929468</v>
      </c>
      <c r="CT39" s="55">
        <f t="shared" si="10"/>
        <v>522.48330535177922</v>
      </c>
      <c r="CU39" s="511">
        <v>522.48330535177922</v>
      </c>
      <c r="CV39" s="511">
        <v>522.48330535177922</v>
      </c>
      <c r="CW39" s="511">
        <v>522.48330535177922</v>
      </c>
      <c r="CX39" s="511">
        <v>522.48330535177922</v>
      </c>
      <c r="CY39" s="511">
        <v>522.48330535177922</v>
      </c>
      <c r="CZ39" s="511">
        <v>522.48330535177922</v>
      </c>
      <c r="DA39" s="511">
        <v>522.48330535177922</v>
      </c>
      <c r="DB39" s="511">
        <v>522.48330535177922</v>
      </c>
      <c r="DC39" s="511">
        <v>522.48330535177922</v>
      </c>
      <c r="DD39" s="511">
        <v>522.48330535177922</v>
      </c>
      <c r="DE39" s="511">
        <v>522.48330535177922</v>
      </c>
      <c r="DF39" s="511">
        <v>522.48330535177922</v>
      </c>
      <c r="DG39" s="511">
        <v>522.48330535177922</v>
      </c>
      <c r="DH39" s="511">
        <v>522.48330535177922</v>
      </c>
      <c r="DI39" s="511">
        <v>522.48330535177922</v>
      </c>
      <c r="DJ39" s="511">
        <v>522.48330535177922</v>
      </c>
      <c r="DK39" s="511">
        <v>522.48330535177922</v>
      </c>
      <c r="DL39" s="511">
        <v>522.48330535177922</v>
      </c>
      <c r="DM39" s="55">
        <f t="shared" si="11"/>
        <v>9404.6994963320285</v>
      </c>
      <c r="DN39" s="55">
        <f t="shared" si="12"/>
        <v>106009.15390449023</v>
      </c>
    </row>
    <row r="40" spans="1:118" x14ac:dyDescent="0.2">
      <c r="A40" s="100" t="s">
        <v>945</v>
      </c>
      <c r="B40" s="406" t="s">
        <v>818</v>
      </c>
      <c r="C40" s="45" t="s">
        <v>815</v>
      </c>
      <c r="D40" s="58">
        <v>25</v>
      </c>
      <c r="E40" s="49">
        <v>0.04</v>
      </c>
      <c r="F40" s="46">
        <v>43281</v>
      </c>
      <c r="G40" s="48">
        <f t="shared" si="15"/>
        <v>300</v>
      </c>
      <c r="H40" s="145">
        <f t="shared" si="16"/>
        <v>0.33333333333333331</v>
      </c>
      <c r="I40" s="165">
        <f t="shared" si="47"/>
        <v>13.666666666666666</v>
      </c>
      <c r="J40" s="48">
        <f t="shared" si="18"/>
        <v>41</v>
      </c>
      <c r="K40" s="165">
        <f t="shared" si="19"/>
        <v>86.333333333333329</v>
      </c>
      <c r="L40" s="48">
        <f t="shared" si="20"/>
        <v>259</v>
      </c>
      <c r="M40" s="165">
        <f t="shared" si="21"/>
        <v>2.333333333333333</v>
      </c>
      <c r="N40" s="48">
        <v>7</v>
      </c>
      <c r="O40" s="165">
        <f t="shared" si="22"/>
        <v>84</v>
      </c>
      <c r="P40" s="48">
        <f t="shared" si="23"/>
        <v>252</v>
      </c>
      <c r="Q40" s="462">
        <f t="shared" si="5"/>
        <v>51136</v>
      </c>
      <c r="R40" s="46" t="s">
        <v>946</v>
      </c>
      <c r="S40" s="46">
        <v>42005</v>
      </c>
      <c r="T40" s="47">
        <v>80318.7</v>
      </c>
      <c r="U40" s="47">
        <f t="shared" si="24"/>
        <v>10976.888999999999</v>
      </c>
      <c r="V40" s="106">
        <f t="shared" si="44"/>
        <v>80318.7</v>
      </c>
      <c r="W40" s="165">
        <f t="shared" si="25"/>
        <v>267.72899999999998</v>
      </c>
      <c r="X40" s="351">
        <f t="shared" si="48"/>
        <v>1338.645</v>
      </c>
      <c r="Y40" s="80">
        <f t="shared" si="27"/>
        <v>78980.054999999993</v>
      </c>
      <c r="Z40" s="57">
        <v>115.958</v>
      </c>
      <c r="AA40" s="350">
        <v>115.95399999999999</v>
      </c>
      <c r="AB40" s="55">
        <f t="shared" si="49"/>
        <v>1.0000344964382428</v>
      </c>
      <c r="AC40" s="55">
        <f t="shared" si="29"/>
        <v>304.94229729729722</v>
      </c>
      <c r="AD40" s="55">
        <f t="shared" si="30"/>
        <v>304.95281672042358</v>
      </c>
      <c r="AE40" s="55"/>
      <c r="AF40" s="55"/>
      <c r="AG40" s="55"/>
      <c r="AH40" s="55"/>
      <c r="AI40" s="55"/>
      <c r="AJ40" s="55">
        <f t="shared" si="46"/>
        <v>304.95281672042358</v>
      </c>
      <c r="AK40" s="55">
        <f t="shared" si="46"/>
        <v>304.95281672042358</v>
      </c>
      <c r="AL40" s="55">
        <f t="shared" si="50"/>
        <v>304.95281672042358</v>
      </c>
      <c r="AM40" s="55">
        <f t="shared" si="50"/>
        <v>304.95281672042358</v>
      </c>
      <c r="AN40" s="55">
        <f t="shared" si="50"/>
        <v>304.95281672042358</v>
      </c>
      <c r="AO40" s="55">
        <f t="shared" si="50"/>
        <v>304.95281672042358</v>
      </c>
      <c r="AP40" s="55">
        <f t="shared" si="50"/>
        <v>304.95281672042358</v>
      </c>
      <c r="AQ40" s="72">
        <f t="shared" si="32"/>
        <v>2134.6697170429647</v>
      </c>
      <c r="AR40" s="72">
        <f t="shared" si="33"/>
        <v>76845.385282957024</v>
      </c>
      <c r="AS40" s="55"/>
      <c r="AT40" s="55"/>
      <c r="AU40" s="55">
        <f>267.74</f>
        <v>267.74</v>
      </c>
      <c r="AV40" s="55">
        <f>267.74</f>
        <v>267.74</v>
      </c>
      <c r="AW40" s="55">
        <f>267.74</f>
        <v>267.74</v>
      </c>
      <c r="AX40" s="55">
        <f>267.74</f>
        <v>267.74</v>
      </c>
      <c r="AY40" s="55">
        <f>267.74</f>
        <v>267.74</v>
      </c>
      <c r="AZ40" s="57">
        <v>118.901</v>
      </c>
      <c r="BA40" s="350">
        <v>115.95399999999999</v>
      </c>
      <c r="BB40" s="55">
        <f t="shared" si="34"/>
        <v>1.0254152508753471</v>
      </c>
      <c r="BC40" s="55">
        <f t="shared" si="13"/>
        <v>267.72899999999998</v>
      </c>
      <c r="BD40" s="55">
        <f t="shared" si="14"/>
        <v>274.53339970160579</v>
      </c>
      <c r="BE40" s="55">
        <f t="shared" si="7"/>
        <v>274.53339970160579</v>
      </c>
      <c r="BF40" s="55">
        <f t="shared" si="7"/>
        <v>274.53339970160579</v>
      </c>
      <c r="BG40" s="55">
        <f t="shared" si="7"/>
        <v>274.53339970160579</v>
      </c>
      <c r="BH40" s="55">
        <f t="shared" si="7"/>
        <v>274.53339970160579</v>
      </c>
      <c r="BI40" s="55">
        <f t="shared" si="7"/>
        <v>274.53339970160579</v>
      </c>
      <c r="BJ40" s="55">
        <f t="shared" si="7"/>
        <v>274.53339970160579</v>
      </c>
      <c r="BK40" s="55">
        <f t="shared" si="7"/>
        <v>274.53339970160579</v>
      </c>
      <c r="BL40" s="55">
        <f t="shared" si="35"/>
        <v>3260.4337979112411</v>
      </c>
      <c r="BM40" s="448">
        <f t="shared" si="36"/>
        <v>73584.951485045778</v>
      </c>
      <c r="BN40" s="55">
        <f t="shared" si="1"/>
        <v>274.53339970160579</v>
      </c>
      <c r="BO40" s="55">
        <f t="shared" si="1"/>
        <v>274.53339970160579</v>
      </c>
      <c r="BP40" s="55">
        <f t="shared" si="1"/>
        <v>274.53339970160579</v>
      </c>
      <c r="BQ40" s="55"/>
      <c r="BR40" s="55">
        <f t="shared" si="1"/>
        <v>274.53339970160579</v>
      </c>
      <c r="BS40" s="55">
        <f t="shared" si="37"/>
        <v>1098.1335988064232</v>
      </c>
      <c r="BT40" s="448">
        <f t="shared" si="8"/>
        <v>72486.817886239354</v>
      </c>
      <c r="BU40" s="57">
        <v>126.408</v>
      </c>
      <c r="BV40" s="350">
        <v>115.95399999999999</v>
      </c>
      <c r="BW40" s="55">
        <f t="shared" si="38"/>
        <v>1.0901564413474309</v>
      </c>
      <c r="BX40" s="55">
        <f t="shared" si="39"/>
        <v>279.87188373065391</v>
      </c>
      <c r="BY40" s="55">
        <f t="shared" si="40"/>
        <v>305.10413680101163</v>
      </c>
      <c r="BZ40" s="55">
        <v>291.97423435454863</v>
      </c>
      <c r="CA40" s="55">
        <v>291.97423435454863</v>
      </c>
      <c r="CB40" s="55">
        <v>291.97423435454863</v>
      </c>
      <c r="CC40" s="55">
        <v>291.97423435454863</v>
      </c>
      <c r="CD40" s="55">
        <v>291.97423435454863</v>
      </c>
      <c r="CE40" s="55">
        <v>291.97423435454863</v>
      </c>
      <c r="CF40" s="55">
        <v>291.97423435454863</v>
      </c>
      <c r="CG40" s="55">
        <f t="shared" si="41"/>
        <v>2043.8196404818402</v>
      </c>
      <c r="CH40" s="448">
        <f t="shared" si="42"/>
        <v>70442.99824575751</v>
      </c>
      <c r="CI40" s="55">
        <v>291.97423435454863</v>
      </c>
      <c r="CJ40" s="55">
        <v>291.97423435454863</v>
      </c>
      <c r="CK40" s="55">
        <v>291.97423435454863</v>
      </c>
      <c r="CL40" s="55">
        <v>291.97423435454863</v>
      </c>
      <c r="CM40" s="55">
        <v>291.97423435454863</v>
      </c>
      <c r="CN40" s="505">
        <f t="shared" si="2"/>
        <v>1459.8711717727431</v>
      </c>
      <c r="CO40" s="679">
        <f t="shared" si="3"/>
        <v>68983.127073984768</v>
      </c>
      <c r="CP40" s="350">
        <v>132.28200000000001</v>
      </c>
      <c r="CQ40" s="350">
        <v>115.95399999999999</v>
      </c>
      <c r="CR40" s="55">
        <f t="shared" si="43"/>
        <v>1.1408144609069115</v>
      </c>
      <c r="CS40" s="55">
        <f t="shared" si="9"/>
        <v>273.74256775390779</v>
      </c>
      <c r="CT40" s="55">
        <f t="shared" si="10"/>
        <v>312.28947985944802</v>
      </c>
      <c r="CU40" s="511">
        <v>312.28947985944802</v>
      </c>
      <c r="CV40" s="511">
        <v>312.28947985944802</v>
      </c>
      <c r="CW40" s="511">
        <v>312.28947985944802</v>
      </c>
      <c r="CX40" s="511">
        <v>312.28947985944802</v>
      </c>
      <c r="CY40" s="511">
        <v>312.28947985944802</v>
      </c>
      <c r="CZ40" s="511">
        <v>312.28947985944802</v>
      </c>
      <c r="DA40" s="511">
        <v>312.28947985944802</v>
      </c>
      <c r="DB40" s="511">
        <v>312.28947985944802</v>
      </c>
      <c r="DC40" s="511">
        <v>312.28947985944802</v>
      </c>
      <c r="DD40" s="511">
        <v>312.28947985944802</v>
      </c>
      <c r="DE40" s="511">
        <v>312.28947985944802</v>
      </c>
      <c r="DF40" s="511">
        <v>312.28947985944802</v>
      </c>
      <c r="DG40" s="511">
        <v>312.28947985944802</v>
      </c>
      <c r="DH40" s="511">
        <v>312.28947985944802</v>
      </c>
      <c r="DI40" s="511">
        <v>312.28947985944802</v>
      </c>
      <c r="DJ40" s="511">
        <v>312.28947985944802</v>
      </c>
      <c r="DK40" s="511">
        <v>312.28947985944802</v>
      </c>
      <c r="DL40" s="511">
        <v>312.28947985944802</v>
      </c>
      <c r="DM40" s="55">
        <f t="shared" si="11"/>
        <v>5621.2106374700643</v>
      </c>
      <c r="DN40" s="55">
        <f t="shared" si="12"/>
        <v>63361.916436514701</v>
      </c>
    </row>
    <row r="41" spans="1:118" ht="14.25" customHeight="1" x14ac:dyDescent="0.2">
      <c r="A41" s="100" t="s">
        <v>935</v>
      </c>
      <c r="B41" s="406" t="s">
        <v>809</v>
      </c>
      <c r="C41" s="45" t="s">
        <v>815</v>
      </c>
      <c r="D41" s="58">
        <v>25</v>
      </c>
      <c r="E41" s="49">
        <v>0.04</v>
      </c>
      <c r="F41" s="46">
        <v>43281</v>
      </c>
      <c r="G41" s="48">
        <v>300</v>
      </c>
      <c r="H41" s="145">
        <v>0.33333333333333331</v>
      </c>
      <c r="I41" s="165">
        <v>1.6666666666666665</v>
      </c>
      <c r="J41" s="48">
        <f t="shared" si="18"/>
        <v>41</v>
      </c>
      <c r="K41" s="165">
        <v>98.333333333333329</v>
      </c>
      <c r="L41" s="48">
        <f t="shared" si="20"/>
        <v>259</v>
      </c>
      <c r="M41" s="165">
        <v>2.333333333333333</v>
      </c>
      <c r="N41" s="48">
        <v>7</v>
      </c>
      <c r="O41" s="165">
        <v>96</v>
      </c>
      <c r="P41" s="48">
        <v>288</v>
      </c>
      <c r="Q41" s="462">
        <f t="shared" si="5"/>
        <v>51136</v>
      </c>
      <c r="R41" s="46" t="s">
        <v>936</v>
      </c>
      <c r="S41" s="46">
        <v>42005</v>
      </c>
      <c r="T41" s="47">
        <v>149625</v>
      </c>
      <c r="U41" s="47">
        <v>2493.75</v>
      </c>
      <c r="V41" s="106">
        <v>149625</v>
      </c>
      <c r="W41" s="165">
        <v>498.74999999999994</v>
      </c>
      <c r="X41" s="351">
        <v>2493.7499999999995</v>
      </c>
      <c r="Y41" s="80">
        <v>147131.25</v>
      </c>
      <c r="Z41" s="57">
        <v>115.958</v>
      </c>
      <c r="AA41" s="350">
        <v>115.95399999999999</v>
      </c>
      <c r="AB41" s="55">
        <v>1.0000344964382428</v>
      </c>
      <c r="AC41" s="55">
        <v>498.74999999999994</v>
      </c>
      <c r="AD41" s="55">
        <v>498.76720509857353</v>
      </c>
      <c r="AE41" s="55"/>
      <c r="AF41" s="55"/>
      <c r="AG41" s="55"/>
      <c r="AH41" s="55"/>
      <c r="AI41" s="55"/>
      <c r="AJ41" s="55">
        <v>498.76720509857353</v>
      </c>
      <c r="AK41" s="55">
        <v>498.76720509857353</v>
      </c>
      <c r="AL41" s="55">
        <v>498.76720509857353</v>
      </c>
      <c r="AM41" s="55">
        <v>498.76720509857353</v>
      </c>
      <c r="AN41" s="55">
        <v>498.76720509857353</v>
      </c>
      <c r="AO41" s="55">
        <v>498.76720509857353</v>
      </c>
      <c r="AP41" s="55">
        <v>498.76720509857353</v>
      </c>
      <c r="AQ41" s="72">
        <v>2992.6032305914409</v>
      </c>
      <c r="AR41" s="72">
        <v>144138.64676940857</v>
      </c>
      <c r="AS41" s="55"/>
      <c r="AT41" s="55"/>
      <c r="AU41" s="55">
        <f>498.75</f>
        <v>498.75</v>
      </c>
      <c r="AV41" s="55">
        <f>498.75</f>
        <v>498.75</v>
      </c>
      <c r="AW41" s="55">
        <f>498.75</f>
        <v>498.75</v>
      </c>
      <c r="AX41" s="55">
        <f>498.75</f>
        <v>498.75</v>
      </c>
      <c r="AY41" s="55">
        <f>498.75</f>
        <v>498.75</v>
      </c>
      <c r="AZ41" s="57">
        <v>118.901</v>
      </c>
      <c r="BA41" s="350">
        <v>115.95399999999999</v>
      </c>
      <c r="BB41" s="55">
        <f t="shared" si="34"/>
        <v>1.0254152508753471</v>
      </c>
      <c r="BC41" s="55">
        <f t="shared" si="13"/>
        <v>498.75</v>
      </c>
      <c r="BD41" s="55">
        <f t="shared" si="14"/>
        <v>511.42585637407939</v>
      </c>
      <c r="BE41" s="55">
        <f t="shared" si="7"/>
        <v>511.42585637407939</v>
      </c>
      <c r="BF41" s="55">
        <f t="shared" si="7"/>
        <v>511.42585637407939</v>
      </c>
      <c r="BG41" s="55">
        <f t="shared" si="7"/>
        <v>511.42585637407939</v>
      </c>
      <c r="BH41" s="55">
        <f t="shared" si="7"/>
        <v>511.42585637407939</v>
      </c>
      <c r="BI41" s="55">
        <f t="shared" si="7"/>
        <v>511.42585637407939</v>
      </c>
      <c r="BJ41" s="55">
        <f t="shared" si="7"/>
        <v>511.42585637407939</v>
      </c>
      <c r="BK41" s="55">
        <f t="shared" si="7"/>
        <v>511.42585637407939</v>
      </c>
      <c r="BL41" s="55">
        <f t="shared" si="35"/>
        <v>6073.7309946185569</v>
      </c>
      <c r="BM41" s="448">
        <f t="shared" si="36"/>
        <v>138064.91577479002</v>
      </c>
      <c r="BN41" s="55">
        <f t="shared" si="1"/>
        <v>511.42585637407939</v>
      </c>
      <c r="BO41" s="55">
        <f t="shared" si="1"/>
        <v>511.42585637407939</v>
      </c>
      <c r="BP41" s="55">
        <f t="shared" si="1"/>
        <v>511.42585637407939</v>
      </c>
      <c r="BQ41" s="55"/>
      <c r="BR41" s="55">
        <f t="shared" si="1"/>
        <v>511.42585637407939</v>
      </c>
      <c r="BS41" s="55">
        <f t="shared" si="37"/>
        <v>2045.7034254963175</v>
      </c>
      <c r="BT41" s="448">
        <f t="shared" si="8"/>
        <v>136019.2123492937</v>
      </c>
      <c r="BU41" s="57">
        <v>126.408</v>
      </c>
      <c r="BV41" s="350">
        <v>115.95399999999999</v>
      </c>
      <c r="BW41" s="55">
        <f t="shared" si="38"/>
        <v>1.0901564413474309</v>
      </c>
      <c r="BX41" s="55">
        <f t="shared" si="39"/>
        <v>525.17070405132699</v>
      </c>
      <c r="BY41" s="55">
        <f t="shared" si="40"/>
        <v>572.51822582851946</v>
      </c>
      <c r="BZ41" s="55">
        <v>502.65159487995436</v>
      </c>
      <c r="CA41" s="55">
        <v>502.65159487995436</v>
      </c>
      <c r="CB41" s="55">
        <v>502.65159487995436</v>
      </c>
      <c r="CC41" s="55">
        <v>502.65159487995436</v>
      </c>
      <c r="CD41" s="55">
        <v>502.65159487995436</v>
      </c>
      <c r="CE41" s="55">
        <v>502.65159487995436</v>
      </c>
      <c r="CF41" s="55">
        <v>502.65159487995436</v>
      </c>
      <c r="CG41" s="55">
        <f t="shared" si="41"/>
        <v>3518.5611641596802</v>
      </c>
      <c r="CH41" s="448">
        <f t="shared" si="42"/>
        <v>132500.65118513402</v>
      </c>
      <c r="CI41" s="55">
        <v>502.65159487995436</v>
      </c>
      <c r="CJ41" s="55">
        <v>502.65159487995436</v>
      </c>
      <c r="CK41" s="55">
        <v>502.65159487995436</v>
      </c>
      <c r="CL41" s="55">
        <v>502.65159487995436</v>
      </c>
      <c r="CM41" s="55">
        <v>502.65159487995436</v>
      </c>
      <c r="CN41" s="505">
        <f t="shared" si="2"/>
        <v>2513.2579743997717</v>
      </c>
      <c r="CO41" s="679">
        <f t="shared" si="3"/>
        <v>129987.39321073424</v>
      </c>
      <c r="CP41" s="350">
        <v>132.28200000000001</v>
      </c>
      <c r="CQ41" s="350">
        <v>115.95399999999999</v>
      </c>
      <c r="CR41" s="55">
        <f t="shared" si="43"/>
        <v>1.1408144609069115</v>
      </c>
      <c r="CS41" s="55">
        <f t="shared" si="9"/>
        <v>451.34511531504944</v>
      </c>
      <c r="CT41" s="55">
        <f t="shared" si="10"/>
        <v>514.90103441110591</v>
      </c>
      <c r="CU41" s="511">
        <v>514.90103441110591</v>
      </c>
      <c r="CV41" s="511">
        <v>514.90103441110591</v>
      </c>
      <c r="CW41" s="511">
        <v>514.90103441110591</v>
      </c>
      <c r="CX41" s="511">
        <v>514.90103441110591</v>
      </c>
      <c r="CY41" s="511">
        <v>514.90103441110591</v>
      </c>
      <c r="CZ41" s="511">
        <v>514.90103441110591</v>
      </c>
      <c r="DA41" s="511">
        <v>514.90103441110591</v>
      </c>
      <c r="DB41" s="511">
        <v>514.90103441110591</v>
      </c>
      <c r="DC41" s="511">
        <v>514.90103441110591</v>
      </c>
      <c r="DD41" s="511">
        <v>514.90103441110591</v>
      </c>
      <c r="DE41" s="511">
        <v>514.90103441110591</v>
      </c>
      <c r="DF41" s="511">
        <v>514.90103441110591</v>
      </c>
      <c r="DG41" s="511">
        <v>514.90103441110591</v>
      </c>
      <c r="DH41" s="511">
        <v>514.90103441110591</v>
      </c>
      <c r="DI41" s="511">
        <v>514.90103441110591</v>
      </c>
      <c r="DJ41" s="511">
        <v>514.90103441110591</v>
      </c>
      <c r="DK41" s="511">
        <v>514.90103441110591</v>
      </c>
      <c r="DL41" s="511">
        <v>514.90103441110591</v>
      </c>
      <c r="DM41" s="55">
        <f t="shared" si="11"/>
        <v>9268.2186193999059</v>
      </c>
      <c r="DN41" s="55">
        <f t="shared" si="12"/>
        <v>120719.17459133433</v>
      </c>
    </row>
    <row r="42" spans="1:118" ht="33.75" x14ac:dyDescent="0.2">
      <c r="A42" s="100" t="s">
        <v>943</v>
      </c>
      <c r="B42" s="406" t="s">
        <v>805</v>
      </c>
      <c r="C42" s="45" t="s">
        <v>815</v>
      </c>
      <c r="D42" s="58">
        <v>25</v>
      </c>
      <c r="E42" s="49">
        <v>0.04</v>
      </c>
      <c r="F42" s="46">
        <v>43281</v>
      </c>
      <c r="G42" s="48">
        <v>300</v>
      </c>
      <c r="H42" s="145">
        <v>0.33333333333333331</v>
      </c>
      <c r="I42" s="165">
        <v>1.6666666666666665</v>
      </c>
      <c r="J42" s="48">
        <f t="shared" si="18"/>
        <v>41</v>
      </c>
      <c r="K42" s="165">
        <v>98.333333333333329</v>
      </c>
      <c r="L42" s="48">
        <f t="shared" si="20"/>
        <v>259</v>
      </c>
      <c r="M42" s="165">
        <v>2.333333333333333</v>
      </c>
      <c r="N42" s="48">
        <v>7</v>
      </c>
      <c r="O42" s="165">
        <v>96</v>
      </c>
      <c r="P42" s="48">
        <v>288</v>
      </c>
      <c r="Q42" s="462">
        <f t="shared" si="5"/>
        <v>51136</v>
      </c>
      <c r="R42" s="402" t="s">
        <v>944</v>
      </c>
      <c r="S42" s="46">
        <v>42005</v>
      </c>
      <c r="T42" s="47">
        <v>56969.42</v>
      </c>
      <c r="U42" s="47">
        <v>949.4903333333333</v>
      </c>
      <c r="V42" s="106">
        <v>56969.42</v>
      </c>
      <c r="W42" s="165">
        <v>189.89806666666664</v>
      </c>
      <c r="X42" s="351">
        <v>949.49033333333318</v>
      </c>
      <c r="Y42" s="80">
        <v>56019.929666666663</v>
      </c>
      <c r="Z42" s="57">
        <v>115.958</v>
      </c>
      <c r="AA42" s="350">
        <v>115.95399999999999</v>
      </c>
      <c r="AB42" s="55">
        <v>1.0000344964382428</v>
      </c>
      <c r="AC42" s="55">
        <v>189.89806666666664</v>
      </c>
      <c r="AD42" s="55">
        <v>189.90461747359583</v>
      </c>
      <c r="AE42" s="55"/>
      <c r="AF42" s="55"/>
      <c r="AG42" s="55"/>
      <c r="AH42" s="55"/>
      <c r="AI42" s="55"/>
      <c r="AJ42" s="55">
        <v>189.90461747359583</v>
      </c>
      <c r="AK42" s="55">
        <v>189.90461747359583</v>
      </c>
      <c r="AL42" s="55">
        <v>189.90461747359583</v>
      </c>
      <c r="AM42" s="55">
        <v>189.90461747359583</v>
      </c>
      <c r="AN42" s="55">
        <v>189.90461747359583</v>
      </c>
      <c r="AO42" s="55">
        <v>189.90461747359583</v>
      </c>
      <c r="AP42" s="55">
        <v>189.90461747359583</v>
      </c>
      <c r="AQ42" s="72">
        <v>1139.427704841575</v>
      </c>
      <c r="AR42" s="72">
        <v>54880.501961825088</v>
      </c>
      <c r="AS42" s="55"/>
      <c r="AT42" s="55"/>
      <c r="AU42" s="55">
        <f>189.9</f>
        <v>189.9</v>
      </c>
      <c r="AV42" s="55">
        <f>189.9</f>
        <v>189.9</v>
      </c>
      <c r="AW42" s="55">
        <f>189.9</f>
        <v>189.9</v>
      </c>
      <c r="AX42" s="55">
        <f>189.9</f>
        <v>189.9</v>
      </c>
      <c r="AY42" s="55">
        <f>189.9</f>
        <v>189.9</v>
      </c>
      <c r="AZ42" s="57">
        <v>118.901</v>
      </c>
      <c r="BA42" s="350">
        <v>115.95399999999999</v>
      </c>
      <c r="BB42" s="55">
        <f t="shared" si="34"/>
        <v>1.0254152508753471</v>
      </c>
      <c r="BC42" s="55">
        <f t="shared" si="13"/>
        <v>189.89806666666667</v>
      </c>
      <c r="BD42" s="55">
        <f t="shared" si="14"/>
        <v>194.72437367174339</v>
      </c>
      <c r="BE42" s="55">
        <f t="shared" si="7"/>
        <v>194.72437367174339</v>
      </c>
      <c r="BF42" s="55">
        <f t="shared" si="7"/>
        <v>194.72437367174339</v>
      </c>
      <c r="BG42" s="55">
        <f t="shared" si="7"/>
        <v>194.72437367174339</v>
      </c>
      <c r="BH42" s="55">
        <f t="shared" si="7"/>
        <v>194.72437367174339</v>
      </c>
      <c r="BI42" s="55">
        <f t="shared" si="7"/>
        <v>194.72437367174339</v>
      </c>
      <c r="BJ42" s="55">
        <f t="shared" si="7"/>
        <v>194.72437367174339</v>
      </c>
      <c r="BK42" s="55">
        <f t="shared" si="7"/>
        <v>194.72437367174339</v>
      </c>
      <c r="BL42" s="55">
        <f t="shared" si="35"/>
        <v>2312.5706157022041</v>
      </c>
      <c r="BM42" s="448">
        <f t="shared" si="36"/>
        <v>52567.931346122881</v>
      </c>
      <c r="BN42" s="55">
        <f t="shared" si="1"/>
        <v>194.72437367174339</v>
      </c>
      <c r="BO42" s="55">
        <f t="shared" si="1"/>
        <v>194.72437367174339</v>
      </c>
      <c r="BP42" s="55">
        <f t="shared" si="1"/>
        <v>194.72437367174339</v>
      </c>
      <c r="BQ42" s="55"/>
      <c r="BR42" s="55">
        <f t="shared" si="1"/>
        <v>194.72437367174339</v>
      </c>
      <c r="BS42" s="55">
        <f t="shared" si="37"/>
        <v>778.89749468697357</v>
      </c>
      <c r="BT42" s="448">
        <f t="shared" si="8"/>
        <v>51789.03385143591</v>
      </c>
      <c r="BU42" s="57">
        <v>126.408</v>
      </c>
      <c r="BV42" s="350">
        <v>115.95399999999999</v>
      </c>
      <c r="BW42" s="55">
        <f t="shared" si="38"/>
        <v>1.0901564413474309</v>
      </c>
      <c r="BX42" s="55">
        <f t="shared" si="39"/>
        <v>199.9576596580537</v>
      </c>
      <c r="BY42" s="55">
        <f t="shared" si="40"/>
        <v>217.98513067298458</v>
      </c>
      <c r="BZ42" s="55">
        <v>191.383555404417</v>
      </c>
      <c r="CA42" s="55">
        <v>191.383555404417</v>
      </c>
      <c r="CB42" s="55">
        <v>191.383555404417</v>
      </c>
      <c r="CC42" s="55">
        <v>191.383555404417</v>
      </c>
      <c r="CD42" s="55">
        <v>191.383555404417</v>
      </c>
      <c r="CE42" s="55">
        <v>191.383555404417</v>
      </c>
      <c r="CF42" s="55">
        <v>191.383555404417</v>
      </c>
      <c r="CG42" s="55">
        <f t="shared" si="41"/>
        <v>1339.6848878309188</v>
      </c>
      <c r="CH42" s="448">
        <f t="shared" si="42"/>
        <v>50449.348963604993</v>
      </c>
      <c r="CI42" s="55">
        <v>191.383555404417</v>
      </c>
      <c r="CJ42" s="55">
        <v>191.383555404417</v>
      </c>
      <c r="CK42" s="55">
        <v>191.383555404417</v>
      </c>
      <c r="CL42" s="55">
        <v>191.383555404417</v>
      </c>
      <c r="CM42" s="55">
        <v>191.383555404417</v>
      </c>
      <c r="CN42" s="505">
        <f t="shared" si="2"/>
        <v>956.91777702208492</v>
      </c>
      <c r="CO42" s="679">
        <f t="shared" si="3"/>
        <v>49492.431186582908</v>
      </c>
      <c r="CP42" s="350">
        <v>132.28200000000001</v>
      </c>
      <c r="CQ42" s="350">
        <v>115.95399999999999</v>
      </c>
      <c r="CR42" s="55">
        <f t="shared" si="43"/>
        <v>1.1408144609069115</v>
      </c>
      <c r="CS42" s="55">
        <f t="shared" si="9"/>
        <v>171.84871939785731</v>
      </c>
      <c r="CT42" s="55">
        <f t="shared" si="10"/>
        <v>196.04750417740971</v>
      </c>
      <c r="CU42" s="511">
        <v>196.04750417740971</v>
      </c>
      <c r="CV42" s="511">
        <v>196.04750417740971</v>
      </c>
      <c r="CW42" s="511">
        <v>196.04750417740971</v>
      </c>
      <c r="CX42" s="511">
        <v>196.04750417740971</v>
      </c>
      <c r="CY42" s="511">
        <v>196.04750417740971</v>
      </c>
      <c r="CZ42" s="511">
        <v>196.04750417740971</v>
      </c>
      <c r="DA42" s="511">
        <v>196.04750417740971</v>
      </c>
      <c r="DB42" s="511">
        <v>196.04750417740971</v>
      </c>
      <c r="DC42" s="511">
        <v>196.04750417740971</v>
      </c>
      <c r="DD42" s="511">
        <v>196.04750417740971</v>
      </c>
      <c r="DE42" s="511">
        <v>196.04750417740971</v>
      </c>
      <c r="DF42" s="511">
        <v>196.04750417740971</v>
      </c>
      <c r="DG42" s="511">
        <v>196.04750417740971</v>
      </c>
      <c r="DH42" s="511">
        <v>196.04750417740971</v>
      </c>
      <c r="DI42" s="511">
        <v>196.04750417740971</v>
      </c>
      <c r="DJ42" s="511">
        <v>196.04750417740971</v>
      </c>
      <c r="DK42" s="511">
        <v>196.04750417740971</v>
      </c>
      <c r="DL42" s="511">
        <v>196.04750417740971</v>
      </c>
      <c r="DM42" s="55">
        <f t="shared" si="11"/>
        <v>3528.8550751933758</v>
      </c>
      <c r="DN42" s="55">
        <f t="shared" si="12"/>
        <v>45963.576111389535</v>
      </c>
    </row>
    <row r="43" spans="1:118" x14ac:dyDescent="0.2">
      <c r="A43" s="100" t="s">
        <v>938</v>
      </c>
      <c r="B43" s="406" t="s">
        <v>806</v>
      </c>
      <c r="C43" s="45" t="s">
        <v>815</v>
      </c>
      <c r="D43" s="58">
        <v>25</v>
      </c>
      <c r="E43" s="49">
        <v>0.04</v>
      </c>
      <c r="F43" s="46">
        <v>43281</v>
      </c>
      <c r="G43" s="48">
        <v>300</v>
      </c>
      <c r="H43" s="145">
        <v>0.33333333333333331</v>
      </c>
      <c r="I43" s="165">
        <v>1.6666666666666665</v>
      </c>
      <c r="J43" s="48">
        <f t="shared" si="18"/>
        <v>41</v>
      </c>
      <c r="K43" s="165">
        <v>98.333333333333329</v>
      </c>
      <c r="L43" s="48">
        <f t="shared" si="20"/>
        <v>259</v>
      </c>
      <c r="M43" s="165">
        <v>2.333333333333333</v>
      </c>
      <c r="N43" s="48">
        <v>7</v>
      </c>
      <c r="O43" s="165">
        <v>96</v>
      </c>
      <c r="P43" s="48">
        <v>288</v>
      </c>
      <c r="Q43" s="462">
        <f t="shared" si="5"/>
        <v>51136</v>
      </c>
      <c r="R43" s="46" t="s">
        <v>939</v>
      </c>
      <c r="S43" s="46">
        <v>42005</v>
      </c>
      <c r="T43" s="47">
        <v>100000</v>
      </c>
      <c r="U43" s="47">
        <v>1666.6666666666667</v>
      </c>
      <c r="V43" s="106">
        <v>100000</v>
      </c>
      <c r="W43" s="165">
        <v>333.33333333333331</v>
      </c>
      <c r="X43" s="351">
        <v>1666.6666666666665</v>
      </c>
      <c r="Y43" s="80">
        <v>98333.333333333328</v>
      </c>
      <c r="Z43" s="57">
        <v>115.958</v>
      </c>
      <c r="AA43" s="350">
        <v>115.95399999999999</v>
      </c>
      <c r="AB43" s="55">
        <v>1.0000344964382428</v>
      </c>
      <c r="AC43" s="55">
        <v>333.33333333333331</v>
      </c>
      <c r="AD43" s="55">
        <v>333.34483214608093</v>
      </c>
      <c r="AE43" s="55"/>
      <c r="AF43" s="55"/>
      <c r="AG43" s="55"/>
      <c r="AH43" s="55"/>
      <c r="AI43" s="55"/>
      <c r="AJ43" s="55">
        <v>333.34483214608093</v>
      </c>
      <c r="AK43" s="55">
        <v>333.34483214608093</v>
      </c>
      <c r="AL43" s="55">
        <v>333.34483214608093</v>
      </c>
      <c r="AM43" s="55">
        <v>333.34483214608093</v>
      </c>
      <c r="AN43" s="55">
        <v>333.34483214608093</v>
      </c>
      <c r="AO43" s="55">
        <v>333.34483214608093</v>
      </c>
      <c r="AP43" s="55">
        <v>333.34483214608093</v>
      </c>
      <c r="AQ43" s="72">
        <v>2000.0689928764857</v>
      </c>
      <c r="AR43" s="72">
        <v>96333.264340456837</v>
      </c>
      <c r="AS43" s="55"/>
      <c r="AT43" s="55"/>
      <c r="AU43" s="55">
        <f>333.33</f>
        <v>333.33</v>
      </c>
      <c r="AV43" s="55">
        <f>333.33</f>
        <v>333.33</v>
      </c>
      <c r="AW43" s="55">
        <f>333.33</f>
        <v>333.33</v>
      </c>
      <c r="AX43" s="55">
        <f>333.33</f>
        <v>333.33</v>
      </c>
      <c r="AY43" s="55">
        <f>333.33</f>
        <v>333.33</v>
      </c>
      <c r="AZ43" s="57">
        <v>118.901</v>
      </c>
      <c r="BA43" s="350">
        <v>115.95399999999999</v>
      </c>
      <c r="BB43" s="55">
        <f t="shared" si="34"/>
        <v>1.0254152508753471</v>
      </c>
      <c r="BC43" s="55">
        <f t="shared" si="13"/>
        <v>333.33333333333331</v>
      </c>
      <c r="BD43" s="55">
        <f t="shared" si="14"/>
        <v>341.80508362511569</v>
      </c>
      <c r="BE43" s="55">
        <f t="shared" si="7"/>
        <v>341.80508362511569</v>
      </c>
      <c r="BF43" s="55">
        <f t="shared" si="7"/>
        <v>341.80508362511569</v>
      </c>
      <c r="BG43" s="55">
        <f t="shared" si="7"/>
        <v>341.80508362511569</v>
      </c>
      <c r="BH43" s="55">
        <f t="shared" si="7"/>
        <v>341.80508362511569</v>
      </c>
      <c r="BI43" s="55">
        <f t="shared" si="7"/>
        <v>341.80508362511569</v>
      </c>
      <c r="BJ43" s="55">
        <f t="shared" si="7"/>
        <v>341.80508362511569</v>
      </c>
      <c r="BK43" s="55">
        <f t="shared" si="7"/>
        <v>341.80508362511569</v>
      </c>
      <c r="BL43" s="55">
        <f t="shared" si="35"/>
        <v>4059.285585375811</v>
      </c>
      <c r="BM43" s="448">
        <f t="shared" si="36"/>
        <v>92273.978755081029</v>
      </c>
      <c r="BN43" s="55">
        <f t="shared" si="1"/>
        <v>341.80508362511569</v>
      </c>
      <c r="BO43" s="55">
        <f t="shared" si="1"/>
        <v>341.80508362511569</v>
      </c>
      <c r="BP43" s="55">
        <f t="shared" si="1"/>
        <v>341.80508362511569</v>
      </c>
      <c r="BQ43" s="55"/>
      <c r="BR43" s="55">
        <f t="shared" si="1"/>
        <v>341.80508362511569</v>
      </c>
      <c r="BS43" s="55">
        <f t="shared" si="37"/>
        <v>1367.2203345004627</v>
      </c>
      <c r="BT43" s="448">
        <f t="shared" si="8"/>
        <v>90906.758420580562</v>
      </c>
      <c r="BU43" s="57">
        <v>126.408</v>
      </c>
      <c r="BV43" s="350">
        <v>115.95399999999999</v>
      </c>
      <c r="BW43" s="55">
        <f t="shared" si="38"/>
        <v>1.0901564413474309</v>
      </c>
      <c r="BX43" s="55">
        <f t="shared" si="39"/>
        <v>350.99134525320682</v>
      </c>
      <c r="BY43" s="55">
        <f t="shared" si="40"/>
        <v>382.63547588498346</v>
      </c>
      <c r="BZ43" s="55">
        <v>335.94097713291762</v>
      </c>
      <c r="CA43" s="55">
        <v>335.94097713291762</v>
      </c>
      <c r="CB43" s="55">
        <v>335.94097713291762</v>
      </c>
      <c r="CC43" s="55">
        <v>335.94097713291762</v>
      </c>
      <c r="CD43" s="55">
        <v>335.94097713291762</v>
      </c>
      <c r="CE43" s="55">
        <v>335.94097713291762</v>
      </c>
      <c r="CF43" s="55">
        <v>335.94097713291762</v>
      </c>
      <c r="CG43" s="55">
        <f t="shared" si="41"/>
        <v>2351.5868399304236</v>
      </c>
      <c r="CH43" s="448">
        <f t="shared" si="42"/>
        <v>88555.171580650145</v>
      </c>
      <c r="CI43" s="55">
        <v>335.94097713291762</v>
      </c>
      <c r="CJ43" s="55">
        <v>335.94097713291762</v>
      </c>
      <c r="CK43" s="55">
        <v>335.94097713291762</v>
      </c>
      <c r="CL43" s="55">
        <v>335.94097713291762</v>
      </c>
      <c r="CM43" s="55">
        <v>335.94097713291762</v>
      </c>
      <c r="CN43" s="505">
        <f t="shared" si="2"/>
        <v>1679.7048856645881</v>
      </c>
      <c r="CO43" s="679">
        <f t="shared" si="3"/>
        <v>86875.46669498556</v>
      </c>
      <c r="CP43" s="350">
        <v>132.28200000000001</v>
      </c>
      <c r="CQ43" s="350">
        <v>115.95399999999999</v>
      </c>
      <c r="CR43" s="55">
        <f t="shared" si="43"/>
        <v>1.1408144609069115</v>
      </c>
      <c r="CS43" s="55">
        <f t="shared" si="9"/>
        <v>301.6509260242554</v>
      </c>
      <c r="CT43" s="55">
        <f t="shared" si="10"/>
        <v>344.12773855443157</v>
      </c>
      <c r="CU43" s="511">
        <v>344.12773855443157</v>
      </c>
      <c r="CV43" s="511">
        <v>344.12773855443157</v>
      </c>
      <c r="CW43" s="511">
        <v>344.12773855443157</v>
      </c>
      <c r="CX43" s="511">
        <v>344.12773855443157</v>
      </c>
      <c r="CY43" s="511">
        <v>344.12773855443157</v>
      </c>
      <c r="CZ43" s="511">
        <v>344.12773855443157</v>
      </c>
      <c r="DA43" s="511">
        <v>344.12773855443157</v>
      </c>
      <c r="DB43" s="511">
        <v>344.12773855443157</v>
      </c>
      <c r="DC43" s="511">
        <v>344.12773855443157</v>
      </c>
      <c r="DD43" s="511">
        <v>344.12773855443157</v>
      </c>
      <c r="DE43" s="511">
        <v>344.12773855443157</v>
      </c>
      <c r="DF43" s="511">
        <v>344.12773855443157</v>
      </c>
      <c r="DG43" s="511">
        <v>344.12773855443157</v>
      </c>
      <c r="DH43" s="511">
        <v>344.12773855443157</v>
      </c>
      <c r="DI43" s="511">
        <v>344.12773855443157</v>
      </c>
      <c r="DJ43" s="511">
        <v>344.12773855443157</v>
      </c>
      <c r="DK43" s="511">
        <v>344.12773855443157</v>
      </c>
      <c r="DL43" s="511">
        <v>344.12773855443157</v>
      </c>
      <c r="DM43" s="55">
        <f t="shared" si="11"/>
        <v>6194.2992939797705</v>
      </c>
      <c r="DN43" s="55">
        <f t="shared" si="12"/>
        <v>80681.16740100579</v>
      </c>
    </row>
    <row r="44" spans="1:118" x14ac:dyDescent="0.2">
      <c r="A44" s="100" t="s">
        <v>949</v>
      </c>
      <c r="B44" s="406" t="s">
        <v>947</v>
      </c>
      <c r="C44" s="45" t="s">
        <v>815</v>
      </c>
      <c r="D44" s="58">
        <v>25</v>
      </c>
      <c r="E44" s="49">
        <v>0.04</v>
      </c>
      <c r="F44" s="46">
        <v>43281</v>
      </c>
      <c r="G44" s="48">
        <f t="shared" ref="G44:G50" si="51">D44*12</f>
        <v>300</v>
      </c>
      <c r="H44" s="145">
        <f t="shared" ref="H44:H50" si="52">100/G44</f>
        <v>0.33333333333333331</v>
      </c>
      <c r="I44" s="165">
        <f t="shared" ref="I44:I50" si="53">H44*J44</f>
        <v>13.666666666666666</v>
      </c>
      <c r="J44" s="48">
        <f t="shared" si="18"/>
        <v>41</v>
      </c>
      <c r="K44" s="165">
        <f t="shared" ref="K44:K50" si="54">L44*H44</f>
        <v>86.333333333333329</v>
      </c>
      <c r="L44" s="48">
        <f t="shared" si="20"/>
        <v>259</v>
      </c>
      <c r="M44" s="165">
        <f t="shared" ref="M44:M50" si="55">N44*H44</f>
        <v>2.333333333333333</v>
      </c>
      <c r="N44" s="48">
        <v>7</v>
      </c>
      <c r="O44" s="165">
        <f t="shared" ref="O44:O50" si="56">P44*H44</f>
        <v>84</v>
      </c>
      <c r="P44" s="48">
        <f t="shared" ref="P44:P50" si="57">L44-N44</f>
        <v>252</v>
      </c>
      <c r="Q44" s="462">
        <f t="shared" si="5"/>
        <v>51136</v>
      </c>
      <c r="R44" s="46" t="s">
        <v>950</v>
      </c>
      <c r="S44" s="46">
        <v>42005</v>
      </c>
      <c r="T44" s="47">
        <v>2292853.5</v>
      </c>
      <c r="U44" s="47">
        <f t="shared" ref="U44:U50" si="58">T44*I44%</f>
        <v>313356.64499999996</v>
      </c>
      <c r="V44" s="106">
        <f>T44</f>
        <v>2292853.5</v>
      </c>
      <c r="W44" s="165">
        <f t="shared" ref="W44:W50" si="59">T44*H44%</f>
        <v>7642.8449999999993</v>
      </c>
      <c r="X44" s="351">
        <f t="shared" ref="X44:X50" si="60">W44*5</f>
        <v>38214.224999999999</v>
      </c>
      <c r="Y44" s="80">
        <f t="shared" ref="Y44:Y50" si="61">V44-X44</f>
        <v>2254639.2749999999</v>
      </c>
      <c r="Z44" s="57">
        <v>115.958</v>
      </c>
      <c r="AA44" s="350">
        <v>115.95399999999999</v>
      </c>
      <c r="AB44" s="55">
        <f t="shared" ref="AB44:AB50" si="62">Z44/AA44</f>
        <v>1.0000344964382428</v>
      </c>
      <c r="AC44" s="55">
        <f t="shared" ref="AC44:AC50" si="63">Y44*M44/100/K44*100/7</f>
        <v>8705.1709459459453</v>
      </c>
      <c r="AD44" s="55">
        <f t="shared" ref="AD44:AD50" si="64">AC44*AB44</f>
        <v>8705.4712433378754</v>
      </c>
      <c r="AE44" s="55"/>
      <c r="AF44" s="55"/>
      <c r="AG44" s="55"/>
      <c r="AH44" s="55"/>
      <c r="AI44" s="55"/>
      <c r="AJ44" s="55">
        <f t="shared" ref="AJ44:AP50" si="65">$AD44</f>
        <v>8705.4712433378754</v>
      </c>
      <c r="AK44" s="55">
        <f t="shared" si="65"/>
        <v>8705.4712433378754</v>
      </c>
      <c r="AL44" s="55">
        <f t="shared" si="65"/>
        <v>8705.4712433378754</v>
      </c>
      <c r="AM44" s="55">
        <f t="shared" si="65"/>
        <v>8705.4712433378754</v>
      </c>
      <c r="AN44" s="55">
        <f t="shared" si="65"/>
        <v>8705.4712433378754</v>
      </c>
      <c r="AO44" s="55">
        <f t="shared" si="65"/>
        <v>8705.4712433378754</v>
      </c>
      <c r="AP44" s="55">
        <f t="shared" si="65"/>
        <v>8705.4712433378754</v>
      </c>
      <c r="AQ44" s="72">
        <f t="shared" ref="AQ44:AQ50" si="66">SUM(AE44:AP44)</f>
        <v>60938.298703365122</v>
      </c>
      <c r="AR44" s="72">
        <f t="shared" ref="AR44:AR50" si="67">Y44-AQ44</f>
        <v>2193700.9762966349</v>
      </c>
      <c r="AS44" s="55"/>
      <c r="AT44" s="55"/>
      <c r="AU44" s="55">
        <f>7642.85</f>
        <v>7642.85</v>
      </c>
      <c r="AV44" s="55">
        <f>7642.85</f>
        <v>7642.85</v>
      </c>
      <c r="AW44" s="55">
        <f>7642.85</f>
        <v>7642.85</v>
      </c>
      <c r="AX44" s="55">
        <f>7642.85</f>
        <v>7642.85</v>
      </c>
      <c r="AY44" s="55">
        <f>7642.85</f>
        <v>7642.85</v>
      </c>
      <c r="AZ44" s="57">
        <v>118.901</v>
      </c>
      <c r="BA44" s="350">
        <v>115.95399999999999</v>
      </c>
      <c r="BB44" s="55">
        <f t="shared" si="34"/>
        <v>1.0254152508753471</v>
      </c>
      <c r="BC44" s="55">
        <f t="shared" si="13"/>
        <v>7642.8450000000003</v>
      </c>
      <c r="BD44" s="55">
        <f t="shared" si="14"/>
        <v>7837.0898230763923</v>
      </c>
      <c r="BE44" s="55">
        <f t="shared" si="7"/>
        <v>7837.0898230763923</v>
      </c>
      <c r="BF44" s="55">
        <f t="shared" si="7"/>
        <v>7837.0898230763923</v>
      </c>
      <c r="BG44" s="55">
        <f t="shared" si="7"/>
        <v>7837.0898230763923</v>
      </c>
      <c r="BH44" s="55">
        <f t="shared" si="7"/>
        <v>7837.0898230763923</v>
      </c>
      <c r="BI44" s="55">
        <f t="shared" si="7"/>
        <v>7837.0898230763923</v>
      </c>
      <c r="BJ44" s="55">
        <f t="shared" si="7"/>
        <v>7837.0898230763923</v>
      </c>
      <c r="BK44" s="55">
        <f t="shared" si="7"/>
        <v>7837.0898230763923</v>
      </c>
      <c r="BL44" s="55">
        <f t="shared" si="35"/>
        <v>93073.878761534725</v>
      </c>
      <c r="BM44" s="448">
        <f t="shared" si="36"/>
        <v>2100627.0975351003</v>
      </c>
      <c r="BN44" s="55">
        <f t="shared" si="1"/>
        <v>7837.0898230763923</v>
      </c>
      <c r="BO44" s="55">
        <f t="shared" si="1"/>
        <v>7837.0898230763923</v>
      </c>
      <c r="BP44" s="55">
        <f t="shared" si="1"/>
        <v>7837.0898230763923</v>
      </c>
      <c r="BQ44" s="55"/>
      <c r="BR44" s="55">
        <f t="shared" si="1"/>
        <v>7837.0898230763923</v>
      </c>
      <c r="BS44" s="55">
        <f t="shared" si="37"/>
        <v>31348.359292305569</v>
      </c>
      <c r="BT44" s="448">
        <f t="shared" si="8"/>
        <v>2069278.7382427948</v>
      </c>
      <c r="BU44" s="57">
        <v>126.408</v>
      </c>
      <c r="BV44" s="350">
        <v>115.95399999999999</v>
      </c>
      <c r="BW44" s="55">
        <f t="shared" si="38"/>
        <v>1.0901564413474309</v>
      </c>
      <c r="BX44" s="55">
        <f t="shared" si="39"/>
        <v>7989.4931978486284</v>
      </c>
      <c r="BY44" s="55">
        <f t="shared" si="40"/>
        <v>8709.797472736167</v>
      </c>
      <c r="BZ44" s="55">
        <v>8334.9785836270403</v>
      </c>
      <c r="CA44" s="55">
        <v>8334.9785836270403</v>
      </c>
      <c r="CB44" s="55">
        <v>8334.9785836270403</v>
      </c>
      <c r="CC44" s="55">
        <v>8334.9785836270403</v>
      </c>
      <c r="CD44" s="55">
        <v>8334.9785836270403</v>
      </c>
      <c r="CE44" s="55">
        <v>8334.9785836270403</v>
      </c>
      <c r="CF44" s="55">
        <v>8334.9785836270403</v>
      </c>
      <c r="CG44" s="55">
        <f t="shared" si="41"/>
        <v>58344.850085389277</v>
      </c>
      <c r="CH44" s="448">
        <f t="shared" si="42"/>
        <v>2010933.8881574054</v>
      </c>
      <c r="CI44" s="55">
        <v>8334.9785836270403</v>
      </c>
      <c r="CJ44" s="55">
        <v>8334.9785836270403</v>
      </c>
      <c r="CK44" s="55">
        <v>8334.9785836270403</v>
      </c>
      <c r="CL44" s="55">
        <v>8334.9785836270403</v>
      </c>
      <c r="CM44" s="55">
        <v>8334.9785836270403</v>
      </c>
      <c r="CN44" s="505">
        <f t="shared" si="2"/>
        <v>41674.8929181352</v>
      </c>
      <c r="CO44" s="679">
        <f t="shared" si="3"/>
        <v>1969258.9952392702</v>
      </c>
      <c r="CP44" s="350">
        <v>132.28200000000001</v>
      </c>
      <c r="CQ44" s="350">
        <v>115.95399999999999</v>
      </c>
      <c r="CR44" s="55">
        <f t="shared" si="43"/>
        <v>1.1408144609069115</v>
      </c>
      <c r="CS44" s="55">
        <f t="shared" si="9"/>
        <v>7814.5198223780562</v>
      </c>
      <c r="CT44" s="55">
        <f t="shared" si="10"/>
        <v>8914.9172184125964</v>
      </c>
      <c r="CU44" s="55">
        <v>8914.9172184125964</v>
      </c>
      <c r="CV44" s="55">
        <v>8914.9172184125964</v>
      </c>
      <c r="CW44" s="55">
        <v>8914.9172184125964</v>
      </c>
      <c r="CX44" s="55">
        <v>8914.9172184125964</v>
      </c>
      <c r="CY44" s="55">
        <v>8914.9172184125964</v>
      </c>
      <c r="CZ44" s="55">
        <v>8914.9172184125964</v>
      </c>
      <c r="DA44" s="55">
        <v>8914.9172184125964</v>
      </c>
      <c r="DB44" s="55">
        <v>8914.9172184125964</v>
      </c>
      <c r="DC44" s="55">
        <v>8914.9172184125964</v>
      </c>
      <c r="DD44" s="55">
        <v>8914.9172184125964</v>
      </c>
      <c r="DE44" s="55">
        <v>8914.9172184125964</v>
      </c>
      <c r="DF44" s="55">
        <v>8914.9172184125964</v>
      </c>
      <c r="DG44" s="55">
        <v>8914.9172184125964</v>
      </c>
      <c r="DH44" s="55">
        <v>8914.9172184125964</v>
      </c>
      <c r="DI44" s="55">
        <v>8914.9172184125964</v>
      </c>
      <c r="DJ44" s="55">
        <v>8914.9172184125964</v>
      </c>
      <c r="DK44" s="55">
        <v>8914.9172184125964</v>
      </c>
      <c r="DL44" s="55">
        <v>8914.9172184125964</v>
      </c>
      <c r="DM44" s="55">
        <f t="shared" si="11"/>
        <v>160468.5099314267</v>
      </c>
      <c r="DN44" s="55">
        <f t="shared" si="12"/>
        <v>1808790.4853078434</v>
      </c>
    </row>
    <row r="45" spans="1:118" x14ac:dyDescent="0.2">
      <c r="A45" s="100" t="s">
        <v>951</v>
      </c>
      <c r="B45" s="406" t="s">
        <v>948</v>
      </c>
      <c r="C45" s="45" t="s">
        <v>815</v>
      </c>
      <c r="D45" s="58">
        <v>25</v>
      </c>
      <c r="E45" s="49">
        <v>0.04</v>
      </c>
      <c r="F45" s="46">
        <v>43281</v>
      </c>
      <c r="G45" s="48">
        <f t="shared" si="51"/>
        <v>300</v>
      </c>
      <c r="H45" s="145">
        <f t="shared" si="52"/>
        <v>0.33333333333333331</v>
      </c>
      <c r="I45" s="165">
        <f t="shared" si="53"/>
        <v>18.333333333333332</v>
      </c>
      <c r="J45" s="48">
        <f t="shared" si="18"/>
        <v>55</v>
      </c>
      <c r="K45" s="165">
        <f t="shared" si="54"/>
        <v>81.666666666666657</v>
      </c>
      <c r="L45" s="48">
        <f t="shared" si="20"/>
        <v>245</v>
      </c>
      <c r="M45" s="165">
        <f t="shared" si="55"/>
        <v>2.333333333333333</v>
      </c>
      <c r="N45" s="48">
        <v>7</v>
      </c>
      <c r="O45" s="165">
        <f t="shared" si="56"/>
        <v>79.333333333333329</v>
      </c>
      <c r="P45" s="48">
        <f t="shared" si="57"/>
        <v>238</v>
      </c>
      <c r="Q45" s="462">
        <f t="shared" si="5"/>
        <v>50737</v>
      </c>
      <c r="R45" s="46" t="s">
        <v>952</v>
      </c>
      <c r="S45" s="46">
        <v>41606</v>
      </c>
      <c r="T45" s="47">
        <v>566715</v>
      </c>
      <c r="U45" s="47">
        <f t="shared" si="58"/>
        <v>103897.74999999999</v>
      </c>
      <c r="V45" s="106">
        <f>T45-U45</f>
        <v>462817.25</v>
      </c>
      <c r="W45" s="165">
        <f t="shared" si="59"/>
        <v>1889.05</v>
      </c>
      <c r="X45" s="351">
        <f t="shared" si="60"/>
        <v>9445.25</v>
      </c>
      <c r="Y45" s="80">
        <f t="shared" si="61"/>
        <v>453372</v>
      </c>
      <c r="Z45" s="57">
        <v>115.958</v>
      </c>
      <c r="AA45" s="350">
        <v>115.95399999999999</v>
      </c>
      <c r="AB45" s="55">
        <f t="shared" si="62"/>
        <v>1.0000344964382428</v>
      </c>
      <c r="AC45" s="55">
        <f t="shared" si="63"/>
        <v>1850.4979591836732</v>
      </c>
      <c r="AD45" s="55">
        <f t="shared" si="64"/>
        <v>1850.5617947722405</v>
      </c>
      <c r="AE45" s="55"/>
      <c r="AF45" s="55"/>
      <c r="AG45" s="55"/>
      <c r="AH45" s="55"/>
      <c r="AI45" s="55"/>
      <c r="AJ45" s="55">
        <f t="shared" si="65"/>
        <v>1850.5617947722405</v>
      </c>
      <c r="AK45" s="55">
        <f t="shared" si="65"/>
        <v>1850.5617947722405</v>
      </c>
      <c r="AL45" s="55">
        <f t="shared" si="65"/>
        <v>1850.5617947722405</v>
      </c>
      <c r="AM45" s="55">
        <f t="shared" si="65"/>
        <v>1850.5617947722405</v>
      </c>
      <c r="AN45" s="55">
        <f t="shared" si="65"/>
        <v>1850.5617947722405</v>
      </c>
      <c r="AO45" s="55">
        <f t="shared" si="65"/>
        <v>1850.5617947722405</v>
      </c>
      <c r="AP45" s="55">
        <f t="shared" si="65"/>
        <v>1850.5617947722405</v>
      </c>
      <c r="AQ45" s="72">
        <f t="shared" si="66"/>
        <v>12953.932563405684</v>
      </c>
      <c r="AR45" s="72">
        <f t="shared" si="67"/>
        <v>440418.06743659434</v>
      </c>
      <c r="AS45" s="55"/>
      <c r="AT45" s="55"/>
      <c r="AU45" s="55">
        <f>1855.44</f>
        <v>1855.44</v>
      </c>
      <c r="AV45" s="55">
        <f>1855.44</f>
        <v>1855.44</v>
      </c>
      <c r="AW45" s="55">
        <f>1855.44</f>
        <v>1855.44</v>
      </c>
      <c r="AX45" s="55">
        <f>1855.44</f>
        <v>1855.44</v>
      </c>
      <c r="AY45" s="55">
        <f>1855.44</f>
        <v>1855.44</v>
      </c>
      <c r="AZ45" s="57">
        <v>118.901</v>
      </c>
      <c r="BA45" s="350">
        <v>115.95399999999999</v>
      </c>
      <c r="BB45" s="55">
        <f t="shared" si="34"/>
        <v>1.0254152508753471</v>
      </c>
      <c r="BC45" s="55">
        <f t="shared" si="13"/>
        <v>1889.05</v>
      </c>
      <c r="BD45" s="55">
        <f t="shared" si="14"/>
        <v>1937.0606796660745</v>
      </c>
      <c r="BE45" s="55">
        <f t="shared" si="7"/>
        <v>1937.0606796660745</v>
      </c>
      <c r="BF45" s="55">
        <f t="shared" si="7"/>
        <v>1937.0606796660745</v>
      </c>
      <c r="BG45" s="55">
        <f t="shared" si="7"/>
        <v>1937.0606796660745</v>
      </c>
      <c r="BH45" s="55">
        <f t="shared" si="7"/>
        <v>1937.0606796660745</v>
      </c>
      <c r="BI45" s="55">
        <f t="shared" si="7"/>
        <v>1937.0606796660745</v>
      </c>
      <c r="BJ45" s="55">
        <f t="shared" si="7"/>
        <v>1937.0606796660745</v>
      </c>
      <c r="BK45" s="55">
        <f t="shared" si="7"/>
        <v>1937.0606796660745</v>
      </c>
      <c r="BL45" s="55">
        <f t="shared" si="35"/>
        <v>22836.624757662525</v>
      </c>
      <c r="BM45" s="448">
        <f t="shared" si="36"/>
        <v>417581.44267893181</v>
      </c>
      <c r="BN45" s="55">
        <f t="shared" si="1"/>
        <v>1937.0606796660745</v>
      </c>
      <c r="BO45" s="55">
        <f t="shared" si="1"/>
        <v>1937.0606796660745</v>
      </c>
      <c r="BP45" s="55">
        <f t="shared" si="1"/>
        <v>1937.0606796660745</v>
      </c>
      <c r="BQ45" s="55"/>
      <c r="BR45" s="55">
        <f t="shared" si="1"/>
        <v>1937.0606796660745</v>
      </c>
      <c r="BS45" s="55">
        <f t="shared" si="37"/>
        <v>7748.2427186642981</v>
      </c>
      <c r="BT45" s="448">
        <f t="shared" si="8"/>
        <v>409833.19996026752</v>
      </c>
      <c r="BU45" s="57">
        <v>126.408</v>
      </c>
      <c r="BV45" s="350">
        <v>115.95399999999999</v>
      </c>
      <c r="BW45" s="55">
        <f t="shared" si="38"/>
        <v>1.0901564413474309</v>
      </c>
      <c r="BX45" s="55">
        <f t="shared" si="39"/>
        <v>1672.7885712663981</v>
      </c>
      <c r="BY45" s="55">
        <f t="shared" si="40"/>
        <v>1823.6012359784299</v>
      </c>
      <c r="BZ45" s="55">
        <v>1834.5559764546324</v>
      </c>
      <c r="CA45" s="55">
        <v>1834.5559764546324</v>
      </c>
      <c r="CB45" s="55">
        <v>1834.5559764546324</v>
      </c>
      <c r="CC45" s="55">
        <v>1834.5559764546324</v>
      </c>
      <c r="CD45" s="55">
        <v>1834.5559764546324</v>
      </c>
      <c r="CE45" s="55">
        <v>1834.5559764546324</v>
      </c>
      <c r="CF45" s="55">
        <v>1834.5559764546324</v>
      </c>
      <c r="CG45" s="55">
        <f t="shared" si="41"/>
        <v>12841.891835182427</v>
      </c>
      <c r="CH45" s="448">
        <f t="shared" si="42"/>
        <v>396991.30812508508</v>
      </c>
      <c r="CI45" s="55">
        <v>1834.5559764546324</v>
      </c>
      <c r="CJ45" s="55">
        <v>1834.5559764546324</v>
      </c>
      <c r="CK45" s="55">
        <v>1834.5559764546324</v>
      </c>
      <c r="CL45" s="55">
        <v>1834.5559764546324</v>
      </c>
      <c r="CM45" s="55">
        <v>1834.5559764546324</v>
      </c>
      <c r="CN45" s="505">
        <f t="shared" si="2"/>
        <v>9172.779882273162</v>
      </c>
      <c r="CO45" s="679">
        <f t="shared" si="3"/>
        <v>387818.52824281191</v>
      </c>
      <c r="CP45" s="350">
        <v>132.28200000000001</v>
      </c>
      <c r="CQ45" s="350">
        <v>115.95399999999999</v>
      </c>
      <c r="CR45" s="55">
        <f t="shared" si="43"/>
        <v>1.1408144609069115</v>
      </c>
      <c r="CS45" s="55">
        <f t="shared" si="9"/>
        <v>1629.4896144655963</v>
      </c>
      <c r="CT45" s="55">
        <f t="shared" si="10"/>
        <v>1858.9453160799803</v>
      </c>
      <c r="CU45" s="511">
        <v>1858.9453160799803</v>
      </c>
      <c r="CV45" s="511">
        <v>1858.9453160799803</v>
      </c>
      <c r="CW45" s="511">
        <v>1858.9453160799803</v>
      </c>
      <c r="CX45" s="511">
        <v>1858.9453160799803</v>
      </c>
      <c r="CY45" s="511">
        <v>1858.9453160799803</v>
      </c>
      <c r="CZ45" s="511">
        <v>1858.9453160799803</v>
      </c>
      <c r="DA45" s="511">
        <v>1858.9453160799803</v>
      </c>
      <c r="DB45" s="511">
        <v>1858.9453160799803</v>
      </c>
      <c r="DC45" s="511">
        <v>1858.9453160799803</v>
      </c>
      <c r="DD45" s="511">
        <v>1858.9453160799803</v>
      </c>
      <c r="DE45" s="511">
        <v>1858.9453160799803</v>
      </c>
      <c r="DF45" s="511">
        <v>1858.9453160799803</v>
      </c>
      <c r="DG45" s="511">
        <v>1858.9453160799803</v>
      </c>
      <c r="DH45" s="511">
        <v>1858.9453160799803</v>
      </c>
      <c r="DI45" s="511">
        <v>1858.9453160799803</v>
      </c>
      <c r="DJ45" s="511">
        <v>1858.9453160799803</v>
      </c>
      <c r="DK45" s="511">
        <v>1858.9453160799803</v>
      </c>
      <c r="DL45" s="511">
        <v>1858.9453160799803</v>
      </c>
      <c r="DM45" s="55">
        <f t="shared" si="11"/>
        <v>33461.015689439664</v>
      </c>
      <c r="DN45" s="55">
        <f t="shared" si="12"/>
        <v>354357.51255337225</v>
      </c>
    </row>
    <row r="46" spans="1:118" ht="67.5" x14ac:dyDescent="0.2">
      <c r="A46" s="100" t="s">
        <v>954</v>
      </c>
      <c r="B46" s="406" t="s">
        <v>953</v>
      </c>
      <c r="C46" s="45" t="s">
        <v>815</v>
      </c>
      <c r="D46" s="58">
        <v>25</v>
      </c>
      <c r="E46" s="49">
        <v>0.04</v>
      </c>
      <c r="F46" s="46">
        <v>43281</v>
      </c>
      <c r="G46" s="48">
        <f t="shared" si="51"/>
        <v>300</v>
      </c>
      <c r="H46" s="145">
        <f t="shared" si="52"/>
        <v>0.33333333333333331</v>
      </c>
      <c r="I46" s="165">
        <f t="shared" si="53"/>
        <v>13.666666666666666</v>
      </c>
      <c r="J46" s="48">
        <f t="shared" si="18"/>
        <v>41</v>
      </c>
      <c r="K46" s="165">
        <f t="shared" si="54"/>
        <v>86.333333333333329</v>
      </c>
      <c r="L46" s="48">
        <f t="shared" si="20"/>
        <v>259</v>
      </c>
      <c r="M46" s="165">
        <f t="shared" si="55"/>
        <v>2.333333333333333</v>
      </c>
      <c r="N46" s="48">
        <v>7</v>
      </c>
      <c r="O46" s="165">
        <f t="shared" si="56"/>
        <v>84</v>
      </c>
      <c r="P46" s="48">
        <f t="shared" si="57"/>
        <v>252</v>
      </c>
      <c r="Q46" s="462">
        <f t="shared" si="5"/>
        <v>51136</v>
      </c>
      <c r="R46" s="402" t="s">
        <v>955</v>
      </c>
      <c r="S46" s="46">
        <v>42005</v>
      </c>
      <c r="T46" s="47">
        <f>492444.23+309874.95+17421.08+10999.8+25143.3+141491.7</f>
        <v>997375.06</v>
      </c>
      <c r="U46" s="47">
        <f t="shared" si="58"/>
        <v>136307.92486666667</v>
      </c>
      <c r="V46" s="106">
        <f>T46</f>
        <v>997375.06</v>
      </c>
      <c r="W46" s="165">
        <f t="shared" si="59"/>
        <v>3324.5835333333334</v>
      </c>
      <c r="X46" s="351">
        <f t="shared" si="60"/>
        <v>16622.917666666668</v>
      </c>
      <c r="Y46" s="80">
        <f t="shared" si="61"/>
        <v>980752.14233333338</v>
      </c>
      <c r="Z46" s="57">
        <v>115.958</v>
      </c>
      <c r="AA46" s="350">
        <v>115.95399999999999</v>
      </c>
      <c r="AB46" s="55">
        <f t="shared" si="62"/>
        <v>1.0000344964382428</v>
      </c>
      <c r="AC46" s="55">
        <f t="shared" si="63"/>
        <v>3786.6878082368085</v>
      </c>
      <c r="AD46" s="55">
        <f t="shared" si="64"/>
        <v>3786.81843547893</v>
      </c>
      <c r="AE46" s="55"/>
      <c r="AF46" s="55"/>
      <c r="AG46" s="55"/>
      <c r="AH46" s="55"/>
      <c r="AI46" s="55"/>
      <c r="AJ46" s="55">
        <f t="shared" si="65"/>
        <v>3786.81843547893</v>
      </c>
      <c r="AK46" s="55">
        <f t="shared" si="65"/>
        <v>3786.81843547893</v>
      </c>
      <c r="AL46" s="55">
        <f t="shared" si="65"/>
        <v>3786.81843547893</v>
      </c>
      <c r="AM46" s="55">
        <f t="shared" si="65"/>
        <v>3786.81843547893</v>
      </c>
      <c r="AN46" s="55">
        <f t="shared" si="65"/>
        <v>3786.81843547893</v>
      </c>
      <c r="AO46" s="55">
        <f t="shared" si="65"/>
        <v>3786.81843547893</v>
      </c>
      <c r="AP46" s="55">
        <f t="shared" si="65"/>
        <v>3786.81843547893</v>
      </c>
      <c r="AQ46" s="72">
        <f t="shared" si="66"/>
        <v>26507.72904835251</v>
      </c>
      <c r="AR46" s="72">
        <f t="shared" si="67"/>
        <v>954244.41328498092</v>
      </c>
      <c r="AS46" s="55"/>
      <c r="AT46" s="55"/>
      <c r="AU46" s="55">
        <f>3324.58</f>
        <v>3324.58</v>
      </c>
      <c r="AV46" s="55">
        <f>3324.58</f>
        <v>3324.58</v>
      </c>
      <c r="AW46" s="55">
        <f>3324.58</f>
        <v>3324.58</v>
      </c>
      <c r="AX46" s="55">
        <f>3324.58</f>
        <v>3324.58</v>
      </c>
      <c r="AY46" s="55">
        <f>3324.58</f>
        <v>3324.58</v>
      </c>
      <c r="AZ46" s="57">
        <v>118.901</v>
      </c>
      <c r="BA46" s="350">
        <v>115.95399999999999</v>
      </c>
      <c r="BB46" s="55">
        <f t="shared" si="34"/>
        <v>1.0254152508753471</v>
      </c>
      <c r="BC46" s="55">
        <f t="shared" si="13"/>
        <v>3324.5835333333334</v>
      </c>
      <c r="BD46" s="55">
        <f t="shared" si="14"/>
        <v>3409.0786578890479</v>
      </c>
      <c r="BE46" s="55">
        <f t="shared" si="7"/>
        <v>3409.0786578890479</v>
      </c>
      <c r="BF46" s="55">
        <f t="shared" si="7"/>
        <v>3409.0786578890479</v>
      </c>
      <c r="BG46" s="55">
        <f t="shared" si="7"/>
        <v>3409.0786578890479</v>
      </c>
      <c r="BH46" s="55">
        <f t="shared" si="7"/>
        <v>3409.0786578890479</v>
      </c>
      <c r="BI46" s="55">
        <f t="shared" si="7"/>
        <v>3409.0786578890479</v>
      </c>
      <c r="BJ46" s="55">
        <f t="shared" si="7"/>
        <v>3409.0786578890479</v>
      </c>
      <c r="BK46" s="55">
        <f t="shared" si="7"/>
        <v>3409.0786578890479</v>
      </c>
      <c r="BL46" s="55">
        <f t="shared" si="35"/>
        <v>40486.450605223334</v>
      </c>
      <c r="BM46" s="448">
        <f t="shared" si="36"/>
        <v>913757.96267975762</v>
      </c>
      <c r="BN46" s="55">
        <f t="shared" si="1"/>
        <v>3409.0786578890479</v>
      </c>
      <c r="BO46" s="55">
        <f t="shared" si="1"/>
        <v>3409.0786578890479</v>
      </c>
      <c r="BP46" s="55">
        <f t="shared" si="1"/>
        <v>3409.0786578890479</v>
      </c>
      <c r="BQ46" s="55"/>
      <c r="BR46" s="55">
        <f t="shared" si="1"/>
        <v>3409.0786578890479</v>
      </c>
      <c r="BS46" s="55">
        <f t="shared" si="37"/>
        <v>13636.314631556192</v>
      </c>
      <c r="BT46" s="448">
        <f t="shared" si="8"/>
        <v>900121.64804820146</v>
      </c>
      <c r="BU46" s="57">
        <v>126.408</v>
      </c>
      <c r="BV46" s="350">
        <v>115.95399999999999</v>
      </c>
      <c r="BW46" s="55">
        <f t="shared" si="38"/>
        <v>1.0901564413474309</v>
      </c>
      <c r="BX46" s="55">
        <f t="shared" si="39"/>
        <v>3475.3731584872644</v>
      </c>
      <c r="BY46" s="55">
        <f t="shared" si="40"/>
        <v>3788.7004348108571</v>
      </c>
      <c r="BZ46" s="55">
        <v>3625.6568630295051</v>
      </c>
      <c r="CA46" s="55">
        <v>3625.6568630295051</v>
      </c>
      <c r="CB46" s="55">
        <v>3625.6568630295051</v>
      </c>
      <c r="CC46" s="55">
        <v>3625.6568630295051</v>
      </c>
      <c r="CD46" s="55">
        <v>3625.6568630295051</v>
      </c>
      <c r="CE46" s="55">
        <v>3625.6568630295051</v>
      </c>
      <c r="CF46" s="55">
        <v>3625.6568630295051</v>
      </c>
      <c r="CG46" s="55">
        <f t="shared" si="41"/>
        <v>25379.598041206533</v>
      </c>
      <c r="CH46" s="448">
        <f t="shared" si="42"/>
        <v>874742.05000699498</v>
      </c>
      <c r="CI46" s="55">
        <v>3625.6568630295051</v>
      </c>
      <c r="CJ46" s="55">
        <v>3625.6568630295051</v>
      </c>
      <c r="CK46" s="55">
        <v>3625.6568630295051</v>
      </c>
      <c r="CL46" s="55">
        <v>3625.6568630295051</v>
      </c>
      <c r="CM46" s="55">
        <v>3625.6568630295051</v>
      </c>
      <c r="CN46" s="505">
        <f t="shared" si="2"/>
        <v>18128.284315147524</v>
      </c>
      <c r="CO46" s="679">
        <f t="shared" si="3"/>
        <v>856613.76569184742</v>
      </c>
      <c r="CP46" s="350">
        <v>132.28200000000001</v>
      </c>
      <c r="CQ46" s="350">
        <v>115.95399999999999</v>
      </c>
      <c r="CR46" s="55">
        <f t="shared" si="43"/>
        <v>1.1408144609069115</v>
      </c>
      <c r="CS46" s="55">
        <f t="shared" si="9"/>
        <v>3399.2609749676485</v>
      </c>
      <c r="CT46" s="55">
        <f t="shared" si="10"/>
        <v>3877.9260766396205</v>
      </c>
      <c r="CU46" s="511">
        <v>3877.9260766396205</v>
      </c>
      <c r="CV46" s="511">
        <v>3877.9260766396205</v>
      </c>
      <c r="CW46" s="511">
        <v>3877.9260766396205</v>
      </c>
      <c r="CX46" s="511">
        <v>3877.9260766396205</v>
      </c>
      <c r="CY46" s="511">
        <v>3877.9260766396205</v>
      </c>
      <c r="CZ46" s="511">
        <v>3877.9260766396205</v>
      </c>
      <c r="DA46" s="511">
        <v>3877.9260766396205</v>
      </c>
      <c r="DB46" s="511">
        <v>3877.9260766396205</v>
      </c>
      <c r="DC46" s="511">
        <v>3877.9260766396205</v>
      </c>
      <c r="DD46" s="511">
        <v>3877.9260766396205</v>
      </c>
      <c r="DE46" s="511">
        <v>3877.9260766396205</v>
      </c>
      <c r="DF46" s="511">
        <v>3877.9260766396205</v>
      </c>
      <c r="DG46" s="511">
        <v>3877.9260766396205</v>
      </c>
      <c r="DH46" s="511">
        <v>3877.9260766396205</v>
      </c>
      <c r="DI46" s="511">
        <v>3877.9260766396205</v>
      </c>
      <c r="DJ46" s="511">
        <v>3877.9260766396205</v>
      </c>
      <c r="DK46" s="511">
        <v>3877.9260766396205</v>
      </c>
      <c r="DL46" s="511">
        <v>3877.9260766396205</v>
      </c>
      <c r="DM46" s="55">
        <f t="shared" si="11"/>
        <v>69802.669379513158</v>
      </c>
      <c r="DN46" s="55">
        <f t="shared" si="12"/>
        <v>786811.0963123343</v>
      </c>
    </row>
    <row r="47" spans="1:118" x14ac:dyDescent="0.2">
      <c r="A47" s="100" t="s">
        <v>959</v>
      </c>
      <c r="B47" s="406" t="s">
        <v>813</v>
      </c>
      <c r="C47" s="45" t="s">
        <v>815</v>
      </c>
      <c r="D47" s="58">
        <v>25</v>
      </c>
      <c r="E47" s="49">
        <v>0.04</v>
      </c>
      <c r="F47" s="46">
        <v>43281</v>
      </c>
      <c r="G47" s="48">
        <f t="shared" si="51"/>
        <v>300</v>
      </c>
      <c r="H47" s="145">
        <f t="shared" si="52"/>
        <v>0.33333333333333331</v>
      </c>
      <c r="I47" s="165">
        <f t="shared" si="53"/>
        <v>13.666666666666666</v>
      </c>
      <c r="J47" s="48">
        <f t="shared" si="18"/>
        <v>41</v>
      </c>
      <c r="K47" s="165">
        <f t="shared" si="54"/>
        <v>86.333333333333329</v>
      </c>
      <c r="L47" s="48">
        <f t="shared" si="20"/>
        <v>259</v>
      </c>
      <c r="M47" s="165">
        <f t="shared" si="55"/>
        <v>2.333333333333333</v>
      </c>
      <c r="N47" s="48">
        <v>7</v>
      </c>
      <c r="O47" s="165">
        <f t="shared" si="56"/>
        <v>84</v>
      </c>
      <c r="P47" s="48">
        <f t="shared" si="57"/>
        <v>252</v>
      </c>
      <c r="Q47" s="462">
        <f t="shared" si="5"/>
        <v>51136</v>
      </c>
      <c r="R47" s="46" t="s">
        <v>960</v>
      </c>
      <c r="S47" s="46">
        <v>42005</v>
      </c>
      <c r="T47" s="47">
        <v>510500</v>
      </c>
      <c r="U47" s="47">
        <f t="shared" si="58"/>
        <v>69768.333333333328</v>
      </c>
      <c r="V47" s="106">
        <f>T47</f>
        <v>510500</v>
      </c>
      <c r="W47" s="165">
        <f t="shared" si="59"/>
        <v>1701.6666666666665</v>
      </c>
      <c r="X47" s="351">
        <f t="shared" si="60"/>
        <v>8508.3333333333321</v>
      </c>
      <c r="Y47" s="80">
        <f t="shared" si="61"/>
        <v>501991.66666666669</v>
      </c>
      <c r="Z47" s="57">
        <v>115.958</v>
      </c>
      <c r="AA47" s="350">
        <v>115.95399999999999</v>
      </c>
      <c r="AB47" s="55">
        <f t="shared" si="62"/>
        <v>1.0000344964382428</v>
      </c>
      <c r="AC47" s="55">
        <f t="shared" si="63"/>
        <v>1938.1917631917629</v>
      </c>
      <c r="AD47" s="55">
        <f t="shared" si="64"/>
        <v>1938.2586239042246</v>
      </c>
      <c r="AE47" s="55"/>
      <c r="AF47" s="55"/>
      <c r="AG47" s="55"/>
      <c r="AH47" s="55"/>
      <c r="AI47" s="55"/>
      <c r="AJ47" s="55">
        <f t="shared" si="65"/>
        <v>1938.2586239042246</v>
      </c>
      <c r="AK47" s="55">
        <f t="shared" si="65"/>
        <v>1938.2586239042246</v>
      </c>
      <c r="AL47" s="55">
        <f t="shared" si="65"/>
        <v>1938.2586239042246</v>
      </c>
      <c r="AM47" s="55">
        <f t="shared" si="65"/>
        <v>1938.2586239042246</v>
      </c>
      <c r="AN47" s="55">
        <f t="shared" si="65"/>
        <v>1938.2586239042246</v>
      </c>
      <c r="AO47" s="55">
        <f t="shared" si="65"/>
        <v>1938.2586239042246</v>
      </c>
      <c r="AP47" s="55">
        <f t="shared" si="65"/>
        <v>1938.2586239042246</v>
      </c>
      <c r="AQ47" s="72">
        <f t="shared" si="66"/>
        <v>13567.810367329572</v>
      </c>
      <c r="AR47" s="72">
        <f t="shared" si="67"/>
        <v>488423.85629933712</v>
      </c>
      <c r="AS47" s="55"/>
      <c r="AT47" s="55"/>
      <c r="AU47" s="55">
        <f>1701.67</f>
        <v>1701.67</v>
      </c>
      <c r="AV47" s="55">
        <f>1701.67</f>
        <v>1701.67</v>
      </c>
      <c r="AW47" s="55">
        <f>1701.67</f>
        <v>1701.67</v>
      </c>
      <c r="AX47" s="55">
        <f>1701.67</f>
        <v>1701.67</v>
      </c>
      <c r="AY47" s="55">
        <f>1701.67</f>
        <v>1701.67</v>
      </c>
      <c r="AZ47" s="57">
        <v>118.901</v>
      </c>
      <c r="BA47" s="350">
        <v>115.95399999999999</v>
      </c>
      <c r="BB47" s="55">
        <f t="shared" si="34"/>
        <v>1.0254152508753471</v>
      </c>
      <c r="BC47" s="55">
        <f t="shared" si="13"/>
        <v>1701.6666666666667</v>
      </c>
      <c r="BD47" s="55">
        <f t="shared" si="14"/>
        <v>1744.9149519062157</v>
      </c>
      <c r="BE47" s="55">
        <f t="shared" si="7"/>
        <v>1744.9149519062157</v>
      </c>
      <c r="BF47" s="55">
        <f t="shared" si="7"/>
        <v>1744.9149519062157</v>
      </c>
      <c r="BG47" s="55">
        <f t="shared" si="7"/>
        <v>1744.9149519062157</v>
      </c>
      <c r="BH47" s="55">
        <f t="shared" si="7"/>
        <v>1744.9149519062157</v>
      </c>
      <c r="BI47" s="55">
        <f t="shared" si="7"/>
        <v>1744.9149519062157</v>
      </c>
      <c r="BJ47" s="55">
        <f t="shared" si="7"/>
        <v>1744.9149519062157</v>
      </c>
      <c r="BK47" s="55">
        <f t="shared" si="7"/>
        <v>1744.9149519062157</v>
      </c>
      <c r="BL47" s="55">
        <f t="shared" si="35"/>
        <v>20722.754663343512</v>
      </c>
      <c r="BM47" s="448">
        <f t="shared" si="36"/>
        <v>467701.10163599357</v>
      </c>
      <c r="BN47" s="55">
        <f t="shared" si="1"/>
        <v>1744.9149519062157</v>
      </c>
      <c r="BO47" s="55">
        <f t="shared" si="1"/>
        <v>1744.9149519062157</v>
      </c>
      <c r="BP47" s="55">
        <f t="shared" si="1"/>
        <v>1744.9149519062157</v>
      </c>
      <c r="BQ47" s="55"/>
      <c r="BR47" s="55">
        <f t="shared" si="1"/>
        <v>1744.9149519062157</v>
      </c>
      <c r="BS47" s="55">
        <f t="shared" si="37"/>
        <v>6979.6598076248629</v>
      </c>
      <c r="BT47" s="448">
        <f t="shared" si="8"/>
        <v>460721.4418283687</v>
      </c>
      <c r="BU47" s="57">
        <v>126.408</v>
      </c>
      <c r="BV47" s="350">
        <v>115.95399999999999</v>
      </c>
      <c r="BW47" s="55">
        <f t="shared" si="38"/>
        <v>1.0901564413474309</v>
      </c>
      <c r="BX47" s="55">
        <f t="shared" si="39"/>
        <v>1778.8472657465973</v>
      </c>
      <c r="BY47" s="55">
        <f t="shared" si="40"/>
        <v>1939.2218049269184</v>
      </c>
      <c r="BZ47" s="55">
        <v>1855.7690077261827</v>
      </c>
      <c r="CA47" s="55">
        <v>1855.7690077261827</v>
      </c>
      <c r="CB47" s="55">
        <v>1855.7690077261827</v>
      </c>
      <c r="CC47" s="55">
        <v>1855.7690077261827</v>
      </c>
      <c r="CD47" s="55">
        <v>1855.7690077261827</v>
      </c>
      <c r="CE47" s="55">
        <v>1855.7690077261827</v>
      </c>
      <c r="CF47" s="55">
        <v>1855.7690077261827</v>
      </c>
      <c r="CG47" s="55">
        <f t="shared" si="41"/>
        <v>12990.383054083281</v>
      </c>
      <c r="CH47" s="448">
        <f t="shared" si="42"/>
        <v>447731.05877428543</v>
      </c>
      <c r="CI47" s="55">
        <v>1855.7690077261827</v>
      </c>
      <c r="CJ47" s="55">
        <v>1855.7690077261827</v>
      </c>
      <c r="CK47" s="55">
        <v>1855.7690077261827</v>
      </c>
      <c r="CL47" s="55">
        <v>1855.7690077261827</v>
      </c>
      <c r="CM47" s="55">
        <v>1855.7690077261827</v>
      </c>
      <c r="CN47" s="505">
        <f t="shared" si="2"/>
        <v>9278.8450386309141</v>
      </c>
      <c r="CO47" s="679">
        <f t="shared" si="3"/>
        <v>438452.21373565448</v>
      </c>
      <c r="CP47" s="350">
        <v>132.28200000000001</v>
      </c>
      <c r="CQ47" s="350">
        <v>115.95399999999999</v>
      </c>
      <c r="CR47" s="55">
        <f t="shared" si="43"/>
        <v>1.1408144609069115</v>
      </c>
      <c r="CS47" s="55">
        <f t="shared" si="9"/>
        <v>1739.889737046248</v>
      </c>
      <c r="CT47" s="55">
        <f t="shared" si="10"/>
        <v>1984.8913724058834</v>
      </c>
      <c r="CU47" s="511">
        <v>1984.8913724058834</v>
      </c>
      <c r="CV47" s="511">
        <v>1984.8913724058834</v>
      </c>
      <c r="CW47" s="511">
        <v>1984.8913724058834</v>
      </c>
      <c r="CX47" s="511">
        <v>1984.8913724058834</v>
      </c>
      <c r="CY47" s="511">
        <v>1984.8913724058834</v>
      </c>
      <c r="CZ47" s="511">
        <v>1984.8913724058834</v>
      </c>
      <c r="DA47" s="511">
        <v>1984.8913724058834</v>
      </c>
      <c r="DB47" s="511">
        <v>1984.8913724058834</v>
      </c>
      <c r="DC47" s="511">
        <v>1984.8913724058834</v>
      </c>
      <c r="DD47" s="511">
        <v>1984.8913724058834</v>
      </c>
      <c r="DE47" s="511">
        <v>1984.8913724058834</v>
      </c>
      <c r="DF47" s="511">
        <v>1984.8913724058834</v>
      </c>
      <c r="DG47" s="511">
        <v>1984.8913724058834</v>
      </c>
      <c r="DH47" s="511">
        <v>1984.8913724058834</v>
      </c>
      <c r="DI47" s="511">
        <v>1984.8913724058834</v>
      </c>
      <c r="DJ47" s="511">
        <v>1984.8913724058834</v>
      </c>
      <c r="DK47" s="511">
        <v>1984.8913724058834</v>
      </c>
      <c r="DL47" s="511">
        <v>1984.8913724058834</v>
      </c>
      <c r="DM47" s="55">
        <f t="shared" si="11"/>
        <v>35728.044703305903</v>
      </c>
      <c r="DN47" s="55">
        <f t="shared" si="12"/>
        <v>402724.16903234855</v>
      </c>
    </row>
    <row r="48" spans="1:118" x14ac:dyDescent="0.2">
      <c r="A48" s="100" t="s">
        <v>961</v>
      </c>
      <c r="B48" s="406" t="s">
        <v>812</v>
      </c>
      <c r="C48" s="45" t="s">
        <v>815</v>
      </c>
      <c r="D48" s="58">
        <v>25</v>
      </c>
      <c r="E48" s="49">
        <v>0.04</v>
      </c>
      <c r="F48" s="46">
        <v>43281</v>
      </c>
      <c r="G48" s="48">
        <f t="shared" si="51"/>
        <v>300</v>
      </c>
      <c r="H48" s="145">
        <f t="shared" si="52"/>
        <v>0.33333333333333331</v>
      </c>
      <c r="I48" s="165">
        <f t="shared" si="53"/>
        <v>13.666666666666666</v>
      </c>
      <c r="J48" s="48">
        <f t="shared" si="18"/>
        <v>41</v>
      </c>
      <c r="K48" s="165">
        <f t="shared" si="54"/>
        <v>86.333333333333329</v>
      </c>
      <c r="L48" s="48">
        <f t="shared" si="20"/>
        <v>259</v>
      </c>
      <c r="M48" s="165">
        <f t="shared" si="55"/>
        <v>2.333333333333333</v>
      </c>
      <c r="N48" s="48">
        <v>7</v>
      </c>
      <c r="O48" s="165">
        <f t="shared" si="56"/>
        <v>84</v>
      </c>
      <c r="P48" s="48">
        <f t="shared" si="57"/>
        <v>252</v>
      </c>
      <c r="Q48" s="462">
        <f t="shared" si="5"/>
        <v>51136</v>
      </c>
      <c r="R48" s="46" t="s">
        <v>962</v>
      </c>
      <c r="S48" s="46">
        <v>42005</v>
      </c>
      <c r="T48" s="47">
        <v>86112</v>
      </c>
      <c r="U48" s="47">
        <f t="shared" si="58"/>
        <v>11768.64</v>
      </c>
      <c r="V48" s="106">
        <f>T48</f>
        <v>86112</v>
      </c>
      <c r="W48" s="165">
        <f t="shared" si="59"/>
        <v>287.03999999999996</v>
      </c>
      <c r="X48" s="351">
        <f t="shared" si="60"/>
        <v>1435.1999999999998</v>
      </c>
      <c r="Y48" s="80">
        <f t="shared" si="61"/>
        <v>84676.800000000003</v>
      </c>
      <c r="Z48" s="57">
        <v>115.958</v>
      </c>
      <c r="AA48" s="350">
        <v>115.95399999999999</v>
      </c>
      <c r="AB48" s="55">
        <f t="shared" si="62"/>
        <v>1.0000344964382428</v>
      </c>
      <c r="AC48" s="55">
        <f t="shared" si="63"/>
        <v>326.93745173745174</v>
      </c>
      <c r="AD48" s="55">
        <f t="shared" si="64"/>
        <v>326.94872991506486</v>
      </c>
      <c r="AE48" s="55"/>
      <c r="AF48" s="55"/>
      <c r="AG48" s="55"/>
      <c r="AH48" s="55"/>
      <c r="AI48" s="55"/>
      <c r="AJ48" s="55">
        <f t="shared" si="65"/>
        <v>326.94872991506486</v>
      </c>
      <c r="AK48" s="55">
        <f t="shared" si="65"/>
        <v>326.94872991506486</v>
      </c>
      <c r="AL48" s="55">
        <f t="shared" si="65"/>
        <v>326.94872991506486</v>
      </c>
      <c r="AM48" s="55">
        <f t="shared" si="65"/>
        <v>326.94872991506486</v>
      </c>
      <c r="AN48" s="55">
        <f t="shared" si="65"/>
        <v>326.94872991506486</v>
      </c>
      <c r="AO48" s="55">
        <f t="shared" si="65"/>
        <v>326.94872991506486</v>
      </c>
      <c r="AP48" s="55">
        <f t="shared" si="65"/>
        <v>326.94872991506486</v>
      </c>
      <c r="AQ48" s="72">
        <f t="shared" si="66"/>
        <v>2288.6411094054538</v>
      </c>
      <c r="AR48" s="72">
        <f t="shared" si="67"/>
        <v>82388.158890594554</v>
      </c>
      <c r="AS48" s="55"/>
      <c r="AT48" s="55"/>
      <c r="AU48" s="55">
        <f>287.04</f>
        <v>287.04000000000002</v>
      </c>
      <c r="AV48" s="55">
        <f>287.04</f>
        <v>287.04000000000002</v>
      </c>
      <c r="AW48" s="55">
        <f>287.04</f>
        <v>287.04000000000002</v>
      </c>
      <c r="AX48" s="55">
        <f>287.04</f>
        <v>287.04000000000002</v>
      </c>
      <c r="AY48" s="55">
        <f>287.04</f>
        <v>287.04000000000002</v>
      </c>
      <c r="AZ48" s="57">
        <v>118.901</v>
      </c>
      <c r="BA48" s="350">
        <v>115.95399999999999</v>
      </c>
      <c r="BB48" s="55">
        <f t="shared" si="34"/>
        <v>1.0254152508753471</v>
      </c>
      <c r="BC48" s="55">
        <f t="shared" si="13"/>
        <v>287.04000000000002</v>
      </c>
      <c r="BD48" s="55">
        <f t="shared" si="14"/>
        <v>294.33519361125968</v>
      </c>
      <c r="BE48" s="55">
        <f t="shared" si="7"/>
        <v>294.33519361125968</v>
      </c>
      <c r="BF48" s="55">
        <f t="shared" si="7"/>
        <v>294.33519361125968</v>
      </c>
      <c r="BG48" s="55">
        <f t="shared" si="7"/>
        <v>294.33519361125968</v>
      </c>
      <c r="BH48" s="55">
        <f t="shared" si="7"/>
        <v>294.33519361125968</v>
      </c>
      <c r="BI48" s="55">
        <f t="shared" si="7"/>
        <v>294.33519361125968</v>
      </c>
      <c r="BJ48" s="55">
        <f t="shared" si="7"/>
        <v>294.33519361125968</v>
      </c>
      <c r="BK48" s="55">
        <f t="shared" si="7"/>
        <v>294.33519361125968</v>
      </c>
      <c r="BL48" s="55">
        <f t="shared" si="35"/>
        <v>3495.5463552788169</v>
      </c>
      <c r="BM48" s="448">
        <f t="shared" si="36"/>
        <v>78892.61253531574</v>
      </c>
      <c r="BN48" s="55">
        <f t="shared" si="1"/>
        <v>294.33519361125968</v>
      </c>
      <c r="BO48" s="55">
        <f t="shared" si="1"/>
        <v>294.33519361125968</v>
      </c>
      <c r="BP48" s="55">
        <f t="shared" si="1"/>
        <v>294.33519361125968</v>
      </c>
      <c r="BQ48" s="55"/>
      <c r="BR48" s="55">
        <f t="shared" si="1"/>
        <v>294.33519361125968</v>
      </c>
      <c r="BS48" s="55">
        <f t="shared" si="37"/>
        <v>1177.3407744450387</v>
      </c>
      <c r="BT48" s="448">
        <f t="shared" si="8"/>
        <v>77715.271760870703</v>
      </c>
      <c r="BU48" s="57">
        <v>126.408</v>
      </c>
      <c r="BV48" s="350">
        <v>115.95399999999999</v>
      </c>
      <c r="BW48" s="55">
        <f t="shared" si="38"/>
        <v>1.0901564413474309</v>
      </c>
      <c r="BX48" s="55">
        <f t="shared" si="39"/>
        <v>300.05896432768611</v>
      </c>
      <c r="BY48" s="55">
        <f t="shared" si="40"/>
        <v>327.111212745866</v>
      </c>
      <c r="BZ48" s="55">
        <v>313.03425380356742</v>
      </c>
      <c r="CA48" s="55">
        <v>313.03425380356742</v>
      </c>
      <c r="CB48" s="55">
        <v>313.03425380356742</v>
      </c>
      <c r="CC48" s="55">
        <v>313.03425380356742</v>
      </c>
      <c r="CD48" s="55">
        <v>313.03425380356742</v>
      </c>
      <c r="CE48" s="55">
        <v>313.03425380356742</v>
      </c>
      <c r="CF48" s="55">
        <v>313.03425380356742</v>
      </c>
      <c r="CG48" s="55">
        <f t="shared" si="41"/>
        <v>2191.2397766249719</v>
      </c>
      <c r="CH48" s="448">
        <f t="shared" si="42"/>
        <v>75524.031984245725</v>
      </c>
      <c r="CI48" s="55">
        <v>313.03425380356742</v>
      </c>
      <c r="CJ48" s="55">
        <v>313.03425380356742</v>
      </c>
      <c r="CK48" s="55">
        <v>313.03425380356742</v>
      </c>
      <c r="CL48" s="55">
        <v>313.03425380356742</v>
      </c>
      <c r="CM48" s="55">
        <v>313.03425380356742</v>
      </c>
      <c r="CN48" s="505">
        <f t="shared" si="2"/>
        <v>1565.1712690178372</v>
      </c>
      <c r="CO48" s="679">
        <f t="shared" si="3"/>
        <v>73958.860715227886</v>
      </c>
      <c r="CP48" s="350">
        <v>132.28200000000001</v>
      </c>
      <c r="CQ48" s="350">
        <v>115.95399999999999</v>
      </c>
      <c r="CR48" s="55">
        <f t="shared" si="43"/>
        <v>1.1408144609069115</v>
      </c>
      <c r="CS48" s="55">
        <f t="shared" si="9"/>
        <v>293.48754252074559</v>
      </c>
      <c r="CT48" s="55">
        <f t="shared" si="10"/>
        <v>334.81483260369868</v>
      </c>
      <c r="CU48" s="511">
        <v>334.81483260369868</v>
      </c>
      <c r="CV48" s="511">
        <v>334.81483260369868</v>
      </c>
      <c r="CW48" s="511">
        <v>334.81483260369868</v>
      </c>
      <c r="CX48" s="511">
        <v>334.81483260369868</v>
      </c>
      <c r="CY48" s="511">
        <v>334.81483260369868</v>
      </c>
      <c r="CZ48" s="511">
        <v>334.81483260369868</v>
      </c>
      <c r="DA48" s="511">
        <v>334.81483260369868</v>
      </c>
      <c r="DB48" s="511">
        <v>334.81483260369868</v>
      </c>
      <c r="DC48" s="511">
        <v>334.81483260369868</v>
      </c>
      <c r="DD48" s="511">
        <v>334.81483260369868</v>
      </c>
      <c r="DE48" s="511">
        <v>334.81483260369868</v>
      </c>
      <c r="DF48" s="511">
        <v>334.81483260369868</v>
      </c>
      <c r="DG48" s="511">
        <v>334.81483260369868</v>
      </c>
      <c r="DH48" s="511">
        <v>334.81483260369868</v>
      </c>
      <c r="DI48" s="511">
        <v>334.81483260369868</v>
      </c>
      <c r="DJ48" s="511">
        <v>334.81483260369868</v>
      </c>
      <c r="DK48" s="511">
        <v>334.81483260369868</v>
      </c>
      <c r="DL48" s="511">
        <v>334.81483260369868</v>
      </c>
      <c r="DM48" s="55">
        <f t="shared" si="11"/>
        <v>6026.6669868665767</v>
      </c>
      <c r="DN48" s="55">
        <f t="shared" si="12"/>
        <v>67932.193728361308</v>
      </c>
    </row>
    <row r="49" spans="1:118" x14ac:dyDescent="0.2">
      <c r="A49" s="100" t="s">
        <v>966</v>
      </c>
      <c r="B49" s="406" t="s">
        <v>965</v>
      </c>
      <c r="C49" s="45" t="s">
        <v>815</v>
      </c>
      <c r="D49" s="58">
        <v>25</v>
      </c>
      <c r="E49" s="49">
        <v>0.04</v>
      </c>
      <c r="F49" s="46">
        <v>43281</v>
      </c>
      <c r="G49" s="48">
        <f t="shared" si="51"/>
        <v>300</v>
      </c>
      <c r="H49" s="145">
        <f t="shared" si="52"/>
        <v>0.33333333333333331</v>
      </c>
      <c r="I49" s="165">
        <f t="shared" si="53"/>
        <v>13.666666666666666</v>
      </c>
      <c r="J49" s="48">
        <f t="shared" si="18"/>
        <v>41</v>
      </c>
      <c r="K49" s="165">
        <f t="shared" si="54"/>
        <v>86.333333333333329</v>
      </c>
      <c r="L49" s="48">
        <f t="shared" si="20"/>
        <v>259</v>
      </c>
      <c r="M49" s="165">
        <f t="shared" si="55"/>
        <v>2.333333333333333</v>
      </c>
      <c r="N49" s="48">
        <v>7</v>
      </c>
      <c r="O49" s="165">
        <f t="shared" si="56"/>
        <v>84</v>
      </c>
      <c r="P49" s="48">
        <f t="shared" si="57"/>
        <v>252</v>
      </c>
      <c r="Q49" s="462">
        <f t="shared" si="5"/>
        <v>51136</v>
      </c>
      <c r="R49" s="46" t="s">
        <v>967</v>
      </c>
      <c r="S49" s="46">
        <v>42005</v>
      </c>
      <c r="T49" s="47">
        <v>41006</v>
      </c>
      <c r="U49" s="47">
        <f t="shared" si="58"/>
        <v>5604.1533333333327</v>
      </c>
      <c r="V49" s="106">
        <f>T49</f>
        <v>41006</v>
      </c>
      <c r="W49" s="165">
        <f t="shared" si="59"/>
        <v>136.68666666666667</v>
      </c>
      <c r="X49" s="351">
        <f t="shared" si="60"/>
        <v>683.43333333333339</v>
      </c>
      <c r="Y49" s="80">
        <f t="shared" si="61"/>
        <v>40322.566666666666</v>
      </c>
      <c r="Z49" s="57">
        <v>115.958</v>
      </c>
      <c r="AA49" s="350">
        <v>115.95399999999999</v>
      </c>
      <c r="AB49" s="55">
        <f t="shared" si="62"/>
        <v>1.0000344964382428</v>
      </c>
      <c r="AC49" s="55">
        <f t="shared" si="63"/>
        <v>155.68558558558559</v>
      </c>
      <c r="AD49" s="55">
        <f t="shared" si="64"/>
        <v>155.69095618377403</v>
      </c>
      <c r="AE49" s="55"/>
      <c r="AF49" s="55"/>
      <c r="AG49" s="55"/>
      <c r="AH49" s="55"/>
      <c r="AI49" s="55"/>
      <c r="AJ49" s="55">
        <f t="shared" si="65"/>
        <v>155.69095618377403</v>
      </c>
      <c r="AK49" s="55">
        <f t="shared" si="65"/>
        <v>155.69095618377403</v>
      </c>
      <c r="AL49" s="55">
        <f t="shared" si="65"/>
        <v>155.69095618377403</v>
      </c>
      <c r="AM49" s="55">
        <f t="shared" si="65"/>
        <v>155.69095618377403</v>
      </c>
      <c r="AN49" s="55">
        <f t="shared" si="65"/>
        <v>155.69095618377403</v>
      </c>
      <c r="AO49" s="55">
        <f t="shared" si="65"/>
        <v>155.69095618377403</v>
      </c>
      <c r="AP49" s="55">
        <f t="shared" si="65"/>
        <v>155.69095618377403</v>
      </c>
      <c r="AQ49" s="72">
        <f t="shared" si="66"/>
        <v>1089.8366932864183</v>
      </c>
      <c r="AR49" s="72">
        <f t="shared" si="67"/>
        <v>39232.72997338025</v>
      </c>
      <c r="AS49" s="55"/>
      <c r="AT49" s="55"/>
      <c r="AU49" s="55">
        <f>($AP49)</f>
        <v>155.69095618377403</v>
      </c>
      <c r="AV49" s="55">
        <f t="shared" ref="AV49:AY50" si="68">($AP49)</f>
        <v>155.69095618377403</v>
      </c>
      <c r="AW49" s="55">
        <f t="shared" si="68"/>
        <v>155.69095618377403</v>
      </c>
      <c r="AX49" s="55">
        <f t="shared" si="68"/>
        <v>155.69095618377403</v>
      </c>
      <c r="AY49" s="55">
        <f t="shared" si="68"/>
        <v>155.69095618377403</v>
      </c>
      <c r="AZ49" s="57">
        <v>118.901</v>
      </c>
      <c r="BA49" s="350">
        <v>115.95399999999999</v>
      </c>
      <c r="BB49" s="55">
        <f t="shared" si="34"/>
        <v>1.0254152508753471</v>
      </c>
      <c r="BC49" s="55">
        <f t="shared" si="13"/>
        <v>136.68666666666667</v>
      </c>
      <c r="BD49" s="55">
        <f t="shared" si="14"/>
        <v>140.16059259131495</v>
      </c>
      <c r="BE49" s="55">
        <f t="shared" si="7"/>
        <v>140.16059259131495</v>
      </c>
      <c r="BF49" s="55">
        <f t="shared" si="7"/>
        <v>140.16059259131495</v>
      </c>
      <c r="BG49" s="55">
        <f t="shared" si="7"/>
        <v>140.16059259131495</v>
      </c>
      <c r="BH49" s="55">
        <f t="shared" si="7"/>
        <v>140.16059259131495</v>
      </c>
      <c r="BI49" s="55">
        <f t="shared" si="7"/>
        <v>140.16059259131495</v>
      </c>
      <c r="BJ49" s="55">
        <f t="shared" si="7"/>
        <v>140.16059259131495</v>
      </c>
      <c r="BK49" s="55">
        <f t="shared" si="7"/>
        <v>140.16059259131495</v>
      </c>
      <c r="BL49" s="55">
        <f t="shared" si="35"/>
        <v>1759.5789290580749</v>
      </c>
      <c r="BM49" s="448">
        <f t="shared" si="36"/>
        <v>37473.151044322178</v>
      </c>
      <c r="BN49" s="55">
        <f t="shared" si="1"/>
        <v>140.16059259131495</v>
      </c>
      <c r="BO49" s="55">
        <f t="shared" si="1"/>
        <v>140.16059259131495</v>
      </c>
      <c r="BP49" s="55">
        <f t="shared" si="1"/>
        <v>140.16059259131495</v>
      </c>
      <c r="BQ49" s="55"/>
      <c r="BR49" s="55">
        <f t="shared" si="1"/>
        <v>140.16059259131495</v>
      </c>
      <c r="BS49" s="55">
        <f t="shared" si="37"/>
        <v>560.64237036525981</v>
      </c>
      <c r="BT49" s="448">
        <f t="shared" si="8"/>
        <v>36912.508673956916</v>
      </c>
      <c r="BU49" s="57">
        <v>126.408</v>
      </c>
      <c r="BV49" s="350">
        <v>115.95399999999999</v>
      </c>
      <c r="BW49" s="55">
        <f t="shared" si="38"/>
        <v>1.0901564413474309</v>
      </c>
      <c r="BX49" s="55">
        <f t="shared" si="39"/>
        <v>142.51933850948618</v>
      </c>
      <c r="BY49" s="55">
        <f t="shared" si="40"/>
        <v>155.36837489269132</v>
      </c>
      <c r="BZ49" s="55">
        <v>148.8213889402669</v>
      </c>
      <c r="CA49" s="55">
        <v>148.8213889402669</v>
      </c>
      <c r="CB49" s="55">
        <v>148.8213889402669</v>
      </c>
      <c r="CC49" s="55">
        <v>148.8213889402669</v>
      </c>
      <c r="CD49" s="55">
        <v>148.8213889402669</v>
      </c>
      <c r="CE49" s="55">
        <v>148.8213889402669</v>
      </c>
      <c r="CF49" s="55">
        <v>148.8213889402669</v>
      </c>
      <c r="CG49" s="55">
        <f t="shared" si="41"/>
        <v>1041.7497225818681</v>
      </c>
      <c r="CH49" s="448">
        <f t="shared" si="42"/>
        <v>35870.75895137505</v>
      </c>
      <c r="CI49" s="55">
        <v>148.8213889402669</v>
      </c>
      <c r="CJ49" s="55">
        <v>148.8213889402669</v>
      </c>
      <c r="CK49" s="55">
        <v>148.8213889402669</v>
      </c>
      <c r="CL49" s="55">
        <v>148.8213889402669</v>
      </c>
      <c r="CM49" s="55">
        <v>148.8213889402669</v>
      </c>
      <c r="CN49" s="505">
        <f t="shared" si="2"/>
        <v>744.10694470133444</v>
      </c>
      <c r="CO49" s="679">
        <f t="shared" si="3"/>
        <v>35126.652006673714</v>
      </c>
      <c r="CP49" s="350">
        <v>132.28200000000001</v>
      </c>
      <c r="CQ49" s="350">
        <v>115.95399999999999</v>
      </c>
      <c r="CR49" s="55">
        <f t="shared" si="43"/>
        <v>1.1408144609069115</v>
      </c>
      <c r="CS49" s="55">
        <f t="shared" si="9"/>
        <v>139.39147621695918</v>
      </c>
      <c r="CT49" s="55">
        <f t="shared" si="10"/>
        <v>159.01981179546885</v>
      </c>
      <c r="CU49" s="511">
        <v>159.01981179546885</v>
      </c>
      <c r="CV49" s="511">
        <v>159.01981179546885</v>
      </c>
      <c r="CW49" s="511">
        <v>159.01981179546885</v>
      </c>
      <c r="CX49" s="511">
        <v>159.01981179546885</v>
      </c>
      <c r="CY49" s="511">
        <v>159.01981179546885</v>
      </c>
      <c r="CZ49" s="511">
        <v>159.01981179546885</v>
      </c>
      <c r="DA49" s="511">
        <v>159.01981179546885</v>
      </c>
      <c r="DB49" s="511">
        <v>159.01981179546885</v>
      </c>
      <c r="DC49" s="511">
        <v>159.01981179546885</v>
      </c>
      <c r="DD49" s="511">
        <v>159.01981179546885</v>
      </c>
      <c r="DE49" s="511">
        <v>159.01981179546885</v>
      </c>
      <c r="DF49" s="511">
        <v>159.01981179546885</v>
      </c>
      <c r="DG49" s="511">
        <v>159.01981179546885</v>
      </c>
      <c r="DH49" s="511">
        <v>159.01981179546885</v>
      </c>
      <c r="DI49" s="511">
        <v>159.01981179546885</v>
      </c>
      <c r="DJ49" s="511">
        <v>159.01981179546885</v>
      </c>
      <c r="DK49" s="511">
        <v>159.01981179546885</v>
      </c>
      <c r="DL49" s="511">
        <v>159.01981179546885</v>
      </c>
      <c r="DM49" s="55">
        <f t="shared" si="11"/>
        <v>2862.3566123184382</v>
      </c>
      <c r="DN49" s="55">
        <f t="shared" si="12"/>
        <v>32264.295394355275</v>
      </c>
    </row>
    <row r="50" spans="1:118" x14ac:dyDescent="0.2">
      <c r="A50" s="100" t="s">
        <v>968</v>
      </c>
      <c r="B50" s="406" t="s">
        <v>810</v>
      </c>
      <c r="C50" s="45" t="s">
        <v>815</v>
      </c>
      <c r="D50" s="58">
        <v>25</v>
      </c>
      <c r="E50" s="49">
        <v>0.04</v>
      </c>
      <c r="F50" s="46">
        <v>43281</v>
      </c>
      <c r="G50" s="48">
        <f t="shared" si="51"/>
        <v>300</v>
      </c>
      <c r="H50" s="145">
        <f t="shared" si="52"/>
        <v>0.33333333333333331</v>
      </c>
      <c r="I50" s="165">
        <f t="shared" si="53"/>
        <v>13.666666666666666</v>
      </c>
      <c r="J50" s="48">
        <f t="shared" si="18"/>
        <v>41</v>
      </c>
      <c r="K50" s="165">
        <f t="shared" si="54"/>
        <v>86.333333333333329</v>
      </c>
      <c r="L50" s="48">
        <f t="shared" si="20"/>
        <v>259</v>
      </c>
      <c r="M50" s="165">
        <f t="shared" si="55"/>
        <v>2.333333333333333</v>
      </c>
      <c r="N50" s="48">
        <v>7</v>
      </c>
      <c r="O50" s="165">
        <f t="shared" si="56"/>
        <v>84</v>
      </c>
      <c r="P50" s="48">
        <f t="shared" si="57"/>
        <v>252</v>
      </c>
      <c r="Q50" s="462">
        <f t="shared" si="5"/>
        <v>51136</v>
      </c>
      <c r="R50" s="46" t="s">
        <v>969</v>
      </c>
      <c r="S50" s="46">
        <v>42005</v>
      </c>
      <c r="T50" s="47">
        <v>607500</v>
      </c>
      <c r="U50" s="47">
        <f t="shared" si="58"/>
        <v>83025</v>
      </c>
      <c r="V50" s="106">
        <f>T50</f>
        <v>607500</v>
      </c>
      <c r="W50" s="165">
        <f t="shared" si="59"/>
        <v>2024.9999999999998</v>
      </c>
      <c r="X50" s="351">
        <f t="shared" si="60"/>
        <v>10124.999999999998</v>
      </c>
      <c r="Y50" s="80">
        <f t="shared" si="61"/>
        <v>597375</v>
      </c>
      <c r="Z50" s="57">
        <v>115.958</v>
      </c>
      <c r="AA50" s="350">
        <v>115.95399999999999</v>
      </c>
      <c r="AB50" s="55">
        <f t="shared" si="62"/>
        <v>1.0000344964382428</v>
      </c>
      <c r="AC50" s="55">
        <f t="shared" si="63"/>
        <v>2306.467181467181</v>
      </c>
      <c r="AD50" s="55">
        <f t="shared" si="64"/>
        <v>2306.5467463698656</v>
      </c>
      <c r="AE50" s="55"/>
      <c r="AF50" s="55"/>
      <c r="AG50" s="55"/>
      <c r="AH50" s="55"/>
      <c r="AI50" s="55"/>
      <c r="AJ50" s="55">
        <f t="shared" si="65"/>
        <v>2306.5467463698656</v>
      </c>
      <c r="AK50" s="55">
        <f t="shared" si="65"/>
        <v>2306.5467463698656</v>
      </c>
      <c r="AL50" s="55">
        <f t="shared" si="65"/>
        <v>2306.5467463698656</v>
      </c>
      <c r="AM50" s="55">
        <f t="shared" si="65"/>
        <v>2306.5467463698656</v>
      </c>
      <c r="AN50" s="55">
        <f t="shared" si="65"/>
        <v>2306.5467463698656</v>
      </c>
      <c r="AO50" s="55">
        <f t="shared" si="65"/>
        <v>2306.5467463698656</v>
      </c>
      <c r="AP50" s="55">
        <f t="shared" si="65"/>
        <v>2306.5467463698656</v>
      </c>
      <c r="AQ50" s="72">
        <f t="shared" si="66"/>
        <v>16145.82722458906</v>
      </c>
      <c r="AR50" s="72">
        <f t="shared" si="67"/>
        <v>581229.17277541093</v>
      </c>
      <c r="AS50" s="55"/>
      <c r="AT50" s="55"/>
      <c r="AU50" s="55">
        <f>($AP50)</f>
        <v>2306.5467463698656</v>
      </c>
      <c r="AV50" s="55">
        <f t="shared" si="68"/>
        <v>2306.5467463698656</v>
      </c>
      <c r="AW50" s="55">
        <f t="shared" si="68"/>
        <v>2306.5467463698656</v>
      </c>
      <c r="AX50" s="55">
        <f t="shared" si="68"/>
        <v>2306.5467463698656</v>
      </c>
      <c r="AY50" s="55">
        <f t="shared" si="68"/>
        <v>2306.5467463698656</v>
      </c>
      <c r="AZ50" s="57">
        <v>118.901</v>
      </c>
      <c r="BA50" s="350">
        <v>115.95399999999999</v>
      </c>
      <c r="BB50" s="55">
        <f t="shared" si="34"/>
        <v>1.0254152508753471</v>
      </c>
      <c r="BC50" s="55">
        <f t="shared" si="13"/>
        <v>2025</v>
      </c>
      <c r="BD50" s="55">
        <f t="shared" si="14"/>
        <v>2076.4658830225781</v>
      </c>
      <c r="BE50" s="55">
        <f t="shared" si="7"/>
        <v>2076.4658830225781</v>
      </c>
      <c r="BF50" s="55">
        <f t="shared" si="7"/>
        <v>2076.4658830225781</v>
      </c>
      <c r="BG50" s="55">
        <f t="shared" si="7"/>
        <v>2076.4658830225781</v>
      </c>
      <c r="BH50" s="55">
        <f t="shared" si="7"/>
        <v>2076.4658830225781</v>
      </c>
      <c r="BI50" s="55">
        <f t="shared" si="7"/>
        <v>2076.4658830225781</v>
      </c>
      <c r="BJ50" s="55">
        <f t="shared" si="7"/>
        <v>2076.4658830225781</v>
      </c>
      <c r="BK50" s="55">
        <f t="shared" si="7"/>
        <v>2076.4658830225781</v>
      </c>
      <c r="BL50" s="55">
        <f t="shared" si="35"/>
        <v>26067.994913007373</v>
      </c>
      <c r="BM50" s="448">
        <f t="shared" si="36"/>
        <v>555161.17786240357</v>
      </c>
      <c r="BN50" s="55">
        <f t="shared" si="1"/>
        <v>2076.4658830225781</v>
      </c>
      <c r="BO50" s="55">
        <f t="shared" si="1"/>
        <v>2076.4658830225781</v>
      </c>
      <c r="BP50" s="55">
        <f t="shared" si="1"/>
        <v>2076.4658830225781</v>
      </c>
      <c r="BQ50" s="55"/>
      <c r="BR50" s="55">
        <f t="shared" si="1"/>
        <v>2076.4658830225781</v>
      </c>
      <c r="BS50" s="55">
        <f t="shared" si="37"/>
        <v>8305.8635320903122</v>
      </c>
      <c r="BT50" s="448">
        <f t="shared" si="8"/>
        <v>546855.31433031324</v>
      </c>
      <c r="BU50" s="57">
        <v>126.408</v>
      </c>
      <c r="BV50" s="350">
        <v>115.95399999999999</v>
      </c>
      <c r="BW50" s="55">
        <f t="shared" si="38"/>
        <v>1.0901564413474309</v>
      </c>
      <c r="BX50" s="55">
        <f t="shared" si="39"/>
        <v>2111.4104800398195</v>
      </c>
      <c r="BY50" s="55">
        <f t="shared" si="40"/>
        <v>2301.7677351438806</v>
      </c>
      <c r="BZ50" s="55">
        <v>2204.7747593330773</v>
      </c>
      <c r="CA50" s="55">
        <v>2204.7747593330773</v>
      </c>
      <c r="CB50" s="55">
        <v>2204.7747593330773</v>
      </c>
      <c r="CC50" s="55">
        <v>2204.7747593330773</v>
      </c>
      <c r="CD50" s="55">
        <v>2204.7747593330773</v>
      </c>
      <c r="CE50" s="55">
        <v>2204.7747593330773</v>
      </c>
      <c r="CF50" s="55">
        <v>2204.7747593330773</v>
      </c>
      <c r="CG50" s="55">
        <f t="shared" si="41"/>
        <v>15433.42331533154</v>
      </c>
      <c r="CH50" s="448">
        <f t="shared" si="42"/>
        <v>531421.89101498167</v>
      </c>
      <c r="CI50" s="55">
        <v>2204.7747593330773</v>
      </c>
      <c r="CJ50" s="55">
        <v>2204.7747593330773</v>
      </c>
      <c r="CK50" s="55">
        <v>2204.7747593330773</v>
      </c>
      <c r="CL50" s="55">
        <v>2204.7747593330773</v>
      </c>
      <c r="CM50" s="55">
        <v>2204.7747593330773</v>
      </c>
      <c r="CN50" s="505">
        <f>SUM(CI50:CM50)</f>
        <v>11023.873796665386</v>
      </c>
      <c r="CO50" s="679">
        <f>CH50-CN50</f>
        <v>520398.01721831626</v>
      </c>
      <c r="CP50" s="350">
        <v>132.28200000000001</v>
      </c>
      <c r="CQ50" s="350">
        <v>115.95399999999999</v>
      </c>
      <c r="CR50" s="55">
        <f t="shared" si="43"/>
        <v>1.1408144609069115</v>
      </c>
      <c r="CS50" s="55">
        <f t="shared" si="9"/>
        <v>2065.0714968980806</v>
      </c>
      <c r="CT50" s="55">
        <f t="shared" si="10"/>
        <v>2355.8634264680127</v>
      </c>
      <c r="CU50" s="511">
        <v>2355.8634264680127</v>
      </c>
      <c r="CV50" s="511">
        <v>2355.8634264680127</v>
      </c>
      <c r="CW50" s="511">
        <v>2355.8634264680127</v>
      </c>
      <c r="CX50" s="511">
        <v>2355.8634264680127</v>
      </c>
      <c r="CY50" s="511">
        <v>2355.8634264680127</v>
      </c>
      <c r="CZ50" s="511">
        <v>2355.8634264680127</v>
      </c>
      <c r="DA50" s="511">
        <v>2355.8634264680127</v>
      </c>
      <c r="DB50" s="511">
        <v>2355.8634264680127</v>
      </c>
      <c r="DC50" s="511">
        <v>2355.8634264680127</v>
      </c>
      <c r="DD50" s="511">
        <v>2355.8634264680127</v>
      </c>
      <c r="DE50" s="511">
        <v>2355.8634264680127</v>
      </c>
      <c r="DF50" s="511">
        <v>2355.8634264680127</v>
      </c>
      <c r="DG50" s="511">
        <v>2355.8634264680127</v>
      </c>
      <c r="DH50" s="511">
        <v>2355.8634264680127</v>
      </c>
      <c r="DI50" s="511">
        <v>2355.8634264680127</v>
      </c>
      <c r="DJ50" s="511">
        <v>2355.8634264680127</v>
      </c>
      <c r="DK50" s="511">
        <v>2355.8634264680127</v>
      </c>
      <c r="DL50" s="511">
        <v>2355.8634264680127</v>
      </c>
      <c r="DM50" s="55">
        <f t="shared" si="11"/>
        <v>42405.541676424233</v>
      </c>
      <c r="DN50" s="55">
        <f t="shared" si="12"/>
        <v>477992.47554189205</v>
      </c>
    </row>
    <row r="51" spans="1:118" ht="15.75" x14ac:dyDescent="0.25">
      <c r="AP51" s="13">
        <f>SUM(AP14:AP50)</f>
        <v>113233.02402276466</v>
      </c>
      <c r="AQ51" s="13">
        <f>SUM(AQ14:AQ50)</f>
        <v>758853.99097589857</v>
      </c>
      <c r="AR51" s="13">
        <f>SUM(AR14:AR50)</f>
        <v>30458599.4424241</v>
      </c>
      <c r="AU51" s="13">
        <f>SUM(AU14:AU50)</f>
        <v>89005.26770255361</v>
      </c>
      <c r="AV51" s="13">
        <f>SUM(AV13:AV50)</f>
        <v>89005.26770255361</v>
      </c>
      <c r="AW51" s="13">
        <f>SUM(AW13:AW50)</f>
        <v>89005.26770255361</v>
      </c>
      <c r="AX51" s="13">
        <f>SUM(AX14:AX50)</f>
        <v>142972.80562376947</v>
      </c>
      <c r="AY51" s="13">
        <f>SUM(AY14:AY50)</f>
        <v>102497.15218285759</v>
      </c>
      <c r="BE51" s="254">
        <f t="shared" ref="BE51:BK51" si="69">SUM(BE14:BE50)</f>
        <v>112699.45736370515</v>
      </c>
      <c r="BF51" s="254">
        <f t="shared" si="69"/>
        <v>112699.45736370515</v>
      </c>
      <c r="BG51" s="254">
        <f t="shared" si="69"/>
        <v>112699.45736370515</v>
      </c>
      <c r="BH51" s="254">
        <f t="shared" si="69"/>
        <v>112699.45736370515</v>
      </c>
      <c r="BI51" s="254">
        <f t="shared" si="69"/>
        <v>112699.45736370515</v>
      </c>
      <c r="BJ51" s="254">
        <f t="shared" si="69"/>
        <v>112699.45736370515</v>
      </c>
      <c r="BK51" s="254">
        <f t="shared" si="69"/>
        <v>112699.45736370515</v>
      </c>
      <c r="BL51" s="503">
        <f t="shared" si="35"/>
        <v>1301381.9624602241</v>
      </c>
      <c r="BM51" s="504">
        <f t="shared" si="36"/>
        <v>29157217.479963876</v>
      </c>
      <c r="BN51" s="13">
        <f>SUM(BN14:BN50)</f>
        <v>110032.79069703846</v>
      </c>
      <c r="BO51" s="13">
        <f>SUM(BO13:BO50)</f>
        <v>110032.79069703846</v>
      </c>
      <c r="BP51" s="13">
        <f>SUM(BP13:BP50)</f>
        <v>134032.82069703846</v>
      </c>
      <c r="BQ51" s="13">
        <f>SUM(BQ14:BQ50)</f>
        <v>0</v>
      </c>
      <c r="BR51" s="13">
        <f>SUM(BR14:BR50)</f>
        <v>134032.82069703846</v>
      </c>
      <c r="BS51" s="13">
        <f>SUM(BS14:BS50)</f>
        <v>488131.22278815391</v>
      </c>
      <c r="BT51" s="762">
        <f>SUM(BT14:BT50)</f>
        <v>29440564.718031034</v>
      </c>
      <c r="BY51" s="254">
        <f>SUM(BY14:BY50)</f>
        <v>124177.11444120409</v>
      </c>
      <c r="BZ51" s="254">
        <f t="shared" ref="BZ51:CF51" si="70">SUM(BZ14:BZ50)</f>
        <v>117425.58840080115</v>
      </c>
      <c r="CA51" s="254">
        <f>SUM(CA14:CA50)</f>
        <v>117425.58840080115</v>
      </c>
      <c r="CB51" s="254">
        <f t="shared" si="70"/>
        <v>117425.58840080115</v>
      </c>
      <c r="CC51" s="254">
        <f>SUM(CC13:CC50)</f>
        <v>117425.58840080115</v>
      </c>
      <c r="CD51" s="254">
        <f>SUM(CD13:CD50)</f>
        <v>117425.58840080115</v>
      </c>
      <c r="CE51" s="522">
        <f t="shared" si="70"/>
        <v>117425.58840080115</v>
      </c>
      <c r="CF51" s="522">
        <f t="shared" si="70"/>
        <v>117425.58840080115</v>
      </c>
      <c r="CG51" s="503">
        <f>SUM(CG13:CG50)</f>
        <v>821979.1188056079</v>
      </c>
      <c r="CH51" s="504">
        <f>SUM(CH13:CH50)</f>
        <v>28618585.599225421</v>
      </c>
      <c r="CI51" s="504">
        <f t="shared" ref="CI51:DN51" si="71">SUM(CI13:CI50)</f>
        <v>117425.58840080115</v>
      </c>
      <c r="CJ51" s="504">
        <f t="shared" ref="CJ51:CO51" si="72">SUM(CJ13:CJ50)</f>
        <v>117425.58840080115</v>
      </c>
      <c r="CK51" s="1028">
        <f t="shared" si="72"/>
        <v>117425.58840080115</v>
      </c>
      <c r="CL51" s="1028">
        <f t="shared" si="72"/>
        <v>117425.58840080115</v>
      </c>
      <c r="CM51" s="1028">
        <f t="shared" si="72"/>
        <v>117425.58840080115</v>
      </c>
      <c r="CN51" s="504">
        <f t="shared" si="72"/>
        <v>587127.94200400566</v>
      </c>
      <c r="CO51" s="504">
        <f t="shared" si="72"/>
        <v>28031457.657221422</v>
      </c>
      <c r="CP51" s="504">
        <f t="shared" si="71"/>
        <v>4762.1520000000028</v>
      </c>
      <c r="CQ51" s="504">
        <f t="shared" si="71"/>
        <v>4160.3560000000025</v>
      </c>
      <c r="CR51" s="504">
        <f t="shared" si="71"/>
        <v>41.229797301083032</v>
      </c>
      <c r="CS51" s="682">
        <f t="shared" si="71"/>
        <v>110439.19779678146</v>
      </c>
      <c r="CT51" s="682">
        <f t="shared" si="71"/>
        <v>126412.01885816369</v>
      </c>
      <c r="CU51" s="682">
        <f t="shared" si="71"/>
        <v>123939.85279441875</v>
      </c>
      <c r="CV51" s="682">
        <f t="shared" si="71"/>
        <v>123939.85279441875</v>
      </c>
      <c r="CW51" s="682">
        <f t="shared" si="71"/>
        <v>123939.85279441875</v>
      </c>
      <c r="CX51" s="682">
        <f t="shared" si="71"/>
        <v>123939.85279441875</v>
      </c>
      <c r="CY51" s="682">
        <f t="shared" si="71"/>
        <v>123939.85279441875</v>
      </c>
      <c r="CZ51" s="441">
        <f t="shared" si="71"/>
        <v>123939.85279441875</v>
      </c>
      <c r="DA51" s="682">
        <f t="shared" si="71"/>
        <v>123939.85279441875</v>
      </c>
      <c r="DB51" s="682">
        <f t="shared" ref="DB51:DC51" si="73">SUM(DB13:DB50)</f>
        <v>123939.85279441875</v>
      </c>
      <c r="DC51" s="682">
        <f t="shared" si="73"/>
        <v>123939.85279441875</v>
      </c>
      <c r="DD51" s="682">
        <f t="shared" ref="DD51:DE51" si="74">SUM(DD13:DD50)</f>
        <v>123939.85279441875</v>
      </c>
      <c r="DE51" s="682">
        <f t="shared" si="74"/>
        <v>123939.85279441875</v>
      </c>
      <c r="DF51" s="682">
        <f t="shared" ref="DF51:DL51" si="75">SUM(DF13:DF50)</f>
        <v>123939.85279441875</v>
      </c>
      <c r="DG51" s="682">
        <f t="shared" ref="DG51:DK51" si="76">SUM(DG13:DG50)</f>
        <v>123939.85279441875</v>
      </c>
      <c r="DH51" s="682">
        <f t="shared" si="76"/>
        <v>123939.85279441875</v>
      </c>
      <c r="DI51" s="682">
        <f t="shared" si="76"/>
        <v>123939.85279441875</v>
      </c>
      <c r="DJ51" s="682">
        <f t="shared" si="76"/>
        <v>123939.85279441875</v>
      </c>
      <c r="DK51" s="682">
        <f t="shared" si="76"/>
        <v>123939.85279441875</v>
      </c>
      <c r="DL51" s="682">
        <f t="shared" si="75"/>
        <v>123939.85279441875</v>
      </c>
      <c r="DM51" s="682">
        <f t="shared" si="71"/>
        <v>2230917.3502995372</v>
      </c>
      <c r="DN51" s="682">
        <f t="shared" si="71"/>
        <v>25800540.306921881</v>
      </c>
    </row>
    <row r="52" spans="1:118" x14ac:dyDescent="0.2">
      <c r="BM52" s="667">
        <f>BM51-BN51-BO51</f>
        <v>28937151.8985698</v>
      </c>
      <c r="CN52" s="104"/>
      <c r="CO52" s="104">
        <f>CH51-CN51</f>
        <v>28031457.657221414</v>
      </c>
      <c r="DN52" s="104">
        <f>CO52-DM51</f>
        <v>25800540.306921877</v>
      </c>
    </row>
    <row r="53" spans="1:118" x14ac:dyDescent="0.2">
      <c r="CH53" s="667">
        <f>BT51-CG51</f>
        <v>28618585.599225424</v>
      </c>
    </row>
  </sheetData>
  <sortState ref="A13:AR49">
    <sortCondition ref="A13"/>
  </sortState>
  <mergeCells count="39">
    <mergeCell ref="U10:BC10"/>
    <mergeCell ref="BC11:BC12"/>
    <mergeCell ref="BD11:BD12"/>
    <mergeCell ref="O11:O12"/>
    <mergeCell ref="Q11:Q12"/>
    <mergeCell ref="D10:P10"/>
    <mergeCell ref="R10:T10"/>
    <mergeCell ref="H11:H12"/>
    <mergeCell ref="I11:I12"/>
    <mergeCell ref="J11:J12"/>
    <mergeCell ref="K11:K12"/>
    <mergeCell ref="L11:L12"/>
    <mergeCell ref="M11:M12"/>
    <mergeCell ref="Y11:Y12"/>
    <mergeCell ref="AC11:AC12"/>
    <mergeCell ref="AD11:AD12"/>
    <mergeCell ref="A11:A12"/>
    <mergeCell ref="B11:B12"/>
    <mergeCell ref="E11:E12"/>
    <mergeCell ref="F11:F12"/>
    <mergeCell ref="G11:G12"/>
    <mergeCell ref="BX11:BX12"/>
    <mergeCell ref="BY11:BY12"/>
    <mergeCell ref="AS11:AS12"/>
    <mergeCell ref="AT11:AT12"/>
    <mergeCell ref="R11:R12"/>
    <mergeCell ref="S11:S12"/>
    <mergeCell ref="T11:T12"/>
    <mergeCell ref="U11:U12"/>
    <mergeCell ref="V11:V12"/>
    <mergeCell ref="X11:X12"/>
    <mergeCell ref="BS11:BS12"/>
    <mergeCell ref="BT11:BT12"/>
    <mergeCell ref="DN11:DN12"/>
    <mergeCell ref="CN11:CN12"/>
    <mergeCell ref="CO11:CO12"/>
    <mergeCell ref="CS11:CS12"/>
    <mergeCell ref="CT11:CT12"/>
    <mergeCell ref="DM11:DM12"/>
  </mergeCells>
  <pageMargins left="0.19685039370078741" right="0.19685039370078741" top="0.39370078740157483" bottom="0.39370078740157483" header="0.31496062992125984" footer="0.31496062992125984"/>
  <pageSetup scale="45" orientation="landscape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FE30"/>
  <sheetViews>
    <sheetView topLeftCell="H10" zoomScaleNormal="100" workbookViewId="0">
      <selection activeCell="FC31" sqref="FC31"/>
    </sheetView>
  </sheetViews>
  <sheetFormatPr baseColWidth="10" defaultRowHeight="12.75" x14ac:dyDescent="0.2"/>
  <cols>
    <col min="1" max="1" width="14.7109375" customWidth="1"/>
    <col min="2" max="2" width="30.7109375" customWidth="1"/>
    <col min="3" max="3" width="3.28515625" customWidth="1"/>
    <col min="4" max="4" width="5.85546875" customWidth="1"/>
    <col min="5" max="5" width="6.140625" style="18" customWidth="1"/>
    <col min="6" max="6" width="7.42578125" style="18" customWidth="1"/>
    <col min="7" max="7" width="9.7109375" customWidth="1"/>
    <col min="8" max="8" width="6.42578125" customWidth="1"/>
    <col min="9" max="9" width="6.7109375" customWidth="1"/>
    <col min="10" max="10" width="10" customWidth="1"/>
    <col min="11" max="11" width="6.28515625" customWidth="1"/>
    <col min="12" max="12" width="8.5703125" customWidth="1"/>
    <col min="13" max="13" width="8" customWidth="1"/>
    <col min="14" max="14" width="6.28515625" customWidth="1"/>
    <col min="15" max="15" width="8.5703125" customWidth="1"/>
    <col min="16" max="16" width="7.42578125" customWidth="1"/>
    <col min="17" max="17" width="8.5703125" customWidth="1"/>
    <col min="18" max="18" width="11" customWidth="1"/>
    <col min="19" max="19" width="7.42578125" hidden="1" customWidth="1"/>
    <col min="20" max="20" width="9.28515625" hidden="1" customWidth="1"/>
    <col min="21" max="21" width="8.7109375" hidden="1" customWidth="1"/>
    <col min="22" max="22" width="11.42578125" hidden="1" customWidth="1"/>
    <col min="23" max="23" width="9.7109375" hidden="1" customWidth="1"/>
    <col min="24" max="24" width="6.140625" hidden="1" customWidth="1"/>
    <col min="25" max="25" width="10" hidden="1" customWidth="1"/>
    <col min="26" max="26" width="10.140625" hidden="1" customWidth="1"/>
    <col min="27" max="27" width="9.42578125" hidden="1" customWidth="1"/>
    <col min="28" max="28" width="7.5703125" hidden="1" customWidth="1"/>
    <col min="29" max="29" width="7.7109375" hidden="1" customWidth="1"/>
    <col min="30" max="30" width="11.7109375" hidden="1" customWidth="1"/>
    <col min="31" max="31" width="7.85546875" hidden="1" customWidth="1"/>
    <col min="32" max="32" width="9.7109375" hidden="1" customWidth="1"/>
    <col min="33" max="33" width="6.85546875" hidden="1" customWidth="1"/>
    <col min="34" max="34" width="8.140625" hidden="1" customWidth="1"/>
    <col min="35" max="35" width="8" hidden="1" customWidth="1"/>
    <col min="36" max="45" width="9" hidden="1" customWidth="1"/>
    <col min="46" max="46" width="9.5703125" hidden="1" customWidth="1"/>
    <col min="47" max="47" width="9" hidden="1" customWidth="1"/>
    <col min="48" max="48" width="9.140625" hidden="1" customWidth="1"/>
    <col min="49" max="49" width="9" hidden="1" customWidth="1"/>
    <col min="50" max="51" width="10.7109375" hidden="1" customWidth="1"/>
    <col min="52" max="52" width="9.42578125" hidden="1" customWidth="1"/>
    <col min="53" max="55" width="9" hidden="1" customWidth="1"/>
    <col min="56" max="56" width="9.5703125" hidden="1" customWidth="1"/>
    <col min="57" max="57" width="9" hidden="1" customWidth="1"/>
    <col min="58" max="58" width="9.140625" hidden="1" customWidth="1"/>
    <col min="59" max="59" width="11.5703125" hidden="1" customWidth="1"/>
    <col min="60" max="60" width="11.28515625" hidden="1" customWidth="1"/>
    <col min="61" max="61" width="11.42578125" hidden="1" customWidth="1"/>
    <col min="62" max="63" width="0" hidden="1" customWidth="1"/>
    <col min="64" max="67" width="11.42578125" hidden="1" customWidth="1"/>
    <col min="68" max="68" width="10.5703125" hidden="1" customWidth="1"/>
    <col min="69" max="69" width="7.5703125" hidden="1" customWidth="1"/>
    <col min="70" max="70" width="9" hidden="1" customWidth="1"/>
    <col min="71" max="71" width="7.42578125" customWidth="1"/>
    <col min="72" max="72" width="10.42578125" customWidth="1"/>
    <col min="73" max="73" width="9.28515625" customWidth="1"/>
    <col min="74" max="74" width="8" hidden="1" customWidth="1"/>
    <col min="75" max="75" width="8.140625" hidden="1" customWidth="1"/>
    <col min="76" max="76" width="8.42578125" hidden="1" customWidth="1"/>
    <col min="77" max="82" width="9" hidden="1" customWidth="1"/>
    <col min="83" max="83" width="9.85546875" hidden="1" customWidth="1"/>
    <col min="84" max="84" width="8.7109375" hidden="1" customWidth="1"/>
    <col min="85" max="85" width="9.5703125" style="436" hidden="1" customWidth="1"/>
    <col min="86" max="89" width="9" hidden="1" customWidth="1"/>
    <col min="90" max="90" width="4.42578125" hidden="1" customWidth="1"/>
    <col min="91" max="91" width="9" hidden="1" customWidth="1"/>
    <col min="92" max="92" width="10" hidden="1" customWidth="1"/>
    <col min="93" max="94" width="8" hidden="1" customWidth="1"/>
    <col min="95" max="95" width="5.28515625" hidden="1" customWidth="1"/>
    <col min="96" max="96" width="9" hidden="1" customWidth="1"/>
    <col min="97" max="97" width="10" hidden="1" customWidth="1"/>
    <col min="98" max="99" width="9" hidden="1" customWidth="1"/>
    <col min="100" max="100" width="6.7109375" hidden="1" customWidth="1"/>
    <col min="101" max="104" width="9" hidden="1" customWidth="1"/>
    <col min="105" max="105" width="6.42578125" hidden="1" customWidth="1"/>
    <col min="106" max="106" width="9" hidden="1" customWidth="1"/>
    <col min="107" max="107" width="8.5703125" hidden="1" customWidth="1"/>
    <col min="108" max="108" width="8.42578125" hidden="1" customWidth="1"/>
    <col min="109" max="109" width="9.85546875" style="436" hidden="1" customWidth="1"/>
    <col min="110" max="110" width="9.85546875" hidden="1" customWidth="1"/>
    <col min="111" max="111" width="11.42578125" hidden="1" customWidth="1"/>
    <col min="112" max="112" width="10.42578125" hidden="1" customWidth="1"/>
    <col min="113" max="113" width="7.42578125" hidden="1" customWidth="1"/>
    <col min="114" max="114" width="9.7109375" hidden="1" customWidth="1"/>
    <col min="115" max="115" width="12.28515625" hidden="1" customWidth="1"/>
    <col min="116" max="116" width="9.140625" hidden="1" customWidth="1"/>
    <col min="117" max="117" width="10.85546875" hidden="1" customWidth="1"/>
    <col min="118" max="118" width="14.28515625" hidden="1" customWidth="1"/>
    <col min="119" max="119" width="10.28515625" hidden="1" customWidth="1"/>
    <col min="120" max="120" width="10.5703125" hidden="1" customWidth="1"/>
    <col min="121" max="127" width="9" hidden="1" customWidth="1"/>
    <col min="128" max="128" width="9.7109375" hidden="1" customWidth="1"/>
    <col min="129" max="129" width="9.28515625" hidden="1" customWidth="1"/>
    <col min="130" max="130" width="0" hidden="1" customWidth="1"/>
    <col min="131" max="134" width="11.42578125" hidden="1" customWidth="1"/>
    <col min="135" max="135" width="0" hidden="1" customWidth="1"/>
    <col min="136" max="136" width="11.140625" customWidth="1"/>
    <col min="137" max="137" width="9.7109375" customWidth="1"/>
    <col min="138" max="138" width="9" customWidth="1"/>
    <col min="139" max="139" width="8.7109375" customWidth="1"/>
    <col min="140" max="140" width="11.42578125" customWidth="1"/>
    <col min="141" max="141" width="9.7109375" customWidth="1"/>
    <col min="142" max="142" width="11.42578125" hidden="1" customWidth="1"/>
    <col min="143" max="143" width="9.5703125" hidden="1" customWidth="1"/>
    <col min="144" max="158" width="11.42578125" hidden="1" customWidth="1"/>
    <col min="159" max="161" width="11.42578125" customWidth="1"/>
  </cols>
  <sheetData>
    <row r="1" spans="1:161" x14ac:dyDescent="0.2">
      <c r="A1" s="637"/>
      <c r="B1" s="638" t="s">
        <v>27</v>
      </c>
      <c r="C1" s="637"/>
      <c r="D1" s="702"/>
      <c r="E1" s="639"/>
      <c r="F1" s="639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9"/>
      <c r="T1" s="640"/>
      <c r="U1" s="703"/>
      <c r="V1" s="639"/>
      <c r="W1" s="662"/>
      <c r="X1" s="662"/>
      <c r="Y1" s="661"/>
      <c r="Z1" s="662"/>
      <c r="AA1" s="662"/>
      <c r="AB1" s="663"/>
      <c r="AC1" s="662"/>
      <c r="AD1" s="662"/>
      <c r="AE1" s="662"/>
      <c r="AF1" s="662"/>
      <c r="AG1" s="662"/>
      <c r="AH1" s="662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 s="637"/>
      <c r="AV1" s="637"/>
      <c r="AW1" s="662"/>
      <c r="AX1" s="637"/>
      <c r="AY1" s="664"/>
      <c r="AZ1" s="637"/>
      <c r="BA1" s="637"/>
      <c r="BB1" s="637"/>
      <c r="BC1" s="637"/>
      <c r="BD1" s="637"/>
      <c r="BE1" s="637"/>
      <c r="BF1" s="637"/>
      <c r="BG1" s="662"/>
      <c r="BH1" s="637"/>
      <c r="BI1" s="664"/>
      <c r="BJ1" s="637"/>
      <c r="BK1" s="637"/>
      <c r="BL1" s="637"/>
      <c r="BM1" s="637"/>
      <c r="BN1" s="637"/>
      <c r="BO1" s="637"/>
      <c r="BP1" s="637"/>
      <c r="BQ1" s="637"/>
      <c r="BR1" s="637"/>
      <c r="BS1" s="640"/>
      <c r="BT1" s="640"/>
      <c r="BU1" s="637"/>
      <c r="BV1" s="637"/>
      <c r="BW1" s="647"/>
      <c r="BX1" s="647"/>
      <c r="BY1" s="647"/>
      <c r="BZ1" s="647"/>
      <c r="CA1" s="647"/>
      <c r="CB1" s="647"/>
      <c r="CC1" s="647"/>
      <c r="CD1" s="647"/>
      <c r="CE1" s="647"/>
      <c r="CF1" s="647"/>
      <c r="CG1" s="687"/>
      <c r="CH1" s="647"/>
      <c r="CI1" s="647"/>
      <c r="CJ1" s="647"/>
      <c r="CK1" s="647"/>
      <c r="CL1" s="647"/>
      <c r="CM1" s="647"/>
      <c r="CN1" s="637"/>
      <c r="CO1" s="662"/>
      <c r="CP1" s="663"/>
      <c r="CQ1" s="662"/>
      <c r="CR1" s="662"/>
      <c r="CS1" s="662"/>
      <c r="CT1" s="647"/>
      <c r="CU1" s="647"/>
      <c r="CV1" s="647"/>
      <c r="CW1" s="647"/>
      <c r="CX1" s="647"/>
      <c r="CY1" s="647"/>
      <c r="CZ1" s="647"/>
      <c r="DA1" s="647"/>
      <c r="DB1" s="647"/>
      <c r="DC1" s="647"/>
      <c r="DD1" s="647"/>
      <c r="DE1" s="687"/>
      <c r="DF1" s="637"/>
      <c r="DG1" s="637"/>
      <c r="DH1" s="637"/>
      <c r="DI1" s="637"/>
      <c r="DJ1" s="637"/>
      <c r="DK1" s="637"/>
      <c r="DL1" s="662"/>
      <c r="DM1" s="663"/>
      <c r="DN1" s="662"/>
      <c r="DO1" s="662"/>
      <c r="DP1" s="662"/>
      <c r="DQ1" s="637"/>
      <c r="DR1" s="637"/>
      <c r="DS1" s="637"/>
      <c r="DT1" s="637"/>
      <c r="DU1" s="637"/>
      <c r="DV1" s="637"/>
      <c r="DW1" s="637"/>
      <c r="DX1" s="637"/>
      <c r="DY1" s="637"/>
    </row>
    <row r="2" spans="1:161" x14ac:dyDescent="0.2">
      <c r="A2" s="637"/>
      <c r="B2" s="638" t="s">
        <v>1273</v>
      </c>
      <c r="C2" s="637"/>
      <c r="D2" s="702"/>
      <c r="E2" s="639"/>
      <c r="F2" s="639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37"/>
      <c r="S2" s="639"/>
      <c r="T2" s="640"/>
      <c r="U2" s="703"/>
      <c r="V2" s="639"/>
      <c r="W2" s="662"/>
      <c r="X2" s="662"/>
      <c r="Y2" s="661"/>
      <c r="Z2" s="662"/>
      <c r="AA2" s="662"/>
      <c r="AB2" s="663"/>
      <c r="AC2" s="662"/>
      <c r="AD2" s="662"/>
      <c r="AE2" s="662"/>
      <c r="AF2" s="662"/>
      <c r="AG2" s="662"/>
      <c r="AH2" s="662"/>
      <c r="AI2" s="637"/>
      <c r="AJ2" s="637"/>
      <c r="AK2" s="637"/>
      <c r="AL2" s="637"/>
      <c r="AM2" s="637"/>
      <c r="AN2" s="637"/>
      <c r="AO2" s="637"/>
      <c r="AP2" s="637"/>
      <c r="AQ2" s="637"/>
      <c r="AR2" s="637"/>
      <c r="AS2" s="637"/>
      <c r="AT2" s="637"/>
      <c r="AU2" s="637"/>
      <c r="AV2" s="637"/>
      <c r="AW2" s="637"/>
      <c r="AX2" s="637"/>
      <c r="AY2" s="664"/>
      <c r="AZ2" s="637"/>
      <c r="BA2" s="637"/>
      <c r="BB2" s="637"/>
      <c r="BC2" s="637"/>
      <c r="BD2" s="637"/>
      <c r="BE2" s="637"/>
      <c r="BF2" s="637"/>
      <c r="BG2" s="637"/>
      <c r="BH2" s="637"/>
      <c r="BI2" s="664"/>
      <c r="BJ2" s="637"/>
      <c r="BK2" s="637"/>
      <c r="BL2" s="637"/>
      <c r="BM2" s="637"/>
      <c r="BN2" s="637"/>
      <c r="BO2" s="637"/>
      <c r="BP2" s="637"/>
      <c r="BQ2" s="637"/>
      <c r="BR2" s="637"/>
      <c r="BS2" s="640"/>
      <c r="BT2" s="640"/>
      <c r="BU2" s="637"/>
      <c r="BV2" s="637"/>
      <c r="BW2" s="647"/>
      <c r="BX2" s="647"/>
      <c r="BY2" s="647"/>
      <c r="BZ2" s="647"/>
      <c r="CA2" s="647"/>
      <c r="CB2" s="647"/>
      <c r="CC2" s="647"/>
      <c r="CD2" s="647"/>
      <c r="CE2" s="647"/>
      <c r="CF2" s="647"/>
      <c r="CG2" s="687"/>
      <c r="CH2" s="647"/>
      <c r="CI2" s="647"/>
      <c r="CJ2" s="647"/>
      <c r="CK2" s="647"/>
      <c r="CL2" s="647"/>
      <c r="CM2" s="647"/>
      <c r="CN2" s="637"/>
      <c r="CO2" s="662"/>
      <c r="CP2" s="663"/>
      <c r="CQ2" s="662"/>
      <c r="CR2" s="662"/>
      <c r="CS2" s="662"/>
      <c r="CT2" s="647"/>
      <c r="CU2" s="647"/>
      <c r="CV2" s="647"/>
      <c r="CW2" s="647"/>
      <c r="CX2" s="647"/>
      <c r="CY2" s="647"/>
      <c r="CZ2" s="647"/>
      <c r="DA2" s="647"/>
      <c r="DB2" s="647"/>
      <c r="DC2" s="647"/>
      <c r="DD2" s="647"/>
      <c r="DE2" s="687"/>
      <c r="DF2" s="637"/>
      <c r="DG2" s="637"/>
      <c r="DH2" s="637"/>
      <c r="DI2" s="637"/>
      <c r="DJ2" s="637"/>
      <c r="DK2" s="637"/>
      <c r="DL2" s="662"/>
      <c r="DM2" s="663"/>
      <c r="DN2" s="662"/>
      <c r="DO2" s="662"/>
      <c r="DP2" s="662"/>
      <c r="DQ2" s="637"/>
      <c r="DR2" s="637"/>
      <c r="DS2" s="637"/>
      <c r="DT2" s="637"/>
      <c r="DU2" s="637"/>
      <c r="DV2" s="637"/>
      <c r="DW2" s="637"/>
      <c r="DX2" s="637"/>
      <c r="DY2" s="637"/>
    </row>
    <row r="3" spans="1:161" x14ac:dyDescent="0.2">
      <c r="A3" s="637"/>
      <c r="B3" s="637"/>
      <c r="C3" s="638"/>
      <c r="D3" s="704"/>
      <c r="E3" s="641"/>
      <c r="F3" s="639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42"/>
      <c r="S3" s="639"/>
      <c r="T3" s="638"/>
      <c r="U3" s="705"/>
      <c r="V3" s="706"/>
      <c r="W3" s="662"/>
      <c r="X3" s="662"/>
      <c r="Y3" s="665"/>
      <c r="Z3" s="662"/>
      <c r="AA3" s="662"/>
      <c r="AB3" s="663"/>
      <c r="AC3" s="662"/>
      <c r="AD3" s="662"/>
      <c r="AE3" s="662"/>
      <c r="AF3" s="662"/>
      <c r="AG3" s="662"/>
      <c r="AH3" s="662"/>
      <c r="AI3" s="637"/>
      <c r="AJ3" s="637"/>
      <c r="AK3" s="637"/>
      <c r="AL3" s="637"/>
      <c r="AM3" s="637"/>
      <c r="AN3" s="637"/>
      <c r="AO3" s="637"/>
      <c r="AP3" s="637"/>
      <c r="AQ3" s="637"/>
      <c r="AR3" s="637"/>
      <c r="AS3" s="637"/>
      <c r="AT3" s="637"/>
      <c r="AU3" s="637"/>
      <c r="AV3" s="637"/>
      <c r="AW3" s="637"/>
      <c r="AX3" s="637"/>
      <c r="AY3" s="664"/>
      <c r="AZ3" s="637"/>
      <c r="BA3" s="637"/>
      <c r="BB3" s="637"/>
      <c r="BC3" s="637"/>
      <c r="BD3" s="637"/>
      <c r="BE3" s="637"/>
      <c r="BF3" s="637"/>
      <c r="BG3" s="637"/>
      <c r="BH3" s="637"/>
      <c r="BI3" s="664"/>
      <c r="BJ3" s="637"/>
      <c r="BK3" s="637"/>
      <c r="BL3" s="637"/>
      <c r="BM3" s="637"/>
      <c r="BN3" s="637"/>
      <c r="BO3" s="637"/>
      <c r="BP3" s="637"/>
      <c r="BQ3" s="637"/>
      <c r="BR3" s="637"/>
      <c r="BS3" s="638"/>
      <c r="BT3" s="638"/>
      <c r="BU3" s="642"/>
      <c r="BV3" s="637"/>
      <c r="BW3" s="647"/>
      <c r="BX3" s="647"/>
      <c r="BY3" s="647"/>
      <c r="BZ3" s="647"/>
      <c r="CA3" s="647"/>
      <c r="CB3" s="647"/>
      <c r="CC3" s="647"/>
      <c r="CD3" s="647"/>
      <c r="CE3" s="647"/>
      <c r="CF3" s="647"/>
      <c r="CG3" s="687"/>
      <c r="CH3" s="647"/>
      <c r="CI3" s="647"/>
      <c r="CJ3" s="647"/>
      <c r="CK3" s="647"/>
      <c r="CL3" s="647"/>
      <c r="CM3" s="647"/>
      <c r="CN3" s="637"/>
      <c r="CO3" s="662"/>
      <c r="CP3" s="663"/>
      <c r="CQ3" s="662"/>
      <c r="CR3" s="662"/>
      <c r="CS3" s="662"/>
      <c r="CT3" s="647"/>
      <c r="CU3" s="647"/>
      <c r="CV3" s="647"/>
      <c r="CW3" s="647"/>
      <c r="CX3" s="647"/>
      <c r="CY3" s="647"/>
      <c r="CZ3" s="647"/>
      <c r="DA3" s="647"/>
      <c r="DB3" s="647"/>
      <c r="DC3" s="647"/>
      <c r="DD3" s="647"/>
      <c r="DE3" s="687"/>
      <c r="DF3" s="637"/>
      <c r="DG3" s="637"/>
      <c r="DH3" s="637"/>
      <c r="DI3" s="637"/>
      <c r="DJ3" s="637"/>
      <c r="DK3" s="637"/>
      <c r="DL3" s="662"/>
      <c r="DM3" s="663"/>
      <c r="DN3" s="662"/>
      <c r="DO3" s="662"/>
      <c r="DP3" s="662"/>
      <c r="DQ3" s="637"/>
      <c r="DR3" s="637"/>
      <c r="DS3" s="637"/>
      <c r="DT3" s="637"/>
      <c r="DU3" s="637"/>
      <c r="DV3" s="637"/>
      <c r="DW3" s="637"/>
      <c r="DX3" s="637"/>
      <c r="DY3" s="637"/>
    </row>
    <row r="4" spans="1:161" x14ac:dyDescent="0.2">
      <c r="A4" s="637"/>
      <c r="B4" s="637" t="s">
        <v>309</v>
      </c>
      <c r="C4" s="663"/>
      <c r="D4" s="707"/>
      <c r="E4" s="641"/>
      <c r="F4" s="639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42"/>
      <c r="S4" s="662"/>
      <c r="T4" s="662"/>
      <c r="U4" s="662"/>
      <c r="V4" s="662"/>
      <c r="W4" s="662"/>
      <c r="X4" s="637"/>
      <c r="Y4" s="637"/>
      <c r="Z4" s="637"/>
      <c r="AA4" s="637"/>
      <c r="AB4" s="637"/>
      <c r="AC4" s="637"/>
      <c r="AD4" s="637"/>
      <c r="AE4" s="637"/>
      <c r="AF4" s="637"/>
      <c r="AG4" s="637"/>
      <c r="AH4" s="637"/>
      <c r="AI4" s="637"/>
      <c r="AJ4" s="664"/>
      <c r="AK4" s="637"/>
      <c r="AL4" s="637"/>
      <c r="AM4" s="637"/>
      <c r="AN4" s="637"/>
      <c r="AO4" s="637"/>
      <c r="AP4" s="637"/>
      <c r="AQ4" s="637"/>
      <c r="AR4" s="637"/>
      <c r="AS4" s="637"/>
      <c r="AT4" s="637"/>
      <c r="AU4" s="637"/>
      <c r="AV4" s="637"/>
      <c r="AW4" s="637"/>
      <c r="AX4" s="637"/>
      <c r="AY4" s="664"/>
      <c r="AZ4" s="637"/>
      <c r="BA4" s="637"/>
      <c r="BB4" s="637"/>
      <c r="BC4" s="637"/>
      <c r="BD4" s="637"/>
      <c r="BE4" s="637"/>
      <c r="BF4" s="637"/>
      <c r="BG4" s="637"/>
      <c r="BH4" s="637"/>
      <c r="BI4" s="664"/>
      <c r="BJ4" s="637"/>
      <c r="BK4" s="637"/>
      <c r="BL4" s="637"/>
      <c r="BM4" s="637"/>
      <c r="BN4" s="637"/>
      <c r="BO4" s="637"/>
      <c r="BP4" s="637"/>
      <c r="BQ4" s="637"/>
      <c r="BR4" s="637"/>
      <c r="BS4" s="638"/>
      <c r="BT4" s="638"/>
      <c r="BU4" s="642"/>
      <c r="BV4" s="637"/>
      <c r="BW4" s="647"/>
      <c r="BX4" s="647"/>
      <c r="BY4" s="647"/>
      <c r="BZ4" s="647"/>
      <c r="CA4" s="647"/>
      <c r="CB4" s="647"/>
      <c r="CC4" s="647"/>
      <c r="CD4" s="647"/>
      <c r="CE4" s="647"/>
      <c r="CF4" s="647"/>
      <c r="CG4" s="687"/>
      <c r="CH4" s="647"/>
      <c r="CI4" s="647"/>
      <c r="CJ4" s="647"/>
      <c r="CK4" s="647"/>
      <c r="CL4" s="647"/>
      <c r="CM4" s="647"/>
      <c r="CN4" s="637"/>
      <c r="CO4" s="662"/>
      <c r="CP4" s="663"/>
      <c r="CQ4" s="662"/>
      <c r="CR4" s="662"/>
      <c r="CS4" s="662"/>
      <c r="CT4" s="647"/>
      <c r="CU4" s="647"/>
      <c r="CV4" s="647"/>
      <c r="CW4" s="647"/>
      <c r="CX4" s="647"/>
      <c r="CY4" s="647"/>
      <c r="CZ4" s="647"/>
      <c r="DA4" s="647"/>
      <c r="DB4" s="647"/>
      <c r="DC4" s="647"/>
      <c r="DD4" s="647"/>
      <c r="DE4" s="687"/>
      <c r="DF4" s="637"/>
      <c r="DG4" s="637"/>
      <c r="DH4" s="637"/>
      <c r="DI4" s="637"/>
      <c r="DJ4" s="637"/>
      <c r="DK4" s="637"/>
      <c r="DL4" s="662"/>
      <c r="DM4" s="663"/>
      <c r="DN4" s="662"/>
      <c r="DO4" s="662"/>
      <c r="DP4" s="662"/>
      <c r="DQ4" s="637"/>
      <c r="DR4" s="637"/>
      <c r="DS4" s="637"/>
      <c r="DT4" s="637"/>
      <c r="DU4" s="637"/>
      <c r="DV4" s="637"/>
      <c r="DW4" s="637"/>
      <c r="DX4" s="637"/>
      <c r="DY4" s="637"/>
    </row>
    <row r="5" spans="1:161" x14ac:dyDescent="0.2">
      <c r="A5" s="637"/>
      <c r="B5" s="642" t="s">
        <v>334</v>
      </c>
      <c r="C5" s="663"/>
      <c r="D5" s="707"/>
      <c r="E5" s="639"/>
      <c r="F5" s="639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37"/>
      <c r="S5" s="662"/>
      <c r="T5" s="662"/>
      <c r="U5" s="662"/>
      <c r="V5" s="662"/>
      <c r="W5" s="662"/>
      <c r="X5" s="637"/>
      <c r="Y5" s="637"/>
      <c r="Z5" s="637"/>
      <c r="AA5" s="637"/>
      <c r="AB5" s="637"/>
      <c r="AC5" s="637"/>
      <c r="AD5" s="637"/>
      <c r="AE5" s="637"/>
      <c r="AF5" s="637"/>
      <c r="AG5" s="637"/>
      <c r="AH5" s="637"/>
      <c r="AI5" s="637"/>
      <c r="AJ5" s="664"/>
      <c r="AK5" s="637"/>
      <c r="AL5" s="637"/>
      <c r="AM5" s="637"/>
      <c r="AN5" s="637"/>
      <c r="AO5" s="637"/>
      <c r="AP5" s="637"/>
      <c r="AQ5" s="637"/>
      <c r="AR5" s="637"/>
      <c r="AS5" s="637"/>
      <c r="AT5" s="637"/>
      <c r="AU5" s="637"/>
      <c r="AV5" s="637"/>
      <c r="AW5" s="637"/>
      <c r="AX5" s="637"/>
      <c r="AY5" s="664"/>
      <c r="AZ5" s="637"/>
      <c r="BA5" s="637"/>
      <c r="BB5" s="637"/>
      <c r="BC5" s="637"/>
      <c r="BD5" s="637"/>
      <c r="BE5" s="637"/>
      <c r="BF5" s="637"/>
      <c r="BG5" s="637"/>
      <c r="BH5" s="637"/>
      <c r="BI5" s="664"/>
      <c r="BJ5" s="637"/>
      <c r="BK5" s="637"/>
      <c r="BL5" s="637"/>
      <c r="BM5" s="637"/>
      <c r="BN5" s="637"/>
      <c r="BO5" s="637"/>
      <c r="BP5" s="637"/>
      <c r="BQ5" s="637"/>
      <c r="BR5" s="637"/>
      <c r="BS5" s="640"/>
      <c r="BT5" s="640"/>
      <c r="BU5" s="637"/>
      <c r="BV5" s="637"/>
      <c r="BW5" s="647"/>
      <c r="BX5" s="647"/>
      <c r="BY5" s="647"/>
      <c r="BZ5" s="647"/>
      <c r="CA5" s="647"/>
      <c r="CB5" s="647"/>
      <c r="CC5" s="647"/>
      <c r="CD5" s="647"/>
      <c r="CE5" s="647"/>
      <c r="CF5" s="647"/>
      <c r="CG5" s="687"/>
      <c r="CH5" s="647"/>
      <c r="CI5" s="647"/>
      <c r="CJ5" s="647"/>
      <c r="CK5" s="647"/>
      <c r="CL5" s="647"/>
      <c r="CM5" s="647"/>
      <c r="CN5" s="637"/>
      <c r="CO5" s="662"/>
      <c r="CP5" s="663"/>
      <c r="CQ5" s="662"/>
      <c r="CR5" s="662"/>
      <c r="CS5" s="662"/>
      <c r="CT5" s="647"/>
      <c r="CU5" s="647"/>
      <c r="CV5" s="647"/>
      <c r="CW5" s="647"/>
      <c r="CX5" s="647"/>
      <c r="CY5" s="647"/>
      <c r="CZ5" s="647"/>
      <c r="DA5" s="647"/>
      <c r="DB5" s="647"/>
      <c r="DC5" s="647"/>
      <c r="DD5" s="647"/>
      <c r="DE5" s="687"/>
      <c r="DF5" s="637"/>
      <c r="DG5" s="637"/>
      <c r="DH5" s="637"/>
      <c r="DI5" s="637"/>
      <c r="DJ5" s="637"/>
      <c r="DK5" s="637"/>
      <c r="DL5" s="662"/>
      <c r="DM5" s="663"/>
      <c r="DN5" s="662"/>
      <c r="DO5" s="662"/>
      <c r="DP5" s="662"/>
      <c r="DQ5" s="637"/>
      <c r="DR5" s="637"/>
      <c r="DS5" s="637"/>
      <c r="DT5" s="637"/>
      <c r="DU5" s="637"/>
      <c r="DV5" s="637"/>
      <c r="DW5" s="637"/>
      <c r="DX5" s="637"/>
      <c r="DY5" s="637"/>
    </row>
    <row r="6" spans="1:161" x14ac:dyDescent="0.2">
      <c r="A6" s="637"/>
      <c r="B6" s="637" t="s">
        <v>1272</v>
      </c>
      <c r="C6" s="663"/>
      <c r="D6" s="707"/>
      <c r="E6" s="639"/>
      <c r="F6" s="639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37"/>
      <c r="S6" s="662"/>
      <c r="T6" s="662"/>
      <c r="U6" s="662"/>
      <c r="V6" s="662"/>
      <c r="W6" s="662"/>
      <c r="X6" s="637"/>
      <c r="Y6" s="637"/>
      <c r="Z6" s="637"/>
      <c r="AA6" s="637"/>
      <c r="AB6" s="637"/>
      <c r="AC6" s="637"/>
      <c r="AD6" s="637"/>
      <c r="AE6" s="637"/>
      <c r="AF6" s="637"/>
      <c r="AG6" s="637"/>
      <c r="AH6" s="637"/>
      <c r="AI6" s="637"/>
      <c r="AJ6" s="664"/>
      <c r="AK6" s="637"/>
      <c r="AL6" s="637"/>
      <c r="AM6" s="637"/>
      <c r="AN6" s="637"/>
      <c r="AO6" s="637"/>
      <c r="AP6" s="637"/>
      <c r="AQ6" s="637"/>
      <c r="AR6" s="637"/>
      <c r="AS6" s="637"/>
      <c r="AT6" s="637"/>
      <c r="AU6" s="637"/>
      <c r="AV6" s="637"/>
      <c r="AW6" s="637"/>
      <c r="AX6" s="637"/>
      <c r="AY6" s="664"/>
      <c r="AZ6" s="637"/>
      <c r="BA6" s="637"/>
      <c r="BB6" s="637"/>
      <c r="BC6" s="637"/>
      <c r="BD6" s="637"/>
      <c r="BE6" s="637"/>
      <c r="BF6" s="637"/>
      <c r="BG6" s="637"/>
      <c r="BH6" s="637"/>
      <c r="BI6" s="664"/>
      <c r="BJ6" s="637"/>
      <c r="BK6" s="637"/>
      <c r="BL6" s="637"/>
      <c r="BM6" s="637"/>
      <c r="BN6" s="637"/>
      <c r="BO6" s="637"/>
      <c r="BP6" s="637"/>
      <c r="BQ6" s="637"/>
      <c r="BR6" s="637"/>
      <c r="BS6" s="640"/>
      <c r="BT6" s="640"/>
      <c r="BU6" s="637"/>
      <c r="BV6" s="637"/>
      <c r="BW6" s="647"/>
      <c r="BX6" s="647"/>
      <c r="BY6" s="647"/>
      <c r="BZ6" s="647"/>
      <c r="CA6" s="647"/>
      <c r="CB6" s="647"/>
      <c r="CC6" s="647"/>
      <c r="CD6" s="647"/>
      <c r="CE6" s="647"/>
      <c r="CF6" s="647"/>
      <c r="CG6" s="687"/>
      <c r="CH6" s="647"/>
      <c r="CI6" s="647"/>
      <c r="CJ6" s="647"/>
      <c r="CK6" s="647"/>
      <c r="CL6" s="647"/>
      <c r="CM6" s="647"/>
      <c r="CN6" s="637"/>
      <c r="CO6" s="662"/>
      <c r="CP6" s="663"/>
      <c r="CQ6" s="662"/>
      <c r="CR6" s="662"/>
      <c r="CS6" s="662"/>
      <c r="CT6" s="647"/>
      <c r="CU6" s="647"/>
      <c r="CV6" s="647"/>
      <c r="CW6" s="647"/>
      <c r="CX6" s="647"/>
      <c r="CY6" s="647"/>
      <c r="CZ6" s="647"/>
      <c r="DA6" s="647"/>
      <c r="DB6" s="647"/>
      <c r="DC6" s="647"/>
      <c r="DD6" s="647"/>
      <c r="DE6" s="687"/>
      <c r="DF6" s="637"/>
      <c r="DG6" s="637"/>
      <c r="DH6" s="637"/>
      <c r="DI6" s="637"/>
      <c r="DJ6" s="637"/>
      <c r="DK6" s="637"/>
      <c r="DL6" s="662"/>
      <c r="DM6" s="663"/>
      <c r="DN6" s="662"/>
      <c r="DO6" s="662"/>
      <c r="DP6" s="662"/>
      <c r="DQ6" s="637"/>
      <c r="DR6" s="637"/>
      <c r="DS6" s="637"/>
      <c r="DT6" s="637"/>
      <c r="DU6" s="637"/>
      <c r="DV6" s="637"/>
      <c r="DW6" s="637"/>
      <c r="DX6" s="637"/>
      <c r="DY6" s="637"/>
    </row>
    <row r="7" spans="1:161" x14ac:dyDescent="0.2">
      <c r="A7" s="637"/>
      <c r="B7" s="637"/>
      <c r="C7" s="663"/>
      <c r="D7" s="707"/>
      <c r="E7" s="639"/>
      <c r="F7" s="639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37"/>
      <c r="S7" s="662"/>
      <c r="T7" s="662"/>
      <c r="U7" s="662"/>
      <c r="V7" s="662"/>
      <c r="W7" s="662"/>
      <c r="X7" s="637"/>
      <c r="Y7" s="637"/>
      <c r="Z7" s="637"/>
      <c r="AA7" s="637"/>
      <c r="AB7" s="637"/>
      <c r="AC7" s="637"/>
      <c r="AD7" s="637"/>
      <c r="AE7" s="637"/>
      <c r="AF7" s="637"/>
      <c r="AG7" s="637"/>
      <c r="AH7" s="637"/>
      <c r="AI7" s="637"/>
      <c r="AJ7" s="664"/>
      <c r="AK7" s="637"/>
      <c r="AL7" s="637"/>
      <c r="AM7" s="637"/>
      <c r="AN7" s="637"/>
      <c r="AO7" s="637"/>
      <c r="AP7" s="637"/>
      <c r="AQ7" s="637"/>
      <c r="AR7" s="637"/>
      <c r="AS7" s="637"/>
      <c r="AT7" s="637"/>
      <c r="AU7" s="637"/>
      <c r="AV7" s="637"/>
      <c r="AW7" s="637"/>
      <c r="AX7" s="637"/>
      <c r="AY7" s="664"/>
      <c r="AZ7" s="637"/>
      <c r="BA7" s="637"/>
      <c r="BB7" s="637"/>
      <c r="BC7" s="637"/>
      <c r="BD7" s="637"/>
      <c r="BE7" s="637"/>
      <c r="BF7" s="637"/>
      <c r="BG7" s="637"/>
      <c r="BH7" s="637"/>
      <c r="BI7" s="664"/>
      <c r="BJ7" s="637"/>
      <c r="BK7" s="637"/>
      <c r="BL7" s="637"/>
      <c r="BM7" s="637"/>
      <c r="BN7" s="637"/>
      <c r="BO7" s="637"/>
      <c r="BP7" s="637"/>
      <c r="BQ7" s="637"/>
      <c r="BR7" s="637"/>
      <c r="BS7" s="640"/>
      <c r="BT7" s="640"/>
      <c r="BU7" s="637"/>
      <c r="BV7" s="637"/>
      <c r="BW7" s="647"/>
      <c r="BX7" s="647"/>
      <c r="BY7" s="647"/>
      <c r="BZ7" s="647"/>
      <c r="CA7" s="647"/>
      <c r="CB7" s="647"/>
      <c r="CC7" s="647"/>
      <c r="CD7" s="647"/>
      <c r="CE7" s="647"/>
      <c r="CF7" s="647"/>
      <c r="CG7" s="687"/>
      <c r="CH7" s="647"/>
      <c r="CI7" s="647"/>
      <c r="CJ7" s="647"/>
      <c r="CK7" s="647"/>
      <c r="CL7" s="647"/>
      <c r="CM7" s="647"/>
      <c r="CN7" s="637"/>
      <c r="CO7" s="662"/>
      <c r="CP7" s="663"/>
      <c r="CQ7" s="662"/>
      <c r="CR7" s="662"/>
      <c r="CS7" s="662"/>
      <c r="CT7" s="647"/>
      <c r="CU7" s="647"/>
      <c r="CV7" s="647"/>
      <c r="CW7" s="647"/>
      <c r="CX7" s="647"/>
      <c r="CY7" s="647"/>
      <c r="CZ7" s="647"/>
      <c r="DA7" s="647"/>
      <c r="DB7" s="647"/>
      <c r="DC7" s="647"/>
      <c r="DD7" s="647"/>
      <c r="DE7" s="687"/>
      <c r="DF7" s="637"/>
      <c r="DG7" s="637"/>
      <c r="DH7" s="637"/>
      <c r="DI7" s="637"/>
      <c r="DJ7" s="637"/>
      <c r="DK7" s="637"/>
      <c r="DL7" s="662"/>
      <c r="DM7" s="663"/>
      <c r="DN7" s="662"/>
      <c r="DO7" s="662"/>
      <c r="DP7" s="662"/>
      <c r="DQ7" s="637"/>
      <c r="DR7" s="637"/>
      <c r="DS7" s="637"/>
      <c r="DT7" s="637"/>
      <c r="DU7" s="637"/>
      <c r="DV7" s="637"/>
      <c r="DW7" s="637"/>
      <c r="DX7" s="637"/>
      <c r="DY7" s="637"/>
    </row>
    <row r="8" spans="1:161" x14ac:dyDescent="0.2">
      <c r="A8" s="16"/>
      <c r="B8" s="16"/>
      <c r="C8" s="16"/>
      <c r="D8" s="373"/>
      <c r="E8" s="38"/>
      <c r="F8" s="38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38"/>
      <c r="T8" s="37"/>
      <c r="U8" s="114"/>
      <c r="V8" s="38"/>
      <c r="W8" s="39"/>
      <c r="X8" s="39"/>
      <c r="Y8" s="103"/>
      <c r="Z8" s="39"/>
      <c r="AA8" s="39"/>
      <c r="AB8" s="76"/>
      <c r="AC8" s="39"/>
      <c r="AD8" s="39"/>
      <c r="AE8" s="1304" t="s">
        <v>892</v>
      </c>
      <c r="AF8" s="1304"/>
      <c r="AG8" s="1304"/>
      <c r="AH8" s="39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68"/>
      <c r="AZ8" s="16"/>
      <c r="BA8" s="16"/>
      <c r="BB8" s="16"/>
      <c r="BC8" s="16"/>
      <c r="BD8" s="16"/>
      <c r="BE8" s="16"/>
      <c r="BF8" s="16"/>
      <c r="BG8" s="16"/>
      <c r="BH8" s="16"/>
      <c r="BI8" s="68"/>
      <c r="BQ8" s="16"/>
      <c r="BR8" s="16"/>
      <c r="BS8" s="37"/>
      <c r="BT8" s="37"/>
      <c r="BU8" s="35"/>
      <c r="BV8" s="16"/>
      <c r="CO8" s="39"/>
      <c r="CP8" s="76"/>
      <c r="CQ8" s="39"/>
      <c r="CR8" s="39"/>
      <c r="CS8" s="39"/>
      <c r="DL8" s="39"/>
      <c r="DM8" s="76"/>
      <c r="DN8" s="39"/>
      <c r="DO8" s="39"/>
      <c r="DP8" s="39"/>
    </row>
    <row r="9" spans="1:161" ht="12.75" customHeight="1" x14ac:dyDescent="0.2">
      <c r="A9" s="16"/>
      <c r="B9" s="16"/>
      <c r="C9" s="16"/>
      <c r="D9" s="373"/>
      <c r="E9" s="38"/>
      <c r="F9" s="38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38"/>
      <c r="T9" s="37"/>
      <c r="U9" s="114"/>
      <c r="V9" s="38"/>
      <c r="W9" s="16"/>
      <c r="X9" s="16"/>
      <c r="Y9" s="103"/>
      <c r="Z9" s="39"/>
      <c r="AA9" s="39"/>
      <c r="AB9" s="76"/>
      <c r="AC9" s="39"/>
      <c r="AD9" s="39"/>
      <c r="AE9" s="1304"/>
      <c r="AF9" s="1304"/>
      <c r="AG9" s="1304"/>
      <c r="AH9" s="39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68"/>
      <c r="AZ9" s="16"/>
      <c r="BA9" s="16"/>
      <c r="BB9" s="16"/>
      <c r="BC9" s="16"/>
      <c r="BD9" s="16"/>
      <c r="BE9" s="16"/>
      <c r="BF9" s="16"/>
      <c r="BG9" s="16"/>
      <c r="BH9" s="16"/>
      <c r="BI9" s="68"/>
      <c r="BQ9" s="16"/>
      <c r="BR9" s="16"/>
      <c r="BS9" s="37"/>
      <c r="BT9" s="37"/>
      <c r="BU9" s="35"/>
      <c r="BV9" s="16"/>
      <c r="CO9" s="39"/>
      <c r="CP9" s="76"/>
      <c r="CQ9" s="39"/>
      <c r="CR9" s="39"/>
      <c r="CS9" s="39"/>
      <c r="DL9" s="39"/>
      <c r="DM9" s="76"/>
      <c r="DN9" s="39"/>
      <c r="DO9" s="39"/>
      <c r="DP9" s="39"/>
    </row>
    <row r="10" spans="1:161" ht="12.75" customHeight="1" x14ac:dyDescent="0.2">
      <c r="D10" s="372"/>
      <c r="E10" s="1258" t="s">
        <v>532</v>
      </c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258"/>
      <c r="R10" s="191"/>
      <c r="S10" s="18"/>
      <c r="T10" s="19"/>
      <c r="U10" s="115"/>
      <c r="V10" s="18"/>
      <c r="Y10" s="104"/>
      <c r="AB10" s="77"/>
      <c r="AE10" s="1304"/>
      <c r="AF10" s="1304"/>
      <c r="AG10" s="1304"/>
      <c r="AY10" s="69"/>
      <c r="BI10" s="69"/>
      <c r="BS10" s="1259" t="s">
        <v>448</v>
      </c>
      <c r="BT10" s="1259"/>
      <c r="BU10" s="1259"/>
    </row>
    <row r="11" spans="1:161" ht="49.5" customHeight="1" x14ac:dyDescent="0.25">
      <c r="A11" s="1300" t="s">
        <v>57</v>
      </c>
      <c r="B11" s="1300" t="s">
        <v>0</v>
      </c>
      <c r="C11" s="1054" t="s">
        <v>323</v>
      </c>
      <c r="D11" s="371" t="s">
        <v>306</v>
      </c>
      <c r="E11" s="166" t="s">
        <v>306</v>
      </c>
      <c r="F11" s="1263" t="s">
        <v>55</v>
      </c>
      <c r="G11" s="1254" t="s">
        <v>564</v>
      </c>
      <c r="H11" s="1254" t="s">
        <v>446</v>
      </c>
      <c r="I11" s="1254" t="s">
        <v>533</v>
      </c>
      <c r="J11" s="1254" t="s">
        <v>526</v>
      </c>
      <c r="K11" s="1254" t="s">
        <v>1127</v>
      </c>
      <c r="L11" s="1254" t="s">
        <v>534</v>
      </c>
      <c r="M11" s="1254" t="s">
        <v>493</v>
      </c>
      <c r="N11" s="1254" t="s">
        <v>535</v>
      </c>
      <c r="O11" s="1046" t="s">
        <v>529</v>
      </c>
      <c r="P11" s="1254" t="s">
        <v>492</v>
      </c>
      <c r="Q11" s="1047" t="s">
        <v>530</v>
      </c>
      <c r="R11" s="1256" t="s">
        <v>528</v>
      </c>
      <c r="S11" s="1298" t="s">
        <v>55</v>
      </c>
      <c r="T11" s="1300" t="s">
        <v>56</v>
      </c>
      <c r="U11" s="1302" t="s">
        <v>1</v>
      </c>
      <c r="V11" s="1298" t="s">
        <v>891</v>
      </c>
      <c r="W11" s="23" t="s">
        <v>79</v>
      </c>
      <c r="X11" s="86" t="s">
        <v>307</v>
      </c>
      <c r="Y11" s="1302" t="s">
        <v>62</v>
      </c>
      <c r="Z11" s="22" t="s">
        <v>2</v>
      </c>
      <c r="AA11" s="22" t="s">
        <v>15</v>
      </c>
      <c r="AB11" s="78" t="s">
        <v>15</v>
      </c>
      <c r="AC11" s="22" t="s">
        <v>16</v>
      </c>
      <c r="AD11" s="22" t="s">
        <v>17</v>
      </c>
      <c r="AE11" s="23" t="s">
        <v>79</v>
      </c>
      <c r="AF11" s="22" t="s">
        <v>313</v>
      </c>
      <c r="AG11" s="23" t="s">
        <v>79</v>
      </c>
      <c r="AH11" s="22" t="s">
        <v>3</v>
      </c>
      <c r="AI11" s="22" t="s">
        <v>4</v>
      </c>
      <c r="AJ11" s="22" t="s">
        <v>5</v>
      </c>
      <c r="AK11" s="22" t="s">
        <v>6</v>
      </c>
      <c r="AL11" s="22" t="s">
        <v>7</v>
      </c>
      <c r="AM11" s="22" t="s">
        <v>890</v>
      </c>
      <c r="AN11" s="22" t="s">
        <v>15</v>
      </c>
      <c r="AO11" s="78" t="s">
        <v>15</v>
      </c>
      <c r="AP11" s="22" t="s">
        <v>16</v>
      </c>
      <c r="AQ11" s="22" t="s">
        <v>8</v>
      </c>
      <c r="AR11" s="22" t="s">
        <v>9</v>
      </c>
      <c r="AS11" s="22" t="s">
        <v>10</v>
      </c>
      <c r="AT11" s="22" t="s">
        <v>11</v>
      </c>
      <c r="AU11" s="22" t="s">
        <v>12</v>
      </c>
      <c r="AV11" s="22" t="s">
        <v>13</v>
      </c>
      <c r="AW11" s="22" t="s">
        <v>14</v>
      </c>
      <c r="AX11" s="370" t="s">
        <v>889</v>
      </c>
      <c r="AY11" s="370" t="s">
        <v>888</v>
      </c>
      <c r="AZ11" s="370" t="s">
        <v>887</v>
      </c>
      <c r="BA11" s="22" t="s">
        <v>8</v>
      </c>
      <c r="BB11" s="22" t="s">
        <v>9</v>
      </c>
      <c r="BC11" s="22" t="s">
        <v>10</v>
      </c>
      <c r="BD11" s="22" t="s">
        <v>11</v>
      </c>
      <c r="BE11" s="22" t="s">
        <v>12</v>
      </c>
      <c r="BF11" s="22" t="s">
        <v>13</v>
      </c>
      <c r="BG11" s="22" t="s">
        <v>14</v>
      </c>
      <c r="BH11" s="370" t="s">
        <v>886</v>
      </c>
      <c r="BI11" s="70" t="s">
        <v>63</v>
      </c>
      <c r="BJ11" s="1245" t="s">
        <v>976</v>
      </c>
      <c r="BK11" s="1245" t="s">
        <v>536</v>
      </c>
      <c r="BL11" s="158" t="s">
        <v>3</v>
      </c>
      <c r="BM11" s="158" t="s">
        <v>4</v>
      </c>
      <c r="BN11" s="158" t="s">
        <v>5</v>
      </c>
      <c r="BO11" s="158" t="s">
        <v>6</v>
      </c>
      <c r="BP11" s="158" t="s">
        <v>7</v>
      </c>
      <c r="BQ11" s="22" t="s">
        <v>15</v>
      </c>
      <c r="BR11" s="78" t="s">
        <v>15</v>
      </c>
      <c r="BS11" s="1250" t="s">
        <v>437</v>
      </c>
      <c r="BT11" s="1250" t="s">
        <v>56</v>
      </c>
      <c r="BU11" s="1252" t="s">
        <v>449</v>
      </c>
      <c r="BV11" s="22" t="s">
        <v>16</v>
      </c>
      <c r="BW11" s="1245" t="s">
        <v>1004</v>
      </c>
      <c r="BX11" s="1245" t="s">
        <v>536</v>
      </c>
      <c r="BY11" s="158" t="s">
        <v>8</v>
      </c>
      <c r="BZ11" s="158" t="s">
        <v>9</v>
      </c>
      <c r="CA11" s="158" t="s">
        <v>10</v>
      </c>
      <c r="CB11" s="158" t="s">
        <v>11</v>
      </c>
      <c r="CC11" s="158" t="s">
        <v>12</v>
      </c>
      <c r="CD11" s="158" t="s">
        <v>13</v>
      </c>
      <c r="CE11" s="158" t="s">
        <v>14</v>
      </c>
      <c r="CF11" s="1042" t="s">
        <v>989</v>
      </c>
      <c r="CG11" s="486" t="s">
        <v>63</v>
      </c>
      <c r="CH11" s="158" t="s">
        <v>3</v>
      </c>
      <c r="CI11" s="158" t="s">
        <v>4</v>
      </c>
      <c r="CJ11" s="158" t="s">
        <v>5</v>
      </c>
      <c r="CK11" s="158" t="s">
        <v>6</v>
      </c>
      <c r="CL11" s="158" t="s">
        <v>7</v>
      </c>
      <c r="CM11" s="158" t="s">
        <v>8</v>
      </c>
      <c r="CN11" s="1247" t="s">
        <v>1157</v>
      </c>
      <c r="CO11" s="158" t="s">
        <v>15</v>
      </c>
      <c r="CP11" s="159" t="s">
        <v>15</v>
      </c>
      <c r="CQ11" s="158" t="s">
        <v>16</v>
      </c>
      <c r="CR11" s="1245" t="s">
        <v>1057</v>
      </c>
      <c r="CS11" s="1245" t="s">
        <v>536</v>
      </c>
      <c r="CT11" s="158"/>
      <c r="CU11" s="158"/>
      <c r="CV11" s="158" t="s">
        <v>9</v>
      </c>
      <c r="CW11" s="158" t="s">
        <v>3</v>
      </c>
      <c r="CX11" s="158" t="s">
        <v>4</v>
      </c>
      <c r="CY11" s="158" t="s">
        <v>5</v>
      </c>
      <c r="CZ11" s="158" t="s">
        <v>6</v>
      </c>
      <c r="DA11" s="158" t="s">
        <v>7</v>
      </c>
      <c r="DB11" s="158" t="s">
        <v>8</v>
      </c>
      <c r="DC11" s="158" t="s">
        <v>14</v>
      </c>
      <c r="DD11" s="1042" t="s">
        <v>1058</v>
      </c>
      <c r="DE11" s="486" t="s">
        <v>63</v>
      </c>
      <c r="DF11" s="158" t="s">
        <v>4</v>
      </c>
      <c r="DG11" s="158" t="s">
        <v>5</v>
      </c>
      <c r="DH11" s="158" t="s">
        <v>6</v>
      </c>
      <c r="DI11" s="158" t="s">
        <v>7</v>
      </c>
      <c r="DJ11" s="1247" t="s">
        <v>1252</v>
      </c>
      <c r="DK11" s="1247" t="s">
        <v>1253</v>
      </c>
      <c r="DL11" s="158" t="s">
        <v>15</v>
      </c>
      <c r="DM11" s="159" t="s">
        <v>15</v>
      </c>
      <c r="DN11" s="158" t="s">
        <v>16</v>
      </c>
      <c r="DO11" s="1245" t="s">
        <v>1254</v>
      </c>
      <c r="DP11" s="1245" t="s">
        <v>536</v>
      </c>
      <c r="DQ11" s="158" t="s">
        <v>8</v>
      </c>
      <c r="DR11" s="158" t="s">
        <v>9</v>
      </c>
      <c r="DS11" s="158" t="s">
        <v>10</v>
      </c>
      <c r="DT11" s="158" t="s">
        <v>11</v>
      </c>
      <c r="DU11" s="158" t="s">
        <v>12</v>
      </c>
      <c r="DV11" s="158" t="s">
        <v>13</v>
      </c>
      <c r="DW11" s="158" t="s">
        <v>14</v>
      </c>
      <c r="DX11" s="1247" t="s">
        <v>1252</v>
      </c>
      <c r="DY11" s="1247" t="s">
        <v>1253</v>
      </c>
      <c r="DZ11" s="158" t="s">
        <v>3</v>
      </c>
      <c r="EA11" s="158" t="s">
        <v>4</v>
      </c>
      <c r="EB11" s="158" t="s">
        <v>5</v>
      </c>
      <c r="EC11" s="158" t="s">
        <v>6</v>
      </c>
      <c r="ED11" s="158" t="s">
        <v>7</v>
      </c>
      <c r="EE11" s="1247" t="s">
        <v>1252</v>
      </c>
      <c r="EF11" s="1247" t="s">
        <v>1253</v>
      </c>
      <c r="EG11" s="158" t="s">
        <v>15</v>
      </c>
      <c r="EH11" s="159" t="s">
        <v>15</v>
      </c>
      <c r="EI11" s="158" t="s">
        <v>16</v>
      </c>
      <c r="EJ11" s="1245" t="s">
        <v>1254</v>
      </c>
      <c r="EK11" s="1245" t="s">
        <v>536</v>
      </c>
      <c r="EL11" s="158" t="s">
        <v>8</v>
      </c>
      <c r="EM11" s="158" t="s">
        <v>9</v>
      </c>
      <c r="EN11" s="158" t="s">
        <v>10</v>
      </c>
      <c r="EO11" s="158" t="s">
        <v>11</v>
      </c>
      <c r="EP11" s="158" t="s">
        <v>12</v>
      </c>
      <c r="EQ11" s="158" t="s">
        <v>13</v>
      </c>
      <c r="ER11" s="158" t="s">
        <v>14</v>
      </c>
      <c r="ES11" s="158" t="s">
        <v>3</v>
      </c>
      <c r="ET11" s="158" t="s">
        <v>4</v>
      </c>
      <c r="EU11" s="158" t="s">
        <v>5</v>
      </c>
      <c r="EV11" s="158" t="s">
        <v>6</v>
      </c>
      <c r="EW11" s="158" t="s">
        <v>7</v>
      </c>
      <c r="EX11" s="158" t="s">
        <v>8</v>
      </c>
      <c r="EY11" s="158" t="s">
        <v>9</v>
      </c>
      <c r="EZ11" s="158" t="s">
        <v>10</v>
      </c>
      <c r="FA11" s="158" t="s">
        <v>11</v>
      </c>
      <c r="FB11" s="158" t="s">
        <v>12</v>
      </c>
      <c r="FC11" s="158" t="s">
        <v>13</v>
      </c>
      <c r="FD11" s="1247" t="s">
        <v>1274</v>
      </c>
      <c r="FE11" s="1247" t="s">
        <v>1263</v>
      </c>
    </row>
    <row r="12" spans="1:161" ht="90" x14ac:dyDescent="0.25">
      <c r="A12" s="1301"/>
      <c r="B12" s="1301"/>
      <c r="C12" s="122" t="s">
        <v>334</v>
      </c>
      <c r="D12" s="369"/>
      <c r="E12" s="167"/>
      <c r="F12" s="1264"/>
      <c r="G12" s="1255"/>
      <c r="H12" s="1255"/>
      <c r="I12" s="1255"/>
      <c r="J12" s="1255"/>
      <c r="K12" s="1255"/>
      <c r="L12" s="1255"/>
      <c r="M12" s="1255"/>
      <c r="N12" s="1255"/>
      <c r="O12" s="194">
        <v>42369</v>
      </c>
      <c r="P12" s="1255"/>
      <c r="Q12" s="193">
        <v>42370</v>
      </c>
      <c r="R12" s="1257"/>
      <c r="S12" s="1299"/>
      <c r="T12" s="1301" t="s">
        <v>18</v>
      </c>
      <c r="U12" s="1303"/>
      <c r="V12" s="1299"/>
      <c r="W12" s="24" t="s">
        <v>80</v>
      </c>
      <c r="X12" s="24" t="s">
        <v>80</v>
      </c>
      <c r="Y12" s="1303">
        <v>41639</v>
      </c>
      <c r="Z12" s="24" t="s">
        <v>19</v>
      </c>
      <c r="AA12" s="24" t="s">
        <v>20</v>
      </c>
      <c r="AB12" s="79" t="s">
        <v>21</v>
      </c>
      <c r="AC12" s="24" t="s">
        <v>22</v>
      </c>
      <c r="AD12" s="24" t="s">
        <v>23</v>
      </c>
      <c r="AE12" s="24" t="s">
        <v>80</v>
      </c>
      <c r="AF12" s="24"/>
      <c r="AG12" s="40" t="s">
        <v>305</v>
      </c>
      <c r="AH12" s="24">
        <v>2014</v>
      </c>
      <c r="AI12" s="24">
        <v>2014</v>
      </c>
      <c r="AJ12" s="24">
        <v>2014</v>
      </c>
      <c r="AK12" s="24">
        <v>2014</v>
      </c>
      <c r="AL12" s="24">
        <v>2014</v>
      </c>
      <c r="AM12" s="24">
        <v>2014</v>
      </c>
      <c r="AN12" s="24" t="s">
        <v>20</v>
      </c>
      <c r="AO12" s="79" t="s">
        <v>21</v>
      </c>
      <c r="AP12" s="24" t="s">
        <v>22</v>
      </c>
      <c r="AQ12" s="24">
        <v>2014</v>
      </c>
      <c r="AR12" s="24">
        <v>2014</v>
      </c>
      <c r="AS12" s="24">
        <v>2014</v>
      </c>
      <c r="AT12" s="24">
        <v>2014</v>
      </c>
      <c r="AU12" s="24">
        <v>2014</v>
      </c>
      <c r="AV12" s="24">
        <v>2014</v>
      </c>
      <c r="AW12" s="24">
        <v>2014</v>
      </c>
      <c r="AX12" s="24">
        <v>2014</v>
      </c>
      <c r="AY12" s="24">
        <v>2015</v>
      </c>
      <c r="AZ12" s="24">
        <v>2015</v>
      </c>
      <c r="BA12" s="24">
        <v>2015</v>
      </c>
      <c r="BB12" s="24">
        <v>2015</v>
      </c>
      <c r="BC12" s="24">
        <v>2015</v>
      </c>
      <c r="BD12" s="24">
        <v>2015</v>
      </c>
      <c r="BE12" s="24">
        <v>2015</v>
      </c>
      <c r="BF12" s="24">
        <v>2015</v>
      </c>
      <c r="BG12" s="24">
        <v>2015</v>
      </c>
      <c r="BH12" s="24">
        <v>2015</v>
      </c>
      <c r="BI12" s="24" t="s">
        <v>64</v>
      </c>
      <c r="BJ12" s="1246"/>
      <c r="BK12" s="1246"/>
      <c r="BL12" s="162">
        <v>2016</v>
      </c>
      <c r="BM12" s="162">
        <v>2016</v>
      </c>
      <c r="BN12" s="162">
        <v>2016</v>
      </c>
      <c r="BO12" s="162">
        <v>2016</v>
      </c>
      <c r="BP12" s="162">
        <v>2016</v>
      </c>
      <c r="BQ12" s="24" t="s">
        <v>20</v>
      </c>
      <c r="BR12" s="79" t="s">
        <v>21</v>
      </c>
      <c r="BS12" s="1251" t="s">
        <v>18</v>
      </c>
      <c r="BT12" s="1251" t="s">
        <v>18</v>
      </c>
      <c r="BU12" s="1253"/>
      <c r="BV12" s="24" t="s">
        <v>22</v>
      </c>
      <c r="BW12" s="1246"/>
      <c r="BX12" s="1246"/>
      <c r="BY12" s="162">
        <v>2016</v>
      </c>
      <c r="BZ12" s="162">
        <v>2016</v>
      </c>
      <c r="CA12" s="162">
        <v>2016</v>
      </c>
      <c r="CB12" s="162">
        <v>2016</v>
      </c>
      <c r="CC12" s="162">
        <v>2016</v>
      </c>
      <c r="CD12" s="162">
        <v>2016</v>
      </c>
      <c r="CE12" s="162">
        <v>2016</v>
      </c>
      <c r="CF12" s="162">
        <v>2016</v>
      </c>
      <c r="CG12" s="162" t="s">
        <v>64</v>
      </c>
      <c r="CH12" s="162">
        <v>2017</v>
      </c>
      <c r="CI12" s="162">
        <v>2017</v>
      </c>
      <c r="CJ12" s="162">
        <v>2017</v>
      </c>
      <c r="CK12" s="162">
        <v>2017</v>
      </c>
      <c r="CL12" s="162">
        <v>2017</v>
      </c>
      <c r="CM12" s="162">
        <v>2017</v>
      </c>
      <c r="CN12" s="1248"/>
      <c r="CO12" s="162" t="s">
        <v>20</v>
      </c>
      <c r="CP12" s="163" t="s">
        <v>21</v>
      </c>
      <c r="CQ12" s="162" t="s">
        <v>22</v>
      </c>
      <c r="CR12" s="1246"/>
      <c r="CS12" s="1246"/>
      <c r="CT12" s="162"/>
      <c r="CU12" s="162"/>
      <c r="CV12" s="162">
        <v>2017</v>
      </c>
      <c r="CW12" s="162">
        <v>2017</v>
      </c>
      <c r="CX12" s="162">
        <v>2017</v>
      </c>
      <c r="CY12" s="162">
        <v>2017</v>
      </c>
      <c r="CZ12" s="162">
        <v>2017</v>
      </c>
      <c r="DA12" s="162">
        <v>2017</v>
      </c>
      <c r="DB12" s="162">
        <v>2017</v>
      </c>
      <c r="DC12" s="162">
        <v>2017</v>
      </c>
      <c r="DD12" s="162">
        <v>2017</v>
      </c>
      <c r="DE12" s="162" t="s">
        <v>1255</v>
      </c>
      <c r="DF12" s="162">
        <v>2018</v>
      </c>
      <c r="DG12" s="162">
        <v>2018</v>
      </c>
      <c r="DH12" s="162">
        <v>2018</v>
      </c>
      <c r="DI12" s="162">
        <v>2018</v>
      </c>
      <c r="DJ12" s="1248"/>
      <c r="DK12" s="1248"/>
      <c r="DL12" s="162" t="s">
        <v>20</v>
      </c>
      <c r="DM12" s="163" t="s">
        <v>21</v>
      </c>
      <c r="DN12" s="162" t="s">
        <v>22</v>
      </c>
      <c r="DO12" s="1246"/>
      <c r="DP12" s="1246"/>
      <c r="DQ12" s="162">
        <v>2018</v>
      </c>
      <c r="DR12" s="162">
        <v>2018</v>
      </c>
      <c r="DS12" s="162">
        <v>2018</v>
      </c>
      <c r="DT12" s="162">
        <v>2018</v>
      </c>
      <c r="DU12" s="162">
        <v>2018</v>
      </c>
      <c r="DV12" s="162">
        <v>2018</v>
      </c>
      <c r="DW12" s="162">
        <v>2018</v>
      </c>
      <c r="DX12" s="1248"/>
      <c r="DY12" s="1248"/>
      <c r="DZ12" s="162">
        <v>2018</v>
      </c>
      <c r="EA12" s="162">
        <v>2018</v>
      </c>
      <c r="EB12" s="162">
        <v>2018</v>
      </c>
      <c r="EC12" s="162">
        <v>2018</v>
      </c>
      <c r="ED12" s="162">
        <v>2018</v>
      </c>
      <c r="EE12" s="1248"/>
      <c r="EF12" s="1248"/>
      <c r="EG12" s="162" t="s">
        <v>20</v>
      </c>
      <c r="EH12" s="163" t="s">
        <v>21</v>
      </c>
      <c r="EI12" s="162" t="s">
        <v>22</v>
      </c>
      <c r="EJ12" s="1246"/>
      <c r="EK12" s="1246"/>
      <c r="EL12" s="162">
        <v>2018</v>
      </c>
      <c r="EM12" s="162">
        <v>2018</v>
      </c>
      <c r="EN12" s="162">
        <v>2018</v>
      </c>
      <c r="EO12" s="162">
        <v>2018</v>
      </c>
      <c r="EP12" s="162">
        <v>2018</v>
      </c>
      <c r="EQ12" s="162">
        <v>2018</v>
      </c>
      <c r="ER12" s="162">
        <v>2018</v>
      </c>
      <c r="ES12" s="162">
        <v>2019</v>
      </c>
      <c r="ET12" s="162">
        <v>2019</v>
      </c>
      <c r="EU12" s="162">
        <v>2019</v>
      </c>
      <c r="EV12" s="162">
        <v>2019</v>
      </c>
      <c r="EW12" s="162">
        <v>2019</v>
      </c>
      <c r="EX12" s="162">
        <v>2019</v>
      </c>
      <c r="EY12" s="162">
        <v>2019</v>
      </c>
      <c r="EZ12" s="162">
        <v>2019</v>
      </c>
      <c r="FA12" s="162">
        <v>2019</v>
      </c>
      <c r="FB12" s="162">
        <v>2019</v>
      </c>
      <c r="FC12" s="162">
        <v>2019</v>
      </c>
      <c r="FD12" s="1248"/>
      <c r="FE12" s="1248"/>
    </row>
    <row r="13" spans="1:161" ht="13.5" x14ac:dyDescent="0.25">
      <c r="A13" s="28"/>
      <c r="B13" s="11"/>
      <c r="C13" s="45"/>
      <c r="D13" s="48"/>
      <c r="E13" s="111"/>
      <c r="F13" s="130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7"/>
      <c r="T13" s="128"/>
      <c r="U13" s="7"/>
      <c r="V13" s="48"/>
      <c r="W13" s="58"/>
      <c r="X13" s="58"/>
      <c r="Y13" s="137"/>
      <c r="Z13" s="56"/>
      <c r="AA13" s="57"/>
      <c r="AB13" s="80"/>
      <c r="AC13" s="57"/>
      <c r="AD13" s="55"/>
      <c r="AE13" s="58"/>
      <c r="AF13" s="55"/>
      <c r="AG13" s="58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72"/>
      <c r="AZ13" s="55"/>
      <c r="BA13" s="55"/>
      <c r="BB13" s="55"/>
      <c r="BC13" s="55"/>
      <c r="BD13" s="55"/>
      <c r="BE13" s="55"/>
      <c r="BF13" s="55"/>
      <c r="BG13" s="55"/>
      <c r="BH13" s="55"/>
      <c r="BI13" s="72"/>
      <c r="BJ13" s="355"/>
      <c r="BK13" s="355"/>
      <c r="BL13" s="355"/>
      <c r="BM13" s="355"/>
      <c r="BN13" s="355"/>
      <c r="BO13" s="355"/>
      <c r="BP13" s="355"/>
      <c r="BQ13" s="55"/>
      <c r="BR13" s="55"/>
      <c r="BS13" s="119"/>
      <c r="BT13" s="119"/>
      <c r="BU13" s="134"/>
      <c r="BV13" s="55"/>
      <c r="BW13" s="355"/>
      <c r="BX13" s="355"/>
      <c r="BY13" s="355"/>
      <c r="BZ13" s="355"/>
      <c r="CA13" s="355"/>
      <c r="CB13" s="355"/>
      <c r="CC13" s="355"/>
      <c r="CD13" s="355"/>
      <c r="CE13" s="355"/>
      <c r="CF13" s="355"/>
      <c r="CG13" s="449"/>
      <c r="CH13" s="355"/>
      <c r="CI13" s="355"/>
      <c r="CJ13" s="355"/>
      <c r="CK13" s="355"/>
      <c r="CL13" s="355"/>
      <c r="CM13" s="355"/>
      <c r="CN13" s="449"/>
      <c r="CO13" s="66"/>
      <c r="CP13" s="169"/>
      <c r="CQ13" s="57"/>
      <c r="CR13" s="55"/>
      <c r="CS13" s="55"/>
      <c r="CT13" s="355"/>
      <c r="CU13" s="355"/>
      <c r="CV13" s="355"/>
      <c r="CW13" s="355"/>
      <c r="CX13" s="355"/>
      <c r="CY13" s="355"/>
      <c r="CZ13" s="355"/>
      <c r="DA13" s="355"/>
      <c r="DB13" s="355"/>
      <c r="DC13" s="355"/>
      <c r="DD13" s="355"/>
      <c r="DE13" s="449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968"/>
      <c r="EA13" s="505"/>
      <c r="EB13" s="505"/>
      <c r="EC13" s="505"/>
      <c r="ED13" s="505"/>
      <c r="EE13" s="505"/>
      <c r="EF13" s="50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</row>
    <row r="14" spans="1:161" x14ac:dyDescent="0.2">
      <c r="A14" s="368" t="s">
        <v>1048</v>
      </c>
      <c r="B14" s="368"/>
      <c r="C14" s="368"/>
      <c r="D14" s="143"/>
      <c r="E14" s="150"/>
      <c r="F14" s="130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28"/>
      <c r="T14" s="119"/>
      <c r="U14" s="7"/>
      <c r="V14" s="125"/>
      <c r="W14" s="8"/>
      <c r="X14" s="8"/>
      <c r="Y14" s="138"/>
      <c r="Z14" s="63"/>
      <c r="AA14" s="64"/>
      <c r="AB14" s="82"/>
      <c r="AC14" s="64"/>
      <c r="AD14" s="62"/>
      <c r="AE14" s="8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355"/>
      <c r="BK14" s="355"/>
      <c r="BL14" s="355"/>
      <c r="BM14" s="355"/>
      <c r="BN14" s="355"/>
      <c r="BO14" s="355"/>
      <c r="BP14" s="355"/>
      <c r="BQ14" s="113"/>
      <c r="BR14" s="113"/>
      <c r="BS14" s="119"/>
      <c r="BT14" s="119"/>
      <c r="BU14" s="134"/>
      <c r="BV14" s="113"/>
      <c r="BW14" s="355"/>
      <c r="BX14" s="355"/>
      <c r="BY14" s="355"/>
      <c r="BZ14" s="355"/>
      <c r="CA14" s="355"/>
      <c r="CB14" s="355"/>
      <c r="CC14" s="355"/>
      <c r="CD14" s="355"/>
      <c r="CE14" s="355"/>
      <c r="CF14" s="355"/>
      <c r="CG14" s="449"/>
      <c r="CH14" s="355"/>
      <c r="CI14" s="355"/>
      <c r="CJ14" s="355"/>
      <c r="CK14" s="355"/>
      <c r="CL14" s="355"/>
      <c r="CM14" s="355"/>
      <c r="CN14" s="449"/>
      <c r="CO14" s="66"/>
      <c r="CP14" s="169"/>
      <c r="CQ14" s="57"/>
      <c r="CR14" s="55"/>
      <c r="CS14" s="55"/>
      <c r="CT14" s="355"/>
      <c r="CU14" s="355"/>
      <c r="CV14" s="355"/>
      <c r="CW14" s="355"/>
      <c r="CX14" s="355"/>
      <c r="CY14" s="355"/>
      <c r="CZ14" s="355"/>
      <c r="DA14" s="355"/>
      <c r="DB14" s="355"/>
      <c r="DC14" s="355"/>
      <c r="DD14" s="355"/>
      <c r="DE14" s="449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355"/>
      <c r="EA14" s="505"/>
      <c r="EB14" s="505"/>
      <c r="EC14" s="505"/>
      <c r="ED14" s="505"/>
      <c r="EE14" s="505"/>
      <c r="EF14" s="50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>
        <f>EF15-FD14</f>
        <v>0</v>
      </c>
    </row>
    <row r="15" spans="1:161" x14ac:dyDescent="0.2">
      <c r="A15" s="120"/>
      <c r="B15" s="126"/>
      <c r="C15" s="45"/>
      <c r="D15" s="150"/>
      <c r="E15" s="58"/>
      <c r="F15" s="127"/>
      <c r="G15" s="46"/>
      <c r="H15" s="125"/>
      <c r="I15" s="145"/>
      <c r="J15" s="165"/>
      <c r="K15" s="48"/>
      <c r="L15" s="165"/>
      <c r="M15" s="48"/>
      <c r="N15" s="165"/>
      <c r="O15" s="48"/>
      <c r="P15" s="165"/>
      <c r="Q15" s="48"/>
      <c r="R15" s="462"/>
      <c r="S15" s="32"/>
      <c r="T15" s="128"/>
      <c r="U15" s="129"/>
      <c r="V15" s="48"/>
      <c r="W15" s="58"/>
      <c r="X15" s="58"/>
      <c r="Y15" s="137"/>
      <c r="Z15" s="56"/>
      <c r="AA15" s="57"/>
      <c r="AB15" s="80"/>
      <c r="AC15" s="57"/>
      <c r="AD15" s="55"/>
      <c r="AE15" s="58"/>
      <c r="AF15" s="113">
        <v>3232</v>
      </c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>
        <v>1263</v>
      </c>
      <c r="AY15" s="113">
        <v>1241</v>
      </c>
      <c r="AZ15" s="113"/>
      <c r="BA15" s="113"/>
      <c r="BB15" s="113"/>
      <c r="BC15" s="113"/>
      <c r="BD15" s="113"/>
      <c r="BE15" s="113"/>
      <c r="BF15" s="113"/>
      <c r="BG15" s="113"/>
      <c r="BH15" s="113">
        <v>1263</v>
      </c>
      <c r="BI15" s="113">
        <v>1241</v>
      </c>
      <c r="BJ15" s="355"/>
      <c r="BK15" s="355"/>
      <c r="BL15" s="355"/>
      <c r="BM15" s="355"/>
      <c r="BN15" s="355"/>
      <c r="BO15" s="355"/>
      <c r="BP15" s="355"/>
      <c r="BQ15" s="113"/>
      <c r="BR15" s="113"/>
      <c r="BS15" s="119"/>
      <c r="BT15" s="119"/>
      <c r="BU15" s="134"/>
      <c r="BV15" s="113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449"/>
      <c r="CH15" s="355"/>
      <c r="CI15" s="355"/>
      <c r="CJ15" s="355"/>
      <c r="CK15" s="355"/>
      <c r="CL15" s="355"/>
      <c r="CM15" s="355"/>
      <c r="CN15" s="449"/>
      <c r="CO15" s="57"/>
      <c r="CP15" s="168"/>
      <c r="CQ15" s="57"/>
      <c r="CR15" s="55"/>
      <c r="CS15" s="55"/>
      <c r="CT15" s="355"/>
      <c r="CU15" s="355"/>
      <c r="CV15" s="355"/>
      <c r="CW15" s="355"/>
      <c r="CX15" s="355"/>
      <c r="CY15" s="355"/>
      <c r="CZ15" s="355"/>
      <c r="DA15" s="355"/>
      <c r="DB15" s="355"/>
      <c r="DC15" s="355"/>
      <c r="DD15" s="355"/>
      <c r="DE15" s="449"/>
      <c r="DF15" s="55"/>
      <c r="DG15" s="55"/>
      <c r="DH15" s="55"/>
      <c r="DI15" s="55"/>
      <c r="DJ15" s="55">
        <f>SUM(DF15:DI15)</f>
        <v>0</v>
      </c>
      <c r="DK15" s="793"/>
      <c r="DL15" s="740">
        <v>126.408</v>
      </c>
      <c r="DM15" s="740">
        <v>130.81299999999999</v>
      </c>
      <c r="DN15" s="950">
        <f>DL15/DM15</f>
        <v>0.96632597677600862</v>
      </c>
      <c r="DO15" s="55" t="e">
        <f>DK15/BG15</f>
        <v>#DIV/0!</v>
      </c>
      <c r="DP15" s="55" t="e">
        <f>DO15*DN15</f>
        <v>#DIV/0!</v>
      </c>
      <c r="DQ15" s="55"/>
      <c r="DR15" s="55"/>
      <c r="DS15" s="55"/>
      <c r="DT15" s="55"/>
      <c r="DU15" s="55"/>
      <c r="DV15" s="55"/>
      <c r="DW15" s="55">
        <v>0</v>
      </c>
      <c r="DX15" s="55"/>
      <c r="DY15" s="793"/>
      <c r="DZ15" s="355">
        <v>0</v>
      </c>
      <c r="EA15" s="505"/>
      <c r="EB15" s="505"/>
      <c r="EC15" s="505"/>
      <c r="ED15" s="505"/>
      <c r="EE15" s="505">
        <f>SUM(DZ15:ED15)</f>
        <v>0</v>
      </c>
      <c r="EF15" s="679"/>
      <c r="EG15" s="956"/>
      <c r="EH15" s="957"/>
      <c r="EI15" s="957"/>
      <c r="EJ15" s="511">
        <f ca="1">DK15:EJ15</f>
        <v>0</v>
      </c>
      <c r="EK15" s="511">
        <v>0</v>
      </c>
      <c r="EL15" s="511">
        <f t="shared" ref="EL15:ET15" si="0">SUM(EK15)</f>
        <v>0</v>
      </c>
      <c r="EM15" s="511">
        <f t="shared" si="0"/>
        <v>0</v>
      </c>
      <c r="EN15" s="511">
        <f t="shared" si="0"/>
        <v>0</v>
      </c>
      <c r="EO15" s="511">
        <f t="shared" si="0"/>
        <v>0</v>
      </c>
      <c r="EP15" s="511">
        <f t="shared" si="0"/>
        <v>0</v>
      </c>
      <c r="EQ15" s="511">
        <f t="shared" si="0"/>
        <v>0</v>
      </c>
      <c r="ER15" s="511">
        <f t="shared" si="0"/>
        <v>0</v>
      </c>
      <c r="ES15" s="511">
        <f t="shared" si="0"/>
        <v>0</v>
      </c>
      <c r="ET15" s="511">
        <f t="shared" si="0"/>
        <v>0</v>
      </c>
      <c r="EU15" s="511"/>
      <c r="EV15" s="511"/>
      <c r="EW15" s="511"/>
      <c r="EX15" s="511"/>
      <c r="EY15" s="511"/>
      <c r="EZ15" s="511"/>
      <c r="FA15" s="511"/>
      <c r="FB15" s="511"/>
      <c r="FC15" s="511"/>
      <c r="FD15" s="511">
        <f>SUM(ER15)</f>
        <v>0</v>
      </c>
      <c r="FE15" s="756"/>
    </row>
    <row r="16" spans="1:161" x14ac:dyDescent="0.2">
      <c r="A16" s="367" t="s">
        <v>885</v>
      </c>
      <c r="B16" s="176" t="s">
        <v>884</v>
      </c>
      <c r="C16" s="177"/>
      <c r="D16" s="183">
        <v>5</v>
      </c>
      <c r="E16" s="183">
        <v>5</v>
      </c>
      <c r="F16" s="366">
        <v>0.2</v>
      </c>
      <c r="G16" s="46">
        <v>43281</v>
      </c>
      <c r="H16" s="125">
        <f>E16*12</f>
        <v>60</v>
      </c>
      <c r="I16" s="145">
        <f>100/H16</f>
        <v>1.6666666666666667</v>
      </c>
      <c r="J16" s="165">
        <f>I16*K16</f>
        <v>20</v>
      </c>
      <c r="K16" s="48">
        <f>(YEAR(G16)-YEAR(T16))*12+MONTH(G16)-MONTH(T16)</f>
        <v>12</v>
      </c>
      <c r="L16" s="165">
        <f>M16*I16</f>
        <v>80</v>
      </c>
      <c r="M16" s="48">
        <f>H16-K16</f>
        <v>48</v>
      </c>
      <c r="N16" s="165">
        <f>O16*I16</f>
        <v>11.666666666666668</v>
      </c>
      <c r="O16" s="48">
        <v>7</v>
      </c>
      <c r="P16" s="165">
        <f t="shared" ref="P16:Q19" si="1">L16-N16</f>
        <v>68.333333333333329</v>
      </c>
      <c r="Q16" s="48">
        <f t="shared" si="1"/>
        <v>41</v>
      </c>
      <c r="R16" s="462">
        <f>DATE(YEAR(T16),MONTH(T16)+H16,DAY(T16))</f>
        <v>44742</v>
      </c>
      <c r="S16" s="366">
        <v>0.2</v>
      </c>
      <c r="T16" s="365">
        <v>42916</v>
      </c>
      <c r="U16" s="364">
        <v>401600.01</v>
      </c>
      <c r="V16" s="183">
        <f>((2013-YEAR(T16))*12+MONTH(T16))</f>
        <v>-42</v>
      </c>
      <c r="W16" s="363">
        <f>D16*12</f>
        <v>60</v>
      </c>
      <c r="X16" s="362">
        <f>W16-V16</f>
        <v>102</v>
      </c>
      <c r="Y16" s="361">
        <f>((U16*S16)/12)*V16</f>
        <v>-281120.00700000004</v>
      </c>
      <c r="Z16" s="360">
        <f>U16-Y16</f>
        <v>682720.01699999999</v>
      </c>
      <c r="AA16" s="359">
        <v>115.958</v>
      </c>
      <c r="AB16" s="359">
        <v>100.58499999999999</v>
      </c>
      <c r="AC16" s="359">
        <f>AA16/AB16</f>
        <v>1.1528359099269276</v>
      </c>
      <c r="AD16" s="355">
        <f>Z16*AC16</f>
        <v>787064.15202352253</v>
      </c>
      <c r="AE16" s="358">
        <f>D16*12</f>
        <v>60</v>
      </c>
      <c r="AF16" s="355">
        <f>U16/AE16*AG16</f>
        <v>200800.005</v>
      </c>
      <c r="AG16" s="358">
        <f>30</f>
        <v>30</v>
      </c>
      <c r="AH16" s="355">
        <f t="shared" ref="AH16:AL19" si="2">$AF16/$AG16</f>
        <v>6693.3334999999997</v>
      </c>
      <c r="AI16" s="355">
        <f t="shared" si="2"/>
        <v>6693.3334999999997</v>
      </c>
      <c r="AJ16" s="355">
        <f t="shared" si="2"/>
        <v>6693.3334999999997</v>
      </c>
      <c r="AK16" s="355">
        <f t="shared" si="2"/>
        <v>6693.3334999999997</v>
      </c>
      <c r="AL16" s="355">
        <f t="shared" si="2"/>
        <v>6693.3334999999997</v>
      </c>
      <c r="AM16" s="355">
        <f>SUM(AH16:AL16)</f>
        <v>33466.667499999996</v>
      </c>
      <c r="AN16" s="356">
        <v>112.72199999999999</v>
      </c>
      <c r="AO16" s="359">
        <v>100.58499999999999</v>
      </c>
      <c r="AP16" s="355">
        <f>AN16/AO16</f>
        <v>1.120664114927673</v>
      </c>
      <c r="AQ16" s="355">
        <f t="shared" ref="AQ16:AW19" si="3">($AF16/$AG16)*$AP16</f>
        <v>7500.9786626932437</v>
      </c>
      <c r="AR16" s="355">
        <f t="shared" si="3"/>
        <v>7500.9786626932437</v>
      </c>
      <c r="AS16" s="355">
        <f t="shared" si="3"/>
        <v>7500.9786626932437</v>
      </c>
      <c r="AT16" s="355">
        <f t="shared" si="3"/>
        <v>7500.9786626932437</v>
      </c>
      <c r="AU16" s="355">
        <f t="shared" si="3"/>
        <v>7500.9786626932437</v>
      </c>
      <c r="AV16" s="355">
        <f t="shared" si="3"/>
        <v>7500.9786626932437</v>
      </c>
      <c r="AW16" s="355">
        <f t="shared" si="3"/>
        <v>7500.9786626932437</v>
      </c>
      <c r="AX16" s="355">
        <f>SUM(AQ16:AW16)</f>
        <v>52506.850638852717</v>
      </c>
      <c r="AY16" s="354">
        <f>AF16-AM16-AX16</f>
        <v>114826.48686114731</v>
      </c>
      <c r="AZ16" s="355">
        <f>AW16*5</f>
        <v>37504.893313466222</v>
      </c>
      <c r="BA16" s="355">
        <f t="shared" ref="BA16:BG19" si="4">$AW16*$AC16</f>
        <v>8647.3975619484336</v>
      </c>
      <c r="BB16" s="355">
        <f t="shared" si="4"/>
        <v>8647.3975619484336</v>
      </c>
      <c r="BC16" s="355">
        <f t="shared" si="4"/>
        <v>8647.3975619484336</v>
      </c>
      <c r="BD16" s="355">
        <f t="shared" si="4"/>
        <v>8647.3975619484336</v>
      </c>
      <c r="BE16" s="355">
        <f t="shared" si="4"/>
        <v>8647.3975619484336</v>
      </c>
      <c r="BF16" s="355">
        <f t="shared" si="4"/>
        <v>8647.3975619484336</v>
      </c>
      <c r="BG16" s="355">
        <f t="shared" si="4"/>
        <v>8647.3975619484336</v>
      </c>
      <c r="BH16" s="355">
        <f>SUM(AZ16:BG16)</f>
        <v>98036.676247105235</v>
      </c>
      <c r="BI16" s="354">
        <f>AY16-BH16</f>
        <v>16789.810614042071</v>
      </c>
      <c r="BJ16" s="355"/>
      <c r="BK16" s="355"/>
      <c r="BL16" s="355">
        <f>8647.4</f>
        <v>8647.4</v>
      </c>
      <c r="BM16" s="355">
        <v>8141.41</v>
      </c>
      <c r="BN16" s="355"/>
      <c r="BO16" s="355"/>
      <c r="BP16" s="355"/>
      <c r="BQ16" s="356">
        <v>118.901</v>
      </c>
      <c r="BR16" s="359">
        <v>100.58499999999999</v>
      </c>
      <c r="BS16" s="119"/>
      <c r="BT16" s="119"/>
      <c r="BU16" s="134"/>
      <c r="BV16" s="355">
        <f>BQ16/BR16</f>
        <v>1.182094745737436</v>
      </c>
      <c r="BW16" s="355">
        <f>U16/(D16*12)</f>
        <v>6693.3334999999997</v>
      </c>
      <c r="BX16" s="355">
        <f>BW16*BV16</f>
        <v>7912.1543618183623</v>
      </c>
      <c r="BY16" s="355">
        <v>0</v>
      </c>
      <c r="BZ16" s="355">
        <v>0</v>
      </c>
      <c r="CA16" s="355">
        <v>0</v>
      </c>
      <c r="CB16" s="355">
        <v>0</v>
      </c>
      <c r="CC16" s="355"/>
      <c r="CD16" s="355"/>
      <c r="CE16" s="355"/>
      <c r="CF16" s="355">
        <f>SUM((BL16:BP16),(BY16:CE16))</f>
        <v>16788.809999999998</v>
      </c>
      <c r="CG16" s="449">
        <f t="shared" ref="CG16:CG25" si="5">(BI16-CF16)</f>
        <v>1.0006140420737211</v>
      </c>
      <c r="CH16" s="355"/>
      <c r="CI16" s="355"/>
      <c r="CJ16" s="355"/>
      <c r="CK16" s="355"/>
      <c r="CL16" s="355"/>
      <c r="CM16" s="355">
        <v>0</v>
      </c>
      <c r="CN16" s="449">
        <f>SUM(CH16:CM16)</f>
        <v>0</v>
      </c>
      <c r="CO16" s="356"/>
      <c r="CP16" s="357"/>
      <c r="CQ16" s="355"/>
      <c r="CR16" s="55"/>
      <c r="CS16" s="55"/>
      <c r="CT16" s="355"/>
      <c r="CU16" s="355"/>
      <c r="CV16" s="355">
        <v>0</v>
      </c>
      <c r="CW16" s="355"/>
      <c r="CX16" s="355"/>
      <c r="CY16" s="355"/>
      <c r="CZ16" s="355"/>
      <c r="DA16" s="355"/>
      <c r="DB16" s="355">
        <v>0</v>
      </c>
      <c r="DC16" s="355">
        <v>0</v>
      </c>
      <c r="DD16" s="355">
        <f>SUM(CW16:DC16)</f>
        <v>0</v>
      </c>
      <c r="DE16" s="449">
        <f>CG16-DD16</f>
        <v>1.0006140420737211</v>
      </c>
      <c r="DF16" s="55"/>
      <c r="DG16" s="55"/>
      <c r="DH16" s="55"/>
      <c r="DI16" s="55"/>
      <c r="DJ16" s="55">
        <f>SUM(DF16:DI16)</f>
        <v>0</v>
      </c>
      <c r="DK16" s="793">
        <f>SUM(DE16-DJ16)</f>
        <v>1.0006140420737211</v>
      </c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355">
        <v>0</v>
      </c>
      <c r="EA16" s="505"/>
      <c r="EB16" s="505"/>
      <c r="EC16" s="505"/>
      <c r="ED16" s="505"/>
      <c r="EE16" s="505"/>
      <c r="EF16" s="679">
        <f t="shared" ref="EF16:EF26" si="6">DK16-EE16</f>
        <v>1.0006140420737211</v>
      </c>
      <c r="EG16" s="956">
        <v>132.28200000000001</v>
      </c>
      <c r="EH16" s="957"/>
      <c r="EI16" s="957">
        <v>1</v>
      </c>
      <c r="EJ16" s="511">
        <v>0</v>
      </c>
      <c r="EK16" s="511">
        <v>0</v>
      </c>
      <c r="EL16" s="511">
        <v>0</v>
      </c>
      <c r="EM16" s="511">
        <v>0</v>
      </c>
      <c r="EN16" s="511">
        <v>0</v>
      </c>
      <c r="EO16" s="511">
        <v>0</v>
      </c>
      <c r="EP16" s="511">
        <v>0</v>
      </c>
      <c r="EQ16" s="511">
        <v>0</v>
      </c>
      <c r="ER16" s="511">
        <v>0</v>
      </c>
      <c r="ES16" s="511">
        <v>0</v>
      </c>
      <c r="ET16" s="511">
        <v>0</v>
      </c>
      <c r="EU16" s="511"/>
      <c r="EV16" s="511"/>
      <c r="EW16" s="511"/>
      <c r="EX16" s="511"/>
      <c r="EY16" s="511"/>
      <c r="EZ16" s="511"/>
      <c r="FA16" s="511"/>
      <c r="FB16" s="511"/>
      <c r="FC16" s="511"/>
      <c r="FD16" s="511"/>
      <c r="FE16" s="511">
        <f>EF16-FD16</f>
        <v>1.0006140420737211</v>
      </c>
    </row>
    <row r="17" spans="1:161" x14ac:dyDescent="0.2">
      <c r="A17" s="367" t="s">
        <v>883</v>
      </c>
      <c r="B17" s="176" t="s">
        <v>882</v>
      </c>
      <c r="C17" s="177"/>
      <c r="D17" s="183">
        <v>5</v>
      </c>
      <c r="E17" s="183">
        <v>5</v>
      </c>
      <c r="F17" s="366">
        <v>0.2</v>
      </c>
      <c r="G17" s="46">
        <v>43281</v>
      </c>
      <c r="H17" s="125">
        <f>E17*12</f>
        <v>60</v>
      </c>
      <c r="I17" s="145">
        <f>100/H17</f>
        <v>1.6666666666666667</v>
      </c>
      <c r="J17" s="165">
        <f>I17*K17</f>
        <v>20</v>
      </c>
      <c r="K17" s="48">
        <f>(YEAR(G17)-YEAR(T17))*12+MONTH(G17)-MONTH(T17)</f>
        <v>12</v>
      </c>
      <c r="L17" s="165">
        <f>M17*I17</f>
        <v>80</v>
      </c>
      <c r="M17" s="48">
        <f>H17-K17</f>
        <v>48</v>
      </c>
      <c r="N17" s="165">
        <f>O17*I17</f>
        <v>11.666666666666668</v>
      </c>
      <c r="O17" s="48">
        <v>7</v>
      </c>
      <c r="P17" s="165">
        <f t="shared" si="1"/>
        <v>68.333333333333329</v>
      </c>
      <c r="Q17" s="48">
        <f t="shared" si="1"/>
        <v>41</v>
      </c>
      <c r="R17" s="462">
        <f>DATE(YEAR(T17),MONTH(T17)+H17,DAY(T17))</f>
        <v>44742</v>
      </c>
      <c r="S17" s="366">
        <v>0.2</v>
      </c>
      <c r="T17" s="365">
        <v>42916</v>
      </c>
      <c r="U17" s="364">
        <v>280504.64</v>
      </c>
      <c r="V17" s="183">
        <f>((2013-YEAR(T17))*12+MONTH(T17))</f>
        <v>-42</v>
      </c>
      <c r="W17" s="363">
        <f>D17*12</f>
        <v>60</v>
      </c>
      <c r="X17" s="362">
        <f>W17-V17</f>
        <v>102</v>
      </c>
      <c r="Y17" s="361">
        <f>((U17*S17)/12)*V17</f>
        <v>-196353.24800000002</v>
      </c>
      <c r="Z17" s="360">
        <f>U17-Y17</f>
        <v>476857.88800000004</v>
      </c>
      <c r="AA17" s="359">
        <v>115.958</v>
      </c>
      <c r="AB17" s="357">
        <v>113.842</v>
      </c>
      <c r="AC17" s="359">
        <f>AA17/AB17</f>
        <v>1.018587164666819</v>
      </c>
      <c r="AD17" s="355">
        <f>Z17*AC17</f>
        <v>485721.32408692758</v>
      </c>
      <c r="AE17" s="358">
        <f>D17*12</f>
        <v>60</v>
      </c>
      <c r="AF17" s="355">
        <f>U17/AE17*AG17</f>
        <v>140252.32</v>
      </c>
      <c r="AG17" s="358">
        <f>30</f>
        <v>30</v>
      </c>
      <c r="AH17" s="355">
        <f t="shared" si="2"/>
        <v>4675.0773333333336</v>
      </c>
      <c r="AI17" s="355">
        <f t="shared" si="2"/>
        <v>4675.0773333333336</v>
      </c>
      <c r="AJ17" s="355">
        <f t="shared" si="2"/>
        <v>4675.0773333333336</v>
      </c>
      <c r="AK17" s="355">
        <f t="shared" si="2"/>
        <v>4675.0773333333336</v>
      </c>
      <c r="AL17" s="355">
        <f t="shared" si="2"/>
        <v>4675.0773333333336</v>
      </c>
      <c r="AM17" s="355">
        <f>SUM(AH17:AL17)</f>
        <v>23375.386666666669</v>
      </c>
      <c r="AN17" s="356">
        <v>112.72199999999999</v>
      </c>
      <c r="AO17" s="357">
        <v>113.842</v>
      </c>
      <c r="AP17" s="355">
        <f>AN17/AO17</f>
        <v>0.99016180320092761</v>
      </c>
      <c r="AQ17" s="355">
        <f t="shared" si="3"/>
        <v>4629.0830024771176</v>
      </c>
      <c r="AR17" s="355">
        <f t="shared" si="3"/>
        <v>4629.0830024771176</v>
      </c>
      <c r="AS17" s="355">
        <f t="shared" si="3"/>
        <v>4629.0830024771176</v>
      </c>
      <c r="AT17" s="355">
        <f t="shared" si="3"/>
        <v>4629.0830024771176</v>
      </c>
      <c r="AU17" s="355">
        <f t="shared" si="3"/>
        <v>4629.0830024771176</v>
      </c>
      <c r="AV17" s="355">
        <f t="shared" si="3"/>
        <v>4629.0830024771176</v>
      </c>
      <c r="AW17" s="355">
        <f t="shared" si="3"/>
        <v>4629.0830024771176</v>
      </c>
      <c r="AX17" s="355">
        <f>SUM(AQ17:AW17)</f>
        <v>32403.58101733982</v>
      </c>
      <c r="AY17" s="354">
        <f>AF17-AM17-AX17</f>
        <v>84473.352315993514</v>
      </c>
      <c r="AZ17" s="355">
        <f>AW17*5</f>
        <v>23145.415012385587</v>
      </c>
      <c r="BA17" s="355">
        <f t="shared" si="4"/>
        <v>4715.1245305005323</v>
      </c>
      <c r="BB17" s="355">
        <f t="shared" si="4"/>
        <v>4715.1245305005323</v>
      </c>
      <c r="BC17" s="355">
        <f t="shared" si="4"/>
        <v>4715.1245305005323</v>
      </c>
      <c r="BD17" s="355">
        <f t="shared" si="4"/>
        <v>4715.1245305005323</v>
      </c>
      <c r="BE17" s="355">
        <f t="shared" si="4"/>
        <v>4715.1245305005323</v>
      </c>
      <c r="BF17" s="355">
        <f t="shared" si="4"/>
        <v>4715.1245305005323</v>
      </c>
      <c r="BG17" s="355">
        <f t="shared" si="4"/>
        <v>4715.1245305005323</v>
      </c>
      <c r="BH17" s="355">
        <f>SUM(AZ17:BG17)</f>
        <v>56151.286725889295</v>
      </c>
      <c r="BI17" s="354">
        <f>AY17-BH17</f>
        <v>28322.065590104219</v>
      </c>
      <c r="BJ17" s="355"/>
      <c r="BK17" s="355"/>
      <c r="BL17" s="355">
        <f>4715.2</f>
        <v>4715.2</v>
      </c>
      <c r="BM17" s="355">
        <f>4715.2</f>
        <v>4715.2</v>
      </c>
      <c r="BN17" s="355">
        <f>4715.2</f>
        <v>4715.2</v>
      </c>
      <c r="BO17" s="355">
        <f>4715.2</f>
        <v>4715.2</v>
      </c>
      <c r="BP17" s="355">
        <f>4715.2</f>
        <v>4715.2</v>
      </c>
      <c r="BQ17" s="356">
        <v>118.901</v>
      </c>
      <c r="BR17" s="357">
        <v>113.842</v>
      </c>
      <c r="BS17" s="119"/>
      <c r="BT17" s="119"/>
      <c r="BU17" s="134"/>
      <c r="BV17" s="355">
        <f t="shared" ref="BV17:BV25" si="7">BQ17/BR17</f>
        <v>1.0444387835772386</v>
      </c>
      <c r="BW17" s="355">
        <f t="shared" ref="BW17:BW25" si="8">U17/(D17*12)</f>
        <v>4675.0773333333336</v>
      </c>
      <c r="BX17" s="355">
        <f t="shared" ref="BX17:BX25" si="9">BW17*BV17</f>
        <v>4882.8320831561878</v>
      </c>
      <c r="BY17" s="355">
        <v>4745.07</v>
      </c>
      <c r="BZ17" s="355"/>
      <c r="CA17" s="355"/>
      <c r="CB17" s="355"/>
      <c r="CC17" s="355"/>
      <c r="CD17" s="355"/>
      <c r="CE17" s="355"/>
      <c r="CF17" s="355">
        <f t="shared" ref="CF17:CF25" si="10">SUM((BL17:BP17),(BY17:CE17))</f>
        <v>28321.07</v>
      </c>
      <c r="CG17" s="449">
        <f t="shared" si="5"/>
        <v>0.99559010421944549</v>
      </c>
      <c r="CH17" s="355"/>
      <c r="CI17" s="355"/>
      <c r="CJ17" s="355"/>
      <c r="CK17" s="355"/>
      <c r="CL17" s="355"/>
      <c r="CM17" s="355">
        <v>0</v>
      </c>
      <c r="CN17" s="449">
        <f t="shared" ref="CN17:CN25" si="11">SUM(CH17:CM17)</f>
        <v>0</v>
      </c>
      <c r="CO17" s="356"/>
      <c r="CP17" s="357"/>
      <c r="CQ17" s="355"/>
      <c r="CR17" s="55"/>
      <c r="CS17" s="55"/>
      <c r="CT17" s="355"/>
      <c r="CU17" s="355"/>
      <c r="CV17" s="355">
        <v>0</v>
      </c>
      <c r="CW17" s="355"/>
      <c r="CX17" s="355"/>
      <c r="CY17" s="355"/>
      <c r="CZ17" s="355"/>
      <c r="DA17" s="355"/>
      <c r="DB17" s="355">
        <v>0</v>
      </c>
      <c r="DC17" s="355">
        <v>0</v>
      </c>
      <c r="DD17" s="355">
        <f>SUM(CW17:DC17)</f>
        <v>0</v>
      </c>
      <c r="DE17" s="449">
        <f>CG17-DD17</f>
        <v>0.99559010421944549</v>
      </c>
      <c r="DF17" s="55"/>
      <c r="DG17" s="55"/>
      <c r="DH17" s="55"/>
      <c r="DI17" s="55"/>
      <c r="DJ17" s="55">
        <f>SUM(DF17:DI17)</f>
        <v>0</v>
      </c>
      <c r="DK17" s="793">
        <f>SUM(DE17-DJ17)</f>
        <v>0.99559010421944549</v>
      </c>
      <c r="DL17" s="6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355">
        <v>0</v>
      </c>
      <c r="EA17" s="505"/>
      <c r="EB17" s="505"/>
      <c r="EC17" s="505"/>
      <c r="ED17" s="505"/>
      <c r="EE17" s="505">
        <f>SUM(DZ17:ED17)</f>
        <v>0</v>
      </c>
      <c r="EF17" s="679">
        <f t="shared" si="6"/>
        <v>0.99559010421944549</v>
      </c>
      <c r="EG17" s="956">
        <v>132.28200000000001</v>
      </c>
      <c r="EH17" s="957"/>
      <c r="EI17" s="957">
        <v>1</v>
      </c>
      <c r="EJ17" s="511">
        <v>0</v>
      </c>
      <c r="EK17" s="511">
        <v>0</v>
      </c>
      <c r="EL17" s="511">
        <v>0</v>
      </c>
      <c r="EM17" s="511">
        <v>0</v>
      </c>
      <c r="EN17" s="511">
        <v>0</v>
      </c>
      <c r="EO17" s="511">
        <v>0</v>
      </c>
      <c r="EP17" s="511">
        <v>0</v>
      </c>
      <c r="EQ17" s="511">
        <v>0</v>
      </c>
      <c r="ER17" s="511">
        <v>0</v>
      </c>
      <c r="ES17" s="511">
        <v>0</v>
      </c>
      <c r="ET17" s="511">
        <v>0</v>
      </c>
      <c r="EU17" s="511"/>
      <c r="EV17" s="511"/>
      <c r="EW17" s="511"/>
      <c r="EX17" s="511"/>
      <c r="EY17" s="511"/>
      <c r="EZ17" s="511"/>
      <c r="FA17" s="511"/>
      <c r="FB17" s="511"/>
      <c r="FC17" s="511"/>
      <c r="FD17" s="511">
        <v>0</v>
      </c>
      <c r="FE17" s="511">
        <f>EF17-FD17</f>
        <v>0.99559010421944549</v>
      </c>
    </row>
    <row r="18" spans="1:161" x14ac:dyDescent="0.2">
      <c r="A18" s="367" t="s">
        <v>881</v>
      </c>
      <c r="B18" s="176" t="s">
        <v>880</v>
      </c>
      <c r="C18" s="177"/>
      <c r="D18" s="183">
        <v>5</v>
      </c>
      <c r="E18" s="183">
        <v>5</v>
      </c>
      <c r="F18" s="366">
        <v>0.2</v>
      </c>
      <c r="G18" s="46">
        <v>43281</v>
      </c>
      <c r="H18" s="125">
        <f>E18*12</f>
        <v>60</v>
      </c>
      <c r="I18" s="145">
        <f>100/H18</f>
        <v>1.6666666666666667</v>
      </c>
      <c r="J18" s="165">
        <f>I18*K18</f>
        <v>20</v>
      </c>
      <c r="K18" s="48">
        <f>(YEAR(G18)-YEAR(T18))*12+MONTH(G18)-MONTH(T18)</f>
        <v>12</v>
      </c>
      <c r="L18" s="165">
        <f>M18*I18</f>
        <v>80</v>
      </c>
      <c r="M18" s="48">
        <f>H18-K18</f>
        <v>48</v>
      </c>
      <c r="N18" s="165">
        <f>O18*I18</f>
        <v>11.666666666666668</v>
      </c>
      <c r="O18" s="48">
        <v>7</v>
      </c>
      <c r="P18" s="165">
        <f t="shared" si="1"/>
        <v>68.333333333333329</v>
      </c>
      <c r="Q18" s="48">
        <f t="shared" si="1"/>
        <v>41</v>
      </c>
      <c r="R18" s="462">
        <f>DATE(YEAR(T18),MONTH(T18)+H18,DAY(T18))</f>
        <v>44742</v>
      </c>
      <c r="S18" s="366">
        <v>0.2</v>
      </c>
      <c r="T18" s="365">
        <v>42916</v>
      </c>
      <c r="U18" s="364">
        <v>594735.61</v>
      </c>
      <c r="V18" s="183">
        <f>((2013-YEAR(T18))*12+MONTH(T18))</f>
        <v>-42</v>
      </c>
      <c r="W18" s="363">
        <f>D18*12</f>
        <v>60</v>
      </c>
      <c r="X18" s="362">
        <f>W18-V18</f>
        <v>102</v>
      </c>
      <c r="Y18" s="361">
        <f>((U18*S18)/12)*V18</f>
        <v>-416314.92700000003</v>
      </c>
      <c r="Z18" s="360">
        <f>U18-Y18</f>
        <v>1011050.537</v>
      </c>
      <c r="AA18" s="359">
        <v>115.958</v>
      </c>
      <c r="AB18" s="357">
        <v>94.966999999999999</v>
      </c>
      <c r="AC18" s="359">
        <f>AA18/AB18</f>
        <v>1.2210346752029653</v>
      </c>
      <c r="AD18" s="355">
        <f>Z18*AC18</f>
        <v>1234527.7640595785</v>
      </c>
      <c r="AE18" s="358">
        <f>D18*12</f>
        <v>60</v>
      </c>
      <c r="AF18" s="355">
        <f>U18/AE18*AG18</f>
        <v>297367.80499999999</v>
      </c>
      <c r="AG18" s="358">
        <f>30</f>
        <v>30</v>
      </c>
      <c r="AH18" s="355">
        <f t="shared" si="2"/>
        <v>9912.2601666666669</v>
      </c>
      <c r="AI18" s="355">
        <f t="shared" si="2"/>
        <v>9912.2601666666669</v>
      </c>
      <c r="AJ18" s="355">
        <f t="shared" si="2"/>
        <v>9912.2601666666669</v>
      </c>
      <c r="AK18" s="355">
        <f t="shared" si="2"/>
        <v>9912.2601666666669</v>
      </c>
      <c r="AL18" s="355">
        <f t="shared" si="2"/>
        <v>9912.2601666666669</v>
      </c>
      <c r="AM18" s="355">
        <f>SUM(AH18:AL18)</f>
        <v>49561.300833333335</v>
      </c>
      <c r="AN18" s="356">
        <v>112.72199999999999</v>
      </c>
      <c r="AO18" s="357">
        <v>94.966999999999999</v>
      </c>
      <c r="AP18" s="355">
        <f>AN18/AO18</f>
        <v>1.1869596807312013</v>
      </c>
      <c r="AQ18" s="355">
        <f t="shared" si="3"/>
        <v>11765.453162751272</v>
      </c>
      <c r="AR18" s="355">
        <f t="shared" si="3"/>
        <v>11765.453162751272</v>
      </c>
      <c r="AS18" s="355">
        <f t="shared" si="3"/>
        <v>11765.453162751272</v>
      </c>
      <c r="AT18" s="355">
        <f t="shared" si="3"/>
        <v>11765.453162751272</v>
      </c>
      <c r="AU18" s="355">
        <f t="shared" si="3"/>
        <v>11765.453162751272</v>
      </c>
      <c r="AV18" s="355">
        <f t="shared" si="3"/>
        <v>11765.453162751272</v>
      </c>
      <c r="AW18" s="355">
        <f t="shared" si="3"/>
        <v>11765.453162751272</v>
      </c>
      <c r="AX18" s="355">
        <f>SUM(AQ18:AW18)</f>
        <v>82358.17213925891</v>
      </c>
      <c r="AY18" s="354">
        <f>AF18-AM18-AX18</f>
        <v>165448.33202740774</v>
      </c>
      <c r="AZ18" s="355">
        <f>AW18*5</f>
        <v>58827.265813756356</v>
      </c>
      <c r="BA18" s="355">
        <f t="shared" si="4"/>
        <v>14366.0262811957</v>
      </c>
      <c r="BB18" s="355">
        <f t="shared" si="4"/>
        <v>14366.0262811957</v>
      </c>
      <c r="BC18" s="355">
        <f t="shared" si="4"/>
        <v>14366.0262811957</v>
      </c>
      <c r="BD18" s="355">
        <f t="shared" si="4"/>
        <v>14366.0262811957</v>
      </c>
      <c r="BE18" s="355">
        <f t="shared" si="4"/>
        <v>14366.0262811957</v>
      </c>
      <c r="BF18" s="355">
        <f t="shared" si="4"/>
        <v>14366.0262811957</v>
      </c>
      <c r="BG18" s="355">
        <f t="shared" si="4"/>
        <v>14366.0262811957</v>
      </c>
      <c r="BH18" s="355">
        <f>SUM(AZ18:BG18)</f>
        <v>159389.4497821262</v>
      </c>
      <c r="BI18" s="354">
        <f>AY18-BH18</f>
        <v>6058.8822452815366</v>
      </c>
      <c r="BJ18" s="355"/>
      <c r="BK18" s="355"/>
      <c r="BL18" s="355">
        <v>6057.72</v>
      </c>
      <c r="BM18" s="355"/>
      <c r="BN18" s="355"/>
      <c r="BO18" s="355">
        <v>0.16</v>
      </c>
      <c r="BP18" s="355"/>
      <c r="BQ18" s="356">
        <v>118.901</v>
      </c>
      <c r="BR18" s="357">
        <v>94.966999999999999</v>
      </c>
      <c r="BS18" s="48"/>
      <c r="BT18" s="46"/>
      <c r="BU18" s="47"/>
      <c r="BV18" s="355">
        <f t="shared" si="7"/>
        <v>1.2520243874187875</v>
      </c>
      <c r="BW18" s="355">
        <f t="shared" si="8"/>
        <v>9912.2601666666669</v>
      </c>
      <c r="BX18" s="355">
        <f t="shared" si="9"/>
        <v>12410.391463106482</v>
      </c>
      <c r="BY18" s="355">
        <v>0</v>
      </c>
      <c r="BZ18" s="355">
        <v>0</v>
      </c>
      <c r="CA18" s="355">
        <v>0</v>
      </c>
      <c r="CB18" s="355">
        <v>0</v>
      </c>
      <c r="CC18" s="355"/>
      <c r="CD18" s="355"/>
      <c r="CE18" s="355"/>
      <c r="CF18" s="355">
        <f t="shared" si="10"/>
        <v>6057.88</v>
      </c>
      <c r="CG18" s="449">
        <f t="shared" si="5"/>
        <v>1.0022452815364886</v>
      </c>
      <c r="CH18" s="355"/>
      <c r="CI18" s="355"/>
      <c r="CJ18" s="355"/>
      <c r="CK18" s="355"/>
      <c r="CL18" s="355"/>
      <c r="CM18" s="355">
        <v>0</v>
      </c>
      <c r="CN18" s="449">
        <f t="shared" si="11"/>
        <v>0</v>
      </c>
      <c r="CO18" s="356"/>
      <c r="CP18" s="357"/>
      <c r="CQ18" s="355"/>
      <c r="CR18" s="55"/>
      <c r="CS18" s="55"/>
      <c r="CT18" s="355"/>
      <c r="CU18" s="355"/>
      <c r="CV18" s="355">
        <v>0</v>
      </c>
      <c r="CW18" s="355"/>
      <c r="CX18" s="355"/>
      <c r="CY18" s="355"/>
      <c r="CZ18" s="355"/>
      <c r="DA18" s="355"/>
      <c r="DB18" s="355">
        <v>0</v>
      </c>
      <c r="DC18" s="355">
        <v>0</v>
      </c>
      <c r="DD18" s="355">
        <f>SUM(CW18:DC18)</f>
        <v>0</v>
      </c>
      <c r="DE18" s="449">
        <f>CG18-DD18</f>
        <v>1.0022452815364886</v>
      </c>
      <c r="DF18" s="55"/>
      <c r="DG18" s="55"/>
      <c r="DH18" s="55"/>
      <c r="DI18" s="55"/>
      <c r="DJ18" s="55">
        <f>SUM(DF18:DI18)</f>
        <v>0</v>
      </c>
      <c r="DK18" s="793">
        <f>SUM(DE18-DJ18)</f>
        <v>1.0022452815364886</v>
      </c>
      <c r="DL18" s="57">
        <v>126.408</v>
      </c>
      <c r="DM18" s="55">
        <v>118.532</v>
      </c>
      <c r="DN18" s="501">
        <f>DL18/DM18</f>
        <v>1.0664461917456889</v>
      </c>
      <c r="DO18" s="55">
        <f>DK18/BG18</f>
        <v>6.9764962274109846E-5</v>
      </c>
      <c r="DP18" s="55">
        <f>DO18*DN18</f>
        <v>7.4400578334506105E-5</v>
      </c>
      <c r="DQ18" s="55">
        <v>0</v>
      </c>
      <c r="DR18" s="55">
        <v>0</v>
      </c>
      <c r="DS18" s="55">
        <v>0</v>
      </c>
      <c r="DT18" s="55">
        <v>0</v>
      </c>
      <c r="DU18" s="55">
        <v>0</v>
      </c>
      <c r="DV18" s="55">
        <v>0</v>
      </c>
      <c r="DW18" s="55">
        <v>0</v>
      </c>
      <c r="DX18" s="55">
        <f>SUM(DQ18:DW18)</f>
        <v>0</v>
      </c>
      <c r="DY18" s="55">
        <f>DR18-DX18</f>
        <v>0</v>
      </c>
      <c r="DZ18" s="355">
        <v>0</v>
      </c>
      <c r="EA18" s="505"/>
      <c r="EB18" s="505"/>
      <c r="EC18" s="505"/>
      <c r="ED18" s="505"/>
      <c r="EE18" s="505"/>
      <c r="EF18" s="679">
        <f t="shared" si="6"/>
        <v>1.0022452815364886</v>
      </c>
      <c r="EG18" s="956">
        <v>132.28200000000001</v>
      </c>
      <c r="EH18" s="957"/>
      <c r="EI18" s="957">
        <v>1</v>
      </c>
      <c r="EJ18" s="511"/>
      <c r="EK18" s="511"/>
      <c r="EL18" s="511"/>
      <c r="EM18" s="511"/>
      <c r="EN18" s="511"/>
      <c r="EO18" s="511"/>
      <c r="EP18" s="511"/>
      <c r="EQ18" s="511"/>
      <c r="ER18" s="511"/>
      <c r="ES18" s="511"/>
      <c r="ET18" s="511"/>
      <c r="EU18" s="511"/>
      <c r="EV18" s="511"/>
      <c r="EW18" s="511"/>
      <c r="EX18" s="511"/>
      <c r="EY18" s="511"/>
      <c r="EZ18" s="511"/>
      <c r="FA18" s="511"/>
      <c r="FB18" s="511"/>
      <c r="FC18" s="511"/>
      <c r="FD18" s="511"/>
      <c r="FE18" s="511">
        <f>EF18-FD18</f>
        <v>1.0022452815364886</v>
      </c>
    </row>
    <row r="19" spans="1:161" x14ac:dyDescent="0.2">
      <c r="A19" s="367" t="s">
        <v>879</v>
      </c>
      <c r="B19" s="176" t="s">
        <v>878</v>
      </c>
      <c r="C19" s="177"/>
      <c r="D19" s="183">
        <v>5</v>
      </c>
      <c r="E19" s="183">
        <v>5</v>
      </c>
      <c r="F19" s="366">
        <v>0.2</v>
      </c>
      <c r="G19" s="46">
        <v>43281</v>
      </c>
      <c r="H19" s="125">
        <f>E19*12</f>
        <v>60</v>
      </c>
      <c r="I19" s="145">
        <f>100/H19</f>
        <v>1.6666666666666667</v>
      </c>
      <c r="J19" s="165">
        <f>I19*K19</f>
        <v>20</v>
      </c>
      <c r="K19" s="48">
        <f>(YEAR(G19)-YEAR(T19))*12+MONTH(G19)-MONTH(T19)</f>
        <v>12</v>
      </c>
      <c r="L19" s="165">
        <f>M19*I19</f>
        <v>80</v>
      </c>
      <c r="M19" s="48">
        <f>H19-K19</f>
        <v>48</v>
      </c>
      <c r="N19" s="165">
        <f>O19*I19</f>
        <v>11.666666666666668</v>
      </c>
      <c r="O19" s="48">
        <v>7</v>
      </c>
      <c r="P19" s="165">
        <f t="shared" si="1"/>
        <v>68.333333333333329</v>
      </c>
      <c r="Q19" s="48">
        <f t="shared" si="1"/>
        <v>41</v>
      </c>
      <c r="R19" s="462">
        <f>DATE(YEAR(T19),MONTH(T19)+H19,DAY(T19))</f>
        <v>44742</v>
      </c>
      <c r="S19" s="366">
        <v>0.2</v>
      </c>
      <c r="T19" s="365">
        <v>42916</v>
      </c>
      <c r="U19" s="364">
        <v>274500</v>
      </c>
      <c r="V19" s="183">
        <f>((2013-YEAR(T19))*12+MONTH(T19))</f>
        <v>-42</v>
      </c>
      <c r="W19" s="363">
        <f>D19*12</f>
        <v>60</v>
      </c>
      <c r="X19" s="362">
        <f>W19-V19</f>
        <v>102</v>
      </c>
      <c r="Y19" s="361">
        <f>((U19*S19)/12)*V19</f>
        <v>-192150</v>
      </c>
      <c r="Z19" s="360">
        <f>U19-Y19</f>
        <v>466650</v>
      </c>
      <c r="AA19" s="359">
        <v>115.958</v>
      </c>
      <c r="AB19" s="357">
        <v>97.22</v>
      </c>
      <c r="AC19" s="359">
        <f>AA19/AB19</f>
        <v>1.192738119728451</v>
      </c>
      <c r="AD19" s="355">
        <f>Z19*AC19</f>
        <v>556591.24357128167</v>
      </c>
      <c r="AE19" s="358">
        <f>D19*12</f>
        <v>60</v>
      </c>
      <c r="AF19" s="355">
        <f>U19/AE19*AG19</f>
        <v>137250</v>
      </c>
      <c r="AG19" s="358">
        <f>30</f>
        <v>30</v>
      </c>
      <c r="AH19" s="355">
        <f t="shared" si="2"/>
        <v>4575</v>
      </c>
      <c r="AI19" s="355">
        <f t="shared" si="2"/>
        <v>4575</v>
      </c>
      <c r="AJ19" s="355">
        <f t="shared" si="2"/>
        <v>4575</v>
      </c>
      <c r="AK19" s="355">
        <f t="shared" si="2"/>
        <v>4575</v>
      </c>
      <c r="AL19" s="355">
        <f t="shared" si="2"/>
        <v>4575</v>
      </c>
      <c r="AM19" s="355">
        <f>SUM(AH19:AL19)</f>
        <v>22875</v>
      </c>
      <c r="AN19" s="356">
        <v>112.72199999999999</v>
      </c>
      <c r="AO19" s="357">
        <v>97.22</v>
      </c>
      <c r="AP19" s="355">
        <f>AN19/AO19</f>
        <v>1.1594527874922855</v>
      </c>
      <c r="AQ19" s="355">
        <f t="shared" si="3"/>
        <v>5304.4965027772059</v>
      </c>
      <c r="AR19" s="355">
        <f t="shared" si="3"/>
        <v>5304.4965027772059</v>
      </c>
      <c r="AS19" s="355">
        <f t="shared" si="3"/>
        <v>5304.4965027772059</v>
      </c>
      <c r="AT19" s="355">
        <f t="shared" si="3"/>
        <v>5304.4965027772059</v>
      </c>
      <c r="AU19" s="355">
        <f t="shared" si="3"/>
        <v>5304.4965027772059</v>
      </c>
      <c r="AV19" s="355">
        <f t="shared" si="3"/>
        <v>5304.4965027772059</v>
      </c>
      <c r="AW19" s="355">
        <f t="shared" si="3"/>
        <v>5304.4965027772059</v>
      </c>
      <c r="AX19" s="355">
        <f>SUM(AQ19:AW19)</f>
        <v>37131.475519440442</v>
      </c>
      <c r="AY19" s="354">
        <f>AF19-AM19-AX19</f>
        <v>77243.524480559558</v>
      </c>
      <c r="AZ19" s="355">
        <f>AW19*5</f>
        <v>26522.482513886029</v>
      </c>
      <c r="BA19" s="355">
        <f t="shared" si="4"/>
        <v>6326.8751848286283</v>
      </c>
      <c r="BB19" s="355">
        <f t="shared" si="4"/>
        <v>6326.8751848286283</v>
      </c>
      <c r="BC19" s="355">
        <f t="shared" si="4"/>
        <v>6326.8751848286283</v>
      </c>
      <c r="BD19" s="355">
        <f t="shared" si="4"/>
        <v>6326.8751848286283</v>
      </c>
      <c r="BE19" s="355">
        <f t="shared" si="4"/>
        <v>6326.8751848286283</v>
      </c>
      <c r="BF19" s="355">
        <f t="shared" si="4"/>
        <v>6326.8751848286283</v>
      </c>
      <c r="BG19" s="355">
        <f t="shared" si="4"/>
        <v>6326.8751848286283</v>
      </c>
      <c r="BH19" s="355">
        <f>SUM(AZ19:BG19)</f>
        <v>70810.608807686425</v>
      </c>
      <c r="BI19" s="354">
        <f>AY19-BH19</f>
        <v>6432.9156728731323</v>
      </c>
      <c r="BJ19" s="355"/>
      <c r="BK19" s="355"/>
      <c r="BL19" s="355">
        <f>6326.88</f>
        <v>6326.88</v>
      </c>
      <c r="BM19" s="355">
        <v>105.04</v>
      </c>
      <c r="BN19" s="355"/>
      <c r="BO19" s="355"/>
      <c r="BP19" s="355"/>
      <c r="BQ19" s="356">
        <v>118.901</v>
      </c>
      <c r="BR19" s="357">
        <v>97.22</v>
      </c>
      <c r="BS19" s="119"/>
      <c r="BT19" s="119"/>
      <c r="BU19" s="134"/>
      <c r="BV19" s="355">
        <f t="shared" si="7"/>
        <v>1.2230096687924294</v>
      </c>
      <c r="BW19" s="355">
        <f t="shared" si="8"/>
        <v>4575</v>
      </c>
      <c r="BX19" s="355">
        <f t="shared" si="9"/>
        <v>5595.2692347253651</v>
      </c>
      <c r="BY19" s="355">
        <v>0</v>
      </c>
      <c r="BZ19" s="355">
        <v>0</v>
      </c>
      <c r="CA19" s="355">
        <v>0</v>
      </c>
      <c r="CB19" s="355">
        <v>0</v>
      </c>
      <c r="CC19" s="355"/>
      <c r="CD19" s="355"/>
      <c r="CE19" s="355"/>
      <c r="CF19" s="355">
        <f t="shared" si="10"/>
        <v>6431.92</v>
      </c>
      <c r="CG19" s="449">
        <f t="shared" si="5"/>
        <v>0.99567287313220731</v>
      </c>
      <c r="CH19" s="355"/>
      <c r="CI19" s="355"/>
      <c r="CJ19" s="355"/>
      <c r="CK19" s="355"/>
      <c r="CL19" s="355"/>
      <c r="CM19" s="355">
        <v>0</v>
      </c>
      <c r="CN19" s="449">
        <f t="shared" si="11"/>
        <v>0</v>
      </c>
      <c r="CO19" s="356"/>
      <c r="CP19" s="357"/>
      <c r="CQ19" s="355"/>
      <c r="CR19" s="55"/>
      <c r="CS19" s="55"/>
      <c r="CT19" s="355"/>
      <c r="CU19" s="355"/>
      <c r="CV19" s="355">
        <v>0</v>
      </c>
      <c r="CW19" s="355"/>
      <c r="CX19" s="355"/>
      <c r="CY19" s="355"/>
      <c r="CZ19" s="355"/>
      <c r="DA19" s="355"/>
      <c r="DB19" s="355">
        <v>0</v>
      </c>
      <c r="DC19" s="355">
        <v>0</v>
      </c>
      <c r="DD19" s="355">
        <f>SUM(CW19:DC19)</f>
        <v>0</v>
      </c>
      <c r="DE19" s="449">
        <f>CG19-DD19</f>
        <v>0.99567287313220731</v>
      </c>
      <c r="DF19" s="55"/>
      <c r="DG19" s="55"/>
      <c r="DH19" s="55"/>
      <c r="DI19" s="55"/>
      <c r="DJ19" s="55">
        <f>SUM(DF19:DI19)</f>
        <v>0</v>
      </c>
      <c r="DK19" s="793">
        <f>SUM(DE19-DJ19)</f>
        <v>0.99567287313220731</v>
      </c>
      <c r="DL19" s="6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355">
        <v>0</v>
      </c>
      <c r="EA19" s="505"/>
      <c r="EB19" s="505"/>
      <c r="EC19" s="505"/>
      <c r="ED19" s="505"/>
      <c r="EE19" s="505">
        <f>SUM(DZ19:ED19)</f>
        <v>0</v>
      </c>
      <c r="EF19" s="679">
        <f t="shared" si="6"/>
        <v>0.99567287313220731</v>
      </c>
      <c r="EG19" s="956">
        <v>132.28200000000001</v>
      </c>
      <c r="EH19" s="957"/>
      <c r="EI19" s="957">
        <v>1</v>
      </c>
      <c r="EJ19" s="511">
        <v>0</v>
      </c>
      <c r="EK19" s="511">
        <v>0</v>
      </c>
      <c r="EL19" s="511">
        <v>0</v>
      </c>
      <c r="EM19" s="511">
        <v>0</v>
      </c>
      <c r="EN19" s="511">
        <v>0</v>
      </c>
      <c r="EO19" s="511">
        <v>0</v>
      </c>
      <c r="EP19" s="511">
        <v>0</v>
      </c>
      <c r="EQ19" s="511">
        <v>0</v>
      </c>
      <c r="ER19" s="511">
        <v>0</v>
      </c>
      <c r="ES19" s="511">
        <v>0</v>
      </c>
      <c r="ET19" s="511">
        <v>0</v>
      </c>
      <c r="EU19" s="511"/>
      <c r="EV19" s="511"/>
      <c r="EW19" s="511"/>
      <c r="EX19" s="511"/>
      <c r="EY19" s="511"/>
      <c r="EZ19" s="511"/>
      <c r="FA19" s="511"/>
      <c r="FB19" s="511"/>
      <c r="FC19" s="511"/>
      <c r="FD19" s="511">
        <f>SUM(EL19:ER19)</f>
        <v>0</v>
      </c>
      <c r="FE19" s="511">
        <f>EF19-FD19</f>
        <v>0.99567287313220731</v>
      </c>
    </row>
    <row r="20" spans="1:161" x14ac:dyDescent="0.2">
      <c r="A20" s="368" t="s">
        <v>632</v>
      </c>
      <c r="B20" s="347"/>
      <c r="C20" s="348"/>
      <c r="D20" s="183"/>
      <c r="E20" s="183"/>
      <c r="F20" s="366"/>
      <c r="G20" s="46"/>
      <c r="H20" s="125"/>
      <c r="I20" s="145"/>
      <c r="J20" s="165"/>
      <c r="K20" s="48"/>
      <c r="L20" s="165"/>
      <c r="M20" s="48"/>
      <c r="N20" s="165"/>
      <c r="O20" s="48"/>
      <c r="P20" s="165"/>
      <c r="Q20" s="48"/>
      <c r="R20" s="462"/>
      <c r="S20" s="366"/>
      <c r="T20" s="365"/>
      <c r="U20" s="364"/>
      <c r="V20" s="183"/>
      <c r="W20" s="363"/>
      <c r="X20" s="362"/>
      <c r="Y20" s="361"/>
      <c r="Z20" s="360"/>
      <c r="AA20" s="359"/>
      <c r="AB20" s="357"/>
      <c r="AC20" s="359"/>
      <c r="AD20" s="355"/>
      <c r="AE20" s="358"/>
      <c r="AF20" s="355"/>
      <c r="AG20" s="358"/>
      <c r="AH20" s="355"/>
      <c r="AI20" s="355"/>
      <c r="AJ20" s="355"/>
      <c r="AK20" s="355"/>
      <c r="AL20" s="355"/>
      <c r="AM20" s="355"/>
      <c r="AN20" s="356"/>
      <c r="AO20" s="357"/>
      <c r="AP20" s="355"/>
      <c r="AQ20" s="355"/>
      <c r="AR20" s="355"/>
      <c r="AS20" s="355"/>
      <c r="AT20" s="355"/>
      <c r="AU20" s="355"/>
      <c r="AV20" s="355"/>
      <c r="AW20" s="355"/>
      <c r="AX20" s="355"/>
      <c r="AY20" s="354"/>
      <c r="AZ20" s="355"/>
      <c r="BA20" s="355"/>
      <c r="BB20" s="355"/>
      <c r="BC20" s="355"/>
      <c r="BD20" s="355"/>
      <c r="BE20" s="355"/>
      <c r="BF20" s="355"/>
      <c r="BG20" s="355"/>
      <c r="BH20" s="355"/>
      <c r="BI20" s="354"/>
      <c r="BJ20" s="355"/>
      <c r="BK20" s="355"/>
      <c r="BL20" s="355"/>
      <c r="BM20" s="355"/>
      <c r="BN20" s="355"/>
      <c r="BO20" s="355"/>
      <c r="BP20" s="355"/>
      <c r="BQ20" s="356"/>
      <c r="BR20" s="357"/>
      <c r="BS20" s="143"/>
      <c r="BT20" s="948"/>
      <c r="BU20" s="772"/>
      <c r="BV20" s="355"/>
      <c r="BW20" s="355"/>
      <c r="BX20" s="355"/>
      <c r="BY20" s="355"/>
      <c r="BZ20" s="355"/>
      <c r="CA20" s="355"/>
      <c r="CB20" s="355"/>
      <c r="CC20" s="355"/>
      <c r="CD20" s="355"/>
      <c r="CE20" s="355"/>
      <c r="CF20" s="355"/>
      <c r="CG20" s="449"/>
      <c r="CH20" s="355"/>
      <c r="CI20" s="355"/>
      <c r="CJ20" s="355"/>
      <c r="CK20" s="355"/>
      <c r="CL20" s="355"/>
      <c r="CM20" s="355">
        <v>0</v>
      </c>
      <c r="CN20" s="449">
        <f t="shared" si="11"/>
        <v>0</v>
      </c>
      <c r="CO20" s="356"/>
      <c r="CP20" s="357"/>
      <c r="CQ20" s="355"/>
      <c r="CR20" s="28"/>
      <c r="CS20" s="28"/>
      <c r="CT20" s="355"/>
      <c r="CU20" s="355"/>
      <c r="CV20" s="355">
        <v>0</v>
      </c>
      <c r="CW20" s="355"/>
      <c r="CX20" s="355"/>
      <c r="CY20" s="355"/>
      <c r="CZ20" s="355"/>
      <c r="DA20" s="355"/>
      <c r="DB20" s="355">
        <v>0</v>
      </c>
      <c r="DC20" s="355">
        <v>0</v>
      </c>
      <c r="DD20" s="355">
        <f t="shared" ref="DD20:DD26" si="12">SUM(CW20:DC20)</f>
        <v>0</v>
      </c>
      <c r="DE20" s="449"/>
      <c r="DF20" s="55"/>
      <c r="DG20" s="55"/>
      <c r="DH20" s="55"/>
      <c r="DI20" s="55"/>
      <c r="DJ20" s="55"/>
      <c r="DK20" s="793"/>
      <c r="DL20" s="57"/>
      <c r="DM20" s="55"/>
      <c r="DN20" s="501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355"/>
      <c r="EA20" s="505"/>
      <c r="EB20" s="505"/>
      <c r="EC20" s="505"/>
      <c r="ED20" s="505"/>
      <c r="EE20" s="505"/>
      <c r="EF20" s="679"/>
      <c r="EG20" s="623"/>
      <c r="EH20" s="957"/>
      <c r="EI20" s="957"/>
      <c r="EJ20" s="511"/>
      <c r="EK20" s="511"/>
      <c r="EL20" s="511"/>
      <c r="EM20" s="511"/>
      <c r="EN20" s="511"/>
      <c r="EO20" s="511"/>
      <c r="EP20" s="511"/>
      <c r="EQ20" s="511"/>
      <c r="ER20" s="511"/>
      <c r="ES20" s="511"/>
      <c r="ET20" s="511"/>
      <c r="EU20" s="511"/>
      <c r="EV20" s="511"/>
      <c r="EW20" s="511"/>
      <c r="EX20" s="511"/>
      <c r="EY20" s="511"/>
      <c r="EZ20" s="511"/>
      <c r="FA20" s="511"/>
      <c r="FB20" s="511"/>
      <c r="FC20" s="511"/>
      <c r="FD20" s="511"/>
      <c r="FE20" s="511"/>
    </row>
    <row r="21" spans="1:161" x14ac:dyDescent="0.2">
      <c r="A21" s="176" t="s">
        <v>877</v>
      </c>
      <c r="B21" s="176" t="s">
        <v>876</v>
      </c>
      <c r="C21" s="177"/>
      <c r="D21" s="183">
        <v>5</v>
      </c>
      <c r="E21" s="183">
        <v>5</v>
      </c>
      <c r="F21" s="366">
        <v>0.2</v>
      </c>
      <c r="G21" s="46">
        <v>43281</v>
      </c>
      <c r="H21" s="125">
        <f t="shared" ref="H21:H26" si="13">E21*12</f>
        <v>60</v>
      </c>
      <c r="I21" s="145">
        <f t="shared" ref="I21:I26" si="14">100/H21</f>
        <v>1.6666666666666667</v>
      </c>
      <c r="J21" s="165">
        <f t="shared" ref="J21:J26" si="15">I21*K21</f>
        <v>20</v>
      </c>
      <c r="K21" s="48">
        <f>(YEAR(G21)-YEAR(T21))*12+MONTH(G21)-MONTH(T21)</f>
        <v>12</v>
      </c>
      <c r="L21" s="165">
        <f t="shared" ref="L21:L26" si="16">M21*I21</f>
        <v>80</v>
      </c>
      <c r="M21" s="48">
        <f t="shared" ref="M21:M26" si="17">H21-K21</f>
        <v>48</v>
      </c>
      <c r="N21" s="165">
        <f t="shared" ref="N21:N26" si="18">O21*I21</f>
        <v>11.666666666666668</v>
      </c>
      <c r="O21" s="48">
        <v>7</v>
      </c>
      <c r="P21" s="165">
        <f t="shared" ref="P21:Q26" si="19">L21-N21</f>
        <v>68.333333333333329</v>
      </c>
      <c r="Q21" s="48">
        <f t="shared" si="19"/>
        <v>41</v>
      </c>
      <c r="R21" s="462">
        <f t="shared" ref="R21:R26" si="20">DATE(YEAR(T21),MONTH(T21)+H21,DAY(T21))</f>
        <v>44742</v>
      </c>
      <c r="S21" s="366">
        <v>0.2</v>
      </c>
      <c r="T21" s="365">
        <v>42916</v>
      </c>
      <c r="U21" s="364">
        <v>153000</v>
      </c>
      <c r="V21" s="183">
        <f>((2013-YEAR(T21))*12+MONTH(T21))</f>
        <v>-42</v>
      </c>
      <c r="W21" s="363">
        <f t="shared" ref="W21:W26" si="21">D21*12</f>
        <v>60</v>
      </c>
      <c r="X21" s="362">
        <f t="shared" ref="X21:X26" si="22">W21-V21</f>
        <v>102</v>
      </c>
      <c r="Y21" s="361">
        <f t="shared" ref="Y21:Y26" si="23">((U21*S21)/12)*V21</f>
        <v>-107100</v>
      </c>
      <c r="Z21" s="360">
        <f t="shared" ref="Z21:Z26" si="24">U21-Y21</f>
        <v>260100</v>
      </c>
      <c r="AA21" s="359">
        <v>115.958</v>
      </c>
      <c r="AB21" s="357">
        <v>113.556</v>
      </c>
      <c r="AC21" s="359">
        <f t="shared" ref="AC21:AC26" si="25">AA21/AB21</f>
        <v>1.0211525590897883</v>
      </c>
      <c r="AD21" s="355">
        <f t="shared" ref="AD21:AD26" si="26">Z21*AC21</f>
        <v>265601.78061925393</v>
      </c>
      <c r="AE21" s="358">
        <f t="shared" ref="AE21:AE26" si="27">D21*12</f>
        <v>60</v>
      </c>
      <c r="AF21" s="355">
        <f>U21/AE21*AG21</f>
        <v>76500</v>
      </c>
      <c r="AG21" s="358">
        <f>30</f>
        <v>30</v>
      </c>
      <c r="AH21" s="355">
        <f t="shared" ref="AH21:AL23" si="28">$AF21/$AG21</f>
        <v>2550</v>
      </c>
      <c r="AI21" s="355">
        <f t="shared" si="28"/>
        <v>2550</v>
      </c>
      <c r="AJ21" s="355">
        <f t="shared" si="28"/>
        <v>2550</v>
      </c>
      <c r="AK21" s="355">
        <f t="shared" si="28"/>
        <v>2550</v>
      </c>
      <c r="AL21" s="355">
        <f t="shared" si="28"/>
        <v>2550</v>
      </c>
      <c r="AM21" s="355">
        <f t="shared" ref="AM21:AM26" si="29">SUM(AH21:AL21)</f>
        <v>12750</v>
      </c>
      <c r="AN21" s="356">
        <v>112.72199999999999</v>
      </c>
      <c r="AO21" s="357">
        <v>113.556</v>
      </c>
      <c r="AP21" s="355">
        <f t="shared" ref="AP21:AP26" si="30">AN21/AO21</f>
        <v>0.99265560604459468</v>
      </c>
      <c r="AQ21" s="355">
        <f t="shared" ref="AQ21:AW26" si="31">($AF21/$AG21)*$AP21</f>
        <v>2531.2717954137165</v>
      </c>
      <c r="AR21" s="355">
        <f t="shared" si="31"/>
        <v>2531.2717954137165</v>
      </c>
      <c r="AS21" s="355">
        <f t="shared" si="31"/>
        <v>2531.2717954137165</v>
      </c>
      <c r="AT21" s="355">
        <f t="shared" si="31"/>
        <v>2531.2717954137165</v>
      </c>
      <c r="AU21" s="355">
        <f t="shared" si="31"/>
        <v>2531.2717954137165</v>
      </c>
      <c r="AV21" s="355">
        <f t="shared" si="31"/>
        <v>2531.2717954137165</v>
      </c>
      <c r="AW21" s="355">
        <f t="shared" si="31"/>
        <v>2531.2717954137165</v>
      </c>
      <c r="AX21" s="355">
        <f t="shared" ref="AX21:AX26" si="32">SUM(AQ21:AW21)</f>
        <v>17718.902567896017</v>
      </c>
      <c r="AY21" s="354">
        <f t="shared" ref="AY21:AY26" si="33">AF21-AM21-AX21</f>
        <v>46031.097432103983</v>
      </c>
      <c r="AZ21" s="355">
        <f t="shared" ref="AZ21:AZ26" si="34">AW21*5</f>
        <v>12656.358977068583</v>
      </c>
      <c r="BA21" s="355">
        <f t="shared" ref="BA21:BG26" si="35">$AW21*$AC21</f>
        <v>2584.8146716385195</v>
      </c>
      <c r="BB21" s="355">
        <f t="shared" si="35"/>
        <v>2584.8146716385195</v>
      </c>
      <c r="BC21" s="355">
        <f t="shared" si="35"/>
        <v>2584.8146716385195</v>
      </c>
      <c r="BD21" s="355">
        <f t="shared" si="35"/>
        <v>2584.8146716385195</v>
      </c>
      <c r="BE21" s="355">
        <f t="shared" si="35"/>
        <v>2584.8146716385195</v>
      </c>
      <c r="BF21" s="355">
        <f t="shared" si="35"/>
        <v>2584.8146716385195</v>
      </c>
      <c r="BG21" s="355">
        <f t="shared" si="35"/>
        <v>2584.8146716385195</v>
      </c>
      <c r="BH21" s="355">
        <f t="shared" ref="BH21:BH26" si="36">SUM(AZ21:BG21)</f>
        <v>30750.061678538223</v>
      </c>
      <c r="BI21" s="354">
        <f>AY21-BH21</f>
        <v>15281.03575356576</v>
      </c>
      <c r="BJ21" s="355"/>
      <c r="BK21" s="355"/>
      <c r="BL21" s="355">
        <f>2584.81</f>
        <v>2584.81</v>
      </c>
      <c r="BM21" s="355">
        <f>2584.81</f>
        <v>2584.81</v>
      </c>
      <c r="BN21" s="355">
        <f>2584.81</f>
        <v>2584.81</v>
      </c>
      <c r="BO21" s="355">
        <f>2584.81</f>
        <v>2584.81</v>
      </c>
      <c r="BP21" s="355">
        <f>2584.81</f>
        <v>2584.81</v>
      </c>
      <c r="BQ21" s="356">
        <v>118.901</v>
      </c>
      <c r="BR21" s="357">
        <v>113.556</v>
      </c>
      <c r="BS21" s="1004"/>
      <c r="BT21" s="1004"/>
      <c r="BU21" s="509"/>
      <c r="BV21" s="355">
        <f t="shared" si="7"/>
        <v>1.0470692874000493</v>
      </c>
      <c r="BW21" s="355">
        <f t="shared" si="8"/>
        <v>2550</v>
      </c>
      <c r="BX21" s="355">
        <f t="shared" si="9"/>
        <v>2670.026682870126</v>
      </c>
      <c r="BY21" s="355">
        <v>2355.9899999999998</v>
      </c>
      <c r="BZ21" s="355"/>
      <c r="CA21" s="355"/>
      <c r="CB21" s="355"/>
      <c r="CC21" s="355"/>
      <c r="CD21" s="355"/>
      <c r="CE21" s="355"/>
      <c r="CF21" s="355">
        <f t="shared" si="10"/>
        <v>15280.039999999999</v>
      </c>
      <c r="CG21" s="449">
        <f t="shared" si="5"/>
        <v>0.99575356576133345</v>
      </c>
      <c r="CH21" s="355"/>
      <c r="CI21" s="355"/>
      <c r="CJ21" s="355"/>
      <c r="CK21" s="355"/>
      <c r="CL21" s="355"/>
      <c r="CM21" s="355">
        <v>0</v>
      </c>
      <c r="CN21" s="449">
        <f t="shared" si="11"/>
        <v>0</v>
      </c>
      <c r="CO21" s="356"/>
      <c r="CP21" s="357"/>
      <c r="CQ21" s="355"/>
      <c r="CR21" s="28"/>
      <c r="CS21" s="28"/>
      <c r="CT21" s="355"/>
      <c r="CU21" s="355"/>
      <c r="CV21" s="355">
        <v>0</v>
      </c>
      <c r="CW21" s="355"/>
      <c r="CX21" s="355"/>
      <c r="CY21" s="355"/>
      <c r="CZ21" s="355"/>
      <c r="DA21" s="355"/>
      <c r="DB21" s="355">
        <v>0</v>
      </c>
      <c r="DC21" s="355">
        <v>0</v>
      </c>
      <c r="DD21" s="355">
        <f t="shared" si="12"/>
        <v>0</v>
      </c>
      <c r="DE21" s="449">
        <f t="shared" ref="DE21:DE26" si="37">CG21-DD21</f>
        <v>0.99575356576133345</v>
      </c>
      <c r="DF21" s="55"/>
      <c r="DG21" s="55"/>
      <c r="DH21" s="55"/>
      <c r="DI21" s="55"/>
      <c r="DJ21" s="55">
        <f t="shared" ref="DJ21:DJ27" si="38">SUM(DF21:DI21)</f>
        <v>0</v>
      </c>
      <c r="DK21" s="793">
        <f t="shared" ref="DK21:DK27" si="39">SUM(DE21-DJ21)</f>
        <v>0.99575356576133345</v>
      </c>
      <c r="DL21" s="6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355">
        <v>0</v>
      </c>
      <c r="EA21" s="505"/>
      <c r="EB21" s="505"/>
      <c r="EC21" s="505"/>
      <c r="ED21" s="505"/>
      <c r="EE21" s="505">
        <f t="shared" ref="EE21:EE27" si="40">SUM(DZ21:ED21)</f>
        <v>0</v>
      </c>
      <c r="EF21" s="679">
        <f t="shared" si="6"/>
        <v>0.99575356576133345</v>
      </c>
      <c r="EG21" s="956">
        <v>132.28200000000001</v>
      </c>
      <c r="EH21" s="957"/>
      <c r="EI21" s="957">
        <v>1</v>
      </c>
      <c r="EJ21" s="511">
        <v>0</v>
      </c>
      <c r="EK21" s="511"/>
      <c r="EL21" s="511"/>
      <c r="EM21" s="511"/>
      <c r="EN21" s="511"/>
      <c r="EO21" s="511"/>
      <c r="EP21" s="511"/>
      <c r="EQ21" s="511"/>
      <c r="ER21" s="511"/>
      <c r="ES21" s="511"/>
      <c r="ET21" s="511"/>
      <c r="EU21" s="511"/>
      <c r="EV21" s="511"/>
      <c r="EW21" s="511"/>
      <c r="EX21" s="511"/>
      <c r="EY21" s="511"/>
      <c r="EZ21" s="511"/>
      <c r="FA21" s="511"/>
      <c r="FB21" s="511"/>
      <c r="FC21" s="511"/>
      <c r="FD21" s="511">
        <f t="shared" ref="FD21:FD25" si="41">SUM(EL21:ER21)</f>
        <v>0</v>
      </c>
      <c r="FE21" s="511">
        <f t="shared" ref="FE21:FE26" si="42">EF21-FD21</f>
        <v>0.99575356576133345</v>
      </c>
    </row>
    <row r="22" spans="1:161" x14ac:dyDescent="0.2">
      <c r="A22" s="367" t="s">
        <v>872</v>
      </c>
      <c r="B22" s="176" t="s">
        <v>871</v>
      </c>
      <c r="C22" s="177"/>
      <c r="D22" s="183">
        <v>5</v>
      </c>
      <c r="E22" s="183">
        <v>5</v>
      </c>
      <c r="F22" s="366">
        <v>0.2</v>
      </c>
      <c r="G22" s="46">
        <v>43281</v>
      </c>
      <c r="H22" s="125">
        <f t="shared" si="13"/>
        <v>60</v>
      </c>
      <c r="I22" s="145">
        <f t="shared" si="14"/>
        <v>1.6666666666666667</v>
      </c>
      <c r="J22" s="165">
        <f t="shared" si="15"/>
        <v>20</v>
      </c>
      <c r="K22" s="48">
        <f>(YEAR(G22)-YEAR(T22))*12+MONTH(G22)-MONTH(T22)</f>
        <v>12</v>
      </c>
      <c r="L22" s="165">
        <f t="shared" si="16"/>
        <v>80</v>
      </c>
      <c r="M22" s="48">
        <f t="shared" si="17"/>
        <v>48</v>
      </c>
      <c r="N22" s="165">
        <f t="shared" si="18"/>
        <v>11.666666666666668</v>
      </c>
      <c r="O22" s="48">
        <v>7</v>
      </c>
      <c r="P22" s="165">
        <f t="shared" si="19"/>
        <v>68.333333333333329</v>
      </c>
      <c r="Q22" s="48">
        <f t="shared" si="19"/>
        <v>41</v>
      </c>
      <c r="R22" s="462">
        <f t="shared" si="20"/>
        <v>44742</v>
      </c>
      <c r="S22" s="366">
        <v>0.2</v>
      </c>
      <c r="T22" s="365">
        <v>42916</v>
      </c>
      <c r="U22" s="364">
        <v>21170</v>
      </c>
      <c r="V22" s="183">
        <f>((2013-YEAR(T22))*12+MONTH(T22))</f>
        <v>-42</v>
      </c>
      <c r="W22" s="363">
        <f t="shared" si="21"/>
        <v>60</v>
      </c>
      <c r="X22" s="362">
        <f t="shared" si="22"/>
        <v>102</v>
      </c>
      <c r="Y22" s="361">
        <f t="shared" si="23"/>
        <v>-14819</v>
      </c>
      <c r="Z22" s="360">
        <f t="shared" si="24"/>
        <v>35989</v>
      </c>
      <c r="AA22" s="359">
        <v>115.958</v>
      </c>
      <c r="AB22" s="357">
        <v>121.015</v>
      </c>
      <c r="AC22" s="359">
        <f t="shared" si="25"/>
        <v>0.95821179192662065</v>
      </c>
      <c r="AD22" s="355">
        <f t="shared" si="26"/>
        <v>34485.08417964715</v>
      </c>
      <c r="AE22" s="358">
        <f t="shared" si="27"/>
        <v>60</v>
      </c>
      <c r="AF22" s="355">
        <f>U22/AE22*AG22</f>
        <v>10585</v>
      </c>
      <c r="AG22" s="358">
        <f>30</f>
        <v>30</v>
      </c>
      <c r="AH22" s="355">
        <f t="shared" si="28"/>
        <v>352.83333333333331</v>
      </c>
      <c r="AI22" s="355">
        <f t="shared" si="28"/>
        <v>352.83333333333331</v>
      </c>
      <c r="AJ22" s="355">
        <f t="shared" si="28"/>
        <v>352.83333333333331</v>
      </c>
      <c r="AK22" s="355">
        <f t="shared" si="28"/>
        <v>352.83333333333331</v>
      </c>
      <c r="AL22" s="355">
        <f t="shared" si="28"/>
        <v>352.83333333333331</v>
      </c>
      <c r="AM22" s="355">
        <f t="shared" si="29"/>
        <v>1764.1666666666665</v>
      </c>
      <c r="AN22" s="356">
        <v>112.72199999999999</v>
      </c>
      <c r="AO22" s="357">
        <v>121.015</v>
      </c>
      <c r="AP22" s="355">
        <f t="shared" si="30"/>
        <v>0.93147130521009791</v>
      </c>
      <c r="AQ22" s="355">
        <f t="shared" si="31"/>
        <v>328.65412552162951</v>
      </c>
      <c r="AR22" s="355">
        <f t="shared" si="31"/>
        <v>328.65412552162951</v>
      </c>
      <c r="AS22" s="355">
        <f t="shared" si="31"/>
        <v>328.65412552162951</v>
      </c>
      <c r="AT22" s="355">
        <f t="shared" si="31"/>
        <v>328.65412552162951</v>
      </c>
      <c r="AU22" s="355">
        <f t="shared" si="31"/>
        <v>328.65412552162951</v>
      </c>
      <c r="AV22" s="355">
        <f t="shared" si="31"/>
        <v>328.65412552162951</v>
      </c>
      <c r="AW22" s="355">
        <f t="shared" si="31"/>
        <v>328.65412552162951</v>
      </c>
      <c r="AX22" s="355">
        <f t="shared" si="32"/>
        <v>2300.5788786514067</v>
      </c>
      <c r="AY22" s="354">
        <f t="shared" si="33"/>
        <v>6520.2544546819272</v>
      </c>
      <c r="AZ22" s="355">
        <f t="shared" si="34"/>
        <v>1643.2706276081476</v>
      </c>
      <c r="BA22" s="355">
        <f t="shared" si="35"/>
        <v>314.92025854015714</v>
      </c>
      <c r="BB22" s="355">
        <f t="shared" si="35"/>
        <v>314.92025854015714</v>
      </c>
      <c r="BC22" s="355">
        <f t="shared" si="35"/>
        <v>314.92025854015714</v>
      </c>
      <c r="BD22" s="355">
        <f t="shared" si="35"/>
        <v>314.92025854015714</v>
      </c>
      <c r="BE22" s="355">
        <f t="shared" si="35"/>
        <v>314.92025854015714</v>
      </c>
      <c r="BF22" s="355">
        <f t="shared" si="35"/>
        <v>314.92025854015714</v>
      </c>
      <c r="BG22" s="355">
        <f t="shared" si="35"/>
        <v>314.92025854015714</v>
      </c>
      <c r="BH22" s="355">
        <f t="shared" si="36"/>
        <v>3847.712437389248</v>
      </c>
      <c r="BI22" s="354">
        <f>AY22-BH22</f>
        <v>2672.5420172926792</v>
      </c>
      <c r="BJ22" s="355"/>
      <c r="BK22" s="355"/>
      <c r="BL22" s="355">
        <f>314.92</f>
        <v>314.92</v>
      </c>
      <c r="BM22" s="355">
        <f>314.92</f>
        <v>314.92</v>
      </c>
      <c r="BN22" s="355">
        <f>314.92</f>
        <v>314.92</v>
      </c>
      <c r="BO22" s="355">
        <f>314.92</f>
        <v>314.92</v>
      </c>
      <c r="BP22" s="355">
        <f>314.92</f>
        <v>314.92</v>
      </c>
      <c r="BQ22" s="356">
        <v>118.901</v>
      </c>
      <c r="BR22" s="357">
        <v>121.015</v>
      </c>
      <c r="BS22" s="948"/>
      <c r="BT22" s="948"/>
      <c r="BU22" s="772"/>
      <c r="BV22" s="355">
        <f t="shared" si="7"/>
        <v>0.98253109118704285</v>
      </c>
      <c r="BW22" s="355">
        <f t="shared" si="8"/>
        <v>352.83333333333331</v>
      </c>
      <c r="BX22" s="355">
        <f t="shared" si="9"/>
        <v>346.66972000716157</v>
      </c>
      <c r="BY22" s="355">
        <v>346.67</v>
      </c>
      <c r="BZ22" s="355">
        <v>347.67</v>
      </c>
      <c r="CA22" s="355">
        <v>347.67</v>
      </c>
      <c r="CB22" s="355">
        <v>54.93</v>
      </c>
      <c r="CC22" s="355"/>
      <c r="CD22" s="355"/>
      <c r="CE22" s="355"/>
      <c r="CF22" s="355">
        <f t="shared" si="10"/>
        <v>2671.54</v>
      </c>
      <c r="CG22" s="449">
        <f t="shared" si="5"/>
        <v>1.0020172926792839</v>
      </c>
      <c r="CH22" s="355"/>
      <c r="CI22" s="355"/>
      <c r="CJ22" s="355"/>
      <c r="CK22" s="355"/>
      <c r="CL22" s="355"/>
      <c r="CM22" s="355">
        <v>0</v>
      </c>
      <c r="CN22" s="449">
        <f t="shared" si="11"/>
        <v>0</v>
      </c>
      <c r="CO22" s="356"/>
      <c r="CP22" s="357"/>
      <c r="CQ22" s="355"/>
      <c r="CR22" s="942"/>
      <c r="CS22" s="942"/>
      <c r="CT22" s="355"/>
      <c r="CU22" s="355"/>
      <c r="CV22" s="355">
        <v>0</v>
      </c>
      <c r="CW22" s="355"/>
      <c r="CX22" s="355"/>
      <c r="CY22" s="355"/>
      <c r="CZ22" s="355"/>
      <c r="DA22" s="355"/>
      <c r="DB22" s="355">
        <v>0</v>
      </c>
      <c r="DC22" s="355">
        <v>0</v>
      </c>
      <c r="DD22" s="355">
        <f t="shared" si="12"/>
        <v>0</v>
      </c>
      <c r="DE22" s="449">
        <f t="shared" si="37"/>
        <v>1.0020172926792839</v>
      </c>
      <c r="DF22" s="55"/>
      <c r="DG22" s="55"/>
      <c r="DH22" s="55"/>
      <c r="DI22" s="55"/>
      <c r="DJ22" s="55">
        <f t="shared" si="38"/>
        <v>0</v>
      </c>
      <c r="DK22" s="793">
        <f t="shared" si="39"/>
        <v>1.0020172926792839</v>
      </c>
      <c r="DL22" s="57">
        <v>126.408</v>
      </c>
      <c r="DM22" s="55">
        <v>118.532</v>
      </c>
      <c r="DN22" s="501">
        <f t="shared" ref="DN22:DN27" si="43">DL22/DM22</f>
        <v>1.0664461917456889</v>
      </c>
      <c r="DO22" s="55">
        <f t="shared" ref="DO22:DO27" si="44">DK22/BG22</f>
        <v>3.1818127462622777E-3</v>
      </c>
      <c r="DP22" s="55">
        <f t="shared" ref="DP22:DP27" si="45">DO22*DN22</f>
        <v>3.3932320860992978E-3</v>
      </c>
      <c r="DQ22" s="55">
        <v>0</v>
      </c>
      <c r="DR22" s="55">
        <v>0</v>
      </c>
      <c r="DS22" s="55">
        <v>0</v>
      </c>
      <c r="DT22" s="55">
        <v>0</v>
      </c>
      <c r="DU22" s="55">
        <v>0</v>
      </c>
      <c r="DV22" s="55">
        <v>0</v>
      </c>
      <c r="DW22" s="55">
        <v>0</v>
      </c>
      <c r="DX22" s="55">
        <f t="shared" ref="DX22:DX27" si="46">SUM(DQ22:DW22)</f>
        <v>0</v>
      </c>
      <c r="DY22" s="55">
        <f t="shared" ref="DY22:DY27" si="47">DR22-DX22</f>
        <v>0</v>
      </c>
      <c r="DZ22" s="355">
        <v>0</v>
      </c>
      <c r="EA22" s="505"/>
      <c r="EB22" s="505"/>
      <c r="EC22" s="505"/>
      <c r="ED22" s="505"/>
      <c r="EE22" s="505">
        <f t="shared" si="40"/>
        <v>0</v>
      </c>
      <c r="EF22" s="679">
        <f t="shared" si="6"/>
        <v>1.0020172926792839</v>
      </c>
      <c r="EG22" s="956">
        <v>132.28200000000001</v>
      </c>
      <c r="EH22" s="957"/>
      <c r="EI22" s="957">
        <v>1</v>
      </c>
      <c r="EJ22" s="511">
        <v>0</v>
      </c>
      <c r="EK22" s="511"/>
      <c r="EL22" s="511"/>
      <c r="EM22" s="511"/>
      <c r="EN22" s="511"/>
      <c r="EO22" s="511"/>
      <c r="EP22" s="511"/>
      <c r="EQ22" s="511"/>
      <c r="ER22" s="511"/>
      <c r="ES22" s="511"/>
      <c r="ET22" s="511"/>
      <c r="EU22" s="511"/>
      <c r="EV22" s="511"/>
      <c r="EW22" s="511"/>
      <c r="EX22" s="511"/>
      <c r="EY22" s="511"/>
      <c r="EZ22" s="511"/>
      <c r="FA22" s="511"/>
      <c r="FB22" s="511"/>
      <c r="FC22" s="511"/>
      <c r="FD22" s="511">
        <f t="shared" si="41"/>
        <v>0</v>
      </c>
      <c r="FE22" s="511">
        <f t="shared" si="42"/>
        <v>1.0020172926792839</v>
      </c>
    </row>
    <row r="23" spans="1:161" x14ac:dyDescent="0.2">
      <c r="A23" s="367" t="s">
        <v>869</v>
      </c>
      <c r="B23" s="176" t="s">
        <v>868</v>
      </c>
      <c r="C23" s="177"/>
      <c r="D23" s="183">
        <v>5</v>
      </c>
      <c r="E23" s="183">
        <v>5</v>
      </c>
      <c r="F23" s="366">
        <v>0.2</v>
      </c>
      <c r="G23" s="46">
        <v>43281</v>
      </c>
      <c r="H23" s="125">
        <f t="shared" si="13"/>
        <v>60</v>
      </c>
      <c r="I23" s="145">
        <f t="shared" si="14"/>
        <v>1.6666666666666667</v>
      </c>
      <c r="J23" s="165">
        <f t="shared" si="15"/>
        <v>20</v>
      </c>
      <c r="K23" s="48">
        <f>(YEAR(G23)-YEAR(T23))*12+MONTH(G23)-MONTH(T23)</f>
        <v>12</v>
      </c>
      <c r="L23" s="165">
        <f t="shared" si="16"/>
        <v>80</v>
      </c>
      <c r="M23" s="48">
        <f t="shared" si="17"/>
        <v>48</v>
      </c>
      <c r="N23" s="165">
        <f t="shared" si="18"/>
        <v>11.666666666666668</v>
      </c>
      <c r="O23" s="48">
        <v>7</v>
      </c>
      <c r="P23" s="165">
        <f t="shared" si="19"/>
        <v>68.333333333333329</v>
      </c>
      <c r="Q23" s="48">
        <f t="shared" si="19"/>
        <v>41</v>
      </c>
      <c r="R23" s="462">
        <f t="shared" si="20"/>
        <v>44742</v>
      </c>
      <c r="S23" s="366">
        <v>0.2</v>
      </c>
      <c r="T23" s="365">
        <v>42916</v>
      </c>
      <c r="U23" s="364">
        <v>152696</v>
      </c>
      <c r="V23" s="183">
        <f>((2013-YEAR(T23))*12+MONTH(T23))</f>
        <v>-42</v>
      </c>
      <c r="W23" s="363">
        <f t="shared" si="21"/>
        <v>60</v>
      </c>
      <c r="X23" s="362">
        <f t="shared" si="22"/>
        <v>102</v>
      </c>
      <c r="Y23" s="361">
        <f t="shared" si="23"/>
        <v>-106887.2</v>
      </c>
      <c r="Z23" s="360">
        <f t="shared" si="24"/>
        <v>259583.2</v>
      </c>
      <c r="AA23" s="359">
        <v>115.958</v>
      </c>
      <c r="AB23" s="357">
        <v>133.761</v>
      </c>
      <c r="AC23" s="359">
        <f t="shared" si="25"/>
        <v>0.86690440412377301</v>
      </c>
      <c r="AD23" s="355">
        <f t="shared" si="26"/>
        <v>225033.81931654221</v>
      </c>
      <c r="AE23" s="358">
        <f t="shared" si="27"/>
        <v>60</v>
      </c>
      <c r="AF23" s="355">
        <f>U23/AE23*AG23</f>
        <v>76348</v>
      </c>
      <c r="AG23" s="358">
        <f>30</f>
        <v>30</v>
      </c>
      <c r="AH23" s="355">
        <f t="shared" si="28"/>
        <v>2544.9333333333334</v>
      </c>
      <c r="AI23" s="355">
        <f t="shared" si="28"/>
        <v>2544.9333333333334</v>
      </c>
      <c r="AJ23" s="355">
        <f t="shared" si="28"/>
        <v>2544.9333333333334</v>
      </c>
      <c r="AK23" s="355">
        <f t="shared" si="28"/>
        <v>2544.9333333333334</v>
      </c>
      <c r="AL23" s="355">
        <f t="shared" si="28"/>
        <v>2544.9333333333334</v>
      </c>
      <c r="AM23" s="355">
        <f t="shared" si="29"/>
        <v>12724.666666666668</v>
      </c>
      <c r="AN23" s="356">
        <v>112.72199999999999</v>
      </c>
      <c r="AO23" s="357">
        <v>133.761</v>
      </c>
      <c r="AP23" s="355">
        <f t="shared" si="30"/>
        <v>0.84271200125597145</v>
      </c>
      <c r="AQ23" s="355">
        <f t="shared" si="31"/>
        <v>2144.6458623963636</v>
      </c>
      <c r="AR23" s="355">
        <f t="shared" si="31"/>
        <v>2144.6458623963636</v>
      </c>
      <c r="AS23" s="355">
        <f t="shared" si="31"/>
        <v>2144.6458623963636</v>
      </c>
      <c r="AT23" s="355">
        <f t="shared" si="31"/>
        <v>2144.6458623963636</v>
      </c>
      <c r="AU23" s="355">
        <f t="shared" si="31"/>
        <v>2144.6458623963636</v>
      </c>
      <c r="AV23" s="355">
        <f t="shared" si="31"/>
        <v>2144.6458623963636</v>
      </c>
      <c r="AW23" s="355">
        <f t="shared" si="31"/>
        <v>2144.6458623963636</v>
      </c>
      <c r="AX23" s="355">
        <f t="shared" si="32"/>
        <v>15012.521036774542</v>
      </c>
      <c r="AY23" s="354">
        <f t="shared" si="33"/>
        <v>48610.812296558783</v>
      </c>
      <c r="AZ23" s="355">
        <f t="shared" si="34"/>
        <v>10723.229311981817</v>
      </c>
      <c r="BA23" s="355">
        <f t="shared" si="35"/>
        <v>1859.2029433972348</v>
      </c>
      <c r="BB23" s="355">
        <f t="shared" si="35"/>
        <v>1859.2029433972348</v>
      </c>
      <c r="BC23" s="355">
        <f t="shared" si="35"/>
        <v>1859.2029433972348</v>
      </c>
      <c r="BD23" s="355">
        <f t="shared" si="35"/>
        <v>1859.2029433972348</v>
      </c>
      <c r="BE23" s="355">
        <f t="shared" si="35"/>
        <v>1859.2029433972348</v>
      </c>
      <c r="BF23" s="355">
        <f t="shared" si="35"/>
        <v>1859.2029433972348</v>
      </c>
      <c r="BG23" s="355">
        <f t="shared" si="35"/>
        <v>1859.2029433972348</v>
      </c>
      <c r="BH23" s="355">
        <f t="shared" si="36"/>
        <v>23737.64991576246</v>
      </c>
      <c r="BI23" s="354">
        <f>AY23-BH23</f>
        <v>24873.162380796322</v>
      </c>
      <c r="BJ23" s="355"/>
      <c r="BK23" s="355"/>
      <c r="BL23" s="355">
        <f>1859.2</f>
        <v>1859.2</v>
      </c>
      <c r="BM23" s="355">
        <f>1859.2</f>
        <v>1859.2</v>
      </c>
      <c r="BN23" s="355">
        <f>1859.2</f>
        <v>1859.2</v>
      </c>
      <c r="BO23" s="355">
        <f>1859.2</f>
        <v>1859.2</v>
      </c>
      <c r="BP23" s="355">
        <f>1859.2</f>
        <v>1859.2</v>
      </c>
      <c r="BQ23" s="356">
        <v>118.901</v>
      </c>
      <c r="BR23" s="357">
        <v>133.761</v>
      </c>
      <c r="BS23" s="948"/>
      <c r="BT23" s="948"/>
      <c r="BU23" s="772"/>
      <c r="BV23" s="355">
        <f t="shared" si="7"/>
        <v>0.88890633293710419</v>
      </c>
      <c r="BW23" s="355">
        <f t="shared" si="8"/>
        <v>2544.9333333333334</v>
      </c>
      <c r="BX23" s="355">
        <f t="shared" si="9"/>
        <v>2262.2073569027343</v>
      </c>
      <c r="BY23" s="355">
        <v>2262.21</v>
      </c>
      <c r="BZ23" s="355">
        <v>2263.21</v>
      </c>
      <c r="CA23" s="355">
        <v>2263.21</v>
      </c>
      <c r="CB23" s="355">
        <v>2263.21</v>
      </c>
      <c r="CC23" s="355">
        <v>2263.21</v>
      </c>
      <c r="CD23" s="355">
        <v>2263.21</v>
      </c>
      <c r="CE23" s="355">
        <v>1997.9</v>
      </c>
      <c r="CF23" s="355">
        <f t="shared" si="10"/>
        <v>24872.159999999996</v>
      </c>
      <c r="CG23" s="449">
        <f t="shared" si="5"/>
        <v>1.0023807963261788</v>
      </c>
      <c r="CH23" s="355"/>
      <c r="CI23" s="355"/>
      <c r="CJ23" s="355"/>
      <c r="CK23" s="355"/>
      <c r="CL23" s="355"/>
      <c r="CM23" s="355">
        <v>0</v>
      </c>
      <c r="CN23" s="449">
        <f t="shared" si="11"/>
        <v>0</v>
      </c>
      <c r="CO23" s="356"/>
      <c r="CP23" s="357"/>
      <c r="CQ23" s="355"/>
      <c r="CR23" s="28"/>
      <c r="CS23" s="28"/>
      <c r="CT23" s="355"/>
      <c r="CU23" s="355"/>
      <c r="CV23" s="355">
        <v>0</v>
      </c>
      <c r="CW23" s="355"/>
      <c r="CX23" s="355"/>
      <c r="CY23" s="355"/>
      <c r="CZ23" s="355"/>
      <c r="DA23" s="355"/>
      <c r="DB23" s="355">
        <v>0</v>
      </c>
      <c r="DC23" s="355">
        <v>0</v>
      </c>
      <c r="DD23" s="355">
        <f t="shared" si="12"/>
        <v>0</v>
      </c>
      <c r="DE23" s="449">
        <f t="shared" si="37"/>
        <v>1.0023807963261788</v>
      </c>
      <c r="DF23" s="55"/>
      <c r="DG23" s="55"/>
      <c r="DH23" s="55"/>
      <c r="DI23" s="55"/>
      <c r="DJ23" s="55">
        <f t="shared" si="38"/>
        <v>0</v>
      </c>
      <c r="DK23" s="793">
        <f t="shared" si="39"/>
        <v>1.0023807963261788</v>
      </c>
      <c r="DL23" s="57">
        <v>126.408</v>
      </c>
      <c r="DM23" s="55">
        <v>118.532</v>
      </c>
      <c r="DN23" s="501">
        <f t="shared" si="43"/>
        <v>1.0664461917456889</v>
      </c>
      <c r="DO23" s="55">
        <f t="shared" si="44"/>
        <v>5.3914544395813793E-4</v>
      </c>
      <c r="DP23" s="55">
        <f t="shared" si="45"/>
        <v>5.7496960550619492E-4</v>
      </c>
      <c r="DQ23" s="55">
        <v>0</v>
      </c>
      <c r="DR23" s="55">
        <v>0</v>
      </c>
      <c r="DS23" s="55">
        <v>0</v>
      </c>
      <c r="DT23" s="55">
        <v>0</v>
      </c>
      <c r="DU23" s="55">
        <v>0</v>
      </c>
      <c r="DV23" s="55">
        <v>0</v>
      </c>
      <c r="DW23" s="55">
        <v>0</v>
      </c>
      <c r="DX23" s="55">
        <f t="shared" si="46"/>
        <v>0</v>
      </c>
      <c r="DY23" s="55">
        <f t="shared" si="47"/>
        <v>0</v>
      </c>
      <c r="DZ23" s="355">
        <v>0</v>
      </c>
      <c r="EA23" s="505"/>
      <c r="EB23" s="505"/>
      <c r="EC23" s="505"/>
      <c r="ED23" s="505"/>
      <c r="EE23" s="505">
        <f t="shared" si="40"/>
        <v>0</v>
      </c>
      <c r="EF23" s="679">
        <f t="shared" si="6"/>
        <v>1.0023807963261788</v>
      </c>
      <c r="EG23" s="956">
        <v>132.28200000000001</v>
      </c>
      <c r="EH23" s="957"/>
      <c r="EI23" s="957">
        <v>1</v>
      </c>
      <c r="EJ23" s="511">
        <v>0</v>
      </c>
      <c r="EK23" s="511"/>
      <c r="EL23" s="511"/>
      <c r="EM23" s="511"/>
      <c r="EN23" s="511"/>
      <c r="EO23" s="511"/>
      <c r="EP23" s="511"/>
      <c r="EQ23" s="511"/>
      <c r="ER23" s="511"/>
      <c r="ES23" s="511"/>
      <c r="ET23" s="511"/>
      <c r="EU23" s="511"/>
      <c r="EV23" s="511"/>
      <c r="EW23" s="511"/>
      <c r="EX23" s="511"/>
      <c r="EY23" s="511"/>
      <c r="EZ23" s="511"/>
      <c r="FA23" s="511"/>
      <c r="FB23" s="511"/>
      <c r="FC23" s="511"/>
      <c r="FD23" s="511">
        <f t="shared" si="41"/>
        <v>0</v>
      </c>
      <c r="FE23" s="511">
        <f t="shared" si="42"/>
        <v>1.0023807963261788</v>
      </c>
    </row>
    <row r="24" spans="1:161" x14ac:dyDescent="0.2">
      <c r="A24" s="367" t="s">
        <v>863</v>
      </c>
      <c r="B24" s="176" t="s">
        <v>862</v>
      </c>
      <c r="C24" s="177"/>
      <c r="D24" s="183">
        <v>5</v>
      </c>
      <c r="E24" s="183">
        <v>5</v>
      </c>
      <c r="F24" s="366">
        <v>0.2</v>
      </c>
      <c r="G24" s="46">
        <v>43281</v>
      </c>
      <c r="H24" s="125">
        <f t="shared" si="13"/>
        <v>60</v>
      </c>
      <c r="I24" s="145">
        <f t="shared" si="14"/>
        <v>1.6666666666666667</v>
      </c>
      <c r="J24" s="165">
        <f t="shared" si="15"/>
        <v>20</v>
      </c>
      <c r="K24" s="48">
        <f>(YEAR(G24)-YEAR(T24))*12+MONTH(G24)-MONTH(T24)</f>
        <v>12</v>
      </c>
      <c r="L24" s="165">
        <f t="shared" si="16"/>
        <v>80</v>
      </c>
      <c r="M24" s="48">
        <f t="shared" si="17"/>
        <v>48</v>
      </c>
      <c r="N24" s="165">
        <f t="shared" si="18"/>
        <v>11.666666666666668</v>
      </c>
      <c r="O24" s="48">
        <v>7</v>
      </c>
      <c r="P24" s="165">
        <f t="shared" si="19"/>
        <v>68.333333333333329</v>
      </c>
      <c r="Q24" s="48">
        <f t="shared" si="19"/>
        <v>41</v>
      </c>
      <c r="R24" s="462">
        <f t="shared" si="20"/>
        <v>44742</v>
      </c>
      <c r="S24" s="366">
        <v>0.2</v>
      </c>
      <c r="T24" s="365">
        <v>42916</v>
      </c>
      <c r="U24" s="364">
        <v>80000</v>
      </c>
      <c r="V24" s="183">
        <f>((2013-YEAR(T24))*12+MONTH(T24))</f>
        <v>-42</v>
      </c>
      <c r="W24" s="363">
        <f t="shared" si="21"/>
        <v>60</v>
      </c>
      <c r="X24" s="362">
        <f t="shared" si="22"/>
        <v>102</v>
      </c>
      <c r="Y24" s="361">
        <f t="shared" si="23"/>
        <v>-56000</v>
      </c>
      <c r="Z24" s="360">
        <f t="shared" si="24"/>
        <v>136000</v>
      </c>
      <c r="AA24" s="359">
        <v>115.958</v>
      </c>
      <c r="AB24" s="357">
        <v>104.102</v>
      </c>
      <c r="AC24" s="359">
        <f t="shared" si="25"/>
        <v>1.1138883018577932</v>
      </c>
      <c r="AD24" s="355">
        <f t="shared" si="26"/>
        <v>151488.80905265987</v>
      </c>
      <c r="AE24" s="358">
        <f t="shared" si="27"/>
        <v>60</v>
      </c>
      <c r="AF24" s="355">
        <f>U24/AE24*AG24</f>
        <v>40000</v>
      </c>
      <c r="AG24" s="358">
        <f>30</f>
        <v>30</v>
      </c>
      <c r="AH24" s="355">
        <f>$AF24/$AG24</f>
        <v>1333.3333333333333</v>
      </c>
      <c r="AI24" s="355">
        <f>$AF24/$AG24</f>
        <v>1333.3333333333333</v>
      </c>
      <c r="AJ24" s="355">
        <f>$AF24/$AG24</f>
        <v>1333.3333333333333</v>
      </c>
      <c r="AK24" s="355">
        <f>$AF24/$AG24</f>
        <v>1333.3333333333333</v>
      </c>
      <c r="AL24" s="355">
        <f>$AF24/$AG24</f>
        <v>1333.3333333333333</v>
      </c>
      <c r="AM24" s="355">
        <f t="shared" si="29"/>
        <v>6666.6666666666661</v>
      </c>
      <c r="AN24" s="356">
        <v>112.72199999999999</v>
      </c>
      <c r="AO24" s="357">
        <v>104.102</v>
      </c>
      <c r="AP24" s="355">
        <f t="shared" si="30"/>
        <v>1.0828034043534225</v>
      </c>
      <c r="AQ24" s="355">
        <f t="shared" si="31"/>
        <v>1443.7378724712298</v>
      </c>
      <c r="AR24" s="355">
        <f t="shared" si="31"/>
        <v>1443.7378724712298</v>
      </c>
      <c r="AS24" s="355">
        <f t="shared" si="31"/>
        <v>1443.7378724712298</v>
      </c>
      <c r="AT24" s="355">
        <f t="shared" si="31"/>
        <v>1443.7378724712298</v>
      </c>
      <c r="AU24" s="355">
        <f t="shared" si="31"/>
        <v>1443.7378724712298</v>
      </c>
      <c r="AV24" s="355">
        <f t="shared" si="31"/>
        <v>1443.7378724712298</v>
      </c>
      <c r="AW24" s="355">
        <f t="shared" si="31"/>
        <v>1443.7378724712298</v>
      </c>
      <c r="AX24" s="355">
        <f t="shared" si="32"/>
        <v>10106.16510729861</v>
      </c>
      <c r="AY24" s="354">
        <f t="shared" si="33"/>
        <v>23227.168226034726</v>
      </c>
      <c r="AZ24" s="355">
        <f t="shared" si="34"/>
        <v>7218.6893623561491</v>
      </c>
      <c r="BA24" s="355">
        <f t="shared" si="35"/>
        <v>1608.1627270947613</v>
      </c>
      <c r="BB24" s="355">
        <f t="shared" si="35"/>
        <v>1608.1627270947613</v>
      </c>
      <c r="BC24" s="355">
        <f t="shared" si="35"/>
        <v>1608.1627270947613</v>
      </c>
      <c r="BD24" s="355">
        <f t="shared" si="35"/>
        <v>1608.1627270947613</v>
      </c>
      <c r="BE24" s="355">
        <f t="shared" si="35"/>
        <v>1608.1627270947613</v>
      </c>
      <c r="BF24" s="355">
        <f t="shared" si="35"/>
        <v>1608.1627270947613</v>
      </c>
      <c r="BG24" s="355">
        <f t="shared" si="35"/>
        <v>1608.1627270947613</v>
      </c>
      <c r="BH24" s="355">
        <f t="shared" si="36"/>
        <v>18475.828452019479</v>
      </c>
      <c r="BI24" s="354">
        <f>AY24-BH24</f>
        <v>4751.3397740152468</v>
      </c>
      <c r="BJ24" s="355"/>
      <c r="BK24" s="355"/>
      <c r="BL24" s="355">
        <f>1608.16</f>
        <v>1608.16</v>
      </c>
      <c r="BM24" s="355">
        <f>1608.16</f>
        <v>1608.16</v>
      </c>
      <c r="BN24" s="355">
        <v>1534.02</v>
      </c>
      <c r="BO24" s="355"/>
      <c r="BP24" s="355"/>
      <c r="BQ24" s="356">
        <v>118.901</v>
      </c>
      <c r="BR24" s="357">
        <v>104.102</v>
      </c>
      <c r="BS24" s="28"/>
      <c r="BT24" s="28"/>
      <c r="BU24" s="28"/>
      <c r="BV24" s="355">
        <f t="shared" si="7"/>
        <v>1.1421586520912181</v>
      </c>
      <c r="BW24" s="355">
        <f t="shared" si="8"/>
        <v>1333.3333333333333</v>
      </c>
      <c r="BX24" s="355">
        <f t="shared" si="9"/>
        <v>1522.8782027882908</v>
      </c>
      <c r="BY24" s="355">
        <v>0</v>
      </c>
      <c r="BZ24" s="355"/>
      <c r="CA24" s="355"/>
      <c r="CB24" s="355"/>
      <c r="CC24" s="355"/>
      <c r="CD24" s="355"/>
      <c r="CE24" s="355"/>
      <c r="CF24" s="355">
        <f t="shared" si="10"/>
        <v>4750.34</v>
      </c>
      <c r="CG24" s="449">
        <f t="shared" si="5"/>
        <v>0.99977401524665765</v>
      </c>
      <c r="CH24" s="355"/>
      <c r="CI24" s="355"/>
      <c r="CJ24" s="355"/>
      <c r="CK24" s="355"/>
      <c r="CL24" s="355"/>
      <c r="CM24" s="355">
        <v>0</v>
      </c>
      <c r="CN24" s="449">
        <f t="shared" si="11"/>
        <v>0</v>
      </c>
      <c r="CO24" s="356"/>
      <c r="CP24" s="357"/>
      <c r="CQ24" s="355"/>
      <c r="CR24" s="772"/>
      <c r="CS24" s="28"/>
      <c r="CT24" s="355"/>
      <c r="CU24" s="355"/>
      <c r="CV24" s="355">
        <v>0</v>
      </c>
      <c r="CW24" s="355"/>
      <c r="CX24" s="355"/>
      <c r="CY24" s="355"/>
      <c r="CZ24" s="355"/>
      <c r="DA24" s="355"/>
      <c r="DB24" s="355">
        <v>0</v>
      </c>
      <c r="DC24" s="355">
        <v>0</v>
      </c>
      <c r="DD24" s="355">
        <f t="shared" si="12"/>
        <v>0</v>
      </c>
      <c r="DE24" s="449">
        <f t="shared" si="37"/>
        <v>0.99977401524665765</v>
      </c>
      <c r="DF24" s="55"/>
      <c r="DG24" s="55"/>
      <c r="DH24" s="55"/>
      <c r="DI24" s="55"/>
      <c r="DJ24" s="55">
        <f t="shared" si="38"/>
        <v>0</v>
      </c>
      <c r="DK24" s="793">
        <f t="shared" si="39"/>
        <v>0.99977401524665765</v>
      </c>
      <c r="DL24" s="57">
        <v>126.408</v>
      </c>
      <c r="DM24" s="55">
        <v>118.532</v>
      </c>
      <c r="DN24" s="501">
        <f t="shared" si="43"/>
        <v>1.0664461917456889</v>
      </c>
      <c r="DO24" s="55">
        <f t="shared" si="44"/>
        <v>6.216870957162445E-4</v>
      </c>
      <c r="DP24" s="55">
        <f t="shared" si="45"/>
        <v>6.6299583568402653E-4</v>
      </c>
      <c r="DQ24" s="55">
        <v>0</v>
      </c>
      <c r="DR24" s="55">
        <v>0</v>
      </c>
      <c r="DS24" s="55">
        <v>0</v>
      </c>
      <c r="DT24" s="55">
        <v>0</v>
      </c>
      <c r="DU24" s="55">
        <v>0</v>
      </c>
      <c r="DV24" s="55">
        <v>0</v>
      </c>
      <c r="DW24" s="55">
        <v>0</v>
      </c>
      <c r="DX24" s="55">
        <f t="shared" si="46"/>
        <v>0</v>
      </c>
      <c r="DY24" s="55">
        <f t="shared" si="47"/>
        <v>0</v>
      </c>
      <c r="DZ24" s="355">
        <v>0</v>
      </c>
      <c r="EA24" s="505"/>
      <c r="EB24" s="505"/>
      <c r="EC24" s="505"/>
      <c r="ED24" s="505"/>
      <c r="EE24" s="505">
        <f t="shared" si="40"/>
        <v>0</v>
      </c>
      <c r="EF24" s="679">
        <f t="shared" si="6"/>
        <v>0.99977401524665765</v>
      </c>
      <c r="EG24" s="956">
        <v>132.28200000000001</v>
      </c>
      <c r="EH24" s="957"/>
      <c r="EI24" s="957">
        <v>1</v>
      </c>
      <c r="EJ24" s="511">
        <v>0</v>
      </c>
      <c r="EK24" s="511"/>
      <c r="EL24" s="511"/>
      <c r="EM24" s="511"/>
      <c r="EN24" s="511"/>
      <c r="EO24" s="511"/>
      <c r="EP24" s="511"/>
      <c r="EQ24" s="511"/>
      <c r="ER24" s="511"/>
      <c r="ES24" s="511"/>
      <c r="ET24" s="511"/>
      <c r="EU24" s="511"/>
      <c r="EV24" s="511"/>
      <c r="EW24" s="511"/>
      <c r="EX24" s="511"/>
      <c r="EY24" s="511"/>
      <c r="EZ24" s="511"/>
      <c r="FA24" s="511"/>
      <c r="FB24" s="511"/>
      <c r="FC24" s="511"/>
      <c r="FD24" s="511">
        <f t="shared" si="41"/>
        <v>0</v>
      </c>
      <c r="FE24" s="511">
        <f t="shared" si="42"/>
        <v>0.99977401524665765</v>
      </c>
    </row>
    <row r="25" spans="1:161" x14ac:dyDescent="0.2">
      <c r="A25" s="367" t="s">
        <v>861</v>
      </c>
      <c r="B25" s="176" t="s">
        <v>860</v>
      </c>
      <c r="C25" s="177"/>
      <c r="D25" s="183">
        <v>5</v>
      </c>
      <c r="E25" s="183">
        <v>5</v>
      </c>
      <c r="F25" s="366">
        <v>0.2</v>
      </c>
      <c r="G25" s="46">
        <v>43281</v>
      </c>
      <c r="H25" s="125">
        <f t="shared" si="13"/>
        <v>60</v>
      </c>
      <c r="I25" s="145">
        <f t="shared" si="14"/>
        <v>1.6666666666666667</v>
      </c>
      <c r="J25" s="165">
        <f t="shared" si="15"/>
        <v>20</v>
      </c>
      <c r="K25" s="48">
        <f>(YEAR(G25)-YEAR(T25))*12+MONTH(G25)-MONTH(T25)</f>
        <v>12</v>
      </c>
      <c r="L25" s="165">
        <f t="shared" si="16"/>
        <v>80</v>
      </c>
      <c r="M25" s="48">
        <f t="shared" si="17"/>
        <v>48</v>
      </c>
      <c r="N25" s="165">
        <f t="shared" si="18"/>
        <v>11.666666666666668</v>
      </c>
      <c r="O25" s="48">
        <v>7</v>
      </c>
      <c r="P25" s="165">
        <f t="shared" si="19"/>
        <v>68.333333333333329</v>
      </c>
      <c r="Q25" s="48">
        <f t="shared" si="19"/>
        <v>41</v>
      </c>
      <c r="R25" s="462">
        <f t="shared" si="20"/>
        <v>44742</v>
      </c>
      <c r="S25" s="366">
        <v>0.2</v>
      </c>
      <c r="T25" s="365">
        <v>42916</v>
      </c>
      <c r="U25" s="364">
        <v>11343</v>
      </c>
      <c r="V25" s="183">
        <f>((2013-YEAR(T25))*12+MONTH(T25))</f>
        <v>-42</v>
      </c>
      <c r="W25" s="363">
        <f t="shared" si="21"/>
        <v>60</v>
      </c>
      <c r="X25" s="362">
        <f t="shared" si="22"/>
        <v>102</v>
      </c>
      <c r="Y25" s="361">
        <f t="shared" si="23"/>
        <v>-7940.0999999999995</v>
      </c>
      <c r="Z25" s="360">
        <f t="shared" si="24"/>
        <v>19283.099999999999</v>
      </c>
      <c r="AA25" s="359">
        <v>115.958</v>
      </c>
      <c r="AB25" s="357">
        <v>121.575</v>
      </c>
      <c r="AC25" s="359">
        <f t="shared" si="25"/>
        <v>0.95379806703680847</v>
      </c>
      <c r="AD25" s="355">
        <f t="shared" si="26"/>
        <v>18392.183506477479</v>
      </c>
      <c r="AE25" s="358">
        <f t="shared" si="27"/>
        <v>60</v>
      </c>
      <c r="AF25" s="355">
        <f>U25/AE25*AG25</f>
        <v>5671.5</v>
      </c>
      <c r="AG25" s="358">
        <f>30</f>
        <v>30</v>
      </c>
      <c r="AH25" s="355">
        <f t="shared" ref="AH25:AL26" si="48">$AF25/$AG25</f>
        <v>189.05</v>
      </c>
      <c r="AI25" s="355">
        <f t="shared" si="48"/>
        <v>189.05</v>
      </c>
      <c r="AJ25" s="355">
        <f t="shared" si="48"/>
        <v>189.05</v>
      </c>
      <c r="AK25" s="355">
        <f t="shared" si="48"/>
        <v>189.05</v>
      </c>
      <c r="AL25" s="355">
        <f t="shared" si="48"/>
        <v>189.05</v>
      </c>
      <c r="AM25" s="355">
        <f t="shared" si="29"/>
        <v>945.25</v>
      </c>
      <c r="AN25" s="356">
        <v>112.72199999999999</v>
      </c>
      <c r="AO25" s="357">
        <v>121.575</v>
      </c>
      <c r="AP25" s="355">
        <f t="shared" si="30"/>
        <v>0.9271807526218383</v>
      </c>
      <c r="AQ25" s="355">
        <f t="shared" si="31"/>
        <v>175.28352128315854</v>
      </c>
      <c r="AR25" s="355">
        <f t="shared" si="31"/>
        <v>175.28352128315854</v>
      </c>
      <c r="AS25" s="355">
        <f t="shared" si="31"/>
        <v>175.28352128315854</v>
      </c>
      <c r="AT25" s="355">
        <f t="shared" si="31"/>
        <v>175.28352128315854</v>
      </c>
      <c r="AU25" s="355">
        <f t="shared" si="31"/>
        <v>175.28352128315854</v>
      </c>
      <c r="AV25" s="355">
        <f t="shared" si="31"/>
        <v>175.28352128315854</v>
      </c>
      <c r="AW25" s="355">
        <f t="shared" si="31"/>
        <v>175.28352128315854</v>
      </c>
      <c r="AX25" s="355">
        <f t="shared" si="32"/>
        <v>1226.9846489821098</v>
      </c>
      <c r="AY25" s="354">
        <f t="shared" si="33"/>
        <v>3499.2653510178902</v>
      </c>
      <c r="AZ25" s="355">
        <f t="shared" si="34"/>
        <v>876.41760641579265</v>
      </c>
      <c r="BA25" s="355">
        <f t="shared" si="35"/>
        <v>167.1850837832819</v>
      </c>
      <c r="BB25" s="355">
        <f t="shared" si="35"/>
        <v>167.1850837832819</v>
      </c>
      <c r="BC25" s="355">
        <f t="shared" si="35"/>
        <v>167.1850837832819</v>
      </c>
      <c r="BD25" s="355">
        <f t="shared" si="35"/>
        <v>167.1850837832819</v>
      </c>
      <c r="BE25" s="355">
        <f t="shared" si="35"/>
        <v>167.1850837832819</v>
      </c>
      <c r="BF25" s="355">
        <f t="shared" si="35"/>
        <v>167.1850837832819</v>
      </c>
      <c r="BG25" s="355">
        <f t="shared" si="35"/>
        <v>167.1850837832819</v>
      </c>
      <c r="BH25" s="355">
        <f t="shared" si="36"/>
        <v>2046.713192898766</v>
      </c>
      <c r="BI25" s="354">
        <f>AY25-BH25</f>
        <v>1452.5521581191242</v>
      </c>
      <c r="BJ25" s="355"/>
      <c r="BK25" s="355"/>
      <c r="BL25" s="355">
        <f>167.19</f>
        <v>167.19</v>
      </c>
      <c r="BM25" s="355">
        <f t="shared" ref="BM25:BP26" si="49">167.19</f>
        <v>167.19</v>
      </c>
      <c r="BN25" s="355">
        <f t="shared" si="49"/>
        <v>167.19</v>
      </c>
      <c r="BO25" s="355">
        <f t="shared" si="49"/>
        <v>167.19</v>
      </c>
      <c r="BP25" s="355">
        <f t="shared" si="49"/>
        <v>167.19</v>
      </c>
      <c r="BQ25" s="356">
        <v>118.901</v>
      </c>
      <c r="BR25" s="357">
        <v>121.575</v>
      </c>
      <c r="BS25" s="28"/>
      <c r="BT25" s="28"/>
      <c r="BU25" s="28"/>
      <c r="BV25" s="355">
        <f t="shared" si="7"/>
        <v>0.97800534649393378</v>
      </c>
      <c r="BW25" s="355">
        <f t="shared" si="8"/>
        <v>189.05</v>
      </c>
      <c r="BX25" s="355">
        <f t="shared" si="9"/>
        <v>184.89191075467818</v>
      </c>
      <c r="BY25" s="355">
        <v>184.89</v>
      </c>
      <c r="BZ25" s="355">
        <v>185.89</v>
      </c>
      <c r="CA25" s="355">
        <v>185.89</v>
      </c>
      <c r="CB25" s="355">
        <v>58.93</v>
      </c>
      <c r="CC25" s="355"/>
      <c r="CD25" s="355"/>
      <c r="CE25" s="355"/>
      <c r="CF25" s="355">
        <f t="shared" si="10"/>
        <v>1451.55</v>
      </c>
      <c r="CG25" s="449">
        <f t="shared" si="5"/>
        <v>1.0021581191242603</v>
      </c>
      <c r="CH25" s="355"/>
      <c r="CI25" s="355"/>
      <c r="CJ25" s="355"/>
      <c r="CK25" s="355"/>
      <c r="CL25" s="355"/>
      <c r="CM25" s="355">
        <v>0</v>
      </c>
      <c r="CN25" s="449">
        <f t="shared" si="11"/>
        <v>0</v>
      </c>
      <c r="CO25" s="356"/>
      <c r="CP25" s="357"/>
      <c r="CQ25" s="355"/>
      <c r="CR25" s="28"/>
      <c r="CS25" s="28"/>
      <c r="CT25" s="355"/>
      <c r="CU25" s="355"/>
      <c r="CV25" s="355">
        <v>0</v>
      </c>
      <c r="CW25" s="355"/>
      <c r="CX25" s="355"/>
      <c r="CY25" s="355"/>
      <c r="CZ25" s="355"/>
      <c r="DA25" s="355"/>
      <c r="DB25" s="355">
        <v>0</v>
      </c>
      <c r="DC25" s="355">
        <v>0</v>
      </c>
      <c r="DD25" s="355">
        <f t="shared" si="12"/>
        <v>0</v>
      </c>
      <c r="DE25" s="449">
        <f t="shared" si="37"/>
        <v>1.0021581191242603</v>
      </c>
      <c r="DF25" s="55"/>
      <c r="DG25" s="55"/>
      <c r="DH25" s="55"/>
      <c r="DI25" s="55"/>
      <c r="DJ25" s="55">
        <f t="shared" si="38"/>
        <v>0</v>
      </c>
      <c r="DK25" s="793">
        <f t="shared" si="39"/>
        <v>1.0021581191242603</v>
      </c>
      <c r="DL25" s="57">
        <v>126.408</v>
      </c>
      <c r="DM25" s="55">
        <v>118.532</v>
      </c>
      <c r="DN25" s="501">
        <f t="shared" si="43"/>
        <v>1.0664461917456889</v>
      </c>
      <c r="DO25" s="55">
        <f t="shared" si="44"/>
        <v>5.9943034177817826E-3</v>
      </c>
      <c r="DP25" s="55">
        <f t="shared" si="45"/>
        <v>6.3926020520615493E-3</v>
      </c>
      <c r="DQ25" s="55">
        <v>0</v>
      </c>
      <c r="DR25" s="55">
        <v>0</v>
      </c>
      <c r="DS25" s="55">
        <v>0</v>
      </c>
      <c r="DT25" s="55">
        <v>0</v>
      </c>
      <c r="DU25" s="55">
        <v>0</v>
      </c>
      <c r="DV25" s="55">
        <v>0</v>
      </c>
      <c r="DW25" s="55">
        <v>0</v>
      </c>
      <c r="DX25" s="55">
        <f t="shared" si="46"/>
        <v>0</v>
      </c>
      <c r="DY25" s="55">
        <f t="shared" si="47"/>
        <v>0</v>
      </c>
      <c r="DZ25" s="355">
        <v>0</v>
      </c>
      <c r="EA25" s="505"/>
      <c r="EB25" s="505"/>
      <c r="EC25" s="505"/>
      <c r="ED25" s="505"/>
      <c r="EE25" s="505">
        <f t="shared" si="40"/>
        <v>0</v>
      </c>
      <c r="EF25" s="679">
        <f t="shared" si="6"/>
        <v>1.0021581191242603</v>
      </c>
      <c r="EG25" s="956">
        <v>132.28200000000001</v>
      </c>
      <c r="EH25" s="957"/>
      <c r="EI25" s="957">
        <v>1</v>
      </c>
      <c r="EJ25" s="511">
        <v>0</v>
      </c>
      <c r="EK25" s="511"/>
      <c r="EL25" s="511"/>
      <c r="EM25" s="511"/>
      <c r="EN25" s="511"/>
      <c r="EO25" s="511"/>
      <c r="EP25" s="511"/>
      <c r="EQ25" s="511"/>
      <c r="ER25" s="511"/>
      <c r="ES25" s="511"/>
      <c r="ET25" s="511"/>
      <c r="EU25" s="511"/>
      <c r="EV25" s="511"/>
      <c r="EW25" s="511"/>
      <c r="EX25" s="511"/>
      <c r="EY25" s="511"/>
      <c r="EZ25" s="511"/>
      <c r="FA25" s="511"/>
      <c r="FB25" s="511"/>
      <c r="FC25" s="511"/>
      <c r="FD25" s="511">
        <f t="shared" si="41"/>
        <v>0</v>
      </c>
      <c r="FE25" s="511">
        <f t="shared" si="42"/>
        <v>1.0021581191242603</v>
      </c>
    </row>
    <row r="26" spans="1:161" ht="15" x14ac:dyDescent="0.25">
      <c r="A26" s="367" t="s">
        <v>1049</v>
      </c>
      <c r="B26" s="176" t="s">
        <v>1091</v>
      </c>
      <c r="C26" s="177"/>
      <c r="D26" s="183">
        <v>5</v>
      </c>
      <c r="E26" s="183">
        <v>5</v>
      </c>
      <c r="F26" s="366">
        <v>0.2</v>
      </c>
      <c r="G26" s="46">
        <v>43281</v>
      </c>
      <c r="H26" s="125">
        <f t="shared" si="13"/>
        <v>60</v>
      </c>
      <c r="I26" s="145">
        <f t="shared" si="14"/>
        <v>1.6666666666666667</v>
      </c>
      <c r="J26" s="165">
        <f t="shared" si="15"/>
        <v>46.666666666666671</v>
      </c>
      <c r="K26" s="48">
        <f>(YEAR(G26)-YEAR(BT26))*12+MONTH(G26)-MONTH(BT26)</f>
        <v>28</v>
      </c>
      <c r="L26" s="165">
        <f t="shared" si="16"/>
        <v>53.333333333333336</v>
      </c>
      <c r="M26" s="48">
        <f t="shared" si="17"/>
        <v>32</v>
      </c>
      <c r="N26" s="165">
        <f t="shared" si="18"/>
        <v>11.666666666666668</v>
      </c>
      <c r="O26" s="48">
        <v>7</v>
      </c>
      <c r="P26" s="165">
        <f t="shared" si="19"/>
        <v>41.666666666666671</v>
      </c>
      <c r="Q26" s="48">
        <f t="shared" si="19"/>
        <v>25</v>
      </c>
      <c r="R26" s="462">
        <f t="shared" si="20"/>
        <v>44742</v>
      </c>
      <c r="S26" s="366">
        <v>0.2</v>
      </c>
      <c r="T26" s="365">
        <v>42916</v>
      </c>
      <c r="U26" s="364">
        <v>212900</v>
      </c>
      <c r="V26" s="183">
        <v>0</v>
      </c>
      <c r="W26" s="363">
        <f t="shared" si="21"/>
        <v>60</v>
      </c>
      <c r="X26" s="362">
        <f t="shared" si="22"/>
        <v>60</v>
      </c>
      <c r="Y26" s="361">
        <f t="shared" si="23"/>
        <v>0</v>
      </c>
      <c r="Z26" s="360">
        <f t="shared" si="24"/>
        <v>212900</v>
      </c>
      <c r="AA26" s="359">
        <v>115.958</v>
      </c>
      <c r="AB26" s="357">
        <v>121.575</v>
      </c>
      <c r="AC26" s="359">
        <f t="shared" si="25"/>
        <v>0.95379806703680847</v>
      </c>
      <c r="AD26" s="355">
        <f t="shared" si="26"/>
        <v>203063.60847213652</v>
      </c>
      <c r="AE26" s="358">
        <f t="shared" si="27"/>
        <v>60</v>
      </c>
      <c r="AF26" s="355"/>
      <c r="AG26" s="358">
        <f>30</f>
        <v>30</v>
      </c>
      <c r="AH26" s="355">
        <f t="shared" si="48"/>
        <v>0</v>
      </c>
      <c r="AI26" s="355">
        <f t="shared" si="48"/>
        <v>0</v>
      </c>
      <c r="AJ26" s="355">
        <f t="shared" si="48"/>
        <v>0</v>
      </c>
      <c r="AK26" s="355">
        <f t="shared" si="48"/>
        <v>0</v>
      </c>
      <c r="AL26" s="355">
        <f t="shared" si="48"/>
        <v>0</v>
      </c>
      <c r="AM26" s="355">
        <f t="shared" si="29"/>
        <v>0</v>
      </c>
      <c r="AN26" s="356">
        <v>112.72199999999999</v>
      </c>
      <c r="AO26" s="357">
        <v>121.575</v>
      </c>
      <c r="AP26" s="355">
        <f t="shared" si="30"/>
        <v>0.9271807526218383</v>
      </c>
      <c r="AQ26" s="355">
        <f t="shared" si="31"/>
        <v>0</v>
      </c>
      <c r="AR26" s="355">
        <f t="shared" si="31"/>
        <v>0</v>
      </c>
      <c r="AS26" s="355">
        <f t="shared" si="31"/>
        <v>0</v>
      </c>
      <c r="AT26" s="355">
        <f t="shared" si="31"/>
        <v>0</v>
      </c>
      <c r="AU26" s="355">
        <f t="shared" si="31"/>
        <v>0</v>
      </c>
      <c r="AV26" s="355">
        <f t="shared" si="31"/>
        <v>0</v>
      </c>
      <c r="AW26" s="355">
        <f t="shared" si="31"/>
        <v>0</v>
      </c>
      <c r="AX26" s="355">
        <f t="shared" si="32"/>
        <v>0</v>
      </c>
      <c r="AY26" s="354">
        <f t="shared" si="33"/>
        <v>0</v>
      </c>
      <c r="AZ26" s="355">
        <f t="shared" si="34"/>
        <v>0</v>
      </c>
      <c r="BA26" s="355">
        <f t="shared" si="35"/>
        <v>0</v>
      </c>
      <c r="BB26" s="355">
        <f t="shared" si="35"/>
        <v>0</v>
      </c>
      <c r="BC26" s="355">
        <f t="shared" si="35"/>
        <v>0</v>
      </c>
      <c r="BD26" s="355">
        <f t="shared" si="35"/>
        <v>0</v>
      </c>
      <c r="BE26" s="355">
        <f t="shared" si="35"/>
        <v>0</v>
      </c>
      <c r="BF26" s="355">
        <f t="shared" si="35"/>
        <v>0</v>
      </c>
      <c r="BG26" s="355">
        <f t="shared" si="35"/>
        <v>0</v>
      </c>
      <c r="BH26" s="355">
        <f t="shared" si="36"/>
        <v>0</v>
      </c>
      <c r="BI26" s="354">
        <v>212900</v>
      </c>
      <c r="BJ26" s="355"/>
      <c r="BK26" s="355"/>
      <c r="BL26" s="355">
        <f>167.19</f>
        <v>167.19</v>
      </c>
      <c r="BM26" s="355">
        <f t="shared" si="49"/>
        <v>167.19</v>
      </c>
      <c r="BN26" s="355">
        <f t="shared" si="49"/>
        <v>167.19</v>
      </c>
      <c r="BO26" s="355">
        <f t="shared" si="49"/>
        <v>167.19</v>
      </c>
      <c r="BP26" s="355">
        <f t="shared" si="49"/>
        <v>167.19</v>
      </c>
      <c r="BQ26" s="356">
        <v>118.901</v>
      </c>
      <c r="BR26" s="357">
        <v>119.505</v>
      </c>
      <c r="BS26" s="949" t="s">
        <v>1251</v>
      </c>
      <c r="BT26" s="128">
        <v>42404</v>
      </c>
      <c r="BU26" s="773">
        <v>212900</v>
      </c>
      <c r="BV26" s="355">
        <f>BQ26/BR26</f>
        <v>0.99494581816660388</v>
      </c>
      <c r="BW26" s="355">
        <f>U26/(D26*12)</f>
        <v>3548.3333333333335</v>
      </c>
      <c r="BX26" s="355">
        <f>BW26*BV26</f>
        <v>3530.3994114611664</v>
      </c>
      <c r="BY26" s="355"/>
      <c r="BZ26" s="355"/>
      <c r="CA26" s="355"/>
      <c r="CB26" s="355"/>
      <c r="CC26" s="355">
        <f>3548.33*9</f>
        <v>31934.97</v>
      </c>
      <c r="CD26" s="355">
        <v>3530.4</v>
      </c>
      <c r="CE26" s="355">
        <v>3530.4</v>
      </c>
      <c r="CF26" s="355">
        <f>SUM((BL26:BP26),(BY26:CE26))</f>
        <v>39831.72</v>
      </c>
      <c r="CG26" s="449">
        <f>(BI26-CF26)</f>
        <v>173068.28</v>
      </c>
      <c r="CH26" s="355"/>
      <c r="CI26" s="355"/>
      <c r="CJ26" s="355"/>
      <c r="CK26" s="355"/>
      <c r="CL26" s="355"/>
      <c r="CM26" s="355">
        <v>0</v>
      </c>
      <c r="CN26" s="449">
        <v>173068.28</v>
      </c>
      <c r="CO26" s="356">
        <v>126.408</v>
      </c>
      <c r="CP26" s="357">
        <v>119.505</v>
      </c>
      <c r="CQ26" s="355">
        <f>CO26/CP26</f>
        <v>1.0577632735032008</v>
      </c>
      <c r="CR26" s="947">
        <f>CG26/M26</f>
        <v>5408.38375</v>
      </c>
      <c r="CS26" s="28"/>
      <c r="CT26" s="355"/>
      <c r="CU26" s="355"/>
      <c r="CV26" s="355">
        <v>0</v>
      </c>
      <c r="CW26" s="355"/>
      <c r="CX26" s="355"/>
      <c r="CY26" s="355"/>
      <c r="CZ26" s="355"/>
      <c r="DA26" s="355"/>
      <c r="DB26" s="355">
        <v>0</v>
      </c>
      <c r="DC26" s="355">
        <v>3530.4</v>
      </c>
      <c r="DD26" s="355">
        <f t="shared" si="12"/>
        <v>3530.4</v>
      </c>
      <c r="DE26" s="449">
        <f t="shared" si="37"/>
        <v>169537.88</v>
      </c>
      <c r="DF26" s="55"/>
      <c r="DG26" s="55"/>
      <c r="DH26" s="55"/>
      <c r="DI26" s="55"/>
      <c r="DJ26" s="55">
        <f t="shared" si="38"/>
        <v>0</v>
      </c>
      <c r="DK26" s="793">
        <f t="shared" si="39"/>
        <v>169537.88</v>
      </c>
      <c r="DL26" s="57">
        <v>126.408</v>
      </c>
      <c r="DM26" s="55">
        <v>118.532</v>
      </c>
      <c r="DN26" s="501">
        <f t="shared" si="43"/>
        <v>1.0664461917456889</v>
      </c>
      <c r="DO26" s="55" t="e">
        <f t="shared" si="44"/>
        <v>#DIV/0!</v>
      </c>
      <c r="DP26" s="55" t="e">
        <f t="shared" si="45"/>
        <v>#DIV/0!</v>
      </c>
      <c r="DQ26" s="55">
        <v>0</v>
      </c>
      <c r="DR26" s="55">
        <v>0</v>
      </c>
      <c r="DS26" s="55">
        <v>0</v>
      </c>
      <c r="DT26" s="55">
        <v>0</v>
      </c>
      <c r="DU26" s="55">
        <v>0</v>
      </c>
      <c r="DV26" s="55">
        <v>0</v>
      </c>
      <c r="DW26" s="55">
        <v>0</v>
      </c>
      <c r="DX26" s="55">
        <f t="shared" si="46"/>
        <v>0</v>
      </c>
      <c r="DY26" s="55">
        <f t="shared" si="47"/>
        <v>0</v>
      </c>
      <c r="DZ26" s="355">
        <v>7157.13</v>
      </c>
      <c r="EA26" s="505">
        <v>3530.4</v>
      </c>
      <c r="EB26" s="505">
        <v>3530.4</v>
      </c>
      <c r="EC26" s="505">
        <v>3530.4</v>
      </c>
      <c r="ED26" s="505">
        <v>3530.4</v>
      </c>
      <c r="EE26" s="505">
        <f t="shared" si="40"/>
        <v>21278.730000000003</v>
      </c>
      <c r="EF26" s="679">
        <f t="shared" si="6"/>
        <v>148259.15</v>
      </c>
      <c r="EG26" s="956">
        <v>132.28200000000001</v>
      </c>
      <c r="EH26" s="957">
        <v>118.901</v>
      </c>
      <c r="EI26" s="957">
        <f>EG26/EH26</f>
        <v>1.1125390030361395</v>
      </c>
      <c r="EJ26" s="511">
        <f>EF26/M26</f>
        <v>4633.0984374999998</v>
      </c>
      <c r="EK26" s="511">
        <f>EJ26*EI26</f>
        <v>5154.5027166245454</v>
      </c>
      <c r="EL26" s="511">
        <v>3748.7292484542149</v>
      </c>
      <c r="EM26" s="511">
        <v>3748.7292484542149</v>
      </c>
      <c r="EN26" s="511">
        <v>3748.7292484542149</v>
      </c>
      <c r="EO26" s="511">
        <v>3748.7292484542149</v>
      </c>
      <c r="EP26" s="511">
        <v>3748.7292484542149</v>
      </c>
      <c r="EQ26" s="511">
        <v>3748.7292484542149</v>
      </c>
      <c r="ER26" s="511">
        <v>3748.7292484542149</v>
      </c>
      <c r="ES26" s="511">
        <v>3748.7292484542149</v>
      </c>
      <c r="ET26" s="511">
        <v>3748.7292484542149</v>
      </c>
      <c r="EU26" s="511">
        <v>3748.7292484542149</v>
      </c>
      <c r="EV26" s="511">
        <v>3748.7292484542149</v>
      </c>
      <c r="EW26" s="511">
        <v>3748.7292484542149</v>
      </c>
      <c r="EX26" s="511">
        <v>3748.7292484542149</v>
      </c>
      <c r="EY26" s="511">
        <v>3748.7292484542149</v>
      </c>
      <c r="EZ26" s="511">
        <v>3748.7292484542149</v>
      </c>
      <c r="FA26" s="511">
        <v>3748.7292484542149</v>
      </c>
      <c r="FB26" s="511">
        <v>3748.7292484542149</v>
      </c>
      <c r="FC26" s="511">
        <v>3748.7292484542149</v>
      </c>
      <c r="FD26" s="511">
        <f>SUM(EL26:FC26)</f>
        <v>67477.126472175849</v>
      </c>
      <c r="FE26" s="511">
        <f t="shared" si="42"/>
        <v>80782.023527824145</v>
      </c>
    </row>
    <row r="27" spans="1:161" x14ac:dyDescent="0.2">
      <c r="A27" s="100"/>
      <c r="B27" s="100"/>
      <c r="C27" s="45"/>
      <c r="D27" s="58"/>
      <c r="E27" s="58"/>
      <c r="F27" s="58"/>
      <c r="G27" s="58"/>
      <c r="H27" s="58"/>
      <c r="I27" s="145"/>
      <c r="J27" s="58"/>
      <c r="K27" s="58"/>
      <c r="L27" s="58"/>
      <c r="M27" s="58"/>
      <c r="N27" s="58"/>
      <c r="O27" s="58"/>
      <c r="P27" s="58"/>
      <c r="Q27" s="58"/>
      <c r="R27" s="58"/>
      <c r="S27" s="49"/>
      <c r="T27" s="46"/>
      <c r="U27" s="48"/>
      <c r="V27" s="145"/>
      <c r="W27" s="165"/>
      <c r="X27" s="165"/>
      <c r="Y27" s="165"/>
      <c r="Z27" s="48"/>
      <c r="AA27" s="165"/>
      <c r="AB27" s="48"/>
      <c r="AC27" s="165"/>
      <c r="AD27" s="48"/>
      <c r="AE27" s="46"/>
      <c r="AF27" s="46"/>
      <c r="AG27" s="46"/>
      <c r="AH27" s="47"/>
      <c r="AI27" s="47"/>
      <c r="AJ27" s="106"/>
      <c r="AK27" s="165"/>
      <c r="AL27" s="57"/>
      <c r="AM27" s="57"/>
      <c r="AN27" s="356"/>
      <c r="AO27" s="48"/>
      <c r="AP27" s="355"/>
      <c r="AQ27" s="355"/>
      <c r="AR27" s="355"/>
      <c r="AS27" s="350"/>
      <c r="AT27" s="55"/>
      <c r="AU27" s="55"/>
      <c r="AV27" s="55"/>
      <c r="AW27" s="55"/>
      <c r="AX27" s="355"/>
      <c r="AY27" s="354"/>
      <c r="AZ27" s="55"/>
      <c r="BA27" s="55"/>
      <c r="BB27" s="55"/>
      <c r="BC27" s="55"/>
      <c r="BD27" s="55"/>
      <c r="BE27" s="55"/>
      <c r="BF27" s="55"/>
      <c r="BG27" s="55"/>
      <c r="BH27" s="72"/>
      <c r="BI27" s="72"/>
      <c r="BJ27" s="355"/>
      <c r="BK27" s="355"/>
      <c r="BL27" s="355"/>
      <c r="BM27" s="355"/>
      <c r="BN27" s="355"/>
      <c r="BO27" s="355"/>
      <c r="BP27" s="355"/>
      <c r="BQ27" s="356"/>
      <c r="BR27" s="48"/>
      <c r="BS27" s="28"/>
      <c r="BT27" s="28"/>
      <c r="BU27" s="28"/>
      <c r="BV27" s="355"/>
      <c r="BW27" s="355"/>
      <c r="BX27" s="355"/>
      <c r="BY27" s="355">
        <v>0</v>
      </c>
      <c r="BZ27" s="355"/>
      <c r="CA27" s="355"/>
      <c r="CB27" s="355"/>
      <c r="CC27" s="355"/>
      <c r="CD27" s="355"/>
      <c r="CE27" s="355"/>
      <c r="CF27" s="355"/>
      <c r="CG27" s="449"/>
      <c r="CH27" s="355"/>
      <c r="CI27" s="355"/>
      <c r="CJ27" s="355"/>
      <c r="CK27" s="355"/>
      <c r="CL27" s="355"/>
      <c r="CM27" s="355"/>
      <c r="CN27" s="449"/>
      <c r="CO27" s="28"/>
      <c r="CP27" s="28"/>
      <c r="CQ27" s="28"/>
      <c r="CR27" s="28"/>
      <c r="CS27" s="28"/>
      <c r="CT27" s="355"/>
      <c r="CU27" s="355"/>
      <c r="CV27" s="355"/>
      <c r="CW27" s="355"/>
      <c r="CX27" s="355"/>
      <c r="CY27" s="355"/>
      <c r="CZ27" s="355"/>
      <c r="DA27" s="355"/>
      <c r="DB27" s="355"/>
      <c r="DC27" s="355"/>
      <c r="DD27" s="355"/>
      <c r="DE27" s="449"/>
      <c r="DF27" s="55"/>
      <c r="DG27" s="55"/>
      <c r="DH27" s="55"/>
      <c r="DI27" s="55"/>
      <c r="DJ27" s="55">
        <f t="shared" si="38"/>
        <v>0</v>
      </c>
      <c r="DK27" s="793">
        <f t="shared" si="39"/>
        <v>0</v>
      </c>
      <c r="DL27" s="57">
        <v>126.408</v>
      </c>
      <c r="DM27" s="55">
        <v>118.532</v>
      </c>
      <c r="DN27" s="501">
        <f t="shared" si="43"/>
        <v>1.0664461917456889</v>
      </c>
      <c r="DO27" s="55" t="e">
        <f t="shared" si="44"/>
        <v>#DIV/0!</v>
      </c>
      <c r="DP27" s="55" t="e">
        <f t="shared" si="45"/>
        <v>#DIV/0!</v>
      </c>
      <c r="DQ27" s="55">
        <v>0</v>
      </c>
      <c r="DR27" s="55">
        <v>0</v>
      </c>
      <c r="DS27" s="55">
        <v>0</v>
      </c>
      <c r="DT27" s="55">
        <v>0</v>
      </c>
      <c r="DU27" s="55">
        <v>0</v>
      </c>
      <c r="DV27" s="55">
        <v>0</v>
      </c>
      <c r="DW27" s="55">
        <v>0</v>
      </c>
      <c r="DX27" s="55">
        <f t="shared" si="46"/>
        <v>0</v>
      </c>
      <c r="DY27" s="55">
        <f t="shared" si="47"/>
        <v>0</v>
      </c>
      <c r="DZ27" s="355"/>
      <c r="EA27" s="505"/>
      <c r="EB27" s="505"/>
      <c r="EC27" s="505"/>
      <c r="ED27" s="505"/>
      <c r="EE27" s="505">
        <f t="shared" si="40"/>
        <v>0</v>
      </c>
      <c r="EF27" s="679"/>
      <c r="EG27" s="623"/>
      <c r="EH27" s="957"/>
      <c r="EI27" s="957"/>
      <c r="EJ27" s="511"/>
      <c r="EK27" s="511"/>
      <c r="EL27" s="511"/>
      <c r="EM27" s="511"/>
      <c r="EN27" s="511"/>
      <c r="EO27" s="511"/>
      <c r="EP27" s="511"/>
      <c r="EQ27" s="511"/>
      <c r="ER27" s="511"/>
      <c r="ES27" s="511"/>
      <c r="ET27" s="511"/>
      <c r="EU27" s="511"/>
      <c r="EV27" s="511"/>
      <c r="EW27" s="511"/>
      <c r="EX27" s="511"/>
      <c r="EY27" s="511"/>
      <c r="EZ27" s="511"/>
      <c r="FA27" s="511"/>
      <c r="FB27" s="511"/>
      <c r="FC27" s="511"/>
      <c r="FD27" s="511"/>
      <c r="FE27" s="511"/>
    </row>
    <row r="28" spans="1:161" ht="14.25" x14ac:dyDescent="0.2">
      <c r="E28"/>
      <c r="F28"/>
      <c r="BG28" s="400">
        <f>SUM(BG16:BG27)</f>
        <v>40589.709242927252</v>
      </c>
      <c r="BH28" s="13">
        <f>SUM(BH16:BH27)</f>
        <v>463245.98723941541</v>
      </c>
      <c r="BI28" s="13">
        <f>SUM(BI16:BI27)</f>
        <v>319534.30620609008</v>
      </c>
      <c r="BL28" s="13">
        <f>SUM(BL14:BL27)</f>
        <v>32448.67</v>
      </c>
      <c r="BM28" s="13">
        <f>SUM(BM14:BM27)</f>
        <v>19663.12</v>
      </c>
      <c r="BN28" s="13">
        <f>SUM(BN14:BN27)</f>
        <v>11342.530000000002</v>
      </c>
      <c r="BO28" s="13">
        <f>SUM(BO17:BO27)</f>
        <v>9808.6700000000019</v>
      </c>
      <c r="BP28" s="13">
        <f>SUM(BP17:BP27)</f>
        <v>9808.510000000002</v>
      </c>
      <c r="BW28" s="13"/>
      <c r="BX28" s="13"/>
      <c r="BY28" s="195">
        <f>BY17+BY21+BY22+BY23+BY25</f>
        <v>9894.8299999999981</v>
      </c>
      <c r="BZ28" s="195">
        <f>BZ22+BZ23+BZ25</f>
        <v>2796.77</v>
      </c>
      <c r="CA28" s="195">
        <f>CA22+CA23+CA25</f>
        <v>2796.77</v>
      </c>
      <c r="CB28" s="195">
        <f>CB22+CB23+CB25</f>
        <v>2377.0699999999997</v>
      </c>
      <c r="CC28" s="195">
        <f>SUM(CC13:CC27)</f>
        <v>34198.18</v>
      </c>
      <c r="CD28" s="195">
        <f>SUM(CD13:CD27)</f>
        <v>5793.6100000000006</v>
      </c>
      <c r="CE28" s="195">
        <f>SUM(CE13:CE27)</f>
        <v>5528.3</v>
      </c>
      <c r="CF28" s="195"/>
      <c r="CG28" s="195"/>
      <c r="CH28" s="195">
        <f>CH17+CH21+CH22+CH23+CH25</f>
        <v>0</v>
      </c>
      <c r="CI28" s="195">
        <f>CI22+CI23+CI25</f>
        <v>0</v>
      </c>
      <c r="CJ28" s="195">
        <f>CJ22+CJ23+CJ25</f>
        <v>0</v>
      </c>
      <c r="CK28" s="195">
        <f>CK22+CK23+CK25</f>
        <v>0</v>
      </c>
      <c r="CL28" s="195">
        <f>SUM(CL13:CL27)</f>
        <v>0</v>
      </c>
      <c r="CM28" s="195">
        <f>SUM(CM13:CM27)</f>
        <v>0</v>
      </c>
      <c r="CT28" s="195"/>
      <c r="CU28" s="195"/>
      <c r="CV28" s="195">
        <f>SUM(CV13:CV27)</f>
        <v>0</v>
      </c>
      <c r="CW28" s="195">
        <f>CW17+CW21+CW22+CW23+CW25</f>
        <v>0</v>
      </c>
      <c r="CX28" s="195">
        <f>CX22+CX23+CX25</f>
        <v>0</v>
      </c>
      <c r="CY28" s="195">
        <f>CY22+CY23+CY25</f>
        <v>0</v>
      </c>
      <c r="CZ28" s="195">
        <f>CZ22+CZ23+CZ25</f>
        <v>0</v>
      </c>
      <c r="DA28" s="195">
        <f>SUM(DA13:DA27)</f>
        <v>0</v>
      </c>
      <c r="DB28" s="195">
        <f>SUM(DB13:DB27)</f>
        <v>0</v>
      </c>
      <c r="DC28" s="195">
        <f>SUM(DC13:DC27)</f>
        <v>3530.4</v>
      </c>
      <c r="DD28" s="195"/>
      <c r="DE28" s="195">
        <f>SUM(DE13:DE27)</f>
        <v>169546.87620609009</v>
      </c>
      <c r="DJ28" s="13">
        <f t="shared" ref="DJ28:EF28" si="50">SUM(DJ13:DJ27)</f>
        <v>0</v>
      </c>
      <c r="DK28" s="13">
        <f t="shared" si="50"/>
        <v>169546.87620609009</v>
      </c>
      <c r="DL28" s="13">
        <f t="shared" si="50"/>
        <v>1011.264</v>
      </c>
      <c r="DM28" s="13">
        <f t="shared" si="50"/>
        <v>960.53700000000003</v>
      </c>
      <c r="DN28" s="13">
        <f t="shared" si="50"/>
        <v>8.4314493189958295</v>
      </c>
      <c r="DO28" s="13" t="e">
        <f t="shared" si="50"/>
        <v>#DIV/0!</v>
      </c>
      <c r="DP28" s="13" t="e">
        <f t="shared" si="50"/>
        <v>#DIV/0!</v>
      </c>
      <c r="DQ28" s="13">
        <f t="shared" si="50"/>
        <v>0</v>
      </c>
      <c r="DR28" s="13">
        <f t="shared" si="50"/>
        <v>0</v>
      </c>
      <c r="DS28" s="13">
        <f t="shared" si="50"/>
        <v>0</v>
      </c>
      <c r="DT28" s="13">
        <f t="shared" si="50"/>
        <v>0</v>
      </c>
      <c r="DU28" s="13">
        <f t="shared" si="50"/>
        <v>0</v>
      </c>
      <c r="DV28" s="13">
        <f t="shared" si="50"/>
        <v>0</v>
      </c>
      <c r="DW28" s="13">
        <f t="shared" si="50"/>
        <v>0</v>
      </c>
      <c r="DX28" s="13">
        <f t="shared" si="50"/>
        <v>0</v>
      </c>
      <c r="DY28" s="13">
        <f t="shared" si="50"/>
        <v>0</v>
      </c>
      <c r="DZ28" s="13">
        <f t="shared" si="50"/>
        <v>7157.13</v>
      </c>
      <c r="EA28" s="13">
        <f t="shared" si="50"/>
        <v>3530.4</v>
      </c>
      <c r="EB28" s="603">
        <f t="shared" si="50"/>
        <v>3530.4</v>
      </c>
      <c r="EC28" s="603">
        <f t="shared" si="50"/>
        <v>3530.4</v>
      </c>
      <c r="ED28" s="603">
        <f t="shared" si="50"/>
        <v>3530.4</v>
      </c>
      <c r="EE28" s="13">
        <f t="shared" si="50"/>
        <v>21278.730000000003</v>
      </c>
      <c r="EF28" s="13">
        <f t="shared" si="50"/>
        <v>148268.14620609008</v>
      </c>
      <c r="EL28" s="13">
        <f t="shared" ref="EL28:ER28" si="51">SUM(EL14:EL27)</f>
        <v>3748.7292484542149</v>
      </c>
      <c r="EM28" s="13">
        <f t="shared" si="51"/>
        <v>3748.7292484542149</v>
      </c>
      <c r="EN28" s="13">
        <f t="shared" si="51"/>
        <v>3748.7292484542149</v>
      </c>
      <c r="EO28" s="13">
        <f t="shared" si="51"/>
        <v>3748.7292484542149</v>
      </c>
      <c r="EP28" s="13">
        <f t="shared" si="51"/>
        <v>3748.7292484542149</v>
      </c>
      <c r="EQ28" s="13">
        <f t="shared" si="51"/>
        <v>3748.7292484542149</v>
      </c>
      <c r="ER28" s="13">
        <f t="shared" si="51"/>
        <v>3748.7292484542149</v>
      </c>
      <c r="ES28" s="13">
        <f t="shared" ref="ES28:ET28" si="52">SUM(ES14:ES27)</f>
        <v>3748.7292484542149</v>
      </c>
      <c r="ET28" s="13">
        <f t="shared" si="52"/>
        <v>3748.7292484542149</v>
      </c>
      <c r="EU28" s="13">
        <f t="shared" ref="EU28:EV28" si="53">SUM(EU14:EU27)</f>
        <v>3748.7292484542149</v>
      </c>
      <c r="EV28" s="13">
        <f t="shared" si="53"/>
        <v>3748.7292484542149</v>
      </c>
      <c r="EW28" s="13">
        <f t="shared" ref="EW28:FC28" si="54">SUM(EW14:EW27)</f>
        <v>3748.7292484542149</v>
      </c>
      <c r="EX28" s="13">
        <f t="shared" ref="EX28:FB28" si="55">SUM(EX14:EX27)</f>
        <v>3748.7292484542149</v>
      </c>
      <c r="EY28" s="13">
        <f t="shared" si="55"/>
        <v>3748.7292484542149</v>
      </c>
      <c r="EZ28" s="13">
        <f t="shared" si="55"/>
        <v>3748.7292484542149</v>
      </c>
      <c r="FA28" s="13">
        <f t="shared" si="55"/>
        <v>3748.7292484542149</v>
      </c>
      <c r="FB28" s="13">
        <f t="shared" si="55"/>
        <v>3748.7292484542149</v>
      </c>
      <c r="FC28" s="13">
        <f t="shared" si="54"/>
        <v>3748.7292484542149</v>
      </c>
      <c r="FD28" s="13">
        <f>SUM(FD13:FD27)</f>
        <v>67477.126472175849</v>
      </c>
      <c r="FE28" s="13">
        <f>SUM(FE13:FE27)</f>
        <v>80791.019733914247</v>
      </c>
    </row>
    <row r="29" spans="1:161" hidden="1" x14ac:dyDescent="0.2">
      <c r="B29" s="670" t="s">
        <v>1099</v>
      </c>
      <c r="CC29" s="13"/>
      <c r="CG29" s="667">
        <f>SUM(CG26+CG25+CG24+CG23+CG22+CG21+CG19+CG18+CG17+CG16)</f>
        <v>173077.27620609012</v>
      </c>
      <c r="CL29" s="13"/>
      <c r="DA29" s="13"/>
    </row>
    <row r="30" spans="1:161" x14ac:dyDescent="0.2">
      <c r="DK30" s="289">
        <f>DE28-DJ28</f>
        <v>169546.87620609009</v>
      </c>
      <c r="EF30" s="289">
        <f>DK28-EE28</f>
        <v>148268.14620609008</v>
      </c>
      <c r="FE30" s="289">
        <f>EF30-FD28</f>
        <v>80791.019733914232</v>
      </c>
    </row>
  </sheetData>
  <mergeCells count="43">
    <mergeCell ref="DY11:DY12"/>
    <mergeCell ref="DJ11:DJ12"/>
    <mergeCell ref="DK11:DK12"/>
    <mergeCell ref="DO11:DO12"/>
    <mergeCell ref="DP11:DP12"/>
    <mergeCell ref="DX11:DX12"/>
    <mergeCell ref="E10:Q10"/>
    <mergeCell ref="F11:F12"/>
    <mergeCell ref="G11:G12"/>
    <mergeCell ref="H11:H12"/>
    <mergeCell ref="I11:I12"/>
    <mergeCell ref="J11:J12"/>
    <mergeCell ref="K11:K12"/>
    <mergeCell ref="L11:L12"/>
    <mergeCell ref="M11:M12"/>
    <mergeCell ref="N11:N12"/>
    <mergeCell ref="P11:P12"/>
    <mergeCell ref="AE8:AG10"/>
    <mergeCell ref="CN11:CN12"/>
    <mergeCell ref="CR11:CR12"/>
    <mergeCell ref="CS11:CS12"/>
    <mergeCell ref="Y11:Y12"/>
    <mergeCell ref="BS10:BU10"/>
    <mergeCell ref="BS11:BS12"/>
    <mergeCell ref="BT11:BT12"/>
    <mergeCell ref="BU11:BU12"/>
    <mergeCell ref="A11:A12"/>
    <mergeCell ref="B11:B12"/>
    <mergeCell ref="S11:S12"/>
    <mergeCell ref="T11:T12"/>
    <mergeCell ref="U11:U12"/>
    <mergeCell ref="R11:R12"/>
    <mergeCell ref="V11:V12"/>
    <mergeCell ref="BW11:BW12"/>
    <mergeCell ref="BX11:BX12"/>
    <mergeCell ref="BJ11:BJ12"/>
    <mergeCell ref="BK11:BK12"/>
    <mergeCell ref="FE11:FE12"/>
    <mergeCell ref="EE11:EE12"/>
    <mergeCell ref="EF11:EF12"/>
    <mergeCell ref="EJ11:EJ12"/>
    <mergeCell ref="EK11:EK12"/>
    <mergeCell ref="FD11:FD12"/>
  </mergeCells>
  <pageMargins left="0.19685039370078741" right="0.19685039370078741" top="0.74803149606299213" bottom="0.74803149606299213" header="0.31496062992125984" footer="0.31496062992125984"/>
  <pageSetup scale="48" orientation="landscape" r:id="rId1"/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EE29"/>
  <sheetViews>
    <sheetView topLeftCell="A7" workbookViewId="0">
      <selection activeCell="EC27" sqref="EC27"/>
    </sheetView>
  </sheetViews>
  <sheetFormatPr baseColWidth="10" defaultRowHeight="12.75" x14ac:dyDescent="0.2"/>
  <cols>
    <col min="2" max="2" width="20.5703125" customWidth="1"/>
    <col min="3" max="3" width="5.7109375" customWidth="1"/>
    <col min="4" max="4" width="6.42578125" bestFit="1" customWidth="1"/>
    <col min="5" max="5" width="11.28515625" bestFit="1" customWidth="1"/>
    <col min="6" max="6" width="5.28515625" customWidth="1"/>
    <col min="7" max="7" width="10.140625" hidden="1" customWidth="1"/>
    <col min="8" max="8" width="9.140625" hidden="1" customWidth="1"/>
    <col min="9" max="9" width="6.5703125" hidden="1" customWidth="1"/>
    <col min="10" max="10" width="7.42578125" hidden="1" customWidth="1"/>
    <col min="11" max="11" width="8.5703125" customWidth="1"/>
    <col min="12" max="12" width="8.140625" hidden="1" customWidth="1"/>
    <col min="13" max="13" width="8.5703125" hidden="1" customWidth="1"/>
    <col min="14" max="14" width="9.5703125" hidden="1" customWidth="1"/>
    <col min="15" max="15" width="10" hidden="1" customWidth="1"/>
    <col min="16" max="16" width="9" bestFit="1" customWidth="1"/>
    <col min="17" max="17" width="7.7109375" customWidth="1"/>
    <col min="18" max="18" width="9.5703125" customWidth="1"/>
    <col min="19" max="19" width="10.28515625" customWidth="1"/>
    <col min="20" max="20" width="10.85546875" hidden="1" customWidth="1"/>
    <col min="21" max="22" width="10.140625" hidden="1" customWidth="1"/>
    <col min="23" max="23" width="9.28515625" hidden="1" customWidth="1"/>
    <col min="24" max="24" width="10.140625" hidden="1" customWidth="1"/>
    <col min="25" max="25" width="9.7109375" hidden="1" customWidth="1"/>
    <col min="26" max="26" width="10.42578125" hidden="1" customWidth="1"/>
    <col min="27" max="27" width="8.7109375" hidden="1" customWidth="1"/>
    <col min="28" max="28" width="10.28515625" hidden="1" customWidth="1"/>
    <col min="29" max="29" width="10.7109375" hidden="1" customWidth="1"/>
    <col min="30" max="41" width="11.42578125" hidden="1" customWidth="1"/>
    <col min="42" max="42" width="10.5703125" hidden="1" customWidth="1"/>
    <col min="43" max="43" width="11.42578125" hidden="1" customWidth="1"/>
    <col min="44" max="44" width="9.85546875" hidden="1" customWidth="1"/>
    <col min="45" max="46" width="9.42578125" hidden="1" customWidth="1"/>
    <col min="47" max="47" width="9.140625" hidden="1" customWidth="1"/>
    <col min="48" max="50" width="9" hidden="1" customWidth="1"/>
    <col min="51" max="51" width="7.140625" hidden="1" customWidth="1"/>
    <col min="52" max="60" width="11.42578125" hidden="1" customWidth="1"/>
    <col min="61" max="61" width="8.7109375" hidden="1" customWidth="1"/>
    <col min="62" max="62" width="8.42578125" hidden="1" customWidth="1"/>
    <col min="63" max="63" width="11.42578125" hidden="1" customWidth="1"/>
    <col min="64" max="64" width="10.85546875" hidden="1" customWidth="1"/>
    <col min="65" max="66" width="11.42578125" hidden="1" customWidth="1"/>
    <col min="67" max="67" width="10.42578125" hidden="1" customWidth="1"/>
    <col min="68" max="68" width="9.85546875" hidden="1" customWidth="1"/>
    <col min="69" max="69" width="9.28515625" hidden="1" customWidth="1"/>
    <col min="70" max="70" width="10" hidden="1" customWidth="1"/>
    <col min="71" max="71" width="9.42578125" hidden="1" customWidth="1"/>
    <col min="72" max="72" width="9.85546875" hidden="1" customWidth="1"/>
    <col min="73" max="78" width="9" hidden="1" customWidth="1"/>
    <col min="79" max="79" width="11.42578125" hidden="1" customWidth="1"/>
    <col min="80" max="80" width="11.28515625" hidden="1" customWidth="1"/>
    <col min="81" max="81" width="11.28515625" style="436" hidden="1" customWidth="1"/>
    <col min="82" max="82" width="11.42578125" hidden="1" customWidth="1"/>
    <col min="83" max="83" width="10.85546875" hidden="1" customWidth="1"/>
    <col min="84" max="85" width="11.42578125" hidden="1" customWidth="1"/>
    <col min="86" max="87" width="10.42578125" hidden="1" customWidth="1"/>
    <col min="88" max="88" width="12.140625" hidden="1" customWidth="1"/>
    <col min="89" max="89" width="9.85546875" hidden="1" customWidth="1"/>
    <col min="90" max="90" width="9.28515625" hidden="1" customWidth="1"/>
    <col min="91" max="91" width="10" hidden="1" customWidth="1"/>
    <col min="92" max="93" width="9.42578125" hidden="1" customWidth="1"/>
    <col min="94" max="98" width="9" hidden="1" customWidth="1"/>
    <col min="99" max="99" width="11.42578125" hidden="1" customWidth="1"/>
    <col min="100" max="100" width="13" hidden="1" customWidth="1"/>
    <col min="101" max="101" width="11.28515625" hidden="1" customWidth="1"/>
    <col min="102" max="102" width="11.28515625" style="436" hidden="1" customWidth="1"/>
    <col min="103" max="103" width="12.85546875" hidden="1" customWidth="1"/>
    <col min="104" max="109" width="11.42578125" hidden="1" customWidth="1"/>
    <col min="111" max="115" width="11.42578125" customWidth="1"/>
    <col min="116" max="132" width="11.42578125" hidden="1" customWidth="1"/>
    <col min="133" max="135" width="11.42578125" customWidth="1"/>
  </cols>
  <sheetData>
    <row r="1" spans="1:135" x14ac:dyDescent="0.2">
      <c r="A1" s="556"/>
      <c r="B1" s="549" t="s">
        <v>27</v>
      </c>
      <c r="C1" s="569"/>
      <c r="D1" s="569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70"/>
      <c r="R1" s="640"/>
      <c r="S1" s="637"/>
      <c r="T1" s="637"/>
      <c r="U1" s="661"/>
      <c r="V1" s="662"/>
      <c r="W1" s="662"/>
      <c r="X1" s="663"/>
      <c r="Y1" s="662"/>
      <c r="Z1" s="662"/>
      <c r="AA1" s="662"/>
      <c r="AB1" s="662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62" t="s">
        <v>1072</v>
      </c>
      <c r="AN1" s="637"/>
      <c r="AO1" s="664"/>
      <c r="AP1" s="637"/>
      <c r="AQ1" s="637"/>
      <c r="AR1" s="637"/>
      <c r="AS1" s="637"/>
      <c r="AT1" s="637"/>
      <c r="AU1" s="637"/>
      <c r="AV1" s="637"/>
      <c r="AW1" s="637"/>
      <c r="AX1" s="637"/>
      <c r="AY1" s="637"/>
      <c r="AZ1" s="637"/>
      <c r="BA1" s="637"/>
      <c r="BB1" s="637"/>
      <c r="BC1" s="637"/>
      <c r="BD1" s="637"/>
      <c r="BE1" s="637"/>
      <c r="BF1" s="637"/>
      <c r="BG1" s="637"/>
      <c r="BH1" s="637"/>
      <c r="BI1" s="637"/>
      <c r="BJ1" s="637"/>
      <c r="BK1" s="637"/>
      <c r="BL1" s="637"/>
      <c r="BM1" s="637"/>
      <c r="BN1" s="637"/>
      <c r="BO1" s="637"/>
      <c r="BP1" s="662"/>
      <c r="BQ1" s="662"/>
      <c r="BR1" s="662"/>
      <c r="BS1" s="662"/>
      <c r="BT1" s="637"/>
      <c r="BU1" s="647"/>
      <c r="BV1" s="647"/>
      <c r="BW1" s="647"/>
      <c r="BX1" s="647"/>
      <c r="BY1" s="647"/>
      <c r="BZ1" s="647"/>
      <c r="CA1" s="647"/>
      <c r="CB1" s="647"/>
      <c r="CC1" s="687"/>
      <c r="CD1" s="647"/>
      <c r="CE1" s="647"/>
      <c r="CF1" s="647"/>
      <c r="CG1" s="647"/>
      <c r="CH1" s="647"/>
      <c r="CI1" s="647"/>
      <c r="CJ1" s="647"/>
      <c r="CK1" s="644"/>
      <c r="CL1" s="644"/>
      <c r="CM1" s="644"/>
      <c r="CN1" s="644"/>
      <c r="CO1" s="635"/>
      <c r="CP1" s="647"/>
      <c r="CQ1" s="647"/>
      <c r="CR1" s="647"/>
      <c r="CS1" s="647"/>
      <c r="CT1" s="647"/>
      <c r="CU1" s="647"/>
      <c r="CV1" s="647"/>
      <c r="CW1" s="647"/>
      <c r="CX1" s="687"/>
    </row>
    <row r="2" spans="1:135" x14ac:dyDescent="0.2">
      <c r="A2" s="556"/>
      <c r="B2" s="549" t="s">
        <v>1273</v>
      </c>
      <c r="C2" s="569"/>
      <c r="D2" s="569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70"/>
      <c r="R2" s="640"/>
      <c r="S2" s="637"/>
      <c r="T2" s="637"/>
      <c r="U2" s="661"/>
      <c r="V2" s="662"/>
      <c r="W2" s="662"/>
      <c r="X2" s="663"/>
      <c r="Y2" s="662"/>
      <c r="Z2" s="662"/>
      <c r="AA2" s="662"/>
      <c r="AB2" s="662"/>
      <c r="AC2" s="637"/>
      <c r="AD2" s="637"/>
      <c r="AE2" s="637"/>
      <c r="AF2" s="637"/>
      <c r="AG2" s="637"/>
      <c r="AH2" s="637"/>
      <c r="AI2" s="637"/>
      <c r="AJ2" s="637"/>
      <c r="AK2" s="637"/>
      <c r="AL2" s="637"/>
      <c r="AM2" s="637"/>
      <c r="AN2" s="637"/>
      <c r="AO2" s="664"/>
      <c r="AP2" s="637"/>
      <c r="AQ2" s="637"/>
      <c r="AR2" s="637"/>
      <c r="AS2" s="637"/>
      <c r="AT2" s="637"/>
      <c r="AU2" s="637"/>
      <c r="AV2" s="637"/>
      <c r="AW2" s="637"/>
      <c r="AX2" s="637"/>
      <c r="AY2" s="637"/>
      <c r="AZ2" s="637"/>
      <c r="BA2" s="637"/>
      <c r="BB2" s="637"/>
      <c r="BC2" s="637"/>
      <c r="BD2" s="637"/>
      <c r="BE2" s="637"/>
      <c r="BF2" s="637"/>
      <c r="BG2" s="637"/>
      <c r="BH2" s="637"/>
      <c r="BI2" s="637"/>
      <c r="BJ2" s="637"/>
      <c r="BK2" s="637"/>
      <c r="BL2" s="637"/>
      <c r="BM2" s="637"/>
      <c r="BN2" s="637"/>
      <c r="BO2" s="637"/>
      <c r="BP2" s="662"/>
      <c r="BQ2" s="662"/>
      <c r="BR2" s="662"/>
      <c r="BS2" s="662"/>
      <c r="BT2" s="637"/>
      <c r="BU2" s="647"/>
      <c r="BV2" s="647"/>
      <c r="BW2" s="647"/>
      <c r="BX2" s="647"/>
      <c r="BY2" s="647"/>
      <c r="BZ2" s="647"/>
      <c r="CA2" s="647"/>
      <c r="CB2" s="647"/>
      <c r="CC2" s="687"/>
      <c r="CD2" s="647"/>
      <c r="CE2" s="647"/>
      <c r="CF2" s="647"/>
      <c r="CG2" s="647"/>
      <c r="CH2" s="647"/>
      <c r="CI2" s="647"/>
      <c r="CJ2" s="647"/>
      <c r="CK2" s="644"/>
      <c r="CL2" s="644"/>
      <c r="CM2" s="644"/>
      <c r="CN2" s="644"/>
      <c r="CO2" s="635"/>
      <c r="CP2" s="647"/>
      <c r="CQ2" s="647"/>
      <c r="CR2" s="647"/>
      <c r="CS2" s="647"/>
      <c r="CT2" s="647"/>
      <c r="CU2" s="647"/>
      <c r="CV2" s="647"/>
      <c r="CW2" s="647"/>
      <c r="CX2" s="687"/>
    </row>
    <row r="3" spans="1:135" x14ac:dyDescent="0.2">
      <c r="A3" s="556"/>
      <c r="B3" s="556"/>
      <c r="C3" s="575"/>
      <c r="D3" s="569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49"/>
      <c r="R3" s="638"/>
      <c r="S3" s="642"/>
      <c r="T3" s="642"/>
      <c r="U3" s="665"/>
      <c r="V3" s="662"/>
      <c r="W3" s="662"/>
      <c r="X3" s="663"/>
      <c r="Y3" s="662"/>
      <c r="Z3" s="662"/>
      <c r="AA3" s="662"/>
      <c r="AB3" s="662"/>
      <c r="AC3" s="637"/>
      <c r="AD3" s="637"/>
      <c r="AE3" s="637"/>
      <c r="AF3" s="637"/>
      <c r="AG3" s="637"/>
      <c r="AH3" s="637"/>
      <c r="AI3" s="637"/>
      <c r="AJ3" s="637"/>
      <c r="AK3" s="637"/>
      <c r="AL3" s="637"/>
      <c r="AM3" s="637"/>
      <c r="AN3" s="637"/>
      <c r="AO3" s="664"/>
      <c r="AP3" s="637"/>
      <c r="AQ3" s="637"/>
      <c r="AR3" s="637"/>
      <c r="AS3" s="637"/>
      <c r="AT3" s="637"/>
      <c r="AU3" s="637"/>
      <c r="AV3" s="637"/>
      <c r="AW3" s="637"/>
      <c r="AX3" s="637"/>
      <c r="AY3" s="637"/>
      <c r="AZ3" s="637"/>
      <c r="BA3" s="637"/>
      <c r="BB3" s="637"/>
      <c r="BC3" s="637"/>
      <c r="BD3" s="637"/>
      <c r="BE3" s="637"/>
      <c r="BF3" s="637"/>
      <c r="BG3" s="637"/>
      <c r="BH3" s="637"/>
      <c r="BI3" s="637"/>
      <c r="BJ3" s="637"/>
      <c r="BK3" s="637"/>
      <c r="BL3" s="637"/>
      <c r="BM3" s="637"/>
      <c r="BN3" s="637"/>
      <c r="BO3" s="637"/>
      <c r="BP3" s="662"/>
      <c r="BQ3" s="662"/>
      <c r="BR3" s="662"/>
      <c r="BS3" s="662"/>
      <c r="BT3" s="637"/>
      <c r="BU3" s="647"/>
      <c r="BV3" s="647"/>
      <c r="BW3" s="647"/>
      <c r="BX3" s="647"/>
      <c r="BY3" s="647"/>
      <c r="BZ3" s="647"/>
      <c r="CA3" s="647"/>
      <c r="CB3" s="647"/>
      <c r="CC3" s="687"/>
      <c r="CD3" s="647"/>
      <c r="CE3" s="647"/>
      <c r="CF3" s="647"/>
      <c r="CG3" s="647"/>
      <c r="CH3" s="647"/>
      <c r="CI3" s="647"/>
      <c r="CJ3" s="647"/>
      <c r="CK3" s="644"/>
      <c r="CL3" s="644"/>
      <c r="CM3" s="644"/>
      <c r="CN3" s="644"/>
      <c r="CO3" s="635"/>
      <c r="CP3" s="647"/>
      <c r="CQ3" s="647"/>
      <c r="CR3" s="647"/>
      <c r="CS3" s="647"/>
      <c r="CT3" s="647"/>
      <c r="CU3" s="647"/>
      <c r="CV3" s="647"/>
      <c r="CW3" s="647"/>
      <c r="CX3" s="687"/>
    </row>
    <row r="4" spans="1:135" x14ac:dyDescent="0.2">
      <c r="A4" s="556"/>
      <c r="B4" s="556" t="s">
        <v>309</v>
      </c>
      <c r="C4" s="575"/>
      <c r="D4" s="569"/>
      <c r="E4" s="561"/>
      <c r="F4" s="561"/>
      <c r="G4" s="561"/>
      <c r="H4" s="561"/>
      <c r="I4" s="561"/>
      <c r="J4" s="561"/>
      <c r="K4" s="561"/>
      <c r="L4" s="561"/>
      <c r="M4" s="561"/>
      <c r="N4" s="561"/>
      <c r="O4" s="561"/>
      <c r="P4" s="561"/>
      <c r="Q4" s="549"/>
      <c r="R4" s="638"/>
      <c r="S4" s="642"/>
      <c r="T4" s="642"/>
      <c r="U4" s="665"/>
      <c r="V4" s="662"/>
      <c r="W4" s="662"/>
      <c r="X4" s="663"/>
      <c r="Y4" s="662"/>
      <c r="Z4" s="662"/>
      <c r="AA4" s="662"/>
      <c r="AB4" s="662"/>
      <c r="AC4" s="637"/>
      <c r="AD4" s="637"/>
      <c r="AE4" s="637"/>
      <c r="AF4" s="637"/>
      <c r="AG4" s="637"/>
      <c r="AH4" s="637"/>
      <c r="AI4" s="637"/>
      <c r="AJ4" s="637"/>
      <c r="AK4" s="637"/>
      <c r="AL4" s="637"/>
      <c r="AM4" s="637"/>
      <c r="AN4" s="637"/>
      <c r="AO4" s="664"/>
      <c r="AP4" s="637"/>
      <c r="AQ4" s="637"/>
      <c r="AR4" s="637"/>
      <c r="AS4" s="637"/>
      <c r="AT4" s="637"/>
      <c r="AU4" s="637"/>
      <c r="AV4" s="637"/>
      <c r="AW4" s="637"/>
      <c r="AX4" s="637"/>
      <c r="AY4" s="637"/>
      <c r="AZ4" s="637"/>
      <c r="BA4" s="637"/>
      <c r="BB4" s="637"/>
      <c r="BC4" s="637"/>
      <c r="BD4" s="637"/>
      <c r="BE4" s="637"/>
      <c r="BF4" s="637"/>
      <c r="BG4" s="637"/>
      <c r="BH4" s="637"/>
      <c r="BI4" s="637"/>
      <c r="BJ4" s="637"/>
      <c r="BK4" s="637"/>
      <c r="BL4" s="637"/>
      <c r="BM4" s="637"/>
      <c r="BN4" s="637"/>
      <c r="BO4" s="637"/>
      <c r="BP4" s="662"/>
      <c r="BQ4" s="662"/>
      <c r="BR4" s="662"/>
      <c r="BS4" s="662"/>
      <c r="BT4" s="637"/>
      <c r="BU4" s="647"/>
      <c r="BV4" s="647"/>
      <c r="BW4" s="647"/>
      <c r="BX4" s="647"/>
      <c r="BY4" s="647"/>
      <c r="BZ4" s="647"/>
      <c r="CA4" s="647"/>
      <c r="CB4" s="647"/>
      <c r="CC4" s="687"/>
      <c r="CD4" s="647"/>
      <c r="CE4" s="647"/>
      <c r="CF4" s="647"/>
      <c r="CG4" s="647"/>
      <c r="CH4" s="647"/>
      <c r="CI4" s="647"/>
      <c r="CJ4" s="647"/>
      <c r="CK4" s="644"/>
      <c r="CL4" s="644"/>
      <c r="CM4" s="644"/>
      <c r="CN4" s="644"/>
      <c r="CO4" s="635"/>
      <c r="CP4" s="647"/>
      <c r="CQ4" s="647"/>
      <c r="CR4" s="647"/>
      <c r="CS4" s="647"/>
      <c r="CT4" s="647"/>
      <c r="CU4" s="647"/>
      <c r="CV4" s="647"/>
      <c r="CW4" s="647"/>
      <c r="CX4" s="687"/>
    </row>
    <row r="5" spans="1:135" x14ac:dyDescent="0.2">
      <c r="A5" s="556"/>
      <c r="B5" s="561" t="s">
        <v>334</v>
      </c>
      <c r="C5" s="569"/>
      <c r="D5" s="569"/>
      <c r="E5" s="556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70"/>
      <c r="R5" s="640"/>
      <c r="S5" s="637"/>
      <c r="T5" s="637"/>
      <c r="U5" s="661"/>
      <c r="V5" s="662"/>
      <c r="W5" s="662"/>
      <c r="X5" s="663"/>
      <c r="Y5" s="662"/>
      <c r="Z5" s="662"/>
      <c r="AA5" s="662"/>
      <c r="AB5" s="662"/>
      <c r="AC5" s="637"/>
      <c r="AD5" s="637"/>
      <c r="AE5" s="637"/>
      <c r="AF5" s="637"/>
      <c r="AG5" s="637"/>
      <c r="AH5" s="637"/>
      <c r="AI5" s="637"/>
      <c r="AJ5" s="637"/>
      <c r="AK5" s="637"/>
      <c r="AL5" s="637"/>
      <c r="AM5" s="637"/>
      <c r="AN5" s="637"/>
      <c r="AO5" s="664"/>
      <c r="AP5" s="637"/>
      <c r="AQ5" s="637"/>
      <c r="AR5" s="637"/>
      <c r="AS5" s="637"/>
      <c r="AT5" s="637"/>
      <c r="AU5" s="637"/>
      <c r="AV5" s="637"/>
      <c r="AW5" s="637"/>
      <c r="AX5" s="637"/>
      <c r="AY5" s="637"/>
      <c r="AZ5" s="637"/>
      <c r="BA5" s="637"/>
      <c r="BB5" s="637"/>
      <c r="BC5" s="637"/>
      <c r="BD5" s="637"/>
      <c r="BE5" s="637"/>
      <c r="BF5" s="637"/>
      <c r="BG5" s="637"/>
      <c r="BH5" s="637"/>
      <c r="BI5" s="637"/>
      <c r="BJ5" s="637"/>
      <c r="BK5" s="637"/>
      <c r="BL5" s="637"/>
      <c r="BM5" s="637"/>
      <c r="BN5" s="637"/>
      <c r="BO5" s="637"/>
      <c r="BP5" s="662"/>
      <c r="BQ5" s="662"/>
      <c r="BR5" s="662"/>
      <c r="BS5" s="662"/>
      <c r="BT5" s="637"/>
      <c r="BU5" s="647"/>
      <c r="BV5" s="647"/>
      <c r="BW5" s="647"/>
      <c r="BX5" s="647"/>
      <c r="BY5" s="647"/>
      <c r="BZ5" s="647"/>
      <c r="CA5" s="647"/>
      <c r="CB5" s="647"/>
      <c r="CC5" s="687"/>
      <c r="CD5" s="647"/>
      <c r="CE5" s="647"/>
      <c r="CF5" s="647"/>
      <c r="CG5" s="647"/>
      <c r="CH5" s="647"/>
      <c r="CI5" s="647"/>
      <c r="CJ5" s="647"/>
      <c r="CK5" s="644"/>
      <c r="CL5" s="644"/>
      <c r="CM5" s="644"/>
      <c r="CN5" s="644"/>
      <c r="CO5" s="635"/>
      <c r="CP5" s="647"/>
      <c r="CQ5" s="647"/>
      <c r="CR5" s="647"/>
      <c r="CS5" s="647"/>
      <c r="CT5" s="647"/>
      <c r="CU5" s="647"/>
      <c r="CV5" s="647"/>
      <c r="CW5" s="647"/>
      <c r="CX5" s="687"/>
    </row>
    <row r="6" spans="1:135" x14ac:dyDescent="0.2">
      <c r="A6" s="556"/>
      <c r="B6" s="556" t="s">
        <v>1272</v>
      </c>
      <c r="C6" s="569"/>
      <c r="D6" s="569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70"/>
      <c r="R6" s="640"/>
      <c r="S6" s="637"/>
      <c r="T6" s="637"/>
      <c r="U6" s="661"/>
      <c r="V6" s="662"/>
      <c r="W6" s="662"/>
      <c r="X6" s="663"/>
      <c r="Y6" s="662"/>
      <c r="Z6" s="662"/>
      <c r="AA6" s="662"/>
      <c r="AB6" s="662"/>
      <c r="AC6" s="637"/>
      <c r="AD6" s="637"/>
      <c r="AE6" s="637"/>
      <c r="AF6" s="637"/>
      <c r="AG6" s="637"/>
      <c r="AH6" s="637"/>
      <c r="AI6" s="637"/>
      <c r="AJ6" s="637"/>
      <c r="AK6" s="637"/>
      <c r="AL6" s="637"/>
      <c r="AM6" s="637"/>
      <c r="AN6" s="637"/>
      <c r="AO6" s="664"/>
      <c r="AP6" s="637"/>
      <c r="AQ6" s="637"/>
      <c r="AR6" s="637"/>
      <c r="AS6" s="637"/>
      <c r="AT6" s="637"/>
      <c r="AU6" s="637"/>
      <c r="AV6" s="637"/>
      <c r="AW6" s="637"/>
      <c r="AX6" s="637"/>
      <c r="AY6" s="637"/>
      <c r="AZ6" s="637"/>
      <c r="BA6" s="637"/>
      <c r="BB6" s="637"/>
      <c r="BC6" s="637"/>
      <c r="BD6" s="637"/>
      <c r="BE6" s="637"/>
      <c r="BF6" s="637"/>
      <c r="BG6" s="637"/>
      <c r="BH6" s="637"/>
      <c r="BI6" s="637"/>
      <c r="BJ6" s="637"/>
      <c r="BK6" s="637"/>
      <c r="BL6" s="637"/>
      <c r="BM6" s="637"/>
      <c r="BN6" s="637"/>
      <c r="BO6" s="637"/>
      <c r="BP6" s="662"/>
      <c r="BQ6" s="662"/>
      <c r="BR6" s="662"/>
      <c r="BS6" s="662"/>
      <c r="BT6" s="637"/>
      <c r="BU6" s="647"/>
      <c r="BV6" s="647"/>
      <c r="BW6" s="647"/>
      <c r="BX6" s="647"/>
      <c r="BY6" s="647"/>
      <c r="BZ6" s="647"/>
      <c r="CA6" s="647"/>
      <c r="CB6" s="647"/>
      <c r="CC6" s="687"/>
      <c r="CD6" s="647"/>
      <c r="CE6" s="647"/>
      <c r="CF6" s="647"/>
      <c r="CG6" s="647"/>
      <c r="CH6" s="647"/>
      <c r="CI6" s="647"/>
      <c r="CJ6" s="647"/>
      <c r="CK6" s="644"/>
      <c r="CL6" s="644"/>
      <c r="CM6" s="644"/>
      <c r="CN6" s="644"/>
      <c r="CO6" s="635"/>
      <c r="CP6" s="647"/>
      <c r="CQ6" s="647"/>
      <c r="CR6" s="647"/>
      <c r="CS6" s="647"/>
      <c r="CT6" s="647"/>
      <c r="CU6" s="647"/>
      <c r="CV6" s="647"/>
      <c r="CW6" s="647"/>
      <c r="CX6" s="687"/>
    </row>
    <row r="7" spans="1:135" x14ac:dyDescent="0.2">
      <c r="A7" s="556"/>
      <c r="B7" s="556"/>
      <c r="C7" s="569"/>
      <c r="D7" s="569"/>
      <c r="E7" s="556"/>
      <c r="F7" s="556"/>
      <c r="G7" s="556"/>
      <c r="H7" s="556"/>
      <c r="I7" s="556"/>
      <c r="J7" s="556"/>
      <c r="K7" s="556"/>
      <c r="L7" s="556"/>
      <c r="M7" s="556"/>
      <c r="N7" s="556"/>
      <c r="O7" s="556"/>
      <c r="P7" s="556"/>
      <c r="Q7" s="570"/>
      <c r="R7" s="640"/>
      <c r="S7" s="637"/>
      <c r="T7" s="637"/>
      <c r="U7" s="661"/>
      <c r="V7" s="662"/>
      <c r="W7" s="662"/>
      <c r="X7" s="663"/>
      <c r="Y7" s="662"/>
      <c r="Z7" s="662"/>
      <c r="AA7" s="662"/>
      <c r="AB7" s="662"/>
      <c r="AC7" s="637"/>
      <c r="AD7" s="637"/>
      <c r="AE7" s="637"/>
      <c r="AF7" s="637"/>
      <c r="AG7" s="637"/>
      <c r="AH7" s="637"/>
      <c r="AI7" s="637"/>
      <c r="AJ7" s="637"/>
      <c r="AK7" s="637"/>
      <c r="AL7" s="637"/>
      <c r="AM7" s="637"/>
      <c r="AN7" s="637"/>
      <c r="AO7" s="664"/>
      <c r="AP7" s="637"/>
      <c r="AQ7" s="637"/>
      <c r="AR7" s="637"/>
      <c r="AS7" s="637"/>
      <c r="AT7" s="637"/>
      <c r="AU7" s="637"/>
      <c r="AV7" s="637"/>
      <c r="AW7" s="637"/>
      <c r="AX7" s="637"/>
      <c r="AY7" s="637"/>
      <c r="AZ7" s="637"/>
      <c r="BA7" s="637"/>
      <c r="BB7" s="637"/>
      <c r="BC7" s="637"/>
      <c r="BD7" s="637"/>
      <c r="BE7" s="637"/>
      <c r="BF7" s="637"/>
      <c r="BG7" s="637"/>
      <c r="BH7" s="637"/>
      <c r="BI7" s="637"/>
      <c r="BJ7" s="637"/>
      <c r="BK7" s="637"/>
      <c r="BL7" s="637"/>
      <c r="BM7" s="637"/>
      <c r="BN7" s="637"/>
      <c r="BO7" s="637"/>
      <c r="BP7" s="662"/>
      <c r="BQ7" s="662"/>
      <c r="BR7" s="662"/>
      <c r="BS7" s="662"/>
      <c r="BT7" s="637"/>
      <c r="BU7" s="647"/>
      <c r="BV7" s="647"/>
      <c r="BW7" s="647"/>
      <c r="BX7" s="647"/>
      <c r="BY7" s="647"/>
      <c r="BZ7" s="647"/>
      <c r="CA7" s="647"/>
      <c r="CB7" s="647"/>
      <c r="CC7" s="687"/>
      <c r="CD7" s="647"/>
      <c r="CE7" s="647"/>
      <c r="CF7" s="647"/>
      <c r="CG7" s="647"/>
      <c r="CH7" s="647"/>
      <c r="CI7" s="647"/>
      <c r="CJ7" s="647"/>
      <c r="CK7" s="644"/>
      <c r="CL7" s="644"/>
      <c r="CM7" s="644"/>
      <c r="CN7" s="644"/>
      <c r="CO7" s="635"/>
      <c r="CP7" s="647"/>
      <c r="CQ7" s="647"/>
      <c r="CR7" s="647"/>
      <c r="CS7" s="647"/>
      <c r="CT7" s="647"/>
      <c r="CU7" s="647"/>
      <c r="CV7" s="647"/>
      <c r="CW7" s="647"/>
      <c r="CX7" s="687"/>
    </row>
    <row r="8" spans="1:135" x14ac:dyDescent="0.2">
      <c r="A8" s="16"/>
      <c r="B8" s="16"/>
      <c r="C8" s="38"/>
      <c r="D8" s="38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37"/>
      <c r="R8" s="37"/>
      <c r="S8" s="35"/>
      <c r="T8" s="35"/>
      <c r="U8" s="103"/>
      <c r="V8" s="39"/>
      <c r="W8" s="39"/>
      <c r="X8" s="76"/>
      <c r="Y8" s="39"/>
      <c r="Z8" s="39"/>
      <c r="AA8" s="39"/>
      <c r="AB8" s="39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68"/>
      <c r="BP8" s="39"/>
      <c r="BQ8" s="39"/>
      <c r="BR8" s="39"/>
      <c r="BS8" s="39"/>
      <c r="BT8" s="16"/>
      <c r="CK8" s="39"/>
      <c r="CL8" s="39"/>
      <c r="CM8" s="39"/>
      <c r="CN8" s="39"/>
      <c r="CO8" s="16"/>
    </row>
    <row r="9" spans="1:135" x14ac:dyDescent="0.2">
      <c r="A9" s="16"/>
      <c r="B9" s="16"/>
      <c r="C9" s="38"/>
      <c r="D9" s="38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37"/>
      <c r="R9" s="37"/>
      <c r="S9" s="35"/>
      <c r="T9" s="35"/>
      <c r="U9" s="103"/>
      <c r="V9" s="39"/>
      <c r="W9" s="39"/>
      <c r="X9" s="76"/>
      <c r="Y9" s="39"/>
      <c r="Z9" s="39"/>
      <c r="AA9" s="39"/>
      <c r="AB9" s="39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68"/>
      <c r="BP9" s="39"/>
      <c r="BQ9" s="39"/>
      <c r="BR9" s="39"/>
      <c r="BS9" s="39"/>
      <c r="BT9" s="16"/>
      <c r="CK9" s="39"/>
      <c r="CL9" s="39"/>
      <c r="CM9" s="39"/>
      <c r="CN9" s="39"/>
      <c r="CO9" s="16"/>
    </row>
    <row r="10" spans="1:135" x14ac:dyDescent="0.2">
      <c r="C10" s="1258" t="s">
        <v>532</v>
      </c>
      <c r="D10" s="1258"/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91"/>
      <c r="Q10" s="1259" t="s">
        <v>448</v>
      </c>
      <c r="R10" s="1259"/>
      <c r="S10" s="1259"/>
      <c r="T10" s="1260" t="s">
        <v>450</v>
      </c>
      <c r="U10" s="1260"/>
      <c r="V10" s="1260"/>
      <c r="W10" s="1260"/>
      <c r="X10" s="1260"/>
      <c r="Y10" s="1260"/>
      <c r="Z10" s="1260"/>
      <c r="AA10" s="1260"/>
      <c r="AB10" s="1260"/>
      <c r="AC10" s="1260"/>
      <c r="AD10" s="1260"/>
      <c r="AE10" s="1260"/>
      <c r="AF10" s="1260"/>
      <c r="AG10" s="1260"/>
      <c r="AH10" s="1260"/>
      <c r="AI10" s="1260"/>
      <c r="AJ10" s="1260"/>
      <c r="AK10" s="1260"/>
      <c r="AL10" s="1260"/>
      <c r="AM10" s="1260"/>
      <c r="AN10" s="1260"/>
      <c r="AO10" s="1260"/>
    </row>
    <row r="11" spans="1:135" ht="57.75" x14ac:dyDescent="0.25">
      <c r="A11" s="1261" t="s">
        <v>57</v>
      </c>
      <c r="B11" s="1261" t="s">
        <v>0</v>
      </c>
      <c r="C11" s="166" t="s">
        <v>306</v>
      </c>
      <c r="D11" s="1263" t="s">
        <v>55</v>
      </c>
      <c r="E11" s="1254" t="s">
        <v>564</v>
      </c>
      <c r="F11" s="1254" t="s">
        <v>446</v>
      </c>
      <c r="G11" s="1254" t="s">
        <v>533</v>
      </c>
      <c r="H11" s="1254" t="s">
        <v>1126</v>
      </c>
      <c r="I11" s="1254" t="s">
        <v>1127</v>
      </c>
      <c r="J11" s="1254" t="s">
        <v>534</v>
      </c>
      <c r="K11" s="1254" t="s">
        <v>493</v>
      </c>
      <c r="L11" s="1254" t="s">
        <v>1247</v>
      </c>
      <c r="M11" s="1069" t="s">
        <v>529</v>
      </c>
      <c r="N11" s="1254" t="s">
        <v>492</v>
      </c>
      <c r="O11" s="1070" t="s">
        <v>530</v>
      </c>
      <c r="P11" s="1256" t="s">
        <v>528</v>
      </c>
      <c r="Q11" s="1250" t="s">
        <v>437</v>
      </c>
      <c r="R11" s="1250" t="s">
        <v>56</v>
      </c>
      <c r="S11" s="1252" t="s">
        <v>449</v>
      </c>
      <c r="T11" s="1245" t="s">
        <v>910</v>
      </c>
      <c r="U11" s="1245" t="s">
        <v>909</v>
      </c>
      <c r="V11" s="1067"/>
      <c r="W11" s="1268" t="s">
        <v>908</v>
      </c>
      <c r="X11" s="1245" t="s">
        <v>907</v>
      </c>
      <c r="Y11" s="158" t="s">
        <v>15</v>
      </c>
      <c r="Z11" s="159" t="s">
        <v>15</v>
      </c>
      <c r="AA11" s="158" t="s">
        <v>16</v>
      </c>
      <c r="AB11" s="1245" t="s">
        <v>906</v>
      </c>
      <c r="AC11" s="1245" t="s">
        <v>536</v>
      </c>
      <c r="AD11" s="158" t="s">
        <v>3</v>
      </c>
      <c r="AE11" s="158" t="s">
        <v>4</v>
      </c>
      <c r="AF11" s="158" t="s">
        <v>5</v>
      </c>
      <c r="AG11" s="158" t="s">
        <v>6</v>
      </c>
      <c r="AH11" s="158" t="s">
        <v>7</v>
      </c>
      <c r="AI11" s="158" t="s">
        <v>8</v>
      </c>
      <c r="AJ11" s="158" t="s">
        <v>9</v>
      </c>
      <c r="AK11" s="158" t="s">
        <v>10</v>
      </c>
      <c r="AL11" s="158" t="s">
        <v>11</v>
      </c>
      <c r="AM11" s="158" t="s">
        <v>12</v>
      </c>
      <c r="AN11" s="158" t="s">
        <v>13</v>
      </c>
      <c r="AO11" s="158" t="s">
        <v>14</v>
      </c>
      <c r="AP11" s="1066" t="s">
        <v>531</v>
      </c>
      <c r="AQ11" s="160" t="s">
        <v>904</v>
      </c>
      <c r="AR11" s="158" t="s">
        <v>3</v>
      </c>
      <c r="AS11" s="158" t="s">
        <v>4</v>
      </c>
      <c r="AT11" s="158" t="s">
        <v>5</v>
      </c>
      <c r="AU11" s="158" t="s">
        <v>6</v>
      </c>
      <c r="AV11" s="158" t="s">
        <v>7</v>
      </c>
      <c r="AW11" s="158" t="s">
        <v>15</v>
      </c>
      <c r="AX11" s="159" t="s">
        <v>15</v>
      </c>
      <c r="AY11" s="158" t="s">
        <v>16</v>
      </c>
      <c r="AZ11" s="158" t="s">
        <v>8</v>
      </c>
      <c r="BA11" s="158" t="s">
        <v>9</v>
      </c>
      <c r="BB11" s="158" t="s">
        <v>10</v>
      </c>
      <c r="BC11" s="158" t="s">
        <v>11</v>
      </c>
      <c r="BD11" s="158" t="s">
        <v>12</v>
      </c>
      <c r="BE11" s="158" t="s">
        <v>13</v>
      </c>
      <c r="BF11" s="158" t="s">
        <v>14</v>
      </c>
      <c r="BG11" s="1066" t="s">
        <v>905</v>
      </c>
      <c r="BH11" s="160" t="s">
        <v>904</v>
      </c>
      <c r="BI11" s="1245" t="s">
        <v>976</v>
      </c>
      <c r="BJ11" s="1245" t="s">
        <v>536</v>
      </c>
      <c r="BK11" s="158" t="s">
        <v>3</v>
      </c>
      <c r="BL11" s="158" t="s">
        <v>4</v>
      </c>
      <c r="BM11" s="158" t="s">
        <v>5</v>
      </c>
      <c r="BN11" s="158" t="s">
        <v>6</v>
      </c>
      <c r="BO11" s="158" t="s">
        <v>7</v>
      </c>
      <c r="BP11" s="158" t="s">
        <v>15</v>
      </c>
      <c r="BQ11" s="159" t="s">
        <v>15</v>
      </c>
      <c r="BR11" s="158" t="s">
        <v>16</v>
      </c>
      <c r="BS11" s="1245" t="s">
        <v>1004</v>
      </c>
      <c r="BT11" s="1245" t="s">
        <v>536</v>
      </c>
      <c r="BU11" s="158" t="s">
        <v>8</v>
      </c>
      <c r="BV11" s="158" t="s">
        <v>9</v>
      </c>
      <c r="BW11" s="158" t="s">
        <v>10</v>
      </c>
      <c r="BX11" s="158" t="s">
        <v>11</v>
      </c>
      <c r="BY11" s="158" t="s">
        <v>12</v>
      </c>
      <c r="BZ11" s="158" t="s">
        <v>13</v>
      </c>
      <c r="CA11" s="158" t="s">
        <v>14</v>
      </c>
      <c r="CB11" s="1066" t="s">
        <v>989</v>
      </c>
      <c r="CC11" s="1066" t="s">
        <v>63</v>
      </c>
      <c r="CD11" s="158" t="s">
        <v>3</v>
      </c>
      <c r="CE11" s="158" t="s">
        <v>4</v>
      </c>
      <c r="CF11" s="158" t="s">
        <v>5</v>
      </c>
      <c r="CG11" s="158" t="s">
        <v>6</v>
      </c>
      <c r="CH11" s="158" t="s">
        <v>7</v>
      </c>
      <c r="CI11" s="1247" t="s">
        <v>1161</v>
      </c>
      <c r="CJ11" s="1247" t="s">
        <v>1134</v>
      </c>
      <c r="CK11" s="158" t="s">
        <v>15</v>
      </c>
      <c r="CL11" s="159" t="s">
        <v>15</v>
      </c>
      <c r="CM11" s="158" t="s">
        <v>16</v>
      </c>
      <c r="CN11" s="1245" t="s">
        <v>1057</v>
      </c>
      <c r="CO11" s="1245" t="s">
        <v>536</v>
      </c>
      <c r="CP11" s="158" t="s">
        <v>8</v>
      </c>
      <c r="CQ11" s="158" t="s">
        <v>9</v>
      </c>
      <c r="CR11" s="158" t="s">
        <v>10</v>
      </c>
      <c r="CS11" s="158" t="s">
        <v>11</v>
      </c>
      <c r="CT11" s="158" t="s">
        <v>12</v>
      </c>
      <c r="CU11" s="158" t="s">
        <v>13</v>
      </c>
      <c r="CV11" s="158" t="s">
        <v>14</v>
      </c>
      <c r="CW11" s="1066" t="s">
        <v>1058</v>
      </c>
      <c r="CX11" s="1067" t="s">
        <v>63</v>
      </c>
      <c r="CY11" s="158" t="s">
        <v>3</v>
      </c>
      <c r="CZ11" s="158" t="s">
        <v>4</v>
      </c>
      <c r="DA11" s="158" t="s">
        <v>5</v>
      </c>
      <c r="DB11" s="158" t="s">
        <v>6</v>
      </c>
      <c r="DC11" s="158" t="s">
        <v>7</v>
      </c>
      <c r="DD11" s="1247" t="s">
        <v>1252</v>
      </c>
      <c r="DE11" s="1247" t="s">
        <v>1253</v>
      </c>
      <c r="DF11" s="1247" t="s">
        <v>1253</v>
      </c>
      <c r="DG11" s="158" t="s">
        <v>15</v>
      </c>
      <c r="DH11" s="159" t="s">
        <v>15</v>
      </c>
      <c r="DI11" s="158" t="s">
        <v>16</v>
      </c>
      <c r="DJ11" s="1245" t="s">
        <v>1254</v>
      </c>
      <c r="DK11" s="1245" t="s">
        <v>536</v>
      </c>
      <c r="DL11" s="158" t="s">
        <v>8</v>
      </c>
      <c r="DM11" s="158" t="s">
        <v>9</v>
      </c>
      <c r="DN11" s="158" t="s">
        <v>10</v>
      </c>
      <c r="DO11" s="158" t="s">
        <v>11</v>
      </c>
      <c r="DP11" s="158" t="s">
        <v>12</v>
      </c>
      <c r="DQ11" s="158" t="s">
        <v>13</v>
      </c>
      <c r="DR11" s="158" t="s">
        <v>14</v>
      </c>
      <c r="DS11" s="158" t="s">
        <v>3</v>
      </c>
      <c r="DT11" s="158" t="s">
        <v>4</v>
      </c>
      <c r="DU11" s="158" t="s">
        <v>5</v>
      </c>
      <c r="DV11" s="158" t="s">
        <v>6</v>
      </c>
      <c r="DW11" s="158" t="s">
        <v>7</v>
      </c>
      <c r="DX11" s="158" t="s">
        <v>8</v>
      </c>
      <c r="DY11" s="158" t="s">
        <v>9</v>
      </c>
      <c r="DZ11" s="158" t="s">
        <v>10</v>
      </c>
      <c r="EA11" s="158" t="s">
        <v>11</v>
      </c>
      <c r="EB11" s="158" t="s">
        <v>12</v>
      </c>
      <c r="EC11" s="158" t="s">
        <v>13</v>
      </c>
      <c r="ED11" s="1247" t="s">
        <v>1274</v>
      </c>
      <c r="EE11" s="1247" t="s">
        <v>1263</v>
      </c>
    </row>
    <row r="12" spans="1:135" ht="22.5" x14ac:dyDescent="0.25">
      <c r="A12" s="1262"/>
      <c r="B12" s="1262"/>
      <c r="C12" s="167"/>
      <c r="D12" s="1264"/>
      <c r="E12" s="1255"/>
      <c r="F12" s="1255"/>
      <c r="G12" s="1255"/>
      <c r="H12" s="1255"/>
      <c r="I12" s="1255"/>
      <c r="J12" s="1255"/>
      <c r="K12" s="1255"/>
      <c r="L12" s="1255"/>
      <c r="M12" s="194">
        <v>42004</v>
      </c>
      <c r="N12" s="1255"/>
      <c r="O12" s="193">
        <v>42005</v>
      </c>
      <c r="P12" s="1257"/>
      <c r="Q12" s="1251" t="s">
        <v>18</v>
      </c>
      <c r="R12" s="1251" t="s">
        <v>18</v>
      </c>
      <c r="S12" s="1253"/>
      <c r="T12" s="1267"/>
      <c r="U12" s="1267"/>
      <c r="V12" s="1074" t="s">
        <v>903</v>
      </c>
      <c r="W12" s="1272"/>
      <c r="X12" s="1246"/>
      <c r="Y12" s="162" t="s">
        <v>20</v>
      </c>
      <c r="Z12" s="163" t="s">
        <v>21</v>
      </c>
      <c r="AA12" s="162" t="s">
        <v>22</v>
      </c>
      <c r="AB12" s="1246"/>
      <c r="AC12" s="1246"/>
      <c r="AD12" s="162">
        <v>2014</v>
      </c>
      <c r="AE12" s="162">
        <v>2014</v>
      </c>
      <c r="AF12" s="162">
        <v>2014</v>
      </c>
      <c r="AG12" s="162">
        <v>2014</v>
      </c>
      <c r="AH12" s="162">
        <f>2014</f>
        <v>2014</v>
      </c>
      <c r="AI12" s="162">
        <f>2014</f>
        <v>2014</v>
      </c>
      <c r="AJ12" s="162">
        <f>2014</f>
        <v>2014</v>
      </c>
      <c r="AK12" s="162">
        <f>2014</f>
        <v>2014</v>
      </c>
      <c r="AL12" s="162">
        <f>2014</f>
        <v>2014</v>
      </c>
      <c r="AM12" s="162">
        <f>2014</f>
        <v>2014</v>
      </c>
      <c r="AN12" s="162">
        <f>2014</f>
        <v>2014</v>
      </c>
      <c r="AO12" s="162">
        <f>2014</f>
        <v>2014</v>
      </c>
      <c r="AP12" s="162">
        <f>2014</f>
        <v>2014</v>
      </c>
      <c r="AQ12" s="162" t="s">
        <v>902</v>
      </c>
      <c r="AR12" s="162">
        <f>2015</f>
        <v>2015</v>
      </c>
      <c r="AS12" s="162">
        <f>2015</f>
        <v>2015</v>
      </c>
      <c r="AT12" s="162">
        <f>2015</f>
        <v>2015</v>
      </c>
      <c r="AU12" s="162">
        <f>2015</f>
        <v>2015</v>
      </c>
      <c r="AV12" s="162">
        <f>2015</f>
        <v>2015</v>
      </c>
      <c r="AW12" s="162" t="s">
        <v>20</v>
      </c>
      <c r="AX12" s="163" t="s">
        <v>21</v>
      </c>
      <c r="AY12" s="162" t="s">
        <v>22</v>
      </c>
      <c r="AZ12" s="162">
        <f>2015</f>
        <v>2015</v>
      </c>
      <c r="BA12" s="162">
        <f>2015</f>
        <v>2015</v>
      </c>
      <c r="BB12" s="162">
        <f>2015</f>
        <v>2015</v>
      </c>
      <c r="BC12" s="162">
        <f>2015</f>
        <v>2015</v>
      </c>
      <c r="BD12" s="162">
        <f>2015</f>
        <v>2015</v>
      </c>
      <c r="BE12" s="162">
        <f>2015</f>
        <v>2015</v>
      </c>
      <c r="BF12" s="162">
        <f>2015</f>
        <v>2015</v>
      </c>
      <c r="BG12" s="162">
        <v>2015</v>
      </c>
      <c r="BH12" s="162" t="s">
        <v>988</v>
      </c>
      <c r="BI12" s="1246"/>
      <c r="BJ12" s="1246"/>
      <c r="BK12" s="162">
        <v>2016</v>
      </c>
      <c r="BL12" s="162">
        <v>2016</v>
      </c>
      <c r="BM12" s="162">
        <v>2016</v>
      </c>
      <c r="BN12" s="162">
        <v>2016</v>
      </c>
      <c r="BO12" s="162">
        <v>2016</v>
      </c>
      <c r="BP12" s="162" t="s">
        <v>20</v>
      </c>
      <c r="BQ12" s="163" t="s">
        <v>21</v>
      </c>
      <c r="BR12" s="162" t="s">
        <v>22</v>
      </c>
      <c r="BS12" s="1246"/>
      <c r="BT12" s="1246"/>
      <c r="BU12" s="162">
        <v>2016</v>
      </c>
      <c r="BV12" s="162">
        <v>2016</v>
      </c>
      <c r="BW12" s="162">
        <v>2016</v>
      </c>
      <c r="BX12" s="162">
        <v>2016</v>
      </c>
      <c r="BY12" s="162">
        <v>2016</v>
      </c>
      <c r="BZ12" s="162">
        <v>2016</v>
      </c>
      <c r="CA12" s="162">
        <v>2016</v>
      </c>
      <c r="CB12" s="162">
        <v>2016</v>
      </c>
      <c r="CC12" s="162" t="s">
        <v>64</v>
      </c>
      <c r="CD12" s="162">
        <v>2017</v>
      </c>
      <c r="CE12" s="162">
        <v>2017</v>
      </c>
      <c r="CF12" s="162">
        <v>2017</v>
      </c>
      <c r="CG12" s="162">
        <v>2017</v>
      </c>
      <c r="CH12" s="162">
        <v>2017</v>
      </c>
      <c r="CI12" s="1248"/>
      <c r="CJ12" s="1248"/>
      <c r="CK12" s="162" t="s">
        <v>20</v>
      </c>
      <c r="CL12" s="163" t="s">
        <v>21</v>
      </c>
      <c r="CM12" s="162" t="s">
        <v>22</v>
      </c>
      <c r="CN12" s="1246"/>
      <c r="CO12" s="1246"/>
      <c r="CP12" s="162">
        <v>2017</v>
      </c>
      <c r="CQ12" s="162">
        <v>2017</v>
      </c>
      <c r="CR12" s="162">
        <v>2017</v>
      </c>
      <c r="CS12" s="162">
        <v>2017</v>
      </c>
      <c r="CT12" s="162">
        <v>2017</v>
      </c>
      <c r="CU12" s="162">
        <v>2017</v>
      </c>
      <c r="CV12" s="162">
        <v>2017</v>
      </c>
      <c r="CW12" s="162">
        <v>2017</v>
      </c>
      <c r="CX12" s="162" t="s">
        <v>64</v>
      </c>
      <c r="CY12" s="162">
        <v>2018</v>
      </c>
      <c r="CZ12" s="162">
        <v>2018</v>
      </c>
      <c r="DA12" s="162">
        <v>2018</v>
      </c>
      <c r="DB12" s="162">
        <v>2018</v>
      </c>
      <c r="DC12" s="162">
        <v>2018</v>
      </c>
      <c r="DD12" s="1248"/>
      <c r="DE12" s="1248"/>
      <c r="DF12" s="1248"/>
      <c r="DG12" s="162" t="s">
        <v>20</v>
      </c>
      <c r="DH12" s="163" t="s">
        <v>21</v>
      </c>
      <c r="DI12" s="162" t="s">
        <v>22</v>
      </c>
      <c r="DJ12" s="1246"/>
      <c r="DK12" s="1246"/>
      <c r="DL12" s="162">
        <v>2018</v>
      </c>
      <c r="DM12" s="162">
        <v>2018</v>
      </c>
      <c r="DN12" s="162">
        <v>2018</v>
      </c>
      <c r="DO12" s="162">
        <v>2018</v>
      </c>
      <c r="DP12" s="162">
        <v>2018</v>
      </c>
      <c r="DQ12" s="162">
        <v>2018</v>
      </c>
      <c r="DR12" s="162">
        <v>2018</v>
      </c>
      <c r="DS12" s="162">
        <v>2019</v>
      </c>
      <c r="DT12" s="162">
        <v>2019</v>
      </c>
      <c r="DU12" s="162">
        <v>2019</v>
      </c>
      <c r="DV12" s="162">
        <v>2019</v>
      </c>
      <c r="DW12" s="162">
        <v>2019</v>
      </c>
      <c r="DX12" s="162">
        <v>2019</v>
      </c>
      <c r="DY12" s="162">
        <v>2019</v>
      </c>
      <c r="DZ12" s="162">
        <v>2019</v>
      </c>
      <c r="EA12" s="162">
        <v>2019</v>
      </c>
      <c r="EB12" s="162">
        <v>2019</v>
      </c>
      <c r="EC12" s="162">
        <v>2019</v>
      </c>
      <c r="ED12" s="1248"/>
      <c r="EE12" s="1248"/>
    </row>
    <row r="13" spans="1:135" x14ac:dyDescent="0.2">
      <c r="A13" s="375" t="s">
        <v>632</v>
      </c>
      <c r="B13" s="368"/>
      <c r="C13" s="131"/>
      <c r="D13" s="130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19"/>
      <c r="R13" s="119"/>
      <c r="S13" s="134"/>
      <c r="T13" s="134"/>
      <c r="U13" s="108"/>
      <c r="V13" s="66"/>
      <c r="W13" s="66"/>
      <c r="X13" s="81"/>
      <c r="Y13" s="66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73"/>
      <c r="AP13" s="73"/>
      <c r="AQ13" s="73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2"/>
      <c r="BH13" s="62"/>
      <c r="BI13" s="55"/>
      <c r="BJ13" s="55"/>
      <c r="BK13" s="55"/>
      <c r="BL13" s="55"/>
      <c r="BM13" s="55"/>
      <c r="BN13" s="55"/>
      <c r="BO13" s="55"/>
      <c r="BP13" s="66"/>
      <c r="BQ13" s="65"/>
      <c r="BR13" s="65"/>
      <c r="BS13" s="65"/>
      <c r="BT13" s="65"/>
      <c r="BU13" s="55"/>
      <c r="BV13" s="55"/>
      <c r="BW13" s="55"/>
      <c r="BX13" s="55"/>
      <c r="BY13" s="55"/>
      <c r="BZ13" s="55"/>
      <c r="CA13" s="55"/>
      <c r="CB13" s="55"/>
      <c r="CC13" s="448"/>
      <c r="CD13" s="55"/>
      <c r="CE13" s="55"/>
      <c r="CF13" s="55"/>
      <c r="CG13" s="55"/>
      <c r="CH13" s="55"/>
      <c r="CI13" s="55"/>
      <c r="CJ13" s="55"/>
      <c r="CK13" s="66"/>
      <c r="CL13" s="65"/>
      <c r="CM13" s="65"/>
      <c r="CN13" s="65"/>
      <c r="CO13" s="65"/>
      <c r="CP13" s="55"/>
      <c r="CQ13" s="55"/>
      <c r="CR13" s="55"/>
      <c r="CS13" s="55"/>
      <c r="CT13" s="55"/>
      <c r="CU13" s="55"/>
      <c r="CV13" s="55"/>
      <c r="CW13" s="55"/>
      <c r="CX13" s="448"/>
      <c r="CY13" s="968"/>
      <c r="CZ13" s="505"/>
      <c r="DA13" s="505"/>
      <c r="DB13" s="505"/>
      <c r="DC13" s="505"/>
      <c r="DD13" s="505"/>
      <c r="DE13" s="505"/>
      <c r="DF13" s="50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</row>
    <row r="14" spans="1:135" x14ac:dyDescent="0.2">
      <c r="A14" s="45" t="s">
        <v>901</v>
      </c>
      <c r="B14" s="176" t="s">
        <v>875</v>
      </c>
      <c r="C14" s="58">
        <f>5</f>
        <v>5</v>
      </c>
      <c r="D14" s="49">
        <v>0.2</v>
      </c>
      <c r="E14" s="46">
        <v>43281</v>
      </c>
      <c r="F14" s="48">
        <f>C14*12</f>
        <v>60</v>
      </c>
      <c r="G14" s="145">
        <f t="shared" ref="G14:G21" si="0">100/F14</f>
        <v>1.6666666666666667</v>
      </c>
      <c r="H14" s="165">
        <f t="shared" ref="H14:H21" si="1">G14*I14</f>
        <v>153.33333333333334</v>
      </c>
      <c r="I14" s="48">
        <f>(YEAR(E14)-YEAR(R14))*12+MONTH(E14)-MONTH(R14)</f>
        <v>92</v>
      </c>
      <c r="J14" s="165">
        <f t="shared" ref="J14:J21" si="2">K14*G14</f>
        <v>-53.333333333333336</v>
      </c>
      <c r="K14" s="48">
        <f t="shared" ref="K14:K21" si="3">F14-I14</f>
        <v>-32</v>
      </c>
      <c r="L14" s="165">
        <f t="shared" ref="L14:L21" si="4">M14*G14</f>
        <v>11.666666666666668</v>
      </c>
      <c r="M14" s="48">
        <v>7</v>
      </c>
      <c r="N14" s="165">
        <f t="shared" ref="N14:N21" si="5">O14*G14</f>
        <v>-65</v>
      </c>
      <c r="O14" s="48">
        <f t="shared" ref="O14:O21" si="6">K14-M14</f>
        <v>-39</v>
      </c>
      <c r="P14" s="46">
        <f t="shared" ref="P14:P21" si="7">DATE(YEAR(R14),MONTH(R14)+F14,DAY(R14))</f>
        <v>42278</v>
      </c>
      <c r="Q14" s="46"/>
      <c r="R14" s="365">
        <v>40452</v>
      </c>
      <c r="S14" s="364">
        <v>256662</v>
      </c>
      <c r="T14" s="47">
        <f t="shared" ref="T14:T21" si="8">S14*H14%</f>
        <v>393548.4</v>
      </c>
      <c r="U14" s="165">
        <f t="shared" ref="U14:U21" si="9">S14-(((2014-YEAR(R14))*12-MONTH(R14))*V14)</f>
        <v>94109.4</v>
      </c>
      <c r="V14" s="165">
        <f t="shared" ref="V14:V21" si="10">S14*G14%</f>
        <v>4277.7</v>
      </c>
      <c r="W14" s="165">
        <f t="shared" ref="W14:W21" si="11">V14*5</f>
        <v>21388.5</v>
      </c>
      <c r="X14" s="80">
        <f t="shared" ref="X14:X21" si="12">U14-W14</f>
        <v>72720.899999999994</v>
      </c>
      <c r="Y14" s="57">
        <f t="shared" ref="Y14:Y21" si="13">112.722</f>
        <v>112.72199999999999</v>
      </c>
      <c r="Z14" s="357">
        <v>142.78200000000001</v>
      </c>
      <c r="AA14" s="352">
        <f t="shared" ref="AA14:AA21" si="14">Y14/Z14</f>
        <v>0.78946926083119706</v>
      </c>
      <c r="AB14" s="55">
        <f t="shared" ref="AB14:AB21" si="15">X14*L14/100/J14*100/7</f>
        <v>-2272.5281249999998</v>
      </c>
      <c r="AC14" s="55">
        <f t="shared" ref="AC14:AC21" si="16">AB14*AA14</f>
        <v>-1794.0910990618561</v>
      </c>
      <c r="AD14" s="55"/>
      <c r="AE14" s="55"/>
      <c r="AF14" s="55"/>
      <c r="AG14" s="55"/>
      <c r="AH14" s="55"/>
      <c r="AI14" s="55">
        <f t="shared" ref="AI14:AO21" si="17">$AC14</f>
        <v>-1794.0910990618561</v>
      </c>
      <c r="AJ14" s="55">
        <f t="shared" si="17"/>
        <v>-1794.0910990618561</v>
      </c>
      <c r="AK14" s="55">
        <f t="shared" si="17"/>
        <v>-1794.0910990618561</v>
      </c>
      <c r="AL14" s="55">
        <f t="shared" si="17"/>
        <v>-1794.0910990618561</v>
      </c>
      <c r="AM14" s="55">
        <f t="shared" si="17"/>
        <v>-1794.0910990618561</v>
      </c>
      <c r="AN14" s="55">
        <f t="shared" si="17"/>
        <v>-1794.0910990618561</v>
      </c>
      <c r="AO14" s="55">
        <f t="shared" si="17"/>
        <v>-1794.0910990618561</v>
      </c>
      <c r="AP14" s="72">
        <f>SUM(AI14:AO14)</f>
        <v>-12558.637693432993</v>
      </c>
      <c r="AQ14" s="72">
        <f>X14-AP14</f>
        <v>85279.537693432983</v>
      </c>
      <c r="AR14" s="55">
        <f>$AC14</f>
        <v>-1794.0910990618561</v>
      </c>
      <c r="AS14" s="55">
        <f>$AC14</f>
        <v>-1794.0910990618561</v>
      </c>
      <c r="AT14" s="55">
        <f>$AC14</f>
        <v>-1794.0910990618561</v>
      </c>
      <c r="AU14" s="55">
        <f>$AC14</f>
        <v>-1794.0910990618561</v>
      </c>
      <c r="AV14" s="55">
        <f>$AC14</f>
        <v>-1794.0910990618561</v>
      </c>
      <c r="AW14" s="374">
        <v>115.958</v>
      </c>
      <c r="AX14" s="357">
        <v>142.78200000000001</v>
      </c>
      <c r="AY14" s="55">
        <f t="shared" ref="AY14:AY21" si="18">AW14/AX14</f>
        <v>0.81213318205376017</v>
      </c>
      <c r="AZ14" s="55">
        <f>V14*AY14</f>
        <v>3474.0621128713697</v>
      </c>
      <c r="BA14" s="55">
        <f t="shared" ref="BA14:BF15" si="19">$AZ14</f>
        <v>3474.0621128713697</v>
      </c>
      <c r="BB14" s="55">
        <f t="shared" si="19"/>
        <v>3474.0621128713697</v>
      </c>
      <c r="BC14" s="55">
        <f t="shared" si="19"/>
        <v>3474.0621128713697</v>
      </c>
      <c r="BD14" s="55">
        <f t="shared" si="19"/>
        <v>3474.0621128713697</v>
      </c>
      <c r="BE14" s="55">
        <f t="shared" si="19"/>
        <v>3474.0621128713697</v>
      </c>
      <c r="BF14" s="55">
        <f t="shared" si="19"/>
        <v>3474.0621128713697</v>
      </c>
      <c r="BG14" s="62">
        <f t="shared" ref="BG14:BG21" si="20">(SUM(AR14:AV14))+(SUM(AZ14:BF14))</f>
        <v>15347.979294790304</v>
      </c>
      <c r="BH14" s="62">
        <f>AQ14-BG14</f>
        <v>69931.558398642679</v>
      </c>
      <c r="BI14" s="55"/>
      <c r="BJ14" s="55"/>
      <c r="BK14" s="55">
        <f>3474.06</f>
        <v>3474.06</v>
      </c>
      <c r="BL14" s="55">
        <v>1869.22</v>
      </c>
      <c r="BM14" s="55"/>
      <c r="BN14" s="55"/>
      <c r="BO14" s="55"/>
      <c r="BP14" s="57">
        <v>118.901</v>
      </c>
      <c r="BQ14" s="357">
        <v>142.78200000000001</v>
      </c>
      <c r="BR14" s="352">
        <f>BP14/BQ14</f>
        <v>0.83274502388256211</v>
      </c>
      <c r="BS14" s="55">
        <f>S14/(C14*12)</f>
        <v>4277.7</v>
      </c>
      <c r="BT14" s="55">
        <f>BS14*BR14</f>
        <v>3562.2333886624356</v>
      </c>
      <c r="BU14" s="55"/>
      <c r="BV14" s="55"/>
      <c r="BW14" s="55"/>
      <c r="BX14" s="55"/>
      <c r="BY14" s="55"/>
      <c r="BZ14" s="55"/>
      <c r="CA14" s="55"/>
      <c r="CB14" s="55">
        <f>SUM((BK14:BO14),(BU14:CA14))</f>
        <v>5343.28</v>
      </c>
      <c r="CC14" s="448">
        <f t="shared" ref="CC14:CC21" si="21">(BH14-CB14)</f>
        <v>64588.27839864268</v>
      </c>
      <c r="CD14" s="55"/>
      <c r="CE14" s="55"/>
      <c r="CF14" s="55"/>
      <c r="CG14" s="55"/>
      <c r="CH14" s="55"/>
      <c r="CI14" s="55"/>
      <c r="CJ14" s="448">
        <f t="shared" ref="CJ14:CJ21" si="22">CC14-CI14</f>
        <v>64588.27839864268</v>
      </c>
      <c r="CK14" s="57">
        <v>126.408</v>
      </c>
      <c r="CL14" s="357">
        <v>142.78200000000001</v>
      </c>
      <c r="CM14" s="352">
        <f t="shared" ref="CM14:CM21" si="23">CK14/CL14</f>
        <v>0.88532167920326088</v>
      </c>
      <c r="CN14" s="55">
        <v>0</v>
      </c>
      <c r="CO14" s="55">
        <f t="shared" ref="CO14:CO21" si="24">CN14*CM14</f>
        <v>0</v>
      </c>
      <c r="CP14" s="55">
        <v>0</v>
      </c>
      <c r="CQ14" s="55"/>
      <c r="CR14" s="55"/>
      <c r="CS14" s="55"/>
      <c r="CT14" s="55"/>
      <c r="CU14" s="55"/>
      <c r="CV14" s="55"/>
      <c r="CW14" s="55">
        <f>SUM((CD14:CH14),(CP14:CV14))</f>
        <v>0</v>
      </c>
      <c r="CX14" s="448">
        <f>CC14-CW14</f>
        <v>64588.27839864268</v>
      </c>
      <c r="CY14" s="55"/>
      <c r="CZ14" s="55"/>
      <c r="DA14" s="505"/>
      <c r="DB14" s="505"/>
      <c r="DC14" s="505"/>
      <c r="DD14" s="505">
        <f t="shared" ref="DD14:DD21" si="25">SUM(CY14:DC14)</f>
        <v>0</v>
      </c>
      <c r="DE14" s="679">
        <f>CX14-DD14</f>
        <v>64588.27839864268</v>
      </c>
      <c r="DF14" s="679">
        <v>0.99883241586121585</v>
      </c>
      <c r="DG14" s="55">
        <v>132.28200000000001</v>
      </c>
      <c r="DH14" s="357">
        <v>142.78200000000001</v>
      </c>
      <c r="DI14" s="957">
        <f>DG14/DH14</f>
        <v>0.92646131865361181</v>
      </c>
      <c r="DJ14" s="55">
        <v>0</v>
      </c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>
        <f>SUM(DL14:DR14)</f>
        <v>0</v>
      </c>
      <c r="EE14" s="55">
        <f t="shared" ref="EE14:EE24" si="26">DF14-ED14</f>
        <v>0.99883241586121585</v>
      </c>
    </row>
    <row r="15" spans="1:135" x14ac:dyDescent="0.2">
      <c r="A15" s="45" t="s">
        <v>900</v>
      </c>
      <c r="B15" s="176" t="s">
        <v>874</v>
      </c>
      <c r="C15" s="58">
        <f>5</f>
        <v>5</v>
      </c>
      <c r="D15" s="49">
        <v>0.2</v>
      </c>
      <c r="E15" s="46">
        <v>43281</v>
      </c>
      <c r="F15" s="48">
        <f t="shared" ref="F15:F21" si="27">C15*12</f>
        <v>60</v>
      </c>
      <c r="G15" s="145">
        <f t="shared" si="0"/>
        <v>1.6666666666666667</v>
      </c>
      <c r="H15" s="165">
        <f t="shared" si="1"/>
        <v>176.66666666666669</v>
      </c>
      <c r="I15" s="48">
        <f>(YEAR(E15)-YEAR(R15))*12+MONTH(E15)-MONTH(R15)</f>
        <v>106</v>
      </c>
      <c r="J15" s="165">
        <f t="shared" si="2"/>
        <v>-76.666666666666671</v>
      </c>
      <c r="K15" s="48">
        <f t="shared" si="3"/>
        <v>-46</v>
      </c>
      <c r="L15" s="165">
        <f t="shared" si="4"/>
        <v>11.666666666666668</v>
      </c>
      <c r="M15" s="48">
        <v>7</v>
      </c>
      <c r="N15" s="165">
        <f t="shared" si="5"/>
        <v>-88.333333333333343</v>
      </c>
      <c r="O15" s="48">
        <f t="shared" si="6"/>
        <v>-53</v>
      </c>
      <c r="P15" s="46">
        <f t="shared" si="7"/>
        <v>41878</v>
      </c>
      <c r="Q15" s="46"/>
      <c r="R15" s="365">
        <v>40052</v>
      </c>
      <c r="S15" s="364">
        <v>253500</v>
      </c>
      <c r="T15" s="47">
        <f t="shared" si="8"/>
        <v>447850.00000000006</v>
      </c>
      <c r="U15" s="165">
        <f t="shared" si="9"/>
        <v>33800</v>
      </c>
      <c r="V15" s="165">
        <f t="shared" si="10"/>
        <v>4225</v>
      </c>
      <c r="W15" s="165">
        <f t="shared" si="11"/>
        <v>21125</v>
      </c>
      <c r="X15" s="80">
        <f t="shared" si="12"/>
        <v>12675</v>
      </c>
      <c r="Y15" s="57">
        <f t="shared" si="13"/>
        <v>112.72199999999999</v>
      </c>
      <c r="Z15" s="357">
        <v>136.161</v>
      </c>
      <c r="AA15" s="55">
        <f t="shared" si="14"/>
        <v>0.82785819728115972</v>
      </c>
      <c r="AB15" s="55">
        <f t="shared" si="15"/>
        <v>-275.54347826086956</v>
      </c>
      <c r="AC15" s="55">
        <f t="shared" si="16"/>
        <v>-228.11092718562389</v>
      </c>
      <c r="AD15" s="55"/>
      <c r="AE15" s="55"/>
      <c r="AF15" s="55"/>
      <c r="AG15" s="55"/>
      <c r="AH15" s="55"/>
      <c r="AI15" s="55">
        <f t="shared" si="17"/>
        <v>-228.11092718562389</v>
      </c>
      <c r="AJ15" s="55">
        <f t="shared" si="17"/>
        <v>-228.11092718562389</v>
      </c>
      <c r="AK15" s="55">
        <v>2181.9</v>
      </c>
      <c r="AL15" s="55"/>
      <c r="AM15" s="55"/>
      <c r="AN15" s="55"/>
      <c r="AO15" s="55"/>
      <c r="AP15" s="72">
        <f t="shared" ref="AP15:AP21" si="28">SUM(AI15:AN15)</f>
        <v>1725.6781456287522</v>
      </c>
      <c r="AQ15" s="72">
        <v>1</v>
      </c>
      <c r="AR15" s="55"/>
      <c r="AS15" s="55"/>
      <c r="AT15" s="55"/>
      <c r="AU15" s="55"/>
      <c r="AV15" s="55"/>
      <c r="AW15" s="374">
        <v>115.958</v>
      </c>
      <c r="AX15" s="357">
        <v>136.161</v>
      </c>
      <c r="AY15" s="55">
        <f t="shared" si="18"/>
        <v>0.85162418019844155</v>
      </c>
      <c r="AZ15" s="55"/>
      <c r="BA15" s="55">
        <f t="shared" si="19"/>
        <v>0</v>
      </c>
      <c r="BB15" s="55">
        <f t="shared" si="19"/>
        <v>0</v>
      </c>
      <c r="BC15" s="55">
        <f t="shared" si="19"/>
        <v>0</v>
      </c>
      <c r="BD15" s="55">
        <f t="shared" si="19"/>
        <v>0</v>
      </c>
      <c r="BE15" s="55">
        <f t="shared" si="19"/>
        <v>0</v>
      </c>
      <c r="BF15" s="55">
        <f>$AZ15</f>
        <v>0</v>
      </c>
      <c r="BG15" s="62">
        <f t="shared" si="20"/>
        <v>0</v>
      </c>
      <c r="BH15" s="62">
        <f>AQ15-BG15</f>
        <v>1</v>
      </c>
      <c r="BI15" s="55"/>
      <c r="BJ15" s="55"/>
      <c r="BK15" s="55"/>
      <c r="BL15" s="55"/>
      <c r="BM15" s="55"/>
      <c r="BN15" s="55"/>
      <c r="BO15" s="55"/>
      <c r="BP15" s="57">
        <v>118.901</v>
      </c>
      <c r="BQ15" s="357">
        <v>136.161</v>
      </c>
      <c r="BR15" s="352">
        <f t="shared" ref="BR15:BR21" si="29">BP15/BQ15</f>
        <v>0.87323829877865167</v>
      </c>
      <c r="BS15" s="55">
        <f t="shared" ref="BS15:BS21" si="30">S15/(C15*12)</f>
        <v>4225</v>
      </c>
      <c r="BT15" s="55">
        <f t="shared" ref="BT15:BT21" si="31">BS15*BR15</f>
        <v>3689.4318123398034</v>
      </c>
      <c r="BU15" s="55"/>
      <c r="BV15" s="55"/>
      <c r="BW15" s="55"/>
      <c r="BX15" s="55"/>
      <c r="BY15" s="55"/>
      <c r="BZ15" s="55"/>
      <c r="CA15" s="55"/>
      <c r="CB15" s="55">
        <f t="shared" ref="CB15:CB21" si="32">SUM((BK15:BO15),(BU15:CA15))</f>
        <v>0</v>
      </c>
      <c r="CC15" s="448">
        <f t="shared" si="21"/>
        <v>1</v>
      </c>
      <c r="CD15" s="55"/>
      <c r="CE15" s="55"/>
      <c r="CF15" s="55"/>
      <c r="CG15" s="55"/>
      <c r="CH15" s="55"/>
      <c r="CI15" s="55"/>
      <c r="CJ15" s="448">
        <f t="shared" si="22"/>
        <v>1</v>
      </c>
      <c r="CK15" s="57">
        <v>126.408</v>
      </c>
      <c r="CL15" s="357">
        <v>136.161</v>
      </c>
      <c r="CM15" s="352">
        <f t="shared" si="23"/>
        <v>0.92837156013836564</v>
      </c>
      <c r="CN15" s="55">
        <f>AL15/(V15*12)</f>
        <v>0</v>
      </c>
      <c r="CO15" s="55">
        <f t="shared" si="24"/>
        <v>0</v>
      </c>
      <c r="CP15" s="55">
        <v>0</v>
      </c>
      <c r="CQ15" s="55"/>
      <c r="CR15" s="55"/>
      <c r="CS15" s="55"/>
      <c r="CT15" s="55"/>
      <c r="CU15" s="55"/>
      <c r="CV15" s="55"/>
      <c r="CW15" s="55">
        <f>SUM((CD15:CH15),(CP15:CV15))</f>
        <v>0</v>
      </c>
      <c r="CX15" s="448">
        <f>CC15-CW15</f>
        <v>1</v>
      </c>
      <c r="CY15" s="55"/>
      <c r="CZ15" s="55"/>
      <c r="DA15" s="505"/>
      <c r="DB15" s="505"/>
      <c r="DC15" s="505"/>
      <c r="DD15" s="505">
        <f t="shared" si="25"/>
        <v>0</v>
      </c>
      <c r="DE15" s="679">
        <f>CX15-DD15</f>
        <v>1</v>
      </c>
      <c r="DF15" s="679">
        <v>1</v>
      </c>
      <c r="DG15" s="55">
        <v>132.28200000000001</v>
      </c>
      <c r="DH15" s="357">
        <v>136.161</v>
      </c>
      <c r="DI15" s="957">
        <f>DG15/DH15</f>
        <v>0.97151166633617558</v>
      </c>
      <c r="DJ15" s="511">
        <v>0</v>
      </c>
      <c r="DK15" s="511"/>
      <c r="DL15" s="511"/>
      <c r="DM15" s="511"/>
      <c r="DN15" s="511"/>
      <c r="DO15" s="511"/>
      <c r="DP15" s="511"/>
      <c r="DQ15" s="511"/>
      <c r="DR15" s="511"/>
      <c r="DS15" s="511"/>
      <c r="DT15" s="511"/>
      <c r="DU15" s="511"/>
      <c r="DV15" s="511"/>
      <c r="DW15" s="511"/>
      <c r="DX15" s="511"/>
      <c r="DY15" s="511"/>
      <c r="DZ15" s="511"/>
      <c r="EA15" s="511"/>
      <c r="EB15" s="511"/>
      <c r="EC15" s="511"/>
      <c r="ED15" s="55">
        <f t="shared" ref="ED15:ED17" si="33">SUM(DL15:DR15)</f>
        <v>0</v>
      </c>
      <c r="EE15" s="55">
        <f t="shared" si="26"/>
        <v>1</v>
      </c>
    </row>
    <row r="16" spans="1:135" x14ac:dyDescent="0.2">
      <c r="A16" s="45" t="s">
        <v>899</v>
      </c>
      <c r="B16" s="176" t="s">
        <v>873</v>
      </c>
      <c r="C16" s="58">
        <f>5</f>
        <v>5</v>
      </c>
      <c r="D16" s="49">
        <v>0.2</v>
      </c>
      <c r="E16" s="46">
        <v>43281</v>
      </c>
      <c r="F16" s="48">
        <f t="shared" si="27"/>
        <v>60</v>
      </c>
      <c r="G16" s="145">
        <f t="shared" si="0"/>
        <v>1.6666666666666667</v>
      </c>
      <c r="H16" s="165">
        <f t="shared" si="1"/>
        <v>168.33333333333334</v>
      </c>
      <c r="I16" s="48">
        <f>(YEAR(E16)-YEAR(R16))*12+MONTH(E16)-MONTH(R16)</f>
        <v>101</v>
      </c>
      <c r="J16" s="165">
        <f t="shared" si="2"/>
        <v>-68.333333333333343</v>
      </c>
      <c r="K16" s="48">
        <f t="shared" si="3"/>
        <v>-41</v>
      </c>
      <c r="L16" s="165">
        <f t="shared" si="4"/>
        <v>11.666666666666668</v>
      </c>
      <c r="M16" s="48">
        <v>7</v>
      </c>
      <c r="N16" s="165">
        <f t="shared" si="5"/>
        <v>-80</v>
      </c>
      <c r="O16" s="48">
        <f t="shared" si="6"/>
        <v>-48</v>
      </c>
      <c r="P16" s="46">
        <f t="shared" si="7"/>
        <v>42026</v>
      </c>
      <c r="Q16" s="46"/>
      <c r="R16" s="365">
        <v>40200</v>
      </c>
      <c r="S16" s="364">
        <v>112000</v>
      </c>
      <c r="T16" s="47">
        <f t="shared" si="8"/>
        <v>188533.33333333334</v>
      </c>
      <c r="U16" s="165">
        <f t="shared" si="9"/>
        <v>24266.666666666657</v>
      </c>
      <c r="V16" s="165">
        <f t="shared" si="10"/>
        <v>1866.6666666666667</v>
      </c>
      <c r="W16" s="165">
        <f t="shared" si="11"/>
        <v>9333.3333333333339</v>
      </c>
      <c r="X16" s="80">
        <f t="shared" si="12"/>
        <v>14933.333333333323</v>
      </c>
      <c r="Y16" s="57">
        <f t="shared" si="13"/>
        <v>112.72199999999999</v>
      </c>
      <c r="Z16" s="357">
        <v>140.047</v>
      </c>
      <c r="AA16" s="55">
        <f t="shared" si="14"/>
        <v>0.8048869308160832</v>
      </c>
      <c r="AB16" s="55">
        <f t="shared" si="15"/>
        <v>-364.2276422764225</v>
      </c>
      <c r="AC16" s="55">
        <f t="shared" si="16"/>
        <v>-293.16206911024796</v>
      </c>
      <c r="AD16" s="55"/>
      <c r="AE16" s="55"/>
      <c r="AF16" s="55"/>
      <c r="AG16" s="55"/>
      <c r="AH16" s="55"/>
      <c r="AI16" s="55">
        <f t="shared" si="17"/>
        <v>-293.16206911024796</v>
      </c>
      <c r="AJ16" s="55">
        <f t="shared" si="17"/>
        <v>-293.16206911024796</v>
      </c>
      <c r="AK16" s="55">
        <f t="shared" si="17"/>
        <v>-293.16206911024796</v>
      </c>
      <c r="AL16" s="55">
        <f t="shared" si="17"/>
        <v>-293.16206911024796</v>
      </c>
      <c r="AM16" s="55">
        <f t="shared" si="17"/>
        <v>-293.16206911024796</v>
      </c>
      <c r="AN16" s="55">
        <f t="shared" si="17"/>
        <v>-293.16206911024796</v>
      </c>
      <c r="AO16" s="55">
        <f t="shared" si="17"/>
        <v>-293.16206911024796</v>
      </c>
      <c r="AP16" s="72">
        <f t="shared" si="28"/>
        <v>-1758.9724146614878</v>
      </c>
      <c r="AQ16" s="72">
        <f t="shared" ref="AQ16:AQ21" si="34">X16-AP16</f>
        <v>16692.305747994811</v>
      </c>
      <c r="AR16" s="55">
        <f>$AC16</f>
        <v>-293.16206911024796</v>
      </c>
      <c r="AS16" s="55">
        <f>$AC16</f>
        <v>-293.16206911024796</v>
      </c>
      <c r="AT16" s="55">
        <v>1196.5999999999999</v>
      </c>
      <c r="AU16" s="55"/>
      <c r="AV16" s="55"/>
      <c r="AW16" s="374">
        <v>115.958</v>
      </c>
      <c r="AX16" s="357">
        <v>140.047</v>
      </c>
      <c r="AY16" s="55">
        <f t="shared" si="18"/>
        <v>0.82799345933865065</v>
      </c>
      <c r="AZ16" s="55"/>
      <c r="BA16" s="55"/>
      <c r="BB16" s="55"/>
      <c r="BC16" s="55"/>
      <c r="BD16" s="55"/>
      <c r="BE16" s="55"/>
      <c r="BF16" s="55"/>
      <c r="BG16" s="62">
        <f t="shared" si="20"/>
        <v>610.275861779504</v>
      </c>
      <c r="BH16" s="62">
        <v>1</v>
      </c>
      <c r="BI16" s="55"/>
      <c r="BJ16" s="55"/>
      <c r="BK16" s="55"/>
      <c r="BL16" s="55"/>
      <c r="BM16" s="55"/>
      <c r="BN16" s="55"/>
      <c r="BO16" s="55"/>
      <c r="BP16" s="57">
        <v>118.901</v>
      </c>
      <c r="BQ16" s="357">
        <v>140.047</v>
      </c>
      <c r="BR16" s="352">
        <f t="shared" si="29"/>
        <v>0.84900783308460726</v>
      </c>
      <c r="BS16" s="55">
        <f t="shared" si="30"/>
        <v>1866.6666666666667</v>
      </c>
      <c r="BT16" s="55">
        <f t="shared" si="31"/>
        <v>1584.8146217579335</v>
      </c>
      <c r="BU16" s="55"/>
      <c r="BV16" s="55"/>
      <c r="BW16" s="55"/>
      <c r="BX16" s="55"/>
      <c r="BY16" s="55"/>
      <c r="BZ16" s="55"/>
      <c r="CA16" s="55"/>
      <c r="CB16" s="55">
        <f t="shared" si="32"/>
        <v>0</v>
      </c>
      <c r="CC16" s="448">
        <f t="shared" si="21"/>
        <v>1</v>
      </c>
      <c r="CD16" s="55"/>
      <c r="CE16" s="55"/>
      <c r="CF16" s="55"/>
      <c r="CG16" s="55"/>
      <c r="CH16" s="55"/>
      <c r="CI16" s="55"/>
      <c r="CJ16" s="448">
        <f t="shared" si="22"/>
        <v>1</v>
      </c>
      <c r="CK16" s="57">
        <v>126.408</v>
      </c>
      <c r="CL16" s="357">
        <v>140.047</v>
      </c>
      <c r="CM16" s="352">
        <f t="shared" si="23"/>
        <v>0.90261126621776977</v>
      </c>
      <c r="CN16" s="55">
        <v>0</v>
      </c>
      <c r="CO16" s="55">
        <f t="shared" si="24"/>
        <v>0</v>
      </c>
      <c r="CP16" s="55">
        <v>0</v>
      </c>
      <c r="CQ16" s="55"/>
      <c r="CR16" s="55"/>
      <c r="CS16" s="55"/>
      <c r="CT16" s="55"/>
      <c r="CU16" s="55"/>
      <c r="CV16" s="55"/>
      <c r="CW16" s="55">
        <f>SUM((CD16:CH16),(CP16:CV16))</f>
        <v>0</v>
      </c>
      <c r="CX16" s="448">
        <f>CC16-CW16</f>
        <v>1</v>
      </c>
      <c r="CY16" s="55"/>
      <c r="CZ16" s="55"/>
      <c r="DA16" s="55"/>
      <c r="DB16" s="55"/>
      <c r="DC16" s="55"/>
      <c r="DD16" s="505">
        <f t="shared" si="25"/>
        <v>0</v>
      </c>
      <c r="DE16" s="679">
        <f t="shared" ref="DE16:DE24" si="35">CX16-DD16</f>
        <v>1</v>
      </c>
      <c r="DF16" s="679">
        <v>1</v>
      </c>
      <c r="DG16" s="55">
        <v>132.28200000000001</v>
      </c>
      <c r="DH16" s="357">
        <v>140.047</v>
      </c>
      <c r="DI16" s="957">
        <f t="shared" ref="DI16:DI21" si="36">DG16/DH16</f>
        <v>0.9445543281898221</v>
      </c>
      <c r="DJ16" s="511">
        <v>0</v>
      </c>
      <c r="DK16" s="511"/>
      <c r="DL16" s="511"/>
      <c r="DM16" s="511"/>
      <c r="DN16" s="511"/>
      <c r="DO16" s="511"/>
      <c r="DP16" s="511"/>
      <c r="DQ16" s="511"/>
      <c r="DR16" s="511"/>
      <c r="DS16" s="511"/>
      <c r="DT16" s="511"/>
      <c r="DU16" s="511"/>
      <c r="DV16" s="511"/>
      <c r="DW16" s="511"/>
      <c r="DX16" s="511"/>
      <c r="DY16" s="511"/>
      <c r="DZ16" s="511"/>
      <c r="EA16" s="511"/>
      <c r="EB16" s="511"/>
      <c r="EC16" s="511"/>
      <c r="ED16" s="55">
        <f t="shared" si="33"/>
        <v>0</v>
      </c>
      <c r="EE16" s="55">
        <f t="shared" si="26"/>
        <v>1</v>
      </c>
    </row>
    <row r="17" spans="1:135" x14ac:dyDescent="0.2">
      <c r="A17" s="45" t="s">
        <v>898</v>
      </c>
      <c r="B17" s="176" t="s">
        <v>870</v>
      </c>
      <c r="C17" s="58">
        <f>5</f>
        <v>5</v>
      </c>
      <c r="D17" s="49">
        <v>0.2</v>
      </c>
      <c r="E17" s="46">
        <v>43281</v>
      </c>
      <c r="F17" s="48">
        <f t="shared" si="27"/>
        <v>60</v>
      </c>
      <c r="G17" s="145">
        <f t="shared" si="0"/>
        <v>1.6666666666666667</v>
      </c>
      <c r="H17" s="165">
        <f t="shared" si="1"/>
        <v>170</v>
      </c>
      <c r="I17" s="48">
        <f>(YEAR(E17)-YEAR(R17))*12+MONTH(E17)-MONTH(R17)</f>
        <v>102</v>
      </c>
      <c r="J17" s="165">
        <f t="shared" si="2"/>
        <v>-70</v>
      </c>
      <c r="K17" s="48">
        <f t="shared" si="3"/>
        <v>-42</v>
      </c>
      <c r="L17" s="165">
        <f t="shared" si="4"/>
        <v>11.666666666666668</v>
      </c>
      <c r="M17" s="48">
        <v>7</v>
      </c>
      <c r="N17" s="165">
        <f t="shared" si="5"/>
        <v>-81.666666666666671</v>
      </c>
      <c r="O17" s="48">
        <f t="shared" si="6"/>
        <v>-49</v>
      </c>
      <c r="P17" s="46">
        <f t="shared" si="7"/>
        <v>42002</v>
      </c>
      <c r="Q17" s="46"/>
      <c r="R17" s="365">
        <v>40176</v>
      </c>
      <c r="S17" s="364">
        <v>157000</v>
      </c>
      <c r="T17" s="47">
        <f t="shared" si="8"/>
        <v>266900</v>
      </c>
      <c r="U17" s="165">
        <f t="shared" si="9"/>
        <v>31400</v>
      </c>
      <c r="V17" s="165">
        <f t="shared" si="10"/>
        <v>2616.6666666666665</v>
      </c>
      <c r="W17" s="165">
        <f t="shared" si="11"/>
        <v>13083.333333333332</v>
      </c>
      <c r="X17" s="80">
        <f t="shared" si="12"/>
        <v>18316.666666666668</v>
      </c>
      <c r="Y17" s="57">
        <f t="shared" si="13"/>
        <v>112.72199999999999</v>
      </c>
      <c r="Z17" s="357">
        <v>138.541</v>
      </c>
      <c r="AA17" s="55">
        <f t="shared" si="14"/>
        <v>0.81363639644581742</v>
      </c>
      <c r="AB17" s="55">
        <f t="shared" si="15"/>
        <v>-436.1111111111112</v>
      </c>
      <c r="AC17" s="55">
        <f t="shared" si="16"/>
        <v>-354.83587289442602</v>
      </c>
      <c r="AD17" s="55"/>
      <c r="AE17" s="55"/>
      <c r="AF17" s="55"/>
      <c r="AG17" s="55"/>
      <c r="AH17" s="55"/>
      <c r="AI17" s="55">
        <f t="shared" si="17"/>
        <v>-354.83587289442602</v>
      </c>
      <c r="AJ17" s="55">
        <f t="shared" si="17"/>
        <v>-354.83587289442602</v>
      </c>
      <c r="AK17" s="55">
        <f t="shared" si="17"/>
        <v>-354.83587289442602</v>
      </c>
      <c r="AL17" s="55">
        <f t="shared" si="17"/>
        <v>-354.83587289442602</v>
      </c>
      <c r="AM17" s="55">
        <f t="shared" si="17"/>
        <v>-354.83587289442602</v>
      </c>
      <c r="AN17" s="55">
        <f t="shared" si="17"/>
        <v>-354.83587289442602</v>
      </c>
      <c r="AO17" s="55">
        <f t="shared" si="17"/>
        <v>-354.83587289442602</v>
      </c>
      <c r="AP17" s="72">
        <f t="shared" si="28"/>
        <v>-2129.015237366556</v>
      </c>
      <c r="AQ17" s="72">
        <f t="shared" si="34"/>
        <v>20445.681904033223</v>
      </c>
      <c r="AR17" s="55">
        <f>$AC17</f>
        <v>-354.83587289442602</v>
      </c>
      <c r="AS17" s="55">
        <v>929.71</v>
      </c>
      <c r="AT17" s="55"/>
      <c r="AU17" s="55"/>
      <c r="AV17" s="55"/>
      <c r="AW17" s="374">
        <v>115.958</v>
      </c>
      <c r="AX17" s="357">
        <v>138.541</v>
      </c>
      <c r="AY17" s="55">
        <f t="shared" si="18"/>
        <v>0.83699410282876552</v>
      </c>
      <c r="AZ17" s="55"/>
      <c r="BA17" s="55"/>
      <c r="BB17" s="55"/>
      <c r="BC17" s="55"/>
      <c r="BD17" s="55"/>
      <c r="BE17" s="55"/>
      <c r="BF17" s="55"/>
      <c r="BG17" s="62">
        <f t="shared" si="20"/>
        <v>574.87412710557396</v>
      </c>
      <c r="BH17" s="62">
        <v>1</v>
      </c>
      <c r="BI17" s="55"/>
      <c r="BJ17" s="55"/>
      <c r="BK17" s="55"/>
      <c r="BL17" s="55"/>
      <c r="BM17" s="55"/>
      <c r="BN17" s="55"/>
      <c r="BO17" s="55"/>
      <c r="BP17" s="57">
        <v>118.901</v>
      </c>
      <c r="BQ17" s="357">
        <v>138.541</v>
      </c>
      <c r="BR17" s="352">
        <f t="shared" si="29"/>
        <v>0.85823691181671846</v>
      </c>
      <c r="BS17" s="55">
        <f t="shared" si="30"/>
        <v>2616.6666666666665</v>
      </c>
      <c r="BT17" s="55">
        <f t="shared" si="31"/>
        <v>2245.7199192537464</v>
      </c>
      <c r="BU17" s="55"/>
      <c r="BV17" s="55"/>
      <c r="BW17" s="55"/>
      <c r="BX17" s="55"/>
      <c r="BY17" s="55"/>
      <c r="BZ17" s="55"/>
      <c r="CA17" s="55"/>
      <c r="CB17" s="55">
        <f t="shared" si="32"/>
        <v>0</v>
      </c>
      <c r="CC17" s="448">
        <f t="shared" si="21"/>
        <v>1</v>
      </c>
      <c r="CD17" s="55"/>
      <c r="CE17" s="55"/>
      <c r="CF17" s="55"/>
      <c r="CG17" s="55"/>
      <c r="CH17" s="55"/>
      <c r="CI17" s="55"/>
      <c r="CJ17" s="448">
        <f t="shared" si="22"/>
        <v>1</v>
      </c>
      <c r="CK17" s="57">
        <v>126.408</v>
      </c>
      <c r="CL17" s="357">
        <v>138.541</v>
      </c>
      <c r="CM17" s="352">
        <f t="shared" si="23"/>
        <v>0.91242303722363782</v>
      </c>
      <c r="CN17" s="55">
        <v>0</v>
      </c>
      <c r="CO17" s="55">
        <f t="shared" si="24"/>
        <v>0</v>
      </c>
      <c r="CP17" s="55">
        <v>0</v>
      </c>
      <c r="CQ17" s="55"/>
      <c r="CR17" s="55"/>
      <c r="CS17" s="55"/>
      <c r="CT17" s="55"/>
      <c r="CU17" s="55"/>
      <c r="CV17" s="55"/>
      <c r="CW17" s="55">
        <f>SUM((CD17:CH17),(CP17:CV17))</f>
        <v>0</v>
      </c>
      <c r="CX17" s="448">
        <f>CC17-CW17</f>
        <v>1</v>
      </c>
      <c r="CY17" s="55"/>
      <c r="CZ17" s="55"/>
      <c r="DA17" s="55"/>
      <c r="DB17" s="55"/>
      <c r="DC17" s="55"/>
      <c r="DD17" s="505">
        <f t="shared" si="25"/>
        <v>0</v>
      </c>
      <c r="DE17" s="679">
        <f t="shared" si="35"/>
        <v>1</v>
      </c>
      <c r="DF17" s="679">
        <v>1</v>
      </c>
      <c r="DG17" s="55">
        <v>132.28200000000001</v>
      </c>
      <c r="DH17" s="357">
        <v>138.541</v>
      </c>
      <c r="DI17" s="957">
        <f t="shared" si="36"/>
        <v>0.95482203824138712</v>
      </c>
      <c r="DJ17" s="511">
        <v>0</v>
      </c>
      <c r="DK17" s="511"/>
      <c r="DL17" s="511"/>
      <c r="DM17" s="511"/>
      <c r="DN17" s="511"/>
      <c r="DO17" s="511"/>
      <c r="DP17" s="511"/>
      <c r="DQ17" s="511"/>
      <c r="DR17" s="511"/>
      <c r="DS17" s="511"/>
      <c r="DT17" s="511"/>
      <c r="DU17" s="511"/>
      <c r="DV17" s="511"/>
      <c r="DW17" s="511"/>
      <c r="DX17" s="511"/>
      <c r="DY17" s="511"/>
      <c r="DZ17" s="511"/>
      <c r="EA17" s="511"/>
      <c r="EB17" s="511"/>
      <c r="EC17" s="511"/>
      <c r="ED17" s="55">
        <f t="shared" si="33"/>
        <v>0</v>
      </c>
      <c r="EE17" s="55">
        <f t="shared" si="26"/>
        <v>1</v>
      </c>
    </row>
    <row r="18" spans="1:135" x14ac:dyDescent="0.2">
      <c r="A18" s="45" t="s">
        <v>897</v>
      </c>
      <c r="B18" s="176" t="s">
        <v>867</v>
      </c>
      <c r="C18" s="58">
        <f>5</f>
        <v>5</v>
      </c>
      <c r="D18" s="49">
        <v>0.2</v>
      </c>
      <c r="E18" s="46">
        <v>43281</v>
      </c>
      <c r="F18" s="48">
        <f t="shared" si="27"/>
        <v>60</v>
      </c>
      <c r="G18" s="145">
        <f t="shared" si="0"/>
        <v>1.6666666666666667</v>
      </c>
      <c r="H18" s="165">
        <f t="shared" si="1"/>
        <v>73.333333333333343</v>
      </c>
      <c r="I18" s="48">
        <v>44</v>
      </c>
      <c r="J18" s="165">
        <f t="shared" si="2"/>
        <v>26.666666666666668</v>
      </c>
      <c r="K18" s="48">
        <f t="shared" si="3"/>
        <v>16</v>
      </c>
      <c r="L18" s="165">
        <f t="shared" si="4"/>
        <v>11.666666666666668</v>
      </c>
      <c r="M18" s="48">
        <v>7</v>
      </c>
      <c r="N18" s="165">
        <f t="shared" si="5"/>
        <v>15</v>
      </c>
      <c r="O18" s="48">
        <f t="shared" si="6"/>
        <v>9</v>
      </c>
      <c r="P18" s="46">
        <f t="shared" si="7"/>
        <v>43566</v>
      </c>
      <c r="Q18" s="46"/>
      <c r="R18" s="365">
        <v>41740</v>
      </c>
      <c r="S18" s="364">
        <v>181054</v>
      </c>
      <c r="T18" s="47">
        <f t="shared" si="8"/>
        <v>132772.93333333335</v>
      </c>
      <c r="U18" s="165">
        <f t="shared" si="9"/>
        <v>193124.26666666666</v>
      </c>
      <c r="V18" s="165">
        <f t="shared" si="10"/>
        <v>3017.5666666666666</v>
      </c>
      <c r="W18" s="165">
        <f t="shared" si="11"/>
        <v>15087.833333333332</v>
      </c>
      <c r="X18" s="80">
        <f t="shared" si="12"/>
        <v>178036.43333333332</v>
      </c>
      <c r="Y18" s="57">
        <f t="shared" si="13"/>
        <v>112.72199999999999</v>
      </c>
      <c r="Z18" s="357">
        <v>112.88800000000001</v>
      </c>
      <c r="AA18" s="55">
        <f t="shared" si="14"/>
        <v>0.99852951598044071</v>
      </c>
      <c r="AB18" s="55">
        <f t="shared" si="15"/>
        <v>11127.277083333332</v>
      </c>
      <c r="AC18" s="55">
        <f t="shared" si="16"/>
        <v>11110.914600201082</v>
      </c>
      <c r="AD18" s="55"/>
      <c r="AE18" s="55"/>
      <c r="AF18" s="55"/>
      <c r="AG18" s="55"/>
      <c r="AH18" s="55"/>
      <c r="AI18" s="55">
        <f t="shared" si="17"/>
        <v>11110.914600201082</v>
      </c>
      <c r="AJ18" s="55">
        <f t="shared" si="17"/>
        <v>11110.914600201082</v>
      </c>
      <c r="AK18" s="55">
        <f t="shared" si="17"/>
        <v>11110.914600201082</v>
      </c>
      <c r="AL18" s="55">
        <f t="shared" si="17"/>
        <v>11110.914600201082</v>
      </c>
      <c r="AM18" s="55">
        <f t="shared" si="17"/>
        <v>11110.914600201082</v>
      </c>
      <c r="AN18" s="55">
        <f t="shared" si="17"/>
        <v>11110.914600201082</v>
      </c>
      <c r="AO18" s="55">
        <f t="shared" si="17"/>
        <v>11110.914600201082</v>
      </c>
      <c r="AP18" s="72">
        <f t="shared" si="28"/>
        <v>66665.487601206492</v>
      </c>
      <c r="AQ18" s="72">
        <f t="shared" si="34"/>
        <v>111370.94573212683</v>
      </c>
      <c r="AR18" s="55">
        <f>$AC18</f>
        <v>11110.914600201082</v>
      </c>
      <c r="AS18" s="55">
        <f t="shared" ref="AS18:AV21" si="37">$AC18</f>
        <v>11110.914600201082</v>
      </c>
      <c r="AT18" s="55">
        <f t="shared" si="37"/>
        <v>11110.914600201082</v>
      </c>
      <c r="AU18" s="55">
        <f t="shared" si="37"/>
        <v>11110.914600201082</v>
      </c>
      <c r="AV18" s="55">
        <f t="shared" si="37"/>
        <v>11110.914600201082</v>
      </c>
      <c r="AW18" s="374">
        <v>115.958</v>
      </c>
      <c r="AX18" s="357">
        <v>112.88800000000001</v>
      </c>
      <c r="AY18" s="55">
        <f t="shared" si="18"/>
        <v>1.0271950960243781</v>
      </c>
      <c r="AZ18" s="55">
        <f>V18*AY18</f>
        <v>3099.629681926629</v>
      </c>
      <c r="BA18" s="55">
        <f t="shared" ref="BA18:BF21" si="38">$AZ18</f>
        <v>3099.629681926629</v>
      </c>
      <c r="BB18" s="55">
        <f t="shared" si="38"/>
        <v>3099.629681926629</v>
      </c>
      <c r="BC18" s="55">
        <f t="shared" si="38"/>
        <v>3099.629681926629</v>
      </c>
      <c r="BD18" s="55">
        <f t="shared" si="38"/>
        <v>3099.629681926629</v>
      </c>
      <c r="BE18" s="55">
        <f t="shared" si="38"/>
        <v>3099.629681926629</v>
      </c>
      <c r="BF18" s="55">
        <f t="shared" si="38"/>
        <v>3099.629681926629</v>
      </c>
      <c r="BG18" s="62">
        <f t="shared" si="20"/>
        <v>77251.980774491807</v>
      </c>
      <c r="BH18" s="62">
        <f>AQ18-BG18</f>
        <v>34118.96495763502</v>
      </c>
      <c r="BI18" s="55"/>
      <c r="BJ18" s="55"/>
      <c r="BK18" s="55">
        <f>3099.63</f>
        <v>3099.63</v>
      </c>
      <c r="BL18" s="55">
        <f>3099.63</f>
        <v>3099.63</v>
      </c>
      <c r="BM18" s="55">
        <f>3099.63</f>
        <v>3099.63</v>
      </c>
      <c r="BN18" s="55">
        <f>3099.63</f>
        <v>3099.63</v>
      </c>
      <c r="BO18" s="55">
        <f>3099.63</f>
        <v>3099.63</v>
      </c>
      <c r="BP18" s="57">
        <v>118.901</v>
      </c>
      <c r="BQ18" s="357">
        <v>112.88800000000001</v>
      </c>
      <c r="BR18" s="352">
        <f t="shared" si="29"/>
        <v>1.0532651831904187</v>
      </c>
      <c r="BS18" s="55">
        <f t="shared" si="30"/>
        <v>3017.5666666666666</v>
      </c>
      <c r="BT18" s="55">
        <f t="shared" si="31"/>
        <v>3178.2979079559677</v>
      </c>
      <c r="BU18" s="55">
        <f t="shared" ref="BU18:CA21" si="39">$BT18</f>
        <v>3178.2979079559677</v>
      </c>
      <c r="BV18" s="55">
        <f t="shared" si="39"/>
        <v>3178.2979079559677</v>
      </c>
      <c r="BW18" s="55">
        <f t="shared" si="39"/>
        <v>3178.2979079559677</v>
      </c>
      <c r="BX18" s="55">
        <f t="shared" si="39"/>
        <v>3178.2979079559677</v>
      </c>
      <c r="BY18" s="55">
        <f t="shared" si="39"/>
        <v>3178.2979079559677</v>
      </c>
      <c r="BZ18" s="55">
        <f t="shared" si="39"/>
        <v>3178.2979079559677</v>
      </c>
      <c r="CA18" s="55">
        <f t="shared" si="39"/>
        <v>3178.2979079559677</v>
      </c>
      <c r="CB18" s="55">
        <f t="shared" si="32"/>
        <v>37746.235355691766</v>
      </c>
      <c r="CC18" s="448">
        <f t="shared" si="21"/>
        <v>-3627.2703980567458</v>
      </c>
      <c r="CD18" s="55">
        <f>3099.63</f>
        <v>3099.63</v>
      </c>
      <c r="CE18" s="55">
        <f>3099.63</f>
        <v>3099.63</v>
      </c>
      <c r="CF18" s="55">
        <f>3099.63</f>
        <v>3099.63</v>
      </c>
      <c r="CG18" s="55"/>
      <c r="CH18" s="55"/>
      <c r="CI18" s="55">
        <f>SUM(CD18:CH18)</f>
        <v>9298.89</v>
      </c>
      <c r="CJ18" s="448">
        <f t="shared" si="22"/>
        <v>-12926.160398056745</v>
      </c>
      <c r="CK18" s="57">
        <v>126.408</v>
      </c>
      <c r="CL18" s="357">
        <v>112.88800000000001</v>
      </c>
      <c r="CM18" s="352">
        <f t="shared" si="23"/>
        <v>1.1197647225568705</v>
      </c>
      <c r="CN18" s="55">
        <f>CJ18/K18</f>
        <v>-807.88502487854657</v>
      </c>
      <c r="CO18" s="55">
        <f t="shared" si="24"/>
        <v>-904.64115074097617</v>
      </c>
      <c r="CP18" s="55">
        <v>1038.6623728220964</v>
      </c>
      <c r="CQ18" s="55">
        <v>1038.6623728220964</v>
      </c>
      <c r="CR18" s="55">
        <v>1038.6623728220964</v>
      </c>
      <c r="CS18" s="55">
        <v>1038.6623728220964</v>
      </c>
      <c r="CT18" s="55">
        <v>1038.6623728220964</v>
      </c>
      <c r="CU18" s="55">
        <v>1038.6623728220964</v>
      </c>
      <c r="CV18" s="55">
        <v>1038.6623728220964</v>
      </c>
      <c r="CW18" s="55">
        <f>SUM(CP18:CV18)</f>
        <v>7270.6366097546752</v>
      </c>
      <c r="CX18" s="448">
        <f>CJ18-CW18</f>
        <v>-20196.797007811419</v>
      </c>
      <c r="CY18" s="55">
        <v>1038.6623728220964</v>
      </c>
      <c r="CZ18" s="55">
        <v>1038.6623728220964</v>
      </c>
      <c r="DA18" s="55">
        <v>1038.6623728220964</v>
      </c>
      <c r="DB18" s="55">
        <v>1038.6623728220964</v>
      </c>
      <c r="DC18" s="55">
        <v>1038.6623728220964</v>
      </c>
      <c r="DD18" s="505">
        <f t="shared" si="25"/>
        <v>5193.311864110482</v>
      </c>
      <c r="DE18" s="679">
        <f t="shared" si="35"/>
        <v>-25390.108871921901</v>
      </c>
      <c r="DF18" s="679">
        <v>7942.6349286813447</v>
      </c>
      <c r="DG18" s="656">
        <v>132.28200000000001</v>
      </c>
      <c r="DH18" s="357">
        <v>112.88800000000001</v>
      </c>
      <c r="DI18" s="957">
        <f t="shared" si="36"/>
        <v>1.1717985968393452</v>
      </c>
      <c r="DJ18" s="511">
        <f>DF18/K18</f>
        <v>496.41468304258404</v>
      </c>
      <c r="DK18" s="511">
        <f>DJ18*DI18</f>
        <v>581.69802903974823</v>
      </c>
      <c r="DL18" s="511">
        <v>581.69802903974823</v>
      </c>
      <c r="DM18" s="511">
        <v>581.69802903974823</v>
      </c>
      <c r="DN18" s="511">
        <v>581.69802903974823</v>
      </c>
      <c r="DO18" s="511">
        <v>581.69802903974823</v>
      </c>
      <c r="DP18" s="511">
        <v>581.69802903974823</v>
      </c>
      <c r="DQ18" s="511">
        <v>581.69802903974823</v>
      </c>
      <c r="DR18" s="511">
        <v>581.69802903974823</v>
      </c>
      <c r="DS18" s="511">
        <v>581.69802903974823</v>
      </c>
      <c r="DT18" s="511">
        <v>581.69802903974823</v>
      </c>
      <c r="DU18" s="511">
        <v>581.69802903974823</v>
      </c>
      <c r="DV18" s="511">
        <v>581.69802903974823</v>
      </c>
      <c r="DW18" s="511">
        <v>581.69802903974823</v>
      </c>
      <c r="DX18" s="511">
        <v>581.69802903974823</v>
      </c>
      <c r="DY18" s="511">
        <v>379.56</v>
      </c>
      <c r="DZ18" s="511">
        <v>0</v>
      </c>
      <c r="EA18" s="511">
        <v>0</v>
      </c>
      <c r="EB18" s="511">
        <v>0</v>
      </c>
      <c r="EC18" s="511">
        <v>0</v>
      </c>
      <c r="ED18" s="55">
        <f>SUM(DL18:EC18)</f>
        <v>7941.6343775167252</v>
      </c>
      <c r="EE18" s="55">
        <f t="shared" si="26"/>
        <v>1.0005511646195373</v>
      </c>
    </row>
    <row r="19" spans="1:135" x14ac:dyDescent="0.2">
      <c r="A19" s="45" t="s">
        <v>896</v>
      </c>
      <c r="B19" s="176" t="s">
        <v>866</v>
      </c>
      <c r="C19" s="58">
        <f>5</f>
        <v>5</v>
      </c>
      <c r="D19" s="49">
        <v>0.2</v>
      </c>
      <c r="E19" s="46">
        <v>43281</v>
      </c>
      <c r="F19" s="48">
        <f t="shared" si="27"/>
        <v>60</v>
      </c>
      <c r="G19" s="145">
        <f t="shared" si="0"/>
        <v>1.6666666666666667</v>
      </c>
      <c r="H19" s="165">
        <f t="shared" si="1"/>
        <v>83.333333333333343</v>
      </c>
      <c r="I19" s="48">
        <f>(YEAR(E19)-YEAR(R19))*12+MONTH(E19)-MONTH(R19)</f>
        <v>50</v>
      </c>
      <c r="J19" s="165">
        <f t="shared" si="2"/>
        <v>16.666666666666668</v>
      </c>
      <c r="K19" s="48">
        <f t="shared" si="3"/>
        <v>10</v>
      </c>
      <c r="L19" s="165">
        <f t="shared" si="4"/>
        <v>11.666666666666668</v>
      </c>
      <c r="M19" s="48">
        <v>7</v>
      </c>
      <c r="N19" s="165">
        <f t="shared" si="5"/>
        <v>5</v>
      </c>
      <c r="O19" s="48">
        <f t="shared" si="6"/>
        <v>3</v>
      </c>
      <c r="P19" s="46">
        <f t="shared" si="7"/>
        <v>43566</v>
      </c>
      <c r="Q19" s="46"/>
      <c r="R19" s="365">
        <v>41740</v>
      </c>
      <c r="S19" s="364">
        <v>180000</v>
      </c>
      <c r="T19" s="47">
        <f t="shared" si="8"/>
        <v>150000.00000000003</v>
      </c>
      <c r="U19" s="165">
        <f t="shared" si="9"/>
        <v>192000</v>
      </c>
      <c r="V19" s="165">
        <f t="shared" si="10"/>
        <v>3000</v>
      </c>
      <c r="W19" s="165">
        <f t="shared" si="11"/>
        <v>15000</v>
      </c>
      <c r="X19" s="80">
        <f t="shared" si="12"/>
        <v>177000</v>
      </c>
      <c r="Y19" s="57">
        <f t="shared" si="13"/>
        <v>112.72199999999999</v>
      </c>
      <c r="Z19" s="357">
        <v>112.88800000000001</v>
      </c>
      <c r="AA19" s="55">
        <f t="shared" si="14"/>
        <v>0.99852951598044071</v>
      </c>
      <c r="AB19" s="55">
        <f t="shared" si="15"/>
        <v>17700.000000000004</v>
      </c>
      <c r="AC19" s="55">
        <f t="shared" si="16"/>
        <v>17673.972432853803</v>
      </c>
      <c r="AD19" s="55"/>
      <c r="AE19" s="55"/>
      <c r="AF19" s="55"/>
      <c r="AG19" s="55"/>
      <c r="AH19" s="55"/>
      <c r="AI19" s="55">
        <f t="shared" si="17"/>
        <v>17673.972432853803</v>
      </c>
      <c r="AJ19" s="55">
        <f t="shared" si="17"/>
        <v>17673.972432853803</v>
      </c>
      <c r="AK19" s="55">
        <f t="shared" si="17"/>
        <v>17673.972432853803</v>
      </c>
      <c r="AL19" s="55">
        <f t="shared" si="17"/>
        <v>17673.972432853803</v>
      </c>
      <c r="AM19" s="55">
        <f t="shared" si="17"/>
        <v>17673.972432853803</v>
      </c>
      <c r="AN19" s="55">
        <f t="shared" si="17"/>
        <v>17673.972432853803</v>
      </c>
      <c r="AO19" s="55">
        <f t="shared" si="17"/>
        <v>17673.972432853803</v>
      </c>
      <c r="AP19" s="72">
        <f t="shared" si="28"/>
        <v>106043.83459712281</v>
      </c>
      <c r="AQ19" s="72">
        <f t="shared" si="34"/>
        <v>70956.165402877188</v>
      </c>
      <c r="AR19" s="55">
        <f>$AC19</f>
        <v>17673.972432853803</v>
      </c>
      <c r="AS19" s="55">
        <f t="shared" si="37"/>
        <v>17673.972432853803</v>
      </c>
      <c r="AT19" s="55">
        <f t="shared" si="37"/>
        <v>17673.972432853803</v>
      </c>
      <c r="AU19" s="55">
        <f t="shared" si="37"/>
        <v>17673.972432853803</v>
      </c>
      <c r="AV19" s="55">
        <f t="shared" si="37"/>
        <v>17673.972432853803</v>
      </c>
      <c r="AW19" s="374">
        <v>115.958</v>
      </c>
      <c r="AX19" s="357">
        <v>112.88800000000001</v>
      </c>
      <c r="AY19" s="55">
        <f t="shared" si="18"/>
        <v>1.0271950960243781</v>
      </c>
      <c r="AZ19" s="55">
        <f>V19*AY19</f>
        <v>3081.5852880731341</v>
      </c>
      <c r="BA19" s="55">
        <f t="shared" si="38"/>
        <v>3081.5852880731341</v>
      </c>
      <c r="BB19" s="55">
        <f t="shared" si="38"/>
        <v>3081.5852880731341</v>
      </c>
      <c r="BC19" s="55">
        <f t="shared" si="38"/>
        <v>3081.5852880731341</v>
      </c>
      <c r="BD19" s="55">
        <f t="shared" si="38"/>
        <v>3081.5852880731341</v>
      </c>
      <c r="BE19" s="55">
        <f t="shared" si="38"/>
        <v>3081.5852880731341</v>
      </c>
      <c r="BF19" s="55">
        <f t="shared" si="38"/>
        <v>3081.5852880731341</v>
      </c>
      <c r="BG19" s="62">
        <f t="shared" si="20"/>
        <v>109940.95918078095</v>
      </c>
      <c r="BH19" s="62">
        <f>AQ19-BG19</f>
        <v>-38984.79377790376</v>
      </c>
      <c r="BI19" s="55"/>
      <c r="BJ19" s="55"/>
      <c r="BK19" s="55">
        <f t="shared" ref="BK19:BO21" si="40">$AZ19</f>
        <v>3081.5852880731341</v>
      </c>
      <c r="BL19" s="55">
        <f t="shared" si="40"/>
        <v>3081.5852880731341</v>
      </c>
      <c r="BM19" s="55">
        <f t="shared" si="40"/>
        <v>3081.5852880731341</v>
      </c>
      <c r="BN19" s="55">
        <f t="shared" si="40"/>
        <v>3081.5852880731341</v>
      </c>
      <c r="BO19" s="55">
        <f t="shared" si="40"/>
        <v>3081.5852880731341</v>
      </c>
      <c r="BP19" s="57">
        <v>118.901</v>
      </c>
      <c r="BQ19" s="357">
        <v>112.88800000000001</v>
      </c>
      <c r="BR19" s="352">
        <f t="shared" si="29"/>
        <v>1.0532651831904187</v>
      </c>
      <c r="BS19" s="55">
        <f t="shared" si="30"/>
        <v>3000</v>
      </c>
      <c r="BT19" s="55">
        <f t="shared" si="31"/>
        <v>3159.7955495712563</v>
      </c>
      <c r="BU19" s="55">
        <f t="shared" si="39"/>
        <v>3159.7955495712563</v>
      </c>
      <c r="BV19" s="55">
        <f t="shared" si="39"/>
        <v>3159.7955495712563</v>
      </c>
      <c r="BW19" s="55">
        <f t="shared" si="39"/>
        <v>3159.7955495712563</v>
      </c>
      <c r="BX19" s="55">
        <f t="shared" si="39"/>
        <v>3159.7955495712563</v>
      </c>
      <c r="BY19" s="55">
        <f t="shared" si="39"/>
        <v>3159.7955495712563</v>
      </c>
      <c r="BZ19" s="55">
        <f t="shared" si="39"/>
        <v>3159.7955495712563</v>
      </c>
      <c r="CA19" s="55">
        <f t="shared" si="39"/>
        <v>3159.7955495712563</v>
      </c>
      <c r="CB19" s="55">
        <f t="shared" si="32"/>
        <v>37526.495287364465</v>
      </c>
      <c r="CC19" s="448">
        <f t="shared" si="21"/>
        <v>-76511.289065268225</v>
      </c>
      <c r="CD19" s="55">
        <f t="shared" ref="CD19:CF21" si="41">$AZ19</f>
        <v>3081.5852880731341</v>
      </c>
      <c r="CE19" s="55">
        <f t="shared" si="41"/>
        <v>3081.5852880731341</v>
      </c>
      <c r="CF19" s="55">
        <f t="shared" si="41"/>
        <v>3081.5852880731341</v>
      </c>
      <c r="CG19" s="55"/>
      <c r="CH19" s="55"/>
      <c r="CI19" s="55">
        <f>SUM(CD19:CH19)</f>
        <v>9244.7558642194017</v>
      </c>
      <c r="CJ19" s="448">
        <f t="shared" si="22"/>
        <v>-85756.044929487631</v>
      </c>
      <c r="CK19" s="57">
        <v>126.408</v>
      </c>
      <c r="CL19" s="357">
        <v>112.88800000000001</v>
      </c>
      <c r="CM19" s="352">
        <f t="shared" si="23"/>
        <v>1.1197647225568705</v>
      </c>
      <c r="CN19" s="55">
        <f>CJ19/K19</f>
        <v>-8575.6044929487634</v>
      </c>
      <c r="CO19" s="55">
        <f t="shared" si="24"/>
        <v>-9602.6593858042252</v>
      </c>
      <c r="CP19" s="55">
        <v>1032.6159622032578</v>
      </c>
      <c r="CQ19" s="55">
        <v>1032.6159622032578</v>
      </c>
      <c r="CR19" s="55">
        <v>1032.6159622032578</v>
      </c>
      <c r="CS19" s="55">
        <v>1032.6159622032578</v>
      </c>
      <c r="CT19" s="55">
        <v>1032.6159622032578</v>
      </c>
      <c r="CU19" s="55">
        <v>1032.6159622032578</v>
      </c>
      <c r="CV19" s="55">
        <v>1032.6159622032578</v>
      </c>
      <c r="CW19" s="55">
        <f>SUM(CP19:CV19)</f>
        <v>7228.3117354228034</v>
      </c>
      <c r="CX19" s="448">
        <f>CJ19-CW19</f>
        <v>-92984.356664910432</v>
      </c>
      <c r="CY19" s="55">
        <v>1032.6159622032578</v>
      </c>
      <c r="CZ19" s="55">
        <v>1032.6159622032578</v>
      </c>
      <c r="DA19" s="55">
        <v>1032.6159622032578</v>
      </c>
      <c r="DB19" s="55">
        <v>1032.6159622032578</v>
      </c>
      <c r="DC19" s="55">
        <v>1032.6159622032578</v>
      </c>
      <c r="DD19" s="505">
        <f t="shared" si="25"/>
        <v>5163.0798110162887</v>
      </c>
      <c r="DE19" s="679">
        <f t="shared" si="35"/>
        <v>-98147.436475926719</v>
      </c>
      <c r="DF19" s="679">
        <v>7896.3981211961072</v>
      </c>
      <c r="DG19" s="656">
        <v>132.28200000000001</v>
      </c>
      <c r="DH19" s="357">
        <v>112.88800000000001</v>
      </c>
      <c r="DI19" s="957">
        <f t="shared" si="36"/>
        <v>1.1717985968393452</v>
      </c>
      <c r="DJ19" s="511">
        <f>DF19/K19</f>
        <v>789.63981211961072</v>
      </c>
      <c r="DK19" s="511">
        <f>DJ19*DI19</f>
        <v>925.29882385024405</v>
      </c>
      <c r="DL19" s="511">
        <v>420.59037447738365</v>
      </c>
      <c r="DM19" s="511">
        <v>420.59037447738365</v>
      </c>
      <c r="DN19" s="511">
        <v>420.59037447738365</v>
      </c>
      <c r="DO19" s="511">
        <v>420.59037447738365</v>
      </c>
      <c r="DP19" s="511">
        <v>420.59037447738365</v>
      </c>
      <c r="DQ19" s="511">
        <v>420.59037447738365</v>
      </c>
      <c r="DR19" s="511">
        <v>420.59037447738365</v>
      </c>
      <c r="DS19" s="511">
        <v>420.59037447738365</v>
      </c>
      <c r="DT19" s="511">
        <v>420.59037447738365</v>
      </c>
      <c r="DU19" s="511">
        <v>420.59037447738365</v>
      </c>
      <c r="DV19" s="511">
        <v>420.59037447738365</v>
      </c>
      <c r="DW19" s="511">
        <v>420.59037447738365</v>
      </c>
      <c r="DX19" s="511">
        <v>420.59037447738365</v>
      </c>
      <c r="DY19" s="511">
        <v>420.59037447738365</v>
      </c>
      <c r="DZ19" s="511">
        <v>420.59037447738365</v>
      </c>
      <c r="EA19" s="511">
        <v>420.59037447738365</v>
      </c>
      <c r="EB19" s="511">
        <v>420.59037447738365</v>
      </c>
      <c r="EC19" s="511">
        <v>420.59037447738365</v>
      </c>
      <c r="ED19" s="55">
        <f t="shared" ref="ED19:ED24" si="42">SUM(DL19:EC19)</f>
        <v>7570.6267405929084</v>
      </c>
      <c r="EE19" s="55">
        <f t="shared" si="26"/>
        <v>325.77138060319885</v>
      </c>
    </row>
    <row r="20" spans="1:135" x14ac:dyDescent="0.2">
      <c r="A20" s="45" t="s">
        <v>895</v>
      </c>
      <c r="B20" s="176" t="s">
        <v>865</v>
      </c>
      <c r="C20" s="58">
        <f>5</f>
        <v>5</v>
      </c>
      <c r="D20" s="49">
        <v>0.2</v>
      </c>
      <c r="E20" s="46">
        <v>43281</v>
      </c>
      <c r="F20" s="48">
        <f t="shared" si="27"/>
        <v>60</v>
      </c>
      <c r="G20" s="145">
        <f t="shared" si="0"/>
        <v>1.6666666666666667</v>
      </c>
      <c r="H20" s="165">
        <f t="shared" si="1"/>
        <v>110</v>
      </c>
      <c r="I20" s="48">
        <f>(YEAR(E20)-YEAR(R20))*12+MONTH(E20)-MONTH(R20)</f>
        <v>66</v>
      </c>
      <c r="J20" s="165">
        <f t="shared" si="2"/>
        <v>-10</v>
      </c>
      <c r="K20" s="48">
        <f t="shared" si="3"/>
        <v>-6</v>
      </c>
      <c r="L20" s="165">
        <f t="shared" si="4"/>
        <v>11.666666666666668</v>
      </c>
      <c r="M20" s="48">
        <v>7</v>
      </c>
      <c r="N20" s="165">
        <f t="shared" si="5"/>
        <v>-21.666666666666668</v>
      </c>
      <c r="O20" s="48">
        <f t="shared" si="6"/>
        <v>-13</v>
      </c>
      <c r="P20" s="46">
        <f t="shared" si="7"/>
        <v>43090</v>
      </c>
      <c r="Q20" s="46"/>
      <c r="R20" s="365">
        <v>41264</v>
      </c>
      <c r="S20" s="364">
        <v>110000</v>
      </c>
      <c r="T20" s="47">
        <f t="shared" si="8"/>
        <v>121000.00000000001</v>
      </c>
      <c r="U20" s="165">
        <f t="shared" si="9"/>
        <v>88000</v>
      </c>
      <c r="V20" s="165">
        <f t="shared" si="10"/>
        <v>1833.3333333333333</v>
      </c>
      <c r="W20" s="165">
        <f t="shared" si="11"/>
        <v>9166.6666666666661</v>
      </c>
      <c r="X20" s="80">
        <f t="shared" si="12"/>
        <v>78833.333333333328</v>
      </c>
      <c r="Y20" s="57">
        <f t="shared" si="13"/>
        <v>112.72199999999999</v>
      </c>
      <c r="Z20" s="357">
        <v>107.246</v>
      </c>
      <c r="AA20" s="55">
        <f t="shared" si="14"/>
        <v>1.0510601794006302</v>
      </c>
      <c r="AB20" s="55">
        <f>X20/30</f>
        <v>2627.7777777777778</v>
      </c>
      <c r="AC20" s="55">
        <f t="shared" si="16"/>
        <v>2761.9525825361006</v>
      </c>
      <c r="AD20" s="55"/>
      <c r="AE20" s="55"/>
      <c r="AF20" s="55"/>
      <c r="AG20" s="55"/>
      <c r="AH20" s="55"/>
      <c r="AI20" s="55">
        <f t="shared" si="17"/>
        <v>2761.9525825361006</v>
      </c>
      <c r="AJ20" s="55">
        <f t="shared" si="17"/>
        <v>2761.9525825361006</v>
      </c>
      <c r="AK20" s="55">
        <f t="shared" si="17"/>
        <v>2761.9525825361006</v>
      </c>
      <c r="AL20" s="55">
        <f t="shared" si="17"/>
        <v>2761.9525825361006</v>
      </c>
      <c r="AM20" s="55">
        <f t="shared" si="17"/>
        <v>2761.9525825361006</v>
      </c>
      <c r="AN20" s="55">
        <f t="shared" si="17"/>
        <v>2761.9525825361006</v>
      </c>
      <c r="AO20" s="55">
        <f t="shared" si="17"/>
        <v>2761.9525825361006</v>
      </c>
      <c r="AP20" s="72">
        <f>SUM(AI20:AN20)</f>
        <v>16571.715495216606</v>
      </c>
      <c r="AQ20" s="72">
        <f t="shared" si="34"/>
        <v>62261.617838116726</v>
      </c>
      <c r="AR20" s="55">
        <f>$AC20</f>
        <v>2761.9525825361006</v>
      </c>
      <c r="AS20" s="55">
        <f t="shared" si="37"/>
        <v>2761.9525825361006</v>
      </c>
      <c r="AT20" s="55">
        <f t="shared" si="37"/>
        <v>2761.9525825361006</v>
      </c>
      <c r="AU20" s="55">
        <f t="shared" si="37"/>
        <v>2761.9525825361006</v>
      </c>
      <c r="AV20" s="55">
        <f t="shared" si="37"/>
        <v>2761.9525825361006</v>
      </c>
      <c r="AW20" s="374">
        <v>115.958</v>
      </c>
      <c r="AX20" s="357">
        <v>107.246</v>
      </c>
      <c r="AY20" s="55">
        <f t="shared" si="18"/>
        <v>1.0812337989295639</v>
      </c>
      <c r="AZ20" s="55">
        <f>V20*AY20</f>
        <v>1982.2619647042004</v>
      </c>
      <c r="BA20" s="55">
        <f t="shared" si="38"/>
        <v>1982.2619647042004</v>
      </c>
      <c r="BB20" s="55">
        <f t="shared" si="38"/>
        <v>1982.2619647042004</v>
      </c>
      <c r="BC20" s="55">
        <f t="shared" si="38"/>
        <v>1982.2619647042004</v>
      </c>
      <c r="BD20" s="55">
        <f t="shared" si="38"/>
        <v>1982.2619647042004</v>
      </c>
      <c r="BE20" s="55">
        <f t="shared" si="38"/>
        <v>1982.2619647042004</v>
      </c>
      <c r="BF20" s="55">
        <f t="shared" si="38"/>
        <v>1982.2619647042004</v>
      </c>
      <c r="BG20" s="62">
        <f t="shared" si="20"/>
        <v>27685.596665609908</v>
      </c>
      <c r="BH20" s="62">
        <f>AQ20-BG20</f>
        <v>34576.021172506822</v>
      </c>
      <c r="BI20" s="55"/>
      <c r="BJ20" s="55"/>
      <c r="BK20" s="55">
        <f t="shared" si="40"/>
        <v>1982.2619647042004</v>
      </c>
      <c r="BL20" s="55">
        <f t="shared" si="40"/>
        <v>1982.2619647042004</v>
      </c>
      <c r="BM20" s="55">
        <f t="shared" si="40"/>
        <v>1982.2619647042004</v>
      </c>
      <c r="BN20" s="55">
        <f t="shared" si="40"/>
        <v>1982.2619647042004</v>
      </c>
      <c r="BO20" s="55">
        <f t="shared" si="40"/>
        <v>1982.2619647042004</v>
      </c>
      <c r="BP20" s="57">
        <v>118.901</v>
      </c>
      <c r="BQ20" s="357">
        <v>107.246</v>
      </c>
      <c r="BR20" s="352">
        <f t="shared" si="29"/>
        <v>1.1086753818324226</v>
      </c>
      <c r="BS20" s="55">
        <f t="shared" si="30"/>
        <v>1833.3333333333333</v>
      </c>
      <c r="BT20" s="55">
        <f t="shared" si="31"/>
        <v>2032.5715333594414</v>
      </c>
      <c r="BU20" s="55">
        <f t="shared" si="39"/>
        <v>2032.5715333594414</v>
      </c>
      <c r="BV20" s="55">
        <f t="shared" si="39"/>
        <v>2032.5715333594414</v>
      </c>
      <c r="BW20" s="55">
        <f t="shared" si="39"/>
        <v>2032.5715333594414</v>
      </c>
      <c r="BX20" s="55">
        <f t="shared" si="39"/>
        <v>2032.5715333594414</v>
      </c>
      <c r="BY20" s="55">
        <f t="shared" si="39"/>
        <v>2032.5715333594414</v>
      </c>
      <c r="BZ20" s="55">
        <f t="shared" si="39"/>
        <v>2032.5715333594414</v>
      </c>
      <c r="CA20" s="55">
        <f t="shared" si="39"/>
        <v>2032.5715333594414</v>
      </c>
      <c r="CB20" s="55">
        <f t="shared" si="32"/>
        <v>24139.310557037094</v>
      </c>
      <c r="CC20" s="448">
        <f t="shared" si="21"/>
        <v>10436.710615469729</v>
      </c>
      <c r="CD20" s="55">
        <f t="shared" si="41"/>
        <v>1982.2619647042004</v>
      </c>
      <c r="CE20" s="55">
        <f t="shared" si="41"/>
        <v>1982.2619647042004</v>
      </c>
      <c r="CF20" s="55">
        <f t="shared" si="41"/>
        <v>1982.2619647042004</v>
      </c>
      <c r="CG20" s="55"/>
      <c r="CH20" s="55"/>
      <c r="CI20" s="55">
        <f>SUM(CD20:CH20)</f>
        <v>5946.7858941126015</v>
      </c>
      <c r="CJ20" s="448">
        <f t="shared" si="22"/>
        <v>4489.9247213571271</v>
      </c>
      <c r="CK20" s="57">
        <v>126.408</v>
      </c>
      <c r="CL20" s="357">
        <v>107.246</v>
      </c>
      <c r="CM20" s="352">
        <f t="shared" si="23"/>
        <v>1.1786733304738639</v>
      </c>
      <c r="CN20" s="55">
        <f>CJ20/K20</f>
        <v>-748.32078689285447</v>
      </c>
      <c r="CO20" s="55">
        <f t="shared" si="24"/>
        <v>-882.02575414982334</v>
      </c>
      <c r="CP20" s="55">
        <v>882.02575414982334</v>
      </c>
      <c r="CQ20" s="55">
        <v>882.02575414982334</v>
      </c>
      <c r="CR20" s="55">
        <v>882.02575414982334</v>
      </c>
      <c r="CS20" s="55">
        <v>882.02575414982334</v>
      </c>
      <c r="CT20" s="55">
        <v>882.03</v>
      </c>
      <c r="CU20" s="55">
        <v>78.790000000000006</v>
      </c>
      <c r="CV20" s="55">
        <v>0</v>
      </c>
      <c r="CW20" s="55">
        <f>SUM(CP20:CV20)</f>
        <v>4488.9230165992931</v>
      </c>
      <c r="CX20" s="448">
        <f>CJ20-CW20</f>
        <v>1.0017047578339771</v>
      </c>
      <c r="CY20" s="55">
        <v>0</v>
      </c>
      <c r="CZ20" s="55">
        <v>0</v>
      </c>
      <c r="DA20" s="55">
        <v>0</v>
      </c>
      <c r="DB20" s="55">
        <v>0</v>
      </c>
      <c r="DC20" s="55">
        <v>0</v>
      </c>
      <c r="DD20" s="505">
        <f t="shared" si="25"/>
        <v>0</v>
      </c>
      <c r="DE20" s="679">
        <f t="shared" si="35"/>
        <v>1.0017047578339771</v>
      </c>
      <c r="DF20" s="679">
        <v>1.0017047578339771</v>
      </c>
      <c r="DG20" s="656">
        <v>132.28200000000001</v>
      </c>
      <c r="DH20" s="357">
        <v>107.246</v>
      </c>
      <c r="DI20" s="957">
        <f t="shared" si="36"/>
        <v>1.2334446039945548</v>
      </c>
      <c r="DJ20" s="511">
        <v>0</v>
      </c>
      <c r="DK20" s="511">
        <f>DJ20*DI20</f>
        <v>0</v>
      </c>
      <c r="DL20" s="958">
        <v>0</v>
      </c>
      <c r="DM20" s="958">
        <v>0</v>
      </c>
      <c r="DN20" s="958">
        <v>0</v>
      </c>
      <c r="DO20" s="958">
        <v>0</v>
      </c>
      <c r="DP20" s="958">
        <v>0</v>
      </c>
      <c r="DQ20" s="958">
        <v>0</v>
      </c>
      <c r="DR20" s="958">
        <v>0</v>
      </c>
      <c r="DS20" s="958">
        <v>0</v>
      </c>
      <c r="DT20" s="958">
        <v>0</v>
      </c>
      <c r="DU20" s="958">
        <v>0</v>
      </c>
      <c r="DV20" s="958">
        <v>0</v>
      </c>
      <c r="DW20" s="958">
        <v>0</v>
      </c>
      <c r="DX20" s="958">
        <v>0</v>
      </c>
      <c r="DY20" s="958">
        <v>0</v>
      </c>
      <c r="DZ20" s="958">
        <v>0</v>
      </c>
      <c r="EA20" s="958">
        <v>0</v>
      </c>
      <c r="EB20" s="958">
        <v>0</v>
      </c>
      <c r="EC20" s="958">
        <v>0</v>
      </c>
      <c r="ED20" s="55">
        <f t="shared" si="42"/>
        <v>0</v>
      </c>
      <c r="EE20" s="55">
        <f t="shared" si="26"/>
        <v>1.0017047578339771</v>
      </c>
    </row>
    <row r="21" spans="1:135" x14ac:dyDescent="0.2">
      <c r="A21" s="45" t="s">
        <v>895</v>
      </c>
      <c r="B21" s="176" t="s">
        <v>864</v>
      </c>
      <c r="C21" s="58">
        <f>5</f>
        <v>5</v>
      </c>
      <c r="D21" s="49">
        <v>0.2</v>
      </c>
      <c r="E21" s="46">
        <v>43281</v>
      </c>
      <c r="F21" s="48">
        <f t="shared" si="27"/>
        <v>60</v>
      </c>
      <c r="G21" s="145">
        <f t="shared" si="0"/>
        <v>1.6666666666666667</v>
      </c>
      <c r="H21" s="165">
        <f t="shared" si="1"/>
        <v>86.666666666666671</v>
      </c>
      <c r="I21" s="48">
        <f>(YEAR(E21)-YEAR(R21))*12+MONTH(E21)-MONTH(R21)</f>
        <v>52</v>
      </c>
      <c r="J21" s="165">
        <f t="shared" si="2"/>
        <v>13.333333333333334</v>
      </c>
      <c r="K21" s="48">
        <f t="shared" si="3"/>
        <v>8</v>
      </c>
      <c r="L21" s="165">
        <f t="shared" si="4"/>
        <v>11.666666666666668</v>
      </c>
      <c r="M21" s="48">
        <v>7</v>
      </c>
      <c r="N21" s="165">
        <f t="shared" si="5"/>
        <v>1.6666666666666667</v>
      </c>
      <c r="O21" s="48">
        <f t="shared" si="6"/>
        <v>1</v>
      </c>
      <c r="P21" s="46">
        <f t="shared" si="7"/>
        <v>43517</v>
      </c>
      <c r="Q21" s="46"/>
      <c r="R21" s="365">
        <v>41691</v>
      </c>
      <c r="S21" s="364">
        <v>130000</v>
      </c>
      <c r="T21" s="47">
        <f t="shared" si="8"/>
        <v>112666.66666666667</v>
      </c>
      <c r="U21" s="165">
        <f t="shared" si="9"/>
        <v>134333.33333333334</v>
      </c>
      <c r="V21" s="165">
        <f t="shared" si="10"/>
        <v>2166.6666666666665</v>
      </c>
      <c r="W21" s="165">
        <f t="shared" si="11"/>
        <v>10833.333333333332</v>
      </c>
      <c r="X21" s="80">
        <f t="shared" si="12"/>
        <v>123500.00000000001</v>
      </c>
      <c r="Y21" s="57">
        <f t="shared" si="13"/>
        <v>112.72199999999999</v>
      </c>
      <c r="Z21" s="357">
        <v>112.79</v>
      </c>
      <c r="AA21" s="55">
        <f t="shared" si="14"/>
        <v>0.99939710967284323</v>
      </c>
      <c r="AB21" s="55">
        <f t="shared" si="15"/>
        <v>15437.500000000004</v>
      </c>
      <c r="AC21" s="55">
        <f t="shared" si="16"/>
        <v>15428.192880574521</v>
      </c>
      <c r="AD21" s="55"/>
      <c r="AE21" s="55"/>
      <c r="AF21" s="55"/>
      <c r="AG21" s="55"/>
      <c r="AH21" s="55"/>
      <c r="AI21" s="55">
        <f t="shared" si="17"/>
        <v>15428.192880574521</v>
      </c>
      <c r="AJ21" s="55">
        <f t="shared" si="17"/>
        <v>15428.192880574521</v>
      </c>
      <c r="AK21" s="55">
        <f t="shared" si="17"/>
        <v>15428.192880574521</v>
      </c>
      <c r="AL21" s="55">
        <f t="shared" si="17"/>
        <v>15428.192880574521</v>
      </c>
      <c r="AM21" s="55">
        <f t="shared" si="17"/>
        <v>15428.192880574521</v>
      </c>
      <c r="AN21" s="55">
        <f t="shared" si="17"/>
        <v>15428.192880574521</v>
      </c>
      <c r="AO21" s="55">
        <f t="shared" si="17"/>
        <v>15428.192880574521</v>
      </c>
      <c r="AP21" s="72">
        <f t="shared" si="28"/>
        <v>92569.15728344713</v>
      </c>
      <c r="AQ21" s="72">
        <f t="shared" si="34"/>
        <v>30930.842716552885</v>
      </c>
      <c r="AR21" s="55">
        <f>$AC21</f>
        <v>15428.192880574521</v>
      </c>
      <c r="AS21" s="55">
        <f t="shared" si="37"/>
        <v>15428.192880574521</v>
      </c>
      <c r="AT21" s="55">
        <f t="shared" si="37"/>
        <v>15428.192880574521</v>
      </c>
      <c r="AU21" s="55">
        <f t="shared" si="37"/>
        <v>15428.192880574521</v>
      </c>
      <c r="AV21" s="55">
        <f t="shared" si="37"/>
        <v>15428.192880574521</v>
      </c>
      <c r="AW21" s="374">
        <v>115.958</v>
      </c>
      <c r="AX21" s="357">
        <v>112.79</v>
      </c>
      <c r="AY21" s="55">
        <f t="shared" si="18"/>
        <v>1.0280875964181222</v>
      </c>
      <c r="AZ21" s="55">
        <f>V21*AY21</f>
        <v>2227.523125572598</v>
      </c>
      <c r="BA21" s="55">
        <f t="shared" si="38"/>
        <v>2227.523125572598</v>
      </c>
      <c r="BB21" s="55">
        <f t="shared" si="38"/>
        <v>2227.523125572598</v>
      </c>
      <c r="BC21" s="55">
        <f t="shared" si="38"/>
        <v>2227.523125572598</v>
      </c>
      <c r="BD21" s="55">
        <f t="shared" si="38"/>
        <v>2227.523125572598</v>
      </c>
      <c r="BE21" s="55">
        <f t="shared" si="38"/>
        <v>2227.523125572598</v>
      </c>
      <c r="BF21" s="55">
        <f t="shared" si="38"/>
        <v>2227.523125572598</v>
      </c>
      <c r="BG21" s="62">
        <f t="shared" si="20"/>
        <v>92733.626281880788</v>
      </c>
      <c r="BH21" s="62">
        <f>AQ21-BG21</f>
        <v>-61802.783565327903</v>
      </c>
      <c r="BI21" s="55"/>
      <c r="BJ21" s="55"/>
      <c r="BK21" s="55">
        <f t="shared" si="40"/>
        <v>2227.523125572598</v>
      </c>
      <c r="BL21" s="55">
        <f t="shared" si="40"/>
        <v>2227.523125572598</v>
      </c>
      <c r="BM21" s="55">
        <f t="shared" si="40"/>
        <v>2227.523125572598</v>
      </c>
      <c r="BN21" s="55">
        <f t="shared" si="40"/>
        <v>2227.523125572598</v>
      </c>
      <c r="BO21" s="55">
        <f t="shared" si="40"/>
        <v>2227.523125572598</v>
      </c>
      <c r="BP21" s="57">
        <v>118.901</v>
      </c>
      <c r="BQ21" s="357">
        <v>112.79</v>
      </c>
      <c r="BR21" s="352">
        <f t="shared" si="29"/>
        <v>1.0541803351360934</v>
      </c>
      <c r="BS21" s="55">
        <f t="shared" si="30"/>
        <v>2166.6666666666665</v>
      </c>
      <c r="BT21" s="55">
        <f t="shared" si="31"/>
        <v>2284.057392794869</v>
      </c>
      <c r="BU21" s="55">
        <f t="shared" si="39"/>
        <v>2284.057392794869</v>
      </c>
      <c r="BV21" s="55">
        <f t="shared" si="39"/>
        <v>2284.057392794869</v>
      </c>
      <c r="BW21" s="55">
        <f t="shared" si="39"/>
        <v>2284.057392794869</v>
      </c>
      <c r="BX21" s="55">
        <f t="shared" si="39"/>
        <v>2284.057392794869</v>
      </c>
      <c r="BY21" s="55">
        <f t="shared" si="39"/>
        <v>2284.057392794869</v>
      </c>
      <c r="BZ21" s="55">
        <f t="shared" si="39"/>
        <v>2284.057392794869</v>
      </c>
      <c r="CA21" s="55">
        <f t="shared" si="39"/>
        <v>2284.057392794869</v>
      </c>
      <c r="CB21" s="55">
        <f t="shared" si="32"/>
        <v>27126.017377427066</v>
      </c>
      <c r="CC21" s="448">
        <f t="shared" si="21"/>
        <v>-88928.80094275497</v>
      </c>
      <c r="CD21" s="55">
        <f t="shared" si="41"/>
        <v>2227.523125572598</v>
      </c>
      <c r="CE21" s="55">
        <f t="shared" si="41"/>
        <v>2227.523125572598</v>
      </c>
      <c r="CF21" s="55">
        <f t="shared" si="41"/>
        <v>2227.523125572598</v>
      </c>
      <c r="CG21" s="55"/>
      <c r="CH21" s="55"/>
      <c r="CI21" s="55">
        <f>SUM(CD21:CH21)</f>
        <v>6682.5693767177945</v>
      </c>
      <c r="CJ21" s="448">
        <f t="shared" si="22"/>
        <v>-95611.370319472771</v>
      </c>
      <c r="CK21" s="57">
        <v>126.408</v>
      </c>
      <c r="CL21" s="357">
        <v>112.79</v>
      </c>
      <c r="CM21" s="352">
        <f t="shared" si="23"/>
        <v>1.1207376540473446</v>
      </c>
      <c r="CN21" s="55">
        <f>CJ21/K21</f>
        <v>-11951.421289934096</v>
      </c>
      <c r="CO21" s="55">
        <f t="shared" si="24"/>
        <v>-13394.407859012228</v>
      </c>
      <c r="CP21" s="55">
        <v>348.25256579956965</v>
      </c>
      <c r="CQ21" s="55">
        <v>348.25256579956965</v>
      </c>
      <c r="CR21" s="55">
        <v>348.25256579956965</v>
      </c>
      <c r="CS21" s="55">
        <v>348.25256579956965</v>
      </c>
      <c r="CT21" s="55">
        <v>348.25256579956965</v>
      </c>
      <c r="CU21" s="55">
        <v>348.25256579956965</v>
      </c>
      <c r="CV21" s="55">
        <v>348.25256579956965</v>
      </c>
      <c r="CW21" s="55">
        <f>SUM(CP21:CV21)</f>
        <v>2437.7679605969879</v>
      </c>
      <c r="CX21" s="448">
        <f>CJ21-CW21</f>
        <v>-98049.138280069761</v>
      </c>
      <c r="CY21" s="55">
        <v>348.25256579956965</v>
      </c>
      <c r="CZ21" s="55">
        <v>348.25256579956965</v>
      </c>
      <c r="DA21" s="55">
        <v>348.25256579956965</v>
      </c>
      <c r="DB21" s="55">
        <v>348.25256579956965</v>
      </c>
      <c r="DC21" s="55">
        <v>348.25256579956965</v>
      </c>
      <c r="DD21" s="505">
        <f t="shared" si="25"/>
        <v>1741.2628289978484</v>
      </c>
      <c r="DE21" s="679">
        <f t="shared" si="35"/>
        <v>-99790.401109067607</v>
      </c>
      <c r="DF21" s="679">
        <v>2035.6719027242352</v>
      </c>
      <c r="DG21" s="656">
        <v>132.28200000000001</v>
      </c>
      <c r="DH21" s="357">
        <v>112.79</v>
      </c>
      <c r="DI21" s="957">
        <f t="shared" si="36"/>
        <v>1.1728167390726127</v>
      </c>
      <c r="DJ21" s="511">
        <f>DF21/K21</f>
        <v>254.4589878405294</v>
      </c>
      <c r="DK21" s="511">
        <f>DJ21*DI21</f>
        <v>298.43376034684729</v>
      </c>
      <c r="DL21" s="511">
        <v>119.37350413873892</v>
      </c>
      <c r="DM21" s="511">
        <v>119.37350413873892</v>
      </c>
      <c r="DN21" s="511">
        <v>119.37350413873892</v>
      </c>
      <c r="DO21" s="511">
        <v>119.37350413873892</v>
      </c>
      <c r="DP21" s="511">
        <v>119.37350413873892</v>
      </c>
      <c r="DQ21" s="511">
        <v>119.37350413873892</v>
      </c>
      <c r="DR21" s="511">
        <v>119.37350413873892</v>
      </c>
      <c r="DS21" s="511">
        <v>119.37350413873892</v>
      </c>
      <c r="DT21" s="511">
        <v>119.37350413873892</v>
      </c>
      <c r="DU21" s="511">
        <v>119.37350413873892</v>
      </c>
      <c r="DV21" s="511">
        <v>119.37350413873892</v>
      </c>
      <c r="DW21" s="511">
        <v>119.37350413873892</v>
      </c>
      <c r="DX21" s="511">
        <v>119.37350413873892</v>
      </c>
      <c r="DY21" s="511">
        <v>119.37350413873892</v>
      </c>
      <c r="DZ21" s="511">
        <v>119.37350413873892</v>
      </c>
      <c r="EA21" s="511">
        <v>119.37350413873892</v>
      </c>
      <c r="EB21" s="511">
        <v>119.37350413873892</v>
      </c>
      <c r="EC21" s="511">
        <v>5.32</v>
      </c>
      <c r="ED21" s="55">
        <f t="shared" si="42"/>
        <v>2034.6695703585622</v>
      </c>
      <c r="EE21" s="55">
        <f t="shared" si="26"/>
        <v>1.0023323656730554</v>
      </c>
    </row>
    <row r="22" spans="1:135" x14ac:dyDescent="0.2">
      <c r="A22" s="375" t="s">
        <v>894</v>
      </c>
      <c r="B22" s="368"/>
      <c r="C22" s="58"/>
      <c r="D22" s="49"/>
      <c r="E22" s="46"/>
      <c r="F22" s="48"/>
      <c r="G22" s="145"/>
      <c r="H22" s="165"/>
      <c r="I22" s="48"/>
      <c r="J22" s="165"/>
      <c r="K22" s="48"/>
      <c r="L22" s="165"/>
      <c r="M22" s="48"/>
      <c r="N22" s="165"/>
      <c r="O22" s="48"/>
      <c r="P22" s="46"/>
      <c r="Q22" s="46"/>
      <c r="R22" s="365"/>
      <c r="S22" s="364"/>
      <c r="T22" s="47"/>
      <c r="U22" s="165"/>
      <c r="V22" s="165"/>
      <c r="W22" s="165"/>
      <c r="X22" s="80"/>
      <c r="Y22" s="57"/>
      <c r="Z22" s="357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72"/>
      <c r="AQ22" s="72"/>
      <c r="AR22" s="55"/>
      <c r="AS22" s="55"/>
      <c r="AT22" s="55"/>
      <c r="AU22" s="55"/>
      <c r="AV22" s="55"/>
      <c r="AW22" s="374"/>
      <c r="AX22" s="357"/>
      <c r="AY22" s="55"/>
      <c r="AZ22" s="55"/>
      <c r="BA22" s="55"/>
      <c r="BB22" s="55"/>
      <c r="BC22" s="55"/>
      <c r="BD22" s="55"/>
      <c r="BE22" s="55"/>
      <c r="BF22" s="55"/>
      <c r="BG22" s="62"/>
      <c r="BH22" s="62"/>
      <c r="BI22" s="55"/>
      <c r="BJ22" s="55"/>
      <c r="BK22" s="55"/>
      <c r="BL22" s="55"/>
      <c r="BM22" s="55"/>
      <c r="BN22" s="55"/>
      <c r="BO22" s="55"/>
      <c r="BP22" s="57"/>
      <c r="BQ22" s="357"/>
      <c r="BR22" s="352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448"/>
      <c r="CD22" s="55"/>
      <c r="CE22" s="55"/>
      <c r="CF22" s="55"/>
      <c r="CG22" s="55"/>
      <c r="CH22" s="55"/>
      <c r="CI22" s="55"/>
      <c r="CJ22" s="448"/>
      <c r="CK22" s="57"/>
      <c r="CL22" s="357"/>
      <c r="CM22" s="352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448"/>
      <c r="CY22" s="55"/>
      <c r="CZ22" s="55"/>
      <c r="DA22" s="55"/>
      <c r="DB22" s="55"/>
      <c r="DC22" s="55"/>
      <c r="DD22" s="505"/>
      <c r="DE22" s="679"/>
      <c r="DF22" s="679"/>
      <c r="DG22" s="623"/>
      <c r="DH22" s="357"/>
      <c r="DI22" s="957"/>
      <c r="DJ22" s="511"/>
      <c r="DK22" s="511"/>
      <c r="DL22" s="511"/>
      <c r="DM22" s="511"/>
      <c r="DN22" s="511"/>
      <c r="DO22" s="511"/>
      <c r="DP22" s="511"/>
      <c r="DQ22" s="511"/>
      <c r="DR22" s="511"/>
      <c r="DS22" s="511"/>
      <c r="DT22" s="511"/>
      <c r="DU22" s="511"/>
      <c r="DV22" s="511"/>
      <c r="DW22" s="511"/>
      <c r="DX22" s="511"/>
      <c r="DY22" s="511"/>
      <c r="DZ22" s="511"/>
      <c r="EA22" s="511"/>
      <c r="EB22" s="511"/>
      <c r="EC22" s="511"/>
      <c r="ED22" s="55">
        <f t="shared" si="42"/>
        <v>0</v>
      </c>
      <c r="EE22" s="55">
        <f t="shared" si="26"/>
        <v>0</v>
      </c>
    </row>
    <row r="23" spans="1:135" x14ac:dyDescent="0.2">
      <c r="A23" s="943" t="s">
        <v>1232</v>
      </c>
      <c r="B23" s="847" t="s">
        <v>1233</v>
      </c>
      <c r="C23" s="217">
        <f>5</f>
        <v>5</v>
      </c>
      <c r="D23" s="218">
        <v>0.2</v>
      </c>
      <c r="E23" s="219">
        <v>43465</v>
      </c>
      <c r="F23" s="220">
        <f>C23*12</f>
        <v>60</v>
      </c>
      <c r="G23" s="221">
        <f>100/F23</f>
        <v>1.6666666666666667</v>
      </c>
      <c r="H23" s="222">
        <f>G23*I23</f>
        <v>23.333333333333336</v>
      </c>
      <c r="I23" s="48">
        <f>(YEAR(E23)-YEAR(R23))*12+MONTH(E23)-MONTH(R23)</f>
        <v>14</v>
      </c>
      <c r="J23" s="222">
        <f>K23*G23</f>
        <v>76.666666666666671</v>
      </c>
      <c r="K23" s="48">
        <f>F23-I23</f>
        <v>46</v>
      </c>
      <c r="L23" s="222">
        <f>M23*G23</f>
        <v>11.666666666666668</v>
      </c>
      <c r="M23" s="48">
        <v>7</v>
      </c>
      <c r="N23" s="222"/>
      <c r="O23" s="220"/>
      <c r="P23" s="219">
        <v>44865</v>
      </c>
      <c r="Q23" s="219" t="s">
        <v>1246</v>
      </c>
      <c r="R23" s="797">
        <v>43039</v>
      </c>
      <c r="S23" s="798">
        <v>550000</v>
      </c>
      <c r="T23" s="223"/>
      <c r="U23" s="222"/>
      <c r="V23" s="222"/>
      <c r="W23" s="222"/>
      <c r="X23" s="226"/>
      <c r="Y23" s="225"/>
      <c r="Z23" s="934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8"/>
      <c r="AQ23" s="228"/>
      <c r="AR23" s="227"/>
      <c r="AS23" s="227"/>
      <c r="AT23" s="227"/>
      <c r="AU23" s="227"/>
      <c r="AV23" s="227"/>
      <c r="AW23" s="848"/>
      <c r="AX23" s="934"/>
      <c r="AY23" s="227"/>
      <c r="AZ23" s="227"/>
      <c r="BA23" s="227"/>
      <c r="BB23" s="227"/>
      <c r="BC23" s="227"/>
      <c r="BD23" s="227"/>
      <c r="BE23" s="227"/>
      <c r="BF23" s="227"/>
      <c r="BG23" s="928"/>
      <c r="BH23" s="928"/>
      <c r="BI23" s="227"/>
      <c r="BJ23" s="227"/>
      <c r="BK23" s="227"/>
      <c r="BL23" s="227"/>
      <c r="BM23" s="227"/>
      <c r="BN23" s="227"/>
      <c r="BO23" s="227"/>
      <c r="BP23" s="225"/>
      <c r="BQ23" s="934"/>
      <c r="BR23" s="944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800"/>
      <c r="CD23" s="227"/>
      <c r="CE23" s="227"/>
      <c r="CF23" s="227"/>
      <c r="CG23" s="227"/>
      <c r="CH23" s="227"/>
      <c r="CI23" s="227"/>
      <c r="CJ23" s="798">
        <v>550000</v>
      </c>
      <c r="CK23" s="225">
        <v>126.408</v>
      </c>
      <c r="CL23" s="934">
        <v>130.81299999999999</v>
      </c>
      <c r="CM23" s="944">
        <f>CK23/CL23</f>
        <v>0.96632597677600862</v>
      </c>
      <c r="CN23" s="227">
        <f>CJ23/K23</f>
        <v>11956.521739130434</v>
      </c>
      <c r="CO23" s="227">
        <f>S23/F23</f>
        <v>9166.6666666666661</v>
      </c>
      <c r="CP23" s="227"/>
      <c r="CQ23" s="227"/>
      <c r="CR23" s="227"/>
      <c r="CS23" s="227"/>
      <c r="CT23" s="227"/>
      <c r="CU23" s="227"/>
      <c r="CV23" s="227">
        <v>18333.34</v>
      </c>
      <c r="CW23" s="227">
        <f>SUM(CP23:CV23)</f>
        <v>18333.34</v>
      </c>
      <c r="CX23" s="800">
        <f>CJ23-CW23</f>
        <v>531666.66</v>
      </c>
      <c r="CY23" s="227">
        <v>18333.34</v>
      </c>
      <c r="CZ23" s="227">
        <v>18333.34</v>
      </c>
      <c r="DA23" s="227">
        <v>18333.34</v>
      </c>
      <c r="DB23" s="227">
        <v>18333.34</v>
      </c>
      <c r="DC23" s="227">
        <v>18333.34</v>
      </c>
      <c r="DD23" s="505">
        <f>SUM(CY23:DC23)</f>
        <v>91666.7</v>
      </c>
      <c r="DE23" s="679">
        <f>CX23-DD23</f>
        <v>439999.96</v>
      </c>
      <c r="DF23" s="679">
        <v>439999.96</v>
      </c>
      <c r="DG23" s="656">
        <v>132.28200000000001</v>
      </c>
      <c r="DH23" s="934">
        <v>130.81299999999999</v>
      </c>
      <c r="DI23" s="957">
        <f>DG23/DH23</f>
        <v>1.0112297707414402</v>
      </c>
      <c r="DJ23" s="511">
        <f>DF23/K23</f>
        <v>9565.2165217391303</v>
      </c>
      <c r="DK23" s="511">
        <f>DJ23*DI23</f>
        <v>9672.6317103704969</v>
      </c>
      <c r="DL23" s="511">
        <v>9672.6317103704969</v>
      </c>
      <c r="DM23" s="511">
        <v>9672.6317103704969</v>
      </c>
      <c r="DN23" s="511">
        <v>9672.6317103704969</v>
      </c>
      <c r="DO23" s="511">
        <v>9672.6317103704969</v>
      </c>
      <c r="DP23" s="511">
        <v>9672.6317103704969</v>
      </c>
      <c r="DQ23" s="511">
        <v>9672.6317103704969</v>
      </c>
      <c r="DR23" s="511">
        <v>9672.6317103704969</v>
      </c>
      <c r="DS23" s="511">
        <v>9672.6317103704969</v>
      </c>
      <c r="DT23" s="511">
        <v>9672.6317103704969</v>
      </c>
      <c r="DU23" s="511">
        <v>9672.6317103704969</v>
      </c>
      <c r="DV23" s="511">
        <v>9672.6317103704969</v>
      </c>
      <c r="DW23" s="511">
        <v>9672.6317103704969</v>
      </c>
      <c r="DX23" s="511">
        <v>9672.6317103704969</v>
      </c>
      <c r="DY23" s="511">
        <v>9672.6317103704969</v>
      </c>
      <c r="DZ23" s="511">
        <v>9672.6317103704969</v>
      </c>
      <c r="EA23" s="511">
        <v>9672.6317103704969</v>
      </c>
      <c r="EB23" s="511">
        <v>9672.6317103704969</v>
      </c>
      <c r="EC23" s="511">
        <v>9672.6317103704969</v>
      </c>
      <c r="ED23" s="55">
        <f t="shared" si="42"/>
        <v>174107.37078666897</v>
      </c>
      <c r="EE23" s="55">
        <f t="shared" si="26"/>
        <v>265892.58921333106</v>
      </c>
    </row>
    <row r="24" spans="1:135" x14ac:dyDescent="0.2">
      <c r="A24" s="45" t="s">
        <v>893</v>
      </c>
      <c r="B24" s="176" t="s">
        <v>859</v>
      </c>
      <c r="C24" s="58">
        <f>5</f>
        <v>5</v>
      </c>
      <c r="D24" s="49">
        <v>0.2</v>
      </c>
      <c r="E24" s="46">
        <v>43281</v>
      </c>
      <c r="F24" s="48">
        <f>C24*12</f>
        <v>60</v>
      </c>
      <c r="G24" s="145">
        <f>100/F24</f>
        <v>1.6666666666666667</v>
      </c>
      <c r="H24" s="165">
        <f>G24*I24</f>
        <v>183.33333333333334</v>
      </c>
      <c r="I24" s="48">
        <f>(YEAR(E24)-YEAR(R24))*12+MONTH(E24)-MONTH(R24)</f>
        <v>110</v>
      </c>
      <c r="J24" s="165">
        <f>K24*G24</f>
        <v>-83.333333333333343</v>
      </c>
      <c r="K24" s="48">
        <f>F24-I24</f>
        <v>-50</v>
      </c>
      <c r="L24" s="165">
        <f>M24*G24</f>
        <v>13.333333333333334</v>
      </c>
      <c r="M24" s="48">
        <v>8</v>
      </c>
      <c r="N24" s="165">
        <f>O24*G24</f>
        <v>-96.666666666666671</v>
      </c>
      <c r="O24" s="48">
        <f>K24-M24</f>
        <v>-58</v>
      </c>
      <c r="P24" s="46">
        <f>DATE(YEAR(R24),MONTH(R24)+F24,DAY(R24))</f>
        <v>41750</v>
      </c>
      <c r="Q24" s="46"/>
      <c r="R24" s="365">
        <v>39924</v>
      </c>
      <c r="S24" s="364">
        <v>700000</v>
      </c>
      <c r="T24" s="47">
        <f>S24*H24%</f>
        <v>1283333.3333333335</v>
      </c>
      <c r="U24" s="165">
        <f>S24-(((2014-YEAR(R24))*12-MONTH(R24))*V24)</f>
        <v>46666.666666666744</v>
      </c>
      <c r="V24" s="165">
        <f>S24*G24%</f>
        <v>11666.666666666666</v>
      </c>
      <c r="W24" s="165">
        <f>U24</f>
        <v>46666.666666666744</v>
      </c>
      <c r="X24" s="80">
        <v>1</v>
      </c>
      <c r="Y24" s="57">
        <f>112.722</f>
        <v>112.72199999999999</v>
      </c>
      <c r="Z24" s="357">
        <v>135.613</v>
      </c>
      <c r="AA24" s="55">
        <f>Y24/Z24</f>
        <v>0.83120349818970152</v>
      </c>
      <c r="AB24" s="55"/>
      <c r="AC24" s="55">
        <f>AB24*AA24</f>
        <v>0</v>
      </c>
      <c r="AD24" s="55"/>
      <c r="AE24" s="55"/>
      <c r="AF24" s="55"/>
      <c r="AG24" s="55"/>
      <c r="AH24" s="55"/>
      <c r="AI24" s="55">
        <f t="shared" ref="AI24:AO24" si="43">$AC24</f>
        <v>0</v>
      </c>
      <c r="AJ24" s="55">
        <f t="shared" si="43"/>
        <v>0</v>
      </c>
      <c r="AK24" s="55">
        <f t="shared" si="43"/>
        <v>0</v>
      </c>
      <c r="AL24" s="55">
        <f t="shared" si="43"/>
        <v>0</v>
      </c>
      <c r="AM24" s="55">
        <f t="shared" si="43"/>
        <v>0</v>
      </c>
      <c r="AN24" s="55">
        <f t="shared" si="43"/>
        <v>0</v>
      </c>
      <c r="AO24" s="55">
        <f t="shared" si="43"/>
        <v>0</v>
      </c>
      <c r="AP24" s="72">
        <f>SUM(AI24:AN24)</f>
        <v>0</v>
      </c>
      <c r="AQ24" s="72">
        <f>X24-AP24</f>
        <v>1</v>
      </c>
      <c r="AR24" s="55">
        <f>$AC24</f>
        <v>0</v>
      </c>
      <c r="AS24" s="55">
        <f>$AC24</f>
        <v>0</v>
      </c>
      <c r="AT24" s="55">
        <f>$AC24</f>
        <v>0</v>
      </c>
      <c r="AU24" s="55">
        <f>$AC24</f>
        <v>0</v>
      </c>
      <c r="AV24" s="55">
        <f>$AC24</f>
        <v>0</v>
      </c>
      <c r="AW24" s="374">
        <v>115.958</v>
      </c>
      <c r="AX24" s="357">
        <v>135.613</v>
      </c>
      <c r="AY24" s="55">
        <f>AW24/AX24</f>
        <v>0.85506551731766123</v>
      </c>
      <c r="AZ24" s="55"/>
      <c r="BA24" s="55">
        <f t="shared" ref="BA24:BF24" si="44">$AC24</f>
        <v>0</v>
      </c>
      <c r="BB24" s="55">
        <f t="shared" si="44"/>
        <v>0</v>
      </c>
      <c r="BC24" s="55">
        <f t="shared" si="44"/>
        <v>0</v>
      </c>
      <c r="BD24" s="55">
        <f t="shared" si="44"/>
        <v>0</v>
      </c>
      <c r="BE24" s="55">
        <f t="shared" si="44"/>
        <v>0</v>
      </c>
      <c r="BF24" s="55">
        <f t="shared" si="44"/>
        <v>0</v>
      </c>
      <c r="BG24" s="62">
        <f>(SUM(AR24:AV24))+(SUM(AZ24:BF24))</f>
        <v>0</v>
      </c>
      <c r="BH24" s="62">
        <f>AQ24-BG24</f>
        <v>1</v>
      </c>
      <c r="BI24" s="55"/>
      <c r="BJ24" s="55"/>
      <c r="BK24" s="55"/>
      <c r="BL24" s="55"/>
      <c r="BM24" s="55"/>
      <c r="BN24" s="55"/>
      <c r="BO24" s="55"/>
      <c r="BP24" s="57">
        <v>118.901</v>
      </c>
      <c r="BQ24" s="357">
        <v>135.613</v>
      </c>
      <c r="BR24" s="352">
        <f>BP24/BQ24</f>
        <v>0.87676697661728598</v>
      </c>
      <c r="BS24" s="55">
        <f>S24/(C24*12)</f>
        <v>11666.666666666666</v>
      </c>
      <c r="BT24" s="55">
        <f>BS24*BR24</f>
        <v>10228.948060535002</v>
      </c>
      <c r="BU24" s="55"/>
      <c r="BV24" s="55"/>
      <c r="BW24" s="55"/>
      <c r="BX24" s="55"/>
      <c r="BY24" s="55"/>
      <c r="BZ24" s="55"/>
      <c r="CA24" s="55"/>
      <c r="CB24" s="55">
        <f>SUM((BK24:BO24),(BU24:CA24))</f>
        <v>0</v>
      </c>
      <c r="CC24" s="448">
        <f>(BH24-CB24)</f>
        <v>1</v>
      </c>
      <c r="CD24" s="55"/>
      <c r="CE24" s="55"/>
      <c r="CF24" s="55"/>
      <c r="CG24" s="55"/>
      <c r="CH24" s="55"/>
      <c r="CI24" s="55">
        <f>SUM(CD24:CH24)</f>
        <v>0</v>
      </c>
      <c r="CJ24" s="448">
        <f>CC24-CI24</f>
        <v>1</v>
      </c>
      <c r="CK24" s="57">
        <v>126.408</v>
      </c>
      <c r="CL24" s="357">
        <v>135.613</v>
      </c>
      <c r="CM24" s="352">
        <f>CK24/CL24</f>
        <v>0.93212302655350154</v>
      </c>
      <c r="CN24" s="55">
        <v>0</v>
      </c>
      <c r="CO24" s="55">
        <f>CN24*CM24</f>
        <v>0</v>
      </c>
      <c r="CP24" s="55">
        <v>0</v>
      </c>
      <c r="CQ24" s="55">
        <v>0</v>
      </c>
      <c r="CR24" s="55">
        <v>0</v>
      </c>
      <c r="CS24" s="55">
        <v>0</v>
      </c>
      <c r="CT24" s="55">
        <v>0</v>
      </c>
      <c r="CU24" s="55">
        <v>0</v>
      </c>
      <c r="CV24" s="55">
        <v>0</v>
      </c>
      <c r="CW24" s="55">
        <f>SUM((CD24:CH24),(CP24:CV24))</f>
        <v>0</v>
      </c>
      <c r="CX24" s="448">
        <f>CC24-CW24</f>
        <v>1</v>
      </c>
      <c r="CY24" s="55">
        <v>0</v>
      </c>
      <c r="CZ24" s="55">
        <v>0</v>
      </c>
      <c r="DA24" s="55">
        <v>0</v>
      </c>
      <c r="DB24" s="55">
        <v>0</v>
      </c>
      <c r="DC24" s="55">
        <v>0</v>
      </c>
      <c r="DD24" s="505">
        <f>SUM(CY24:DC24)</f>
        <v>0</v>
      </c>
      <c r="DE24" s="679">
        <f t="shared" si="35"/>
        <v>1</v>
      </c>
      <c r="DF24" s="679">
        <v>1</v>
      </c>
      <c r="DG24" s="55">
        <v>132.28200000000001</v>
      </c>
      <c r="DH24" s="357">
        <v>135.613</v>
      </c>
      <c r="DI24" s="957">
        <f>DG24/DH24</f>
        <v>0.97543745806080551</v>
      </c>
      <c r="DJ24" s="511">
        <v>0</v>
      </c>
      <c r="DK24" s="511">
        <f>DJ24*DI24</f>
        <v>0</v>
      </c>
      <c r="DL24" s="511">
        <v>0</v>
      </c>
      <c r="DM24" s="511">
        <v>0</v>
      </c>
      <c r="DN24" s="511">
        <v>0</v>
      </c>
      <c r="DO24" s="511">
        <v>0</v>
      </c>
      <c r="DP24" s="511">
        <v>0</v>
      </c>
      <c r="DQ24" s="511">
        <v>0</v>
      </c>
      <c r="DR24" s="511">
        <v>0</v>
      </c>
      <c r="DS24" s="511">
        <v>0</v>
      </c>
      <c r="DT24" s="511">
        <v>0</v>
      </c>
      <c r="DU24" s="511">
        <v>0</v>
      </c>
      <c r="DV24" s="511">
        <v>0</v>
      </c>
      <c r="DW24" s="511">
        <v>0</v>
      </c>
      <c r="DX24" s="511">
        <v>0</v>
      </c>
      <c r="DY24" s="511">
        <v>0</v>
      </c>
      <c r="DZ24" s="511">
        <v>0</v>
      </c>
      <c r="EA24" s="511">
        <v>0</v>
      </c>
      <c r="EB24" s="511">
        <v>0</v>
      </c>
      <c r="EC24" s="511">
        <v>0</v>
      </c>
      <c r="ED24" s="55">
        <f t="shared" si="42"/>
        <v>0</v>
      </c>
      <c r="EE24" s="55">
        <f t="shared" si="26"/>
        <v>1</v>
      </c>
    </row>
    <row r="25" spans="1:135" ht="15" x14ac:dyDescent="0.2">
      <c r="BK25" s="13">
        <f>SUM(BK13:BK24)</f>
        <v>13865.060378349934</v>
      </c>
      <c r="BL25" s="13">
        <f>SUM(BL13:BL24)</f>
        <v>12260.220378349934</v>
      </c>
      <c r="BM25" s="13">
        <f>SUM(BM14:BM24)</f>
        <v>10391.000378349932</v>
      </c>
      <c r="BN25" s="13">
        <f>SUM(BN18:BN24)</f>
        <v>10391.000378349932</v>
      </c>
      <c r="BO25" s="13">
        <f>SUM(BO18:BO24)</f>
        <v>10391.000378349932</v>
      </c>
      <c r="BU25" s="195">
        <f>SUM(BU14:BU24)</f>
        <v>10654.722383681536</v>
      </c>
      <c r="BV25" s="513">
        <f>BV18+BV19+BV20+BV21</f>
        <v>10654.722383681536</v>
      </c>
      <c r="BW25" s="195">
        <f t="shared" ref="BW25:CC25" si="45">SUM(BW14:BW24)</f>
        <v>10654.722383681536</v>
      </c>
      <c r="BX25" s="195">
        <f t="shared" si="45"/>
        <v>10654.722383681536</v>
      </c>
      <c r="BY25" s="195">
        <f t="shared" si="45"/>
        <v>10654.722383681536</v>
      </c>
      <c r="BZ25" s="195">
        <f t="shared" si="45"/>
        <v>10654.722383681536</v>
      </c>
      <c r="CA25" s="13">
        <f t="shared" si="45"/>
        <v>10654.722383681536</v>
      </c>
      <c r="CB25" s="13">
        <f t="shared" si="45"/>
        <v>131881.33857752039</v>
      </c>
      <c r="CC25" s="13">
        <f t="shared" si="45"/>
        <v>-94038.371391967536</v>
      </c>
      <c r="CD25" s="13">
        <f>SUM(CD13:CD24)</f>
        <v>10391.000378349932</v>
      </c>
      <c r="CE25" s="13">
        <f>SUM(CE13:CE24)</f>
        <v>10391.000378349932</v>
      </c>
      <c r="CF25" s="13">
        <f>SUM(CF14:CF24)</f>
        <v>10391.000378349932</v>
      </c>
      <c r="CG25" s="13">
        <f>SUM(CG14:CG24)</f>
        <v>0</v>
      </c>
      <c r="CH25" s="13">
        <f>SUM(CH14:CH24)</f>
        <v>0</v>
      </c>
      <c r="CI25" s="13">
        <f>SUM(CI14:CI24)</f>
        <v>31173.001135049795</v>
      </c>
      <c r="CJ25" s="762">
        <f>SUM(CJ14:CJ24)</f>
        <v>424788.62747298263</v>
      </c>
      <c r="CP25" s="195">
        <f>SUM(CP14:CP24)</f>
        <v>3301.5566549747468</v>
      </c>
      <c r="CQ25" s="195">
        <f>SUM(CQ14:CQ24)</f>
        <v>3301.5566549747468</v>
      </c>
      <c r="CR25" s="195">
        <f>SUM(CR14:CR24)</f>
        <v>3301.5566549747468</v>
      </c>
      <c r="CS25" s="195">
        <f>SUM(CS13:CS24)</f>
        <v>3301.5566549747468</v>
      </c>
      <c r="CT25" s="195">
        <f>SUM(CT13:CT24)</f>
        <v>3301.5609008249235</v>
      </c>
      <c r="CU25" s="524">
        <f>SUM(CU14:CU24)</f>
        <v>2498.3209008249237</v>
      </c>
      <c r="CV25" s="524">
        <f>SUM(CV14:CV24)</f>
        <v>20752.870900824924</v>
      </c>
      <c r="CW25" s="13">
        <f>SUM(CW14:CW24)</f>
        <v>39758.979322373765</v>
      </c>
      <c r="CX25" s="13">
        <f>SUM(CX14:CX24)</f>
        <v>385029.64815060893</v>
      </c>
      <c r="CY25" s="524">
        <f>SUM(CY14:CY24)</f>
        <v>20752.870900824924</v>
      </c>
      <c r="CZ25" s="13">
        <f t="shared" ref="CZ25:ED25" si="46">SUM(CZ14:CZ24)</f>
        <v>20752.870900824924</v>
      </c>
      <c r="DA25" s="603">
        <f t="shared" si="46"/>
        <v>20752.870900824924</v>
      </c>
      <c r="DB25" s="603">
        <f t="shared" si="46"/>
        <v>20752.870900824924</v>
      </c>
      <c r="DC25" s="603">
        <f t="shared" si="46"/>
        <v>20752.870900824924</v>
      </c>
      <c r="DD25" s="13">
        <f t="shared" si="46"/>
        <v>103764.35450412461</v>
      </c>
      <c r="DE25" s="13">
        <f t="shared" si="46"/>
        <v>281265.29364648432</v>
      </c>
      <c r="DF25" s="13">
        <v>457880.66548977542</v>
      </c>
      <c r="DG25" s="13">
        <f t="shared" si="46"/>
        <v>1322.82</v>
      </c>
      <c r="DH25" s="13">
        <f t="shared" si="46"/>
        <v>1269.769</v>
      </c>
      <c r="DI25" s="13">
        <f t="shared" si="46"/>
        <v>10.533875116969099</v>
      </c>
      <c r="DJ25" s="13">
        <f t="shared" si="46"/>
        <v>11105.730004741854</v>
      </c>
      <c r="DK25" s="13">
        <f t="shared" si="46"/>
        <v>11478.062323607337</v>
      </c>
      <c r="DL25" s="13">
        <f t="shared" si="46"/>
        <v>10794.293618026368</v>
      </c>
      <c r="DM25" s="13">
        <f t="shared" si="46"/>
        <v>10794.293618026368</v>
      </c>
      <c r="DN25" s="13">
        <f t="shared" si="46"/>
        <v>10794.293618026368</v>
      </c>
      <c r="DO25" s="13">
        <f t="shared" si="46"/>
        <v>10794.293618026368</v>
      </c>
      <c r="DP25" s="13">
        <f t="shared" si="46"/>
        <v>10794.293618026368</v>
      </c>
      <c r="DQ25" s="13">
        <f t="shared" si="46"/>
        <v>10794.293618026368</v>
      </c>
      <c r="DR25" s="13">
        <f t="shared" si="46"/>
        <v>10794.293618026368</v>
      </c>
      <c r="DS25" s="13">
        <f t="shared" ref="DS25:DT25" si="47">SUM(DS14:DS24)</f>
        <v>10794.293618026368</v>
      </c>
      <c r="DT25" s="13">
        <f t="shared" si="47"/>
        <v>10794.293618026368</v>
      </c>
      <c r="DU25" s="13">
        <f t="shared" ref="DU25:DV25" si="48">SUM(DU14:DU24)</f>
        <v>10794.293618026368</v>
      </c>
      <c r="DV25" s="13">
        <f t="shared" si="48"/>
        <v>10794.293618026368</v>
      </c>
      <c r="DW25" s="13">
        <f t="shared" ref="DW25:EC25" si="49">SUM(DW14:DW24)</f>
        <v>10794.293618026368</v>
      </c>
      <c r="DX25" s="13">
        <f t="shared" ref="DX25:EB25" si="50">SUM(DX14:DX24)</f>
        <v>10794.293618026368</v>
      </c>
      <c r="DY25" s="13">
        <f t="shared" si="50"/>
        <v>10592.155588986619</v>
      </c>
      <c r="DZ25" s="13">
        <f t="shared" si="50"/>
        <v>10212.59558898662</v>
      </c>
      <c r="EA25" s="13">
        <f t="shared" si="50"/>
        <v>10212.59558898662</v>
      </c>
      <c r="EB25" s="13">
        <f t="shared" si="50"/>
        <v>10212.59558898662</v>
      </c>
      <c r="EC25" s="13">
        <f t="shared" si="49"/>
        <v>10098.542084847881</v>
      </c>
      <c r="ED25" s="13">
        <f t="shared" si="46"/>
        <v>191654.30147513715</v>
      </c>
      <c r="EE25" s="13">
        <f>SUM(EE13:EE24)</f>
        <v>266226.36401463824</v>
      </c>
    </row>
    <row r="26" spans="1:135" x14ac:dyDescent="0.2">
      <c r="BF26" s="13">
        <f>SUM(BF14:BF24)</f>
        <v>13865.062173147931</v>
      </c>
      <c r="BG26" s="13">
        <f>SUM(BG14:BG24)</f>
        <v>324145.29218643886</v>
      </c>
      <c r="BH26" s="400">
        <f>SUM(BH14:BH24)</f>
        <v>37842.967185552858</v>
      </c>
      <c r="CC26" s="667">
        <f>CC25-CD25-CE25</f>
        <v>-114820.37214866739</v>
      </c>
      <c r="DE26" s="13">
        <f>CX25-DD25</f>
        <v>281265.29364648432</v>
      </c>
      <c r="DF26" s="13">
        <v>457880.66548977548</v>
      </c>
      <c r="EE26" s="289">
        <f>DF25-ED25</f>
        <v>266226.36401463824</v>
      </c>
    </row>
    <row r="27" spans="1:135" x14ac:dyDescent="0.2">
      <c r="CX27" s="667">
        <f>CJ25-CW25</f>
        <v>385029.64815060887</v>
      </c>
    </row>
    <row r="29" spans="1:135" x14ac:dyDescent="0.2">
      <c r="D29" s="16"/>
    </row>
  </sheetData>
  <mergeCells count="40">
    <mergeCell ref="EE11:EE12"/>
    <mergeCell ref="N11:N12"/>
    <mergeCell ref="P11:P12"/>
    <mergeCell ref="C10:O10"/>
    <mergeCell ref="Q10:S10"/>
    <mergeCell ref="T10:AO10"/>
    <mergeCell ref="G11:G12"/>
    <mergeCell ref="H11:H12"/>
    <mergeCell ref="I11:I12"/>
    <mergeCell ref="J11:J12"/>
    <mergeCell ref="K11:K12"/>
    <mergeCell ref="L11:L12"/>
    <mergeCell ref="X11:X12"/>
    <mergeCell ref="AB11:AB12"/>
    <mergeCell ref="AC11:AC12"/>
    <mergeCell ref="CN11:CN12"/>
    <mergeCell ref="A11:A12"/>
    <mergeCell ref="B11:B12"/>
    <mergeCell ref="D11:D12"/>
    <mergeCell ref="E11:E12"/>
    <mergeCell ref="F11:F12"/>
    <mergeCell ref="CO11:CO12"/>
    <mergeCell ref="BI11:BI12"/>
    <mergeCell ref="BJ11:BJ12"/>
    <mergeCell ref="Q11:Q12"/>
    <mergeCell ref="R11:R12"/>
    <mergeCell ref="S11:S12"/>
    <mergeCell ref="T11:T12"/>
    <mergeCell ref="U11:U12"/>
    <mergeCell ref="W11:W12"/>
    <mergeCell ref="BS11:BS12"/>
    <mergeCell ref="BT11:BT12"/>
    <mergeCell ref="CI11:CI12"/>
    <mergeCell ref="CJ11:CJ12"/>
    <mergeCell ref="ED11:ED12"/>
    <mergeCell ref="DD11:DD12"/>
    <mergeCell ref="DE11:DE12"/>
    <mergeCell ref="DJ11:DJ12"/>
    <mergeCell ref="DF11:DF12"/>
    <mergeCell ref="DK11:DK12"/>
  </mergeCells>
  <pageMargins left="0.19685039370078741" right="0.19685039370078741" top="0.74803149606299213" bottom="0.35433070866141736" header="0.31496062992125984" footer="0.31496062992125984"/>
  <pageSetup scale="45" orientation="landscape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33"/>
  <sheetViews>
    <sheetView workbookViewId="0">
      <selection activeCell="H13" sqref="H13"/>
    </sheetView>
  </sheetViews>
  <sheetFormatPr baseColWidth="10" defaultRowHeight="12.75" x14ac:dyDescent="0.2"/>
  <cols>
    <col min="1" max="1" width="16.28515625" bestFit="1" customWidth="1"/>
    <col min="2" max="2" width="19.5703125" bestFit="1" customWidth="1"/>
    <col min="3" max="3" width="11.5703125" bestFit="1" customWidth="1"/>
  </cols>
  <sheetData>
    <row r="1" spans="1:42" x14ac:dyDescent="0.2">
      <c r="D1" s="1258" t="s">
        <v>532</v>
      </c>
      <c r="E1" s="1258"/>
      <c r="F1" s="1258"/>
      <c r="G1" s="1258"/>
      <c r="H1" s="1258"/>
      <c r="I1" s="1258"/>
      <c r="J1" s="1258"/>
      <c r="K1" s="1258"/>
      <c r="L1" s="1258"/>
      <c r="M1" s="1258"/>
      <c r="N1" s="1258"/>
      <c r="O1" s="1258"/>
      <c r="P1" s="1258"/>
      <c r="Q1" s="191"/>
      <c r="R1" s="1259" t="s">
        <v>448</v>
      </c>
      <c r="S1" s="1259"/>
      <c r="T1" s="1259"/>
      <c r="U1" s="1260"/>
      <c r="V1" s="1260"/>
      <c r="W1" s="1260"/>
      <c r="X1" s="1260"/>
      <c r="Y1" s="1260"/>
      <c r="Z1" s="1260"/>
      <c r="AA1" s="1260"/>
      <c r="AB1" s="1260"/>
      <c r="AC1" s="1260"/>
      <c r="AD1" s="1260"/>
      <c r="AE1" s="1260"/>
      <c r="AF1" s="1260"/>
      <c r="AG1" s="1260"/>
      <c r="AH1" s="1260"/>
      <c r="AI1" s="1260"/>
      <c r="AJ1" s="1260"/>
      <c r="AK1" s="1260"/>
      <c r="AL1" s="1260"/>
      <c r="AM1" s="1260"/>
      <c r="AN1" s="1260"/>
    </row>
    <row r="2" spans="1:42" ht="49.5" x14ac:dyDescent="0.25">
      <c r="A2" s="1261" t="s">
        <v>57</v>
      </c>
      <c r="B2" s="1261" t="s">
        <v>0</v>
      </c>
      <c r="C2" s="376" t="s">
        <v>320</v>
      </c>
      <c r="D2" s="166" t="s">
        <v>306</v>
      </c>
      <c r="E2" s="1263" t="s">
        <v>55</v>
      </c>
      <c r="F2" s="1254" t="s">
        <v>564</v>
      </c>
      <c r="G2" s="1254" t="s">
        <v>446</v>
      </c>
      <c r="H2" s="1254" t="s">
        <v>533</v>
      </c>
      <c r="I2" s="1254" t="s">
        <v>526</v>
      </c>
      <c r="J2" s="1254" t="s">
        <v>525</v>
      </c>
      <c r="K2" s="1254" t="s">
        <v>534</v>
      </c>
      <c r="L2" s="1254" t="s">
        <v>493</v>
      </c>
      <c r="M2" s="1254" t="s">
        <v>535</v>
      </c>
      <c r="N2" s="377" t="s">
        <v>529</v>
      </c>
      <c r="O2" s="1254" t="s">
        <v>492</v>
      </c>
      <c r="P2" s="379" t="s">
        <v>530</v>
      </c>
      <c r="Q2" s="1256" t="s">
        <v>528</v>
      </c>
      <c r="R2" s="1250" t="s">
        <v>437</v>
      </c>
      <c r="S2" s="1250" t="s">
        <v>56</v>
      </c>
      <c r="T2" s="1252" t="s">
        <v>449</v>
      </c>
      <c r="U2" s="378"/>
      <c r="V2" s="158" t="s">
        <v>15</v>
      </c>
      <c r="W2" s="159" t="s">
        <v>15</v>
      </c>
      <c r="X2" s="158" t="s">
        <v>16</v>
      </c>
      <c r="Y2" s="1245" t="s">
        <v>527</v>
      </c>
      <c r="Z2" s="1245" t="s">
        <v>536</v>
      </c>
      <c r="AA2" s="158" t="s">
        <v>3</v>
      </c>
      <c r="AB2" s="158" t="s">
        <v>4</v>
      </c>
      <c r="AC2" s="158" t="s">
        <v>5</v>
      </c>
      <c r="AD2" s="158" t="s">
        <v>6</v>
      </c>
      <c r="AE2" s="158" t="s">
        <v>7</v>
      </c>
      <c r="AF2" s="158" t="s">
        <v>8</v>
      </c>
      <c r="AG2" s="158" t="s">
        <v>9</v>
      </c>
      <c r="AH2" s="158" t="s">
        <v>10</v>
      </c>
      <c r="AI2" s="158" t="s">
        <v>11</v>
      </c>
      <c r="AJ2" s="158" t="s">
        <v>12</v>
      </c>
      <c r="AK2" s="158" t="s">
        <v>13</v>
      </c>
      <c r="AL2" s="158" t="s">
        <v>14</v>
      </c>
      <c r="AM2" s="196" t="s">
        <v>531</v>
      </c>
      <c r="AN2" s="160" t="s">
        <v>63</v>
      </c>
    </row>
    <row r="3" spans="1:42" ht="51" x14ac:dyDescent="0.25">
      <c r="A3" s="1262"/>
      <c r="B3" s="1262"/>
      <c r="C3" s="161" t="s">
        <v>658</v>
      </c>
      <c r="D3" s="167"/>
      <c r="E3" s="1264"/>
      <c r="F3" s="1255"/>
      <c r="G3" s="1255"/>
      <c r="H3" s="1255"/>
      <c r="I3" s="1255"/>
      <c r="J3" s="1255"/>
      <c r="K3" s="1255"/>
      <c r="L3" s="1255"/>
      <c r="M3" s="1255"/>
      <c r="N3" s="194">
        <v>42369</v>
      </c>
      <c r="O3" s="1255"/>
      <c r="P3" s="193">
        <v>42370</v>
      </c>
      <c r="Q3" s="1257"/>
      <c r="R3" s="1251" t="s">
        <v>18</v>
      </c>
      <c r="S3" s="1251" t="s">
        <v>18</v>
      </c>
      <c r="T3" s="1253"/>
      <c r="U3" s="380" t="s">
        <v>709</v>
      </c>
      <c r="V3" s="162" t="s">
        <v>20</v>
      </c>
      <c r="W3" s="163" t="s">
        <v>21</v>
      </c>
      <c r="X3" s="162" t="s">
        <v>22</v>
      </c>
      <c r="Y3" s="1246"/>
      <c r="Z3" s="1246"/>
      <c r="AA3" s="162">
        <v>2015</v>
      </c>
      <c r="AB3" s="162">
        <v>2015</v>
      </c>
      <c r="AC3" s="162">
        <v>2015</v>
      </c>
      <c r="AD3" s="162">
        <v>2015</v>
      </c>
      <c r="AE3" s="162">
        <v>2015</v>
      </c>
      <c r="AF3" s="162">
        <v>2015</v>
      </c>
      <c r="AG3" s="162">
        <v>2015</v>
      </c>
      <c r="AH3" s="162">
        <v>2015</v>
      </c>
      <c r="AI3" s="162">
        <v>2015</v>
      </c>
      <c r="AJ3" s="162">
        <v>2015</v>
      </c>
      <c r="AK3" s="162">
        <v>2015</v>
      </c>
      <c r="AL3" s="162">
        <v>2015</v>
      </c>
      <c r="AM3" s="162">
        <v>2015</v>
      </c>
      <c r="AN3" s="162" t="s">
        <v>64</v>
      </c>
    </row>
    <row r="4" spans="1:42" x14ac:dyDescent="0.2">
      <c r="A4" s="120" t="s">
        <v>66</v>
      </c>
      <c r="B4" s="9"/>
      <c r="C4" s="45"/>
      <c r="D4" s="150"/>
      <c r="E4" s="25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20"/>
      <c r="S4" s="20"/>
      <c r="T4" s="14"/>
      <c r="U4" s="14"/>
      <c r="V4" s="14"/>
      <c r="W4" s="14"/>
      <c r="X4" s="14"/>
      <c r="Y4" s="108"/>
      <c r="Z4" s="66"/>
      <c r="AA4" s="66"/>
      <c r="AB4" s="112"/>
      <c r="AC4" s="66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322"/>
      <c r="AP4" s="322"/>
    </row>
    <row r="5" spans="1:42" x14ac:dyDescent="0.2">
      <c r="A5" s="334" t="s">
        <v>698</v>
      </c>
      <c r="B5" s="328" t="s">
        <v>699</v>
      </c>
      <c r="C5" s="341" t="s">
        <v>314</v>
      </c>
      <c r="D5" s="329">
        <v>3</v>
      </c>
      <c r="E5" s="381">
        <v>0.33329999999999999</v>
      </c>
      <c r="F5" s="330">
        <v>42185</v>
      </c>
      <c r="G5" s="344">
        <v>36</v>
      </c>
      <c r="H5" s="332">
        <f>100/G5</f>
        <v>2.7777777777777777</v>
      </c>
      <c r="I5" s="333">
        <f>H5*J5</f>
        <v>0</v>
      </c>
      <c r="J5" s="331">
        <v>0</v>
      </c>
      <c r="K5" s="333">
        <f>L5*H5</f>
        <v>100</v>
      </c>
      <c r="L5" s="331">
        <f>G5-J5</f>
        <v>36</v>
      </c>
      <c r="M5" s="333">
        <f>N5*H5</f>
        <v>2.7777777777777777</v>
      </c>
      <c r="N5" s="331">
        <v>1</v>
      </c>
      <c r="O5" s="333">
        <f>K5-M5</f>
        <v>97.222222222222229</v>
      </c>
      <c r="P5" s="331">
        <f>L5-N5</f>
        <v>35</v>
      </c>
      <c r="Q5" s="331">
        <f>M5-O5</f>
        <v>-94.444444444444457</v>
      </c>
      <c r="R5" s="344" t="s">
        <v>700</v>
      </c>
      <c r="S5" s="382">
        <v>42339</v>
      </c>
      <c r="T5" s="383">
        <v>9499</v>
      </c>
      <c r="U5" s="384">
        <v>0</v>
      </c>
      <c r="V5" s="384">
        <v>0</v>
      </c>
      <c r="W5" s="338">
        <v>0</v>
      </c>
      <c r="X5" s="337">
        <v>115.958</v>
      </c>
      <c r="Y5" s="337">
        <v>118.532</v>
      </c>
      <c r="Z5" s="337">
        <f>X5/Y5</f>
        <v>0.97828434515573859</v>
      </c>
      <c r="AA5" s="338">
        <f>T5*M5/100/K5*100/1</f>
        <v>263.86111111111109</v>
      </c>
      <c r="AB5" s="338">
        <f>AA5*Z5</f>
        <v>258.13119429539887</v>
      </c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>
        <v>258.13</v>
      </c>
      <c r="AO5" s="338">
        <f>SUM(AC5:AN5)</f>
        <v>258.13</v>
      </c>
      <c r="AP5" s="339">
        <f>T5-AO5</f>
        <v>9240.8700000000008</v>
      </c>
    </row>
    <row r="6" spans="1:42" x14ac:dyDescent="0.2">
      <c r="A6" s="100" t="s">
        <v>106</v>
      </c>
      <c r="B6" s="100" t="s">
        <v>440</v>
      </c>
      <c r="C6" s="45" t="s">
        <v>322</v>
      </c>
      <c r="D6" s="58">
        <v>10</v>
      </c>
      <c r="E6" s="53">
        <v>0.1</v>
      </c>
      <c r="F6" s="46">
        <v>42185</v>
      </c>
      <c r="G6" s="48">
        <v>120</v>
      </c>
      <c r="H6" s="145">
        <f>100/G6</f>
        <v>0.83333333333333337</v>
      </c>
      <c r="I6" s="165">
        <f>H6*J6</f>
        <v>74.166666666666671</v>
      </c>
      <c r="J6" s="48">
        <f>(YEAR(F6)-YEAR(S6))*12+MONTH(F6)-MONTH(S6)</f>
        <v>89</v>
      </c>
      <c r="K6" s="165">
        <f>L6*H6</f>
        <v>25.833333333333336</v>
      </c>
      <c r="L6" s="48">
        <f>G6-J6</f>
        <v>31</v>
      </c>
      <c r="M6" s="165">
        <f>N6*H6</f>
        <v>5.8333333333333339</v>
      </c>
      <c r="N6" s="48">
        <v>7</v>
      </c>
      <c r="O6" s="165">
        <f>P6*H6</f>
        <v>20</v>
      </c>
      <c r="P6" s="48">
        <f>L6-N6</f>
        <v>24</v>
      </c>
      <c r="Q6" s="46">
        <v>42428</v>
      </c>
      <c r="R6" s="46" t="s">
        <v>445</v>
      </c>
      <c r="S6" s="46">
        <v>39448</v>
      </c>
      <c r="T6" s="47">
        <v>650</v>
      </c>
      <c r="U6" s="47">
        <v>129.97999999999999</v>
      </c>
      <c r="V6" s="106">
        <v>27.1</v>
      </c>
      <c r="W6" s="165">
        <v>0</v>
      </c>
      <c r="X6" s="57">
        <v>115.958</v>
      </c>
      <c r="Y6" s="168">
        <v>126.146</v>
      </c>
      <c r="Z6" s="57">
        <f>X6/Y6</f>
        <v>0.91923644031519036</v>
      </c>
      <c r="AA6" s="55">
        <f>U6*M6/100/K6*100/7</f>
        <v>4.192903225806452</v>
      </c>
      <c r="AB6" s="55">
        <f>AA6*Z6</f>
        <v>3.8542694358764016</v>
      </c>
      <c r="AC6" s="55"/>
      <c r="AD6" s="55"/>
      <c r="AE6" s="55"/>
      <c r="AF6" s="55"/>
      <c r="AG6" s="55"/>
      <c r="AH6" s="55">
        <f>AB6</f>
        <v>3.8542694358764016</v>
      </c>
      <c r="AI6" s="55">
        <v>3.8542694358764016</v>
      </c>
      <c r="AJ6" s="55">
        <v>3.8542694358764016</v>
      </c>
      <c r="AK6" s="55">
        <v>3.8542694358764016</v>
      </c>
      <c r="AL6" s="55">
        <v>3.8542694358764016</v>
      </c>
      <c r="AM6" s="55">
        <v>3.8542694358764016</v>
      </c>
      <c r="AN6" s="55">
        <v>3.8542694358763998</v>
      </c>
      <c r="AO6" s="55">
        <f>SUM(AC6:AN6)+V6</f>
        <v>54.079886051134807</v>
      </c>
      <c r="AP6" s="72">
        <f>U6-AO6</f>
        <v>75.900113948865183</v>
      </c>
    </row>
    <row r="7" spans="1:42" x14ac:dyDescent="0.2">
      <c r="A7" s="120" t="s">
        <v>441</v>
      </c>
      <c r="B7" s="9"/>
      <c r="C7" s="9"/>
      <c r="D7" s="4"/>
      <c r="E7" s="25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20"/>
      <c r="S7" s="20"/>
      <c r="T7" s="14"/>
      <c r="U7" s="14"/>
      <c r="V7" s="108"/>
      <c r="W7" s="66"/>
      <c r="X7" s="66"/>
      <c r="Y7" s="112"/>
      <c r="Z7" s="66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73"/>
    </row>
    <row r="8" spans="1:42" x14ac:dyDescent="0.2">
      <c r="A8" s="100" t="s">
        <v>107</v>
      </c>
      <c r="B8" s="100" t="s">
        <v>442</v>
      </c>
      <c r="C8" s="45" t="s">
        <v>322</v>
      </c>
      <c r="D8" s="58">
        <v>10</v>
      </c>
      <c r="E8" s="53">
        <v>0.1</v>
      </c>
      <c r="F8" s="46">
        <v>42185</v>
      </c>
      <c r="G8" s="48">
        <v>120</v>
      </c>
      <c r="H8" s="145">
        <f t="shared" ref="H8:H13" si="0">100/G8</f>
        <v>0.83333333333333337</v>
      </c>
      <c r="I8" s="165">
        <f t="shared" ref="I8:I13" si="1">H8*J8</f>
        <v>74.166666666666671</v>
      </c>
      <c r="J8" s="48">
        <f>(YEAR(F8)-YEAR(S8))*12+MONTH(F8)-MONTH(S8)</f>
        <v>89</v>
      </c>
      <c r="K8" s="165">
        <f t="shared" ref="K8:K13" si="2">L8*H8</f>
        <v>25.833333333333336</v>
      </c>
      <c r="L8" s="48">
        <f t="shared" ref="L8:L13" si="3">G8-J8</f>
        <v>31</v>
      </c>
      <c r="M8" s="165">
        <f t="shared" ref="M8:M13" si="4">N8*H8</f>
        <v>5.8333333333333339</v>
      </c>
      <c r="N8" s="48">
        <v>7</v>
      </c>
      <c r="O8" s="165">
        <f t="shared" ref="O8:O13" si="5">P8*H8</f>
        <v>20</v>
      </c>
      <c r="P8" s="48">
        <f t="shared" ref="P8:P13" si="6">L8-N8</f>
        <v>24</v>
      </c>
      <c r="Q8" s="48"/>
      <c r="R8" s="46" t="s">
        <v>445</v>
      </c>
      <c r="S8" s="46">
        <v>39448</v>
      </c>
      <c r="T8" s="47">
        <v>650</v>
      </c>
      <c r="U8" s="47">
        <v>129.97999999999999</v>
      </c>
      <c r="V8" s="106">
        <v>27.1</v>
      </c>
      <c r="W8" s="165">
        <v>0</v>
      </c>
      <c r="X8" s="57">
        <v>115.958</v>
      </c>
      <c r="Y8" s="168">
        <v>126.146</v>
      </c>
      <c r="Z8" s="57">
        <f t="shared" ref="Z8:Z13" si="7">X8/Y8</f>
        <v>0.91923644031519036</v>
      </c>
      <c r="AA8" s="55">
        <f>U8*M8/100/K8*100/7</f>
        <v>4.192903225806452</v>
      </c>
      <c r="AB8" s="55">
        <f t="shared" ref="AB8:AB13" si="8">AA8*Z8</f>
        <v>3.8542694358764016</v>
      </c>
      <c r="AC8" s="55"/>
      <c r="AD8" s="55"/>
      <c r="AE8" s="55"/>
      <c r="AF8" s="55"/>
      <c r="AG8" s="55"/>
      <c r="AH8" s="55">
        <f>AB8</f>
        <v>3.8542694358764016</v>
      </c>
      <c r="AI8" s="55">
        <v>3.8542694358764016</v>
      </c>
      <c r="AJ8" s="55">
        <v>3.8542694358764016</v>
      </c>
      <c r="AK8" s="55">
        <v>3.8542694358764016</v>
      </c>
      <c r="AL8" s="55">
        <v>3.8542694358764016</v>
      </c>
      <c r="AM8" s="55">
        <v>3.8542694358764016</v>
      </c>
      <c r="AN8" s="55">
        <v>3.8542694358764016</v>
      </c>
      <c r="AO8" s="55">
        <f t="shared" ref="AO8:AO13" si="9">SUM(AC8:AN8)+V8</f>
        <v>54.079886051134807</v>
      </c>
      <c r="AP8" s="72">
        <f>U8-AO8</f>
        <v>75.900113948865183</v>
      </c>
    </row>
    <row r="9" spans="1:42" x14ac:dyDescent="0.2">
      <c r="A9" s="100" t="s">
        <v>107</v>
      </c>
      <c r="B9" s="100" t="s">
        <v>443</v>
      </c>
      <c r="C9" s="45" t="s">
        <v>314</v>
      </c>
      <c r="D9" s="58">
        <v>10</v>
      </c>
      <c r="E9" s="53">
        <v>0.1</v>
      </c>
      <c r="F9" s="46">
        <v>42185</v>
      </c>
      <c r="G9" s="48">
        <v>120</v>
      </c>
      <c r="H9" s="145">
        <f t="shared" si="0"/>
        <v>0.83333333333333337</v>
      </c>
      <c r="I9" s="165">
        <f t="shared" si="1"/>
        <v>25.833333333333336</v>
      </c>
      <c r="J9" s="48">
        <f>(YEAR(F9)-YEAR(S9))*12+MONTH(F9)-MONTH(S9)</f>
        <v>31</v>
      </c>
      <c r="K9" s="165">
        <f t="shared" si="2"/>
        <v>74.166666666666671</v>
      </c>
      <c r="L9" s="48">
        <f t="shared" si="3"/>
        <v>89</v>
      </c>
      <c r="M9" s="165">
        <f t="shared" si="4"/>
        <v>5.8333333333333339</v>
      </c>
      <c r="N9" s="48">
        <v>7</v>
      </c>
      <c r="O9" s="165">
        <f t="shared" si="5"/>
        <v>68.333333333333343</v>
      </c>
      <c r="P9" s="48">
        <f t="shared" si="6"/>
        <v>82</v>
      </c>
      <c r="Q9" s="48"/>
      <c r="R9" s="46" t="s">
        <v>451</v>
      </c>
      <c r="S9" s="46">
        <v>41240</v>
      </c>
      <c r="T9" s="47">
        <v>2146</v>
      </c>
      <c r="U9" s="47">
        <v>1698.94</v>
      </c>
      <c r="V9" s="106">
        <v>89.4</v>
      </c>
      <c r="W9" s="165">
        <v>0</v>
      </c>
      <c r="X9" s="57">
        <v>115.958</v>
      </c>
      <c r="Y9" s="168">
        <v>107</v>
      </c>
      <c r="Z9" s="57">
        <f t="shared" si="7"/>
        <v>1.0837196261682243</v>
      </c>
      <c r="AA9" s="55">
        <f>U9*M9/100/K9*100/7</f>
        <v>19.089213483146072</v>
      </c>
      <c r="AB9" s="55">
        <f t="shared" si="8"/>
        <v>20.687355299800487</v>
      </c>
      <c r="AC9" s="55"/>
      <c r="AD9" s="55"/>
      <c r="AE9" s="55"/>
      <c r="AF9" s="55"/>
      <c r="AG9" s="55"/>
      <c r="AH9" s="55">
        <f>AB9</f>
        <v>20.687355299800487</v>
      </c>
      <c r="AI9" s="55">
        <v>20.687355299800487</v>
      </c>
      <c r="AJ9" s="55">
        <v>20.687355299800487</v>
      </c>
      <c r="AK9" s="55">
        <v>20.687355299800487</v>
      </c>
      <c r="AL9" s="55">
        <v>20.687355299800487</v>
      </c>
      <c r="AM9" s="55">
        <v>20.687355299800487</v>
      </c>
      <c r="AN9" s="55">
        <v>20.687355299800487</v>
      </c>
      <c r="AO9" s="55">
        <f t="shared" si="9"/>
        <v>234.21148709860341</v>
      </c>
      <c r="AP9" s="72">
        <f>U9-AO9</f>
        <v>1464.7285129013967</v>
      </c>
    </row>
    <row r="10" spans="1:42" x14ac:dyDescent="0.2">
      <c r="A10" s="9" t="s">
        <v>107</v>
      </c>
      <c r="B10" s="100" t="s">
        <v>428</v>
      </c>
      <c r="C10" s="45" t="s">
        <v>314</v>
      </c>
      <c r="D10" s="58">
        <v>10</v>
      </c>
      <c r="E10" s="53">
        <v>0.1</v>
      </c>
      <c r="F10" s="46">
        <v>42185</v>
      </c>
      <c r="G10" s="48">
        <v>120</v>
      </c>
      <c r="H10" s="145">
        <f t="shared" si="0"/>
        <v>0.83333333333333337</v>
      </c>
      <c r="I10" s="165">
        <f t="shared" si="1"/>
        <v>4.166666666666667</v>
      </c>
      <c r="J10" s="48">
        <f>(YEAR(F10)-YEAR(S10))*12+MONTH(F10)-MONTH(S10)</f>
        <v>5</v>
      </c>
      <c r="K10" s="165">
        <f t="shared" si="2"/>
        <v>95.833333333333343</v>
      </c>
      <c r="L10" s="48">
        <f t="shared" si="3"/>
        <v>115</v>
      </c>
      <c r="M10" s="165">
        <f t="shared" si="4"/>
        <v>5.8333333333333339</v>
      </c>
      <c r="N10" s="48">
        <v>7</v>
      </c>
      <c r="O10" s="165">
        <f t="shared" si="5"/>
        <v>90</v>
      </c>
      <c r="P10" s="48">
        <f t="shared" si="6"/>
        <v>108</v>
      </c>
      <c r="Q10" s="48"/>
      <c r="R10" s="46" t="s">
        <v>453</v>
      </c>
      <c r="S10" s="46">
        <v>42025</v>
      </c>
      <c r="T10" s="47">
        <v>1450</v>
      </c>
      <c r="U10" s="47">
        <v>1450</v>
      </c>
      <c r="V10" s="106">
        <v>0</v>
      </c>
      <c r="W10" s="165">
        <v>0</v>
      </c>
      <c r="X10" s="57">
        <v>115.958</v>
      </c>
      <c r="Y10" s="168">
        <v>115.95399999999999</v>
      </c>
      <c r="Z10" s="57">
        <f t="shared" si="7"/>
        <v>1.0000344964382428</v>
      </c>
      <c r="AA10" s="55">
        <f>U10*M10/100/K10*100/7</f>
        <v>12.608695652173912</v>
      </c>
      <c r="AB10" s="55">
        <f t="shared" si="8"/>
        <v>12.609130607264801</v>
      </c>
      <c r="AC10" s="55"/>
      <c r="AD10" s="55"/>
      <c r="AE10" s="55"/>
      <c r="AF10" s="55"/>
      <c r="AG10" s="55"/>
      <c r="AH10" s="55">
        <f>AB10</f>
        <v>12.609130607264801</v>
      </c>
      <c r="AI10" s="55">
        <v>12.609130607264801</v>
      </c>
      <c r="AJ10" s="55">
        <v>12.609130607264801</v>
      </c>
      <c r="AK10" s="55">
        <v>12.609130607264801</v>
      </c>
      <c r="AL10" s="55">
        <v>12.609130607264801</v>
      </c>
      <c r="AM10" s="55">
        <v>12.609130607264801</v>
      </c>
      <c r="AN10" s="55">
        <v>12.609130607264801</v>
      </c>
      <c r="AO10" s="55">
        <f t="shared" si="9"/>
        <v>88.263914250853603</v>
      </c>
      <c r="AP10" s="72">
        <f>U10-AO10</f>
        <v>1361.7360857491465</v>
      </c>
    </row>
    <row r="11" spans="1:42" x14ac:dyDescent="0.2">
      <c r="A11" s="9" t="s">
        <v>107</v>
      </c>
      <c r="B11" s="100" t="s">
        <v>429</v>
      </c>
      <c r="C11" s="45" t="s">
        <v>314</v>
      </c>
      <c r="D11" s="58">
        <v>10</v>
      </c>
      <c r="E11" s="53">
        <v>0.1</v>
      </c>
      <c r="F11" s="46">
        <v>42185</v>
      </c>
      <c r="G11" s="48">
        <v>120</v>
      </c>
      <c r="H11" s="145">
        <f t="shared" si="0"/>
        <v>0.83333333333333337</v>
      </c>
      <c r="I11" s="165">
        <f t="shared" si="1"/>
        <v>4.166666666666667</v>
      </c>
      <c r="J11" s="48">
        <f>(YEAR(F11)-YEAR(S11))*12+MONTH(F11)-MONTH(S11)</f>
        <v>5</v>
      </c>
      <c r="K11" s="165">
        <f t="shared" si="2"/>
        <v>95.833333333333343</v>
      </c>
      <c r="L11" s="48">
        <f t="shared" si="3"/>
        <v>115</v>
      </c>
      <c r="M11" s="165">
        <f t="shared" si="4"/>
        <v>5.8333333333333339</v>
      </c>
      <c r="N11" s="48">
        <v>7</v>
      </c>
      <c r="O11" s="165">
        <f t="shared" si="5"/>
        <v>90</v>
      </c>
      <c r="P11" s="48">
        <f t="shared" si="6"/>
        <v>108</v>
      </c>
      <c r="Q11" s="48"/>
      <c r="R11" s="46" t="s">
        <v>454</v>
      </c>
      <c r="S11" s="46">
        <v>42016</v>
      </c>
      <c r="T11" s="47">
        <v>1276</v>
      </c>
      <c r="U11" s="47">
        <v>1276</v>
      </c>
      <c r="V11" s="106">
        <v>0</v>
      </c>
      <c r="W11" s="165">
        <v>0</v>
      </c>
      <c r="X11" s="57">
        <v>115.958</v>
      </c>
      <c r="Y11" s="168">
        <v>115.95399999999999</v>
      </c>
      <c r="Z11" s="57">
        <f t="shared" si="7"/>
        <v>1.0000344964382428</v>
      </c>
      <c r="AA11" s="55">
        <f>U11*M11/100/K11*100/7</f>
        <v>11.095652173913042</v>
      </c>
      <c r="AB11" s="55">
        <f t="shared" si="8"/>
        <v>11.096034934393023</v>
      </c>
      <c r="AC11" s="55"/>
      <c r="AD11" s="55"/>
      <c r="AE11" s="55"/>
      <c r="AF11" s="55"/>
      <c r="AG11" s="55"/>
      <c r="AH11" s="55">
        <f>AB11</f>
        <v>11.096034934393023</v>
      </c>
      <c r="AI11" s="55">
        <v>11.096034934393023</v>
      </c>
      <c r="AJ11" s="55">
        <v>11.096034934393023</v>
      </c>
      <c r="AK11" s="55">
        <v>11.096034934393023</v>
      </c>
      <c r="AL11" s="55">
        <v>11.096034934393023</v>
      </c>
      <c r="AM11" s="55">
        <v>11.096034934393023</v>
      </c>
      <c r="AN11" s="55">
        <v>11.096034934393023</v>
      </c>
      <c r="AO11" s="55">
        <f t="shared" si="9"/>
        <v>77.672244540751151</v>
      </c>
      <c r="AP11" s="72">
        <f>U11-AO11</f>
        <v>1198.3277554592489</v>
      </c>
    </row>
    <row r="12" spans="1:42" x14ac:dyDescent="0.2">
      <c r="A12" s="9" t="s">
        <v>107</v>
      </c>
      <c r="B12" s="100" t="s">
        <v>455</v>
      </c>
      <c r="C12" s="45" t="s">
        <v>314</v>
      </c>
      <c r="D12" s="58">
        <v>10</v>
      </c>
      <c r="E12" s="53">
        <v>0.1</v>
      </c>
      <c r="F12" s="46">
        <v>42185</v>
      </c>
      <c r="G12" s="48">
        <v>120</v>
      </c>
      <c r="H12" s="145">
        <f t="shared" si="0"/>
        <v>0.83333333333333337</v>
      </c>
      <c r="I12" s="165">
        <f t="shared" si="1"/>
        <v>4.166666666666667</v>
      </c>
      <c r="J12" s="48">
        <f>(YEAR(F12)-YEAR(S12))*12+MONTH(F12)-MONTH(S12)</f>
        <v>5</v>
      </c>
      <c r="K12" s="165">
        <f t="shared" si="2"/>
        <v>95.833333333333343</v>
      </c>
      <c r="L12" s="48">
        <f t="shared" si="3"/>
        <v>115</v>
      </c>
      <c r="M12" s="165">
        <f t="shared" si="4"/>
        <v>5.8333333333333339</v>
      </c>
      <c r="N12" s="48">
        <v>7</v>
      </c>
      <c r="O12" s="165">
        <f t="shared" si="5"/>
        <v>90</v>
      </c>
      <c r="P12" s="48">
        <f t="shared" si="6"/>
        <v>108</v>
      </c>
      <c r="Q12" s="48">
        <f>M12-O12</f>
        <v>-84.166666666666671</v>
      </c>
      <c r="R12" s="46" t="s">
        <v>454</v>
      </c>
      <c r="S12" s="46">
        <v>42025</v>
      </c>
      <c r="T12" s="47">
        <v>835.2</v>
      </c>
      <c r="U12" s="47">
        <v>835.2</v>
      </c>
      <c r="V12" s="106">
        <v>0</v>
      </c>
      <c r="W12" s="165">
        <v>0</v>
      </c>
      <c r="X12" s="57">
        <v>115.958</v>
      </c>
      <c r="Y12" s="168">
        <v>115.95399999999999</v>
      </c>
      <c r="Z12" s="57">
        <f t="shared" si="7"/>
        <v>1.0000344964382428</v>
      </c>
      <c r="AA12" s="55">
        <f>U12*M12/100/K12*100/7</f>
        <v>7.2626086956521743</v>
      </c>
      <c r="AB12" s="55">
        <f t="shared" si="8"/>
        <v>7.2628592297845254</v>
      </c>
      <c r="AC12" s="55"/>
      <c r="AD12" s="55"/>
      <c r="AE12" s="55"/>
      <c r="AF12" s="55"/>
      <c r="AG12" s="55"/>
      <c r="AH12" s="55">
        <f>AB12</f>
        <v>7.2628592297845254</v>
      </c>
      <c r="AI12" s="55">
        <v>7.2628592297845254</v>
      </c>
      <c r="AJ12" s="55">
        <v>7.2628592297845254</v>
      </c>
      <c r="AK12" s="55">
        <v>7.2628592297845254</v>
      </c>
      <c r="AL12" s="55">
        <v>7.2628592297845254</v>
      </c>
      <c r="AM12" s="55">
        <v>7.2628592297845254</v>
      </c>
      <c r="AN12" s="55">
        <v>7.2628592297845254</v>
      </c>
      <c r="AO12" s="55">
        <f t="shared" si="9"/>
        <v>50.840014608491678</v>
      </c>
      <c r="AP12" s="72">
        <f>U12-AO12</f>
        <v>784.35998539150842</v>
      </c>
    </row>
    <row r="13" spans="1:42" x14ac:dyDescent="0.2">
      <c r="A13" s="328" t="s">
        <v>107</v>
      </c>
      <c r="B13" s="328" t="s">
        <v>696</v>
      </c>
      <c r="C13" s="341" t="s">
        <v>314</v>
      </c>
      <c r="D13" s="329">
        <v>10</v>
      </c>
      <c r="E13" s="342">
        <v>0.1</v>
      </c>
      <c r="F13" s="330">
        <v>42185</v>
      </c>
      <c r="G13" s="331">
        <v>120</v>
      </c>
      <c r="H13" s="332">
        <f t="shared" si="0"/>
        <v>0.83333333333333337</v>
      </c>
      <c r="I13" s="333">
        <f t="shared" si="1"/>
        <v>0</v>
      </c>
      <c r="J13" s="331">
        <v>0</v>
      </c>
      <c r="K13" s="333">
        <f t="shared" si="2"/>
        <v>100</v>
      </c>
      <c r="L13" s="331">
        <f t="shared" si="3"/>
        <v>120</v>
      </c>
      <c r="M13" s="333">
        <f t="shared" si="4"/>
        <v>0.83333333333333337</v>
      </c>
      <c r="N13" s="331">
        <v>1</v>
      </c>
      <c r="O13" s="333">
        <f t="shared" si="5"/>
        <v>99.166666666666671</v>
      </c>
      <c r="P13" s="331">
        <f t="shared" si="6"/>
        <v>119</v>
      </c>
      <c r="Q13" s="331">
        <f>M13-O13</f>
        <v>-98.333333333333343</v>
      </c>
      <c r="R13" s="330" t="s">
        <v>697</v>
      </c>
      <c r="S13" s="330">
        <v>42338</v>
      </c>
      <c r="T13" s="335">
        <v>349</v>
      </c>
      <c r="U13" s="335">
        <v>0</v>
      </c>
      <c r="V13" s="336">
        <v>0</v>
      </c>
      <c r="W13" s="333">
        <v>0</v>
      </c>
      <c r="X13" s="337">
        <v>115.958</v>
      </c>
      <c r="Y13" s="343">
        <v>118.051</v>
      </c>
      <c r="Z13" s="337">
        <f t="shared" si="7"/>
        <v>0.98227037466857536</v>
      </c>
      <c r="AA13" s="338">
        <f>H13*T13/100</f>
        <v>2.9083333333333337</v>
      </c>
      <c r="AB13" s="338">
        <f t="shared" si="8"/>
        <v>2.8567696729944405</v>
      </c>
      <c r="AC13" s="338"/>
      <c r="AD13" s="338"/>
      <c r="AE13" s="338"/>
      <c r="AF13" s="338"/>
      <c r="AG13" s="338"/>
      <c r="AH13" s="338"/>
      <c r="AI13" s="338"/>
      <c r="AJ13" s="338"/>
      <c r="AK13" s="338"/>
      <c r="AL13" s="338"/>
      <c r="AM13" s="338"/>
      <c r="AN13" s="338">
        <f>2.86</f>
        <v>2.86</v>
      </c>
      <c r="AO13" s="338">
        <f t="shared" si="9"/>
        <v>2.86</v>
      </c>
      <c r="AP13" s="339">
        <f>T13-AO13</f>
        <v>346.14</v>
      </c>
    </row>
    <row r="14" spans="1:42" x14ac:dyDescent="0.2">
      <c r="A14" s="120" t="s">
        <v>76</v>
      </c>
      <c r="B14" s="28"/>
      <c r="C14" s="45"/>
      <c r="D14" s="4"/>
      <c r="E14" s="25"/>
      <c r="F14" s="46"/>
      <c r="G14" s="17"/>
      <c r="H14" s="145"/>
      <c r="I14" s="165"/>
      <c r="J14" s="48"/>
      <c r="K14" s="165"/>
      <c r="L14" s="48"/>
      <c r="M14" s="165"/>
      <c r="N14" s="48"/>
      <c r="O14" s="165"/>
      <c r="P14" s="48"/>
      <c r="Q14" s="48"/>
      <c r="R14" s="20"/>
      <c r="S14" s="20"/>
      <c r="T14" s="14"/>
      <c r="U14" s="14"/>
      <c r="V14" s="108"/>
      <c r="W14" s="66"/>
      <c r="X14" s="66"/>
      <c r="Y14" s="169"/>
      <c r="Z14" s="57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72"/>
    </row>
    <row r="15" spans="1:42" x14ac:dyDescent="0.2">
      <c r="A15" s="328" t="s">
        <v>108</v>
      </c>
      <c r="B15" s="328" t="s">
        <v>708</v>
      </c>
      <c r="C15" s="341" t="s">
        <v>724</v>
      </c>
      <c r="D15" s="329">
        <v>10</v>
      </c>
      <c r="E15" s="342">
        <v>0.1</v>
      </c>
      <c r="F15" s="330">
        <v>42334</v>
      </c>
      <c r="G15" s="331">
        <v>120</v>
      </c>
      <c r="H15" s="332">
        <f>100/G15</f>
        <v>0.83333333333333337</v>
      </c>
      <c r="I15" s="333">
        <f>H15*J15</f>
        <v>0</v>
      </c>
      <c r="J15" s="331">
        <f>(YEAR(F15)-YEAR(S15))*12+MONTH(F15)-MONTH(S15)</f>
        <v>0</v>
      </c>
      <c r="K15" s="333">
        <f>L15*H15</f>
        <v>100</v>
      </c>
      <c r="L15" s="331">
        <f>G15-J15</f>
        <v>120</v>
      </c>
      <c r="M15" s="333">
        <f>N15*H15</f>
        <v>0.83333333333333337</v>
      </c>
      <c r="N15" s="331">
        <v>1</v>
      </c>
      <c r="O15" s="333">
        <f>P15*H15</f>
        <v>99.166666666666671</v>
      </c>
      <c r="P15" s="331">
        <f t="shared" ref="P15:Q17" si="10">L15-N15</f>
        <v>119</v>
      </c>
      <c r="Q15" s="331">
        <f t="shared" si="10"/>
        <v>-98.333333333333343</v>
      </c>
      <c r="R15" s="331">
        <v>291</v>
      </c>
      <c r="S15" s="330">
        <v>42334</v>
      </c>
      <c r="T15" s="335">
        <v>1049</v>
      </c>
      <c r="U15" s="337">
        <v>0</v>
      </c>
      <c r="V15" s="338">
        <v>0</v>
      </c>
      <c r="W15" s="338">
        <v>118.051</v>
      </c>
      <c r="X15" s="337">
        <v>115.958</v>
      </c>
      <c r="Y15" s="346">
        <v>118.051</v>
      </c>
      <c r="Z15" s="337">
        <f>X15/Y15</f>
        <v>0.98227037466857536</v>
      </c>
      <c r="AA15" s="338">
        <f>H15*T15/100</f>
        <v>8.7416666666666671</v>
      </c>
      <c r="AB15" s="338">
        <f>AA15*Z15</f>
        <v>8.5866801918944642</v>
      </c>
      <c r="AC15" s="338"/>
      <c r="AD15" s="338"/>
      <c r="AE15" s="338"/>
      <c r="AF15" s="338"/>
      <c r="AG15" s="338"/>
      <c r="AH15" s="338"/>
      <c r="AI15" s="338"/>
      <c r="AJ15" s="338"/>
      <c r="AK15" s="339"/>
      <c r="AL15" s="339"/>
      <c r="AM15" s="339"/>
      <c r="AN15" s="339">
        <f>8.59</f>
        <v>8.59</v>
      </c>
      <c r="AO15" s="338">
        <f>SUM(AC15:AN15)</f>
        <v>8.59</v>
      </c>
      <c r="AP15" s="339">
        <f>T15-AO15</f>
        <v>1040.4100000000001</v>
      </c>
    </row>
    <row r="16" spans="1:42" x14ac:dyDescent="0.2">
      <c r="A16" s="100" t="s">
        <v>108</v>
      </c>
      <c r="B16" s="100" t="s">
        <v>457</v>
      </c>
      <c r="C16" s="45" t="s">
        <v>314</v>
      </c>
      <c r="D16" s="58">
        <v>10</v>
      </c>
      <c r="E16" s="53">
        <v>0.1</v>
      </c>
      <c r="F16" s="46">
        <v>42185</v>
      </c>
      <c r="G16" s="48">
        <v>120</v>
      </c>
      <c r="H16" s="145">
        <f>100/G16</f>
        <v>0.83333333333333337</v>
      </c>
      <c r="I16" s="165">
        <f>H16*J16</f>
        <v>22.5</v>
      </c>
      <c r="J16" s="48">
        <f>(YEAR(F16)-YEAR(S16))*12+MONTH(F16)-MONTH(S16)</f>
        <v>27</v>
      </c>
      <c r="K16" s="165">
        <f>L16*H16</f>
        <v>77.5</v>
      </c>
      <c r="L16" s="48">
        <f>G16-J16</f>
        <v>93</v>
      </c>
      <c r="M16" s="165">
        <f>N16*H16</f>
        <v>5.8333333333333339</v>
      </c>
      <c r="N16" s="48">
        <v>7</v>
      </c>
      <c r="O16" s="165">
        <f>P16*H16</f>
        <v>71.666666666666671</v>
      </c>
      <c r="P16" s="48">
        <f t="shared" si="10"/>
        <v>86</v>
      </c>
      <c r="Q16" s="48">
        <f t="shared" si="10"/>
        <v>-65.833333333333343</v>
      </c>
      <c r="R16" s="46" t="s">
        <v>459</v>
      </c>
      <c r="S16" s="46">
        <v>41364</v>
      </c>
      <c r="T16" s="47">
        <v>2099</v>
      </c>
      <c r="U16" s="47">
        <v>1731.69</v>
      </c>
      <c r="V16" s="106">
        <v>87.45</v>
      </c>
      <c r="W16" s="66"/>
      <c r="X16" s="57">
        <v>115.958</v>
      </c>
      <c r="Y16" s="168">
        <v>109.002</v>
      </c>
      <c r="Z16" s="57">
        <f>X16/Y16</f>
        <v>1.0638153428377461</v>
      </c>
      <c r="AA16" s="55">
        <f>U16*M16/100/K16*100/7</f>
        <v>18.620322580645162</v>
      </c>
      <c r="AB16" s="55">
        <f>AA16*Z16</f>
        <v>19.808584849878461</v>
      </c>
      <c r="AC16" s="55"/>
      <c r="AD16" s="55"/>
      <c r="AE16" s="55"/>
      <c r="AF16" s="55"/>
      <c r="AG16" s="55"/>
      <c r="AH16" s="55">
        <f>AB16</f>
        <v>19.808584849878461</v>
      </c>
      <c r="AI16" s="55">
        <v>19.808584849878461</v>
      </c>
      <c r="AJ16" s="55">
        <v>19.808584849878461</v>
      </c>
      <c r="AK16" s="55">
        <v>19.808584849878461</v>
      </c>
      <c r="AL16" s="55">
        <v>19.808584849878461</v>
      </c>
      <c r="AM16" s="55">
        <v>19.808584849878461</v>
      </c>
      <c r="AN16" s="55">
        <v>19.808584849878461</v>
      </c>
      <c r="AO16" s="55">
        <f>SUM(AC16:AN16)</f>
        <v>138.66009394914923</v>
      </c>
      <c r="AP16" s="72">
        <f>U16-AO16</f>
        <v>1593.0299060508507</v>
      </c>
    </row>
    <row r="17" spans="1:42" x14ac:dyDescent="0.2">
      <c r="A17" s="328" t="s">
        <v>284</v>
      </c>
      <c r="B17" s="328" t="s">
        <v>719</v>
      </c>
      <c r="C17" s="341" t="s">
        <v>314</v>
      </c>
      <c r="D17" s="329">
        <v>10</v>
      </c>
      <c r="E17" s="342">
        <v>0.1</v>
      </c>
      <c r="F17" s="330">
        <v>42344</v>
      </c>
      <c r="G17" s="331">
        <v>120</v>
      </c>
      <c r="H17" s="332">
        <f>100/G17</f>
        <v>0.83333333333333337</v>
      </c>
      <c r="I17" s="333">
        <f>H17*J17</f>
        <v>0</v>
      </c>
      <c r="J17" s="331">
        <f>(YEAR(F17)-YEAR(S17))*12+MONTH(F17)-MONTH(S17)</f>
        <v>0</v>
      </c>
      <c r="K17" s="333">
        <f>L17*H17</f>
        <v>100</v>
      </c>
      <c r="L17" s="331">
        <f>G17-J17</f>
        <v>120</v>
      </c>
      <c r="M17" s="333">
        <f>N17*H17</f>
        <v>0</v>
      </c>
      <c r="N17" s="331">
        <v>0</v>
      </c>
      <c r="O17" s="333">
        <f>P17*H17</f>
        <v>100</v>
      </c>
      <c r="P17" s="331">
        <f t="shared" si="10"/>
        <v>120</v>
      </c>
      <c r="Q17" s="331">
        <f t="shared" si="10"/>
        <v>-100</v>
      </c>
      <c r="R17" s="331">
        <v>3337</v>
      </c>
      <c r="S17" s="330">
        <v>42344</v>
      </c>
      <c r="T17" s="335">
        <f>2*734</f>
        <v>1468</v>
      </c>
      <c r="U17" s="337">
        <v>0</v>
      </c>
      <c r="V17" s="338">
        <v>0</v>
      </c>
      <c r="W17" s="338">
        <v>0</v>
      </c>
      <c r="X17" s="337">
        <v>115.958</v>
      </c>
      <c r="Y17" s="345">
        <v>118.532</v>
      </c>
      <c r="Z17" s="337">
        <f>X17/Y17</f>
        <v>0.97828434515573859</v>
      </c>
      <c r="AA17" s="338">
        <f>H17*T17/100</f>
        <v>12.233333333333334</v>
      </c>
      <c r="AB17" s="338">
        <f>AA17*Z17</f>
        <v>11.96767848907187</v>
      </c>
      <c r="AC17" s="338"/>
      <c r="AD17" s="338"/>
      <c r="AE17" s="338"/>
      <c r="AF17" s="338"/>
      <c r="AG17" s="338"/>
      <c r="AH17" s="338"/>
      <c r="AI17" s="338"/>
      <c r="AJ17" s="338"/>
      <c r="AK17" s="339"/>
      <c r="AL17" s="339"/>
      <c r="AM17" s="339"/>
      <c r="AN17" s="339">
        <v>0</v>
      </c>
      <c r="AO17" s="339">
        <v>0</v>
      </c>
      <c r="AP17" s="339">
        <f>T17</f>
        <v>1468</v>
      </c>
    </row>
    <row r="18" spans="1:42" x14ac:dyDescent="0.2">
      <c r="A18" s="328" t="s">
        <v>707</v>
      </c>
      <c r="B18" s="328" t="s">
        <v>708</v>
      </c>
      <c r="C18" s="341" t="s">
        <v>705</v>
      </c>
      <c r="D18" s="329">
        <v>10</v>
      </c>
      <c r="E18" s="342">
        <v>0.1</v>
      </c>
      <c r="F18" s="330">
        <v>42334</v>
      </c>
      <c r="G18" s="331">
        <v>120</v>
      </c>
      <c r="H18" s="332">
        <f>100/G18</f>
        <v>0.83333333333333337</v>
      </c>
      <c r="I18" s="333">
        <f>H18*J18</f>
        <v>0</v>
      </c>
      <c r="J18" s="331">
        <f>(YEAR(F18)-YEAR(S18))*12+MONTH(F18)-MONTH(S18)</f>
        <v>0</v>
      </c>
      <c r="K18" s="333">
        <f>L18*H18</f>
        <v>100</v>
      </c>
      <c r="L18" s="331">
        <f>G18-J18</f>
        <v>120</v>
      </c>
      <c r="M18" s="333">
        <f>N18*H18</f>
        <v>0.83333333333333337</v>
      </c>
      <c r="N18" s="331">
        <v>1</v>
      </c>
      <c r="O18" s="333">
        <f>P18*H18</f>
        <v>99.166666666666671</v>
      </c>
      <c r="P18" s="331">
        <f>L18-N18</f>
        <v>119</v>
      </c>
      <c r="Q18" s="331">
        <v>0</v>
      </c>
      <c r="R18" s="331">
        <v>291</v>
      </c>
      <c r="S18" s="330">
        <v>42334</v>
      </c>
      <c r="T18" s="335">
        <v>1049</v>
      </c>
      <c r="U18" s="337">
        <f>H18*T18/100</f>
        <v>8.7416666666666671</v>
      </c>
      <c r="V18" s="338">
        <v>115.958</v>
      </c>
      <c r="W18" s="338">
        <v>118.051</v>
      </c>
      <c r="X18" s="338">
        <f>V18/W18</f>
        <v>0.98227037466857536</v>
      </c>
      <c r="Y18" s="338">
        <f>U18</f>
        <v>8.7416666666666671</v>
      </c>
      <c r="Z18" s="338">
        <f>Y18*X18</f>
        <v>8.5866801918944642</v>
      </c>
      <c r="AA18" s="338"/>
      <c r="AB18" s="338"/>
      <c r="AC18" s="338"/>
      <c r="AD18" s="338"/>
      <c r="AE18" s="338"/>
      <c r="AF18" s="338"/>
      <c r="AG18" s="338"/>
      <c r="AH18" s="338"/>
      <c r="AI18" s="338"/>
      <c r="AJ18" s="338"/>
      <c r="AK18" s="339"/>
      <c r="AL18" s="339">
        <f>8.59</f>
        <v>8.59</v>
      </c>
      <c r="AM18" s="339">
        <f>8.59</f>
        <v>8.59</v>
      </c>
      <c r="AN18" s="339">
        <f>T18-AM18</f>
        <v>1040.4100000000001</v>
      </c>
      <c r="AO18" s="28"/>
      <c r="AP18" s="28"/>
    </row>
    <row r="19" spans="1:42" x14ac:dyDescent="0.2">
      <c r="A19" s="120" t="s">
        <v>109</v>
      </c>
      <c r="B19" s="100"/>
      <c r="C19" s="45"/>
      <c r="D19" s="4"/>
      <c r="E19" s="25"/>
      <c r="F19" s="17"/>
      <c r="G19" s="17"/>
      <c r="H19" s="188"/>
      <c r="I19" s="17"/>
      <c r="J19" s="17"/>
      <c r="K19" s="17"/>
      <c r="L19" s="17"/>
      <c r="M19" s="17"/>
      <c r="N19" s="17"/>
      <c r="O19" s="17"/>
      <c r="P19" s="17"/>
      <c r="Q19" s="17"/>
      <c r="R19" s="20"/>
      <c r="S19" s="20"/>
      <c r="T19" s="14"/>
      <c r="U19" s="14"/>
      <c r="V19" s="108"/>
      <c r="W19" s="66"/>
      <c r="X19" s="66"/>
      <c r="Y19" s="169"/>
      <c r="Z19" s="66"/>
      <c r="AA19" s="65"/>
      <c r="AB19" s="65"/>
      <c r="AC19" s="6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72"/>
    </row>
    <row r="20" spans="1:42" x14ac:dyDescent="0.2">
      <c r="A20" s="100" t="s">
        <v>325</v>
      </c>
      <c r="B20" s="100" t="s">
        <v>444</v>
      </c>
      <c r="C20" s="45" t="s">
        <v>322</v>
      </c>
      <c r="D20" s="58">
        <v>10</v>
      </c>
      <c r="E20" s="53">
        <v>0.1</v>
      </c>
      <c r="F20" s="46">
        <v>42185</v>
      </c>
      <c r="G20" s="48">
        <v>120</v>
      </c>
      <c r="H20" s="145">
        <f>100/G20</f>
        <v>0.83333333333333337</v>
      </c>
      <c r="I20" s="165">
        <f>H20*J20</f>
        <v>23.333333333333336</v>
      </c>
      <c r="J20" s="48">
        <f>(YEAR(F20)-YEAR(S20))*12+MONTH(F20)-MONTH(S20)</f>
        <v>28</v>
      </c>
      <c r="K20" s="165">
        <f>L20*H20</f>
        <v>76.666666666666671</v>
      </c>
      <c r="L20" s="48">
        <f>G20-J20</f>
        <v>92</v>
      </c>
      <c r="M20" s="165">
        <f>N20*H20</f>
        <v>5.8333333333333339</v>
      </c>
      <c r="N20" s="48">
        <v>7</v>
      </c>
      <c r="O20" s="165">
        <f>P20*H20</f>
        <v>70.833333333333343</v>
      </c>
      <c r="P20" s="48">
        <f>L20-N20</f>
        <v>85</v>
      </c>
      <c r="Q20" s="48">
        <f>M20-O20</f>
        <v>-65.000000000000014</v>
      </c>
      <c r="R20" s="46" t="s">
        <v>458</v>
      </c>
      <c r="S20" s="46">
        <v>41327</v>
      </c>
      <c r="T20" s="47">
        <v>6779</v>
      </c>
      <c r="U20" s="47">
        <v>5253.74</v>
      </c>
      <c r="V20" s="106">
        <v>282.45</v>
      </c>
      <c r="W20" s="66"/>
      <c r="X20" s="57">
        <v>115.958</v>
      </c>
      <c r="Y20" s="168">
        <v>108.208</v>
      </c>
      <c r="Z20" s="57">
        <f>X20/Y20</f>
        <v>1.0716213218985657</v>
      </c>
      <c r="AA20" s="55">
        <f>U20*M20/100/K20*100/7</f>
        <v>57.105869565217397</v>
      </c>
      <c r="AB20" s="55">
        <f>AA20*Z20</f>
        <v>61.19586743164534</v>
      </c>
      <c r="AC20" s="55"/>
      <c r="AD20" s="55"/>
      <c r="AE20" s="55"/>
      <c r="AF20" s="55"/>
      <c r="AG20" s="55"/>
      <c r="AH20" s="55">
        <f>AB20</f>
        <v>61.19586743164534</v>
      </c>
      <c r="AI20" s="55">
        <v>61.19586743164534</v>
      </c>
      <c r="AJ20" s="55">
        <v>61.19586743164534</v>
      </c>
      <c r="AK20" s="55">
        <v>61.19586743164534</v>
      </c>
      <c r="AL20" s="55">
        <v>61.19586743164534</v>
      </c>
      <c r="AM20" s="55">
        <v>61.19586743164534</v>
      </c>
      <c r="AN20" s="55">
        <v>61.19586743164534</v>
      </c>
      <c r="AO20" s="55">
        <f>SUM(AC20:AN20)</f>
        <v>428.37107202151742</v>
      </c>
      <c r="AP20" s="72">
        <f>U20-AO20</f>
        <v>4825.3689279784821</v>
      </c>
    </row>
    <row r="21" spans="1:42" x14ac:dyDescent="0.2">
      <c r="A21" s="120" t="s">
        <v>324</v>
      </c>
      <c r="B21" s="100"/>
      <c r="C21" s="45"/>
      <c r="D21" s="4"/>
      <c r="E21" s="25"/>
      <c r="F21" s="17"/>
      <c r="G21" s="17"/>
      <c r="H21" s="188"/>
      <c r="I21" s="17"/>
      <c r="J21" s="17"/>
      <c r="K21" s="17"/>
      <c r="L21" s="17"/>
      <c r="M21" s="17"/>
      <c r="N21" s="17"/>
      <c r="O21" s="17"/>
      <c r="P21" s="17"/>
      <c r="Q21" s="17"/>
      <c r="R21" s="20"/>
      <c r="S21" s="20"/>
      <c r="T21" s="14"/>
      <c r="U21" s="14"/>
      <c r="V21" s="108"/>
      <c r="W21" s="66"/>
      <c r="X21" s="66"/>
      <c r="Y21" s="169"/>
      <c r="Z21" s="66"/>
      <c r="AA21" s="65"/>
      <c r="AB21" s="65"/>
      <c r="AC21" s="6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72"/>
    </row>
    <row r="22" spans="1:42" x14ac:dyDescent="0.2">
      <c r="A22" s="100" t="s">
        <v>111</v>
      </c>
      <c r="B22" s="100" t="s">
        <v>460</v>
      </c>
      <c r="C22" s="45" t="s">
        <v>314</v>
      </c>
      <c r="D22" s="58">
        <v>10</v>
      </c>
      <c r="E22" s="53">
        <v>0.1</v>
      </c>
      <c r="F22" s="46">
        <v>42185</v>
      </c>
      <c r="G22" s="48">
        <v>120</v>
      </c>
      <c r="H22" s="145">
        <f>100/G22</f>
        <v>0.83333333333333337</v>
      </c>
      <c r="I22" s="165">
        <f>H22*J22</f>
        <v>0</v>
      </c>
      <c r="J22" s="48">
        <f>(YEAR(F22)-YEAR(S22))*12+MONTH(F22)-MONTH(S22)</f>
        <v>0</v>
      </c>
      <c r="K22" s="165">
        <f>L22*H22</f>
        <v>100</v>
      </c>
      <c r="L22" s="48">
        <f>G22-J22</f>
        <v>120</v>
      </c>
      <c r="M22" s="165">
        <f>N22*H22</f>
        <v>5.8333333333333339</v>
      </c>
      <c r="N22" s="48">
        <v>7</v>
      </c>
      <c r="O22" s="165">
        <f>P22*H22</f>
        <v>94.166666666666671</v>
      </c>
      <c r="P22" s="48">
        <f>L22-N22</f>
        <v>113</v>
      </c>
      <c r="Q22" s="17"/>
      <c r="R22" s="46" t="s">
        <v>461</v>
      </c>
      <c r="S22" s="46">
        <v>42165</v>
      </c>
      <c r="T22" s="47">
        <v>877</v>
      </c>
      <c r="U22" s="47">
        <v>877</v>
      </c>
      <c r="V22" s="106">
        <v>0</v>
      </c>
      <c r="W22" s="66"/>
      <c r="X22" s="57">
        <v>115.958</v>
      </c>
      <c r="Y22" s="168">
        <v>115.958</v>
      </c>
      <c r="Z22" s="57">
        <f>X22/Y22</f>
        <v>1</v>
      </c>
      <c r="AA22" s="55">
        <f>U22*M22/100/K22*100/7</f>
        <v>7.3083333333333345</v>
      </c>
      <c r="AB22" s="55">
        <f>AA22*Z22</f>
        <v>7.3083333333333345</v>
      </c>
      <c r="AC22" s="55"/>
      <c r="AD22" s="55"/>
      <c r="AE22" s="55"/>
      <c r="AF22" s="55"/>
      <c r="AG22" s="55"/>
      <c r="AH22" s="55">
        <f>AB22</f>
        <v>7.3083333333333345</v>
      </c>
      <c r="AI22" s="55">
        <v>7.3083333333333345</v>
      </c>
      <c r="AJ22" s="55">
        <v>7.3083333333333345</v>
      </c>
      <c r="AK22" s="55">
        <v>7.3083333333333345</v>
      </c>
      <c r="AL22" s="55">
        <v>7.3083333333333345</v>
      </c>
      <c r="AM22" s="55">
        <v>7.3083333333333345</v>
      </c>
      <c r="AN22" s="55">
        <v>7.3083333333333345</v>
      </c>
      <c r="AO22" s="55">
        <f>SUM(AC22:AN22)</f>
        <v>51.158333333333346</v>
      </c>
      <c r="AP22" s="72">
        <f>U22-AO22</f>
        <v>825.8416666666667</v>
      </c>
    </row>
    <row r="23" spans="1:42" x14ac:dyDescent="0.2">
      <c r="A23" s="120" t="s">
        <v>456</v>
      </c>
      <c r="B23" s="100"/>
      <c r="C23" s="45"/>
      <c r="D23" s="4"/>
      <c r="E23" s="25"/>
      <c r="F23" s="46"/>
      <c r="G23" s="17"/>
      <c r="H23" s="145"/>
      <c r="I23" s="165"/>
      <c r="J23" s="48"/>
      <c r="K23" s="165"/>
      <c r="L23" s="48"/>
      <c r="M23" s="165"/>
      <c r="N23" s="48"/>
      <c r="O23" s="165"/>
      <c r="P23" s="48"/>
      <c r="Q23" s="48"/>
      <c r="R23" s="20"/>
      <c r="S23" s="20"/>
      <c r="T23" s="14"/>
      <c r="U23" s="14"/>
      <c r="V23" s="108"/>
      <c r="W23" s="66"/>
      <c r="X23" s="66"/>
      <c r="Y23" s="169"/>
      <c r="Z23" s="57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72"/>
    </row>
    <row r="24" spans="1:42" x14ac:dyDescent="0.2">
      <c r="A24" s="301" t="s">
        <v>673</v>
      </c>
      <c r="B24" s="301" t="s">
        <v>674</v>
      </c>
      <c r="C24" s="312" t="s">
        <v>314</v>
      </c>
      <c r="D24" s="302">
        <v>10</v>
      </c>
      <c r="E24" s="313">
        <v>0.1</v>
      </c>
      <c r="F24" s="303">
        <v>42185</v>
      </c>
      <c r="G24" s="304">
        <v>120</v>
      </c>
      <c r="H24" s="305">
        <f>100/G24</f>
        <v>0.83333333333333337</v>
      </c>
      <c r="I24" s="306">
        <f>H24*J24</f>
        <v>-3.3333333333333335</v>
      </c>
      <c r="J24" s="304">
        <f>(YEAR(F24)-YEAR(S24))*12+MONTH(F24)-MONTH(S24)</f>
        <v>-4</v>
      </c>
      <c r="K24" s="306">
        <f>L24*H24</f>
        <v>103.33333333333334</v>
      </c>
      <c r="L24" s="304">
        <f>G24-J24</f>
        <v>124</v>
      </c>
      <c r="M24" s="306">
        <f>N24*H24</f>
        <v>5.8333333333333339</v>
      </c>
      <c r="N24" s="304">
        <v>7</v>
      </c>
      <c r="O24" s="306">
        <f>P24*H24</f>
        <v>97.5</v>
      </c>
      <c r="P24" s="304">
        <f>L24-N24</f>
        <v>117</v>
      </c>
      <c r="Q24" s="314"/>
      <c r="R24" s="303" t="s">
        <v>683</v>
      </c>
      <c r="S24" s="303">
        <v>42291</v>
      </c>
      <c r="T24" s="307">
        <v>1299</v>
      </c>
      <c r="U24" s="307">
        <v>0</v>
      </c>
      <c r="V24" s="308">
        <v>0</v>
      </c>
      <c r="W24" s="315"/>
      <c r="X24" s="309">
        <v>115.958</v>
      </c>
      <c r="Y24" s="316">
        <v>118.051</v>
      </c>
      <c r="Z24" s="309">
        <f>X24/Y24</f>
        <v>0.98227037466857536</v>
      </c>
      <c r="AA24" s="310">
        <f>T24*M24/100/K24*100/7</f>
        <v>10.475806451612902</v>
      </c>
      <c r="AB24" s="310">
        <f>AA24*Z24</f>
        <v>10.290074328181284</v>
      </c>
      <c r="AC24" s="310"/>
      <c r="AD24" s="310"/>
      <c r="AE24" s="310"/>
      <c r="AF24" s="310"/>
      <c r="AG24" s="310"/>
      <c r="AH24" s="310"/>
      <c r="AI24" s="310"/>
      <c r="AJ24" s="310"/>
      <c r="AK24" s="310"/>
      <c r="AL24" s="310"/>
      <c r="AM24" s="310"/>
      <c r="AN24" s="310">
        <v>10.48</v>
      </c>
      <c r="AO24" s="310">
        <f>SUM(AC24:AN24)</f>
        <v>10.48</v>
      </c>
      <c r="AP24" s="311">
        <f>T24-AO24</f>
        <v>1288.52</v>
      </c>
    </row>
    <row r="25" spans="1:42" x14ac:dyDescent="0.2">
      <c r="A25" s="301" t="s">
        <v>673</v>
      </c>
      <c r="B25" s="301" t="s">
        <v>674</v>
      </c>
      <c r="C25" s="312" t="s">
        <v>314</v>
      </c>
      <c r="D25" s="302">
        <v>10</v>
      </c>
      <c r="E25" s="313">
        <v>0.1</v>
      </c>
      <c r="F25" s="303">
        <v>42185</v>
      </c>
      <c r="G25" s="304">
        <v>120</v>
      </c>
      <c r="H25" s="305">
        <f>100/G25</f>
        <v>0.83333333333333337</v>
      </c>
      <c r="I25" s="306">
        <f>H25*J25</f>
        <v>-4.166666666666667</v>
      </c>
      <c r="J25" s="304">
        <f>(YEAR(F25)-YEAR(S25))*12+MONTH(F25)-MONTH(S25)</f>
        <v>-5</v>
      </c>
      <c r="K25" s="306">
        <f>L25*H25</f>
        <v>104.16666666666667</v>
      </c>
      <c r="L25" s="304">
        <f>G25-J25</f>
        <v>125</v>
      </c>
      <c r="M25" s="306">
        <f>N25*H25</f>
        <v>5.8333333333333339</v>
      </c>
      <c r="N25" s="304">
        <v>7</v>
      </c>
      <c r="O25" s="306">
        <f>P25*H25</f>
        <v>98.333333333333343</v>
      </c>
      <c r="P25" s="304">
        <f>L25-N25</f>
        <v>118</v>
      </c>
      <c r="Q25" s="314"/>
      <c r="R25" s="303" t="s">
        <v>675</v>
      </c>
      <c r="S25" s="303">
        <v>42314</v>
      </c>
      <c r="T25" s="307">
        <v>999</v>
      </c>
      <c r="U25" s="307">
        <v>0</v>
      </c>
      <c r="V25" s="308">
        <v>0</v>
      </c>
      <c r="W25" s="315"/>
      <c r="X25" s="309">
        <v>115.958</v>
      </c>
      <c r="Y25" s="316">
        <v>118.051</v>
      </c>
      <c r="Z25" s="309">
        <f>X25/Y25</f>
        <v>0.98227037466857536</v>
      </c>
      <c r="AA25" s="310">
        <f>T25*M25/100/K25*100/7</f>
        <v>7.992</v>
      </c>
      <c r="AB25" s="310">
        <f>AA25*Z25</f>
        <v>7.8503048343512543</v>
      </c>
      <c r="AC25" s="310"/>
      <c r="AD25" s="310"/>
      <c r="AE25" s="310"/>
      <c r="AF25" s="310"/>
      <c r="AG25" s="310"/>
      <c r="AH25" s="310"/>
      <c r="AI25" s="310"/>
      <c r="AJ25" s="310"/>
      <c r="AK25" s="310"/>
      <c r="AL25" s="310"/>
      <c r="AM25" s="310"/>
      <c r="AN25" s="310">
        <v>7.85</v>
      </c>
      <c r="AO25" s="310">
        <f>SUM(AC25:AN25)</f>
        <v>7.85</v>
      </c>
      <c r="AP25" s="311">
        <f>T25-AO25</f>
        <v>991.15</v>
      </c>
    </row>
    <row r="26" spans="1:42" x14ac:dyDescent="0.2">
      <c r="A26" s="120" t="s">
        <v>672</v>
      </c>
      <c r="B26" s="100"/>
      <c r="C26" s="45"/>
      <c r="D26" s="4"/>
      <c r="E26" s="25"/>
      <c r="F26" s="46"/>
      <c r="G26" s="17"/>
      <c r="H26" s="145"/>
      <c r="I26" s="165"/>
      <c r="J26" s="48"/>
      <c r="K26" s="165"/>
      <c r="L26" s="48"/>
      <c r="M26" s="165"/>
      <c r="N26" s="48"/>
      <c r="O26" s="165"/>
      <c r="P26" s="48"/>
      <c r="Q26" s="48"/>
      <c r="R26" s="20"/>
      <c r="S26" s="20"/>
      <c r="T26" s="14"/>
      <c r="U26" s="14"/>
      <c r="V26" s="108"/>
      <c r="W26" s="66"/>
      <c r="X26" s="66"/>
      <c r="Y26" s="169"/>
      <c r="Z26" s="57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72"/>
    </row>
    <row r="27" spans="1:42" x14ac:dyDescent="0.2">
      <c r="A27" s="120" t="s">
        <v>65</v>
      </c>
      <c r="B27" s="120"/>
      <c r="C27" s="124"/>
      <c r="D27" s="27"/>
      <c r="E27" s="25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20"/>
      <c r="S27" s="20"/>
      <c r="T27" s="14"/>
      <c r="U27" s="14"/>
      <c r="V27" s="14"/>
      <c r="W27" s="14"/>
      <c r="X27" s="14"/>
      <c r="Y27" s="108"/>
      <c r="Z27" s="66"/>
      <c r="AA27" s="66"/>
      <c r="AB27" s="81"/>
      <c r="AC27" s="66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</row>
    <row r="28" spans="1:42" x14ac:dyDescent="0.2">
      <c r="A28" s="120" t="s">
        <v>65</v>
      </c>
      <c r="B28" s="120"/>
      <c r="C28" s="45"/>
      <c r="D28" s="27"/>
      <c r="E28" s="25"/>
      <c r="F28" s="46"/>
      <c r="G28" s="17"/>
      <c r="H28" s="145"/>
      <c r="I28" s="48"/>
      <c r="J28" s="48"/>
      <c r="K28" s="48"/>
      <c r="L28" s="48"/>
      <c r="M28" s="48"/>
      <c r="N28" s="48"/>
      <c r="O28" s="48"/>
      <c r="P28" s="48"/>
      <c r="Q28" s="48"/>
      <c r="R28" s="20"/>
      <c r="S28" s="20"/>
      <c r="T28" s="14"/>
      <c r="U28" s="14"/>
      <c r="V28" s="108"/>
      <c r="W28" s="165">
        <v>0</v>
      </c>
      <c r="X28" s="66"/>
      <c r="Y28" s="169"/>
      <c r="Z28" s="57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72"/>
    </row>
    <row r="29" spans="1:42" x14ac:dyDescent="0.2">
      <c r="A29" s="120" t="s">
        <v>65</v>
      </c>
      <c r="B29" s="120"/>
      <c r="C29" s="45"/>
      <c r="D29" s="27"/>
      <c r="E29" s="25"/>
      <c r="F29" s="46"/>
      <c r="G29" s="17"/>
      <c r="H29" s="145"/>
      <c r="I29" s="48"/>
      <c r="J29" s="48"/>
      <c r="K29" s="48"/>
      <c r="L29" s="48"/>
      <c r="M29" s="48"/>
      <c r="N29" s="48"/>
      <c r="O29" s="48"/>
      <c r="P29" s="48"/>
      <c r="Q29" s="48"/>
      <c r="R29" s="20"/>
      <c r="S29" s="20"/>
      <c r="T29" s="14"/>
      <c r="U29" s="14"/>
      <c r="V29" s="108"/>
      <c r="W29" s="165">
        <v>0</v>
      </c>
      <c r="X29" s="66"/>
      <c r="Y29" s="169"/>
      <c r="Z29" s="57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72"/>
    </row>
    <row r="30" spans="1:42" x14ac:dyDescent="0.2">
      <c r="A30" s="120" t="s">
        <v>65</v>
      </c>
      <c r="B30" s="120"/>
      <c r="C30" s="45"/>
      <c r="D30" s="27"/>
      <c r="E30" s="25"/>
      <c r="F30" s="46"/>
      <c r="G30" s="17"/>
      <c r="H30" s="145"/>
      <c r="I30" s="165"/>
      <c r="J30" s="48"/>
      <c r="K30" s="165"/>
      <c r="L30" s="48"/>
      <c r="M30" s="165"/>
      <c r="N30" s="48"/>
      <c r="O30" s="165"/>
      <c r="P30" s="48"/>
      <c r="Q30" s="48"/>
      <c r="R30" s="20"/>
      <c r="S30" s="20"/>
      <c r="T30" s="14"/>
      <c r="U30" s="14"/>
      <c r="V30" s="108"/>
      <c r="W30" s="165"/>
      <c r="X30" s="66"/>
      <c r="Y30" s="169"/>
      <c r="Z30" s="57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72"/>
    </row>
    <row r="31" spans="1:42" x14ac:dyDescent="0.2">
      <c r="A31" s="120" t="s">
        <v>65</v>
      </c>
      <c r="B31" s="120"/>
      <c r="C31" s="45"/>
      <c r="D31" s="27"/>
      <c r="E31" s="25"/>
      <c r="F31" s="46"/>
      <c r="G31" s="17"/>
      <c r="H31" s="145"/>
      <c r="I31" s="165"/>
      <c r="J31" s="48"/>
      <c r="K31" s="165"/>
      <c r="L31" s="48"/>
      <c r="M31" s="165"/>
      <c r="N31" s="48"/>
      <c r="O31" s="165"/>
      <c r="P31" s="48"/>
      <c r="Q31" s="48"/>
      <c r="R31" s="20"/>
      <c r="S31" s="20"/>
      <c r="T31" s="14"/>
      <c r="U31" s="14"/>
      <c r="V31" s="108"/>
      <c r="W31" s="165"/>
      <c r="X31" s="66"/>
      <c r="Y31" s="169"/>
      <c r="Z31" s="57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72"/>
    </row>
    <row r="32" spans="1:42" x14ac:dyDescent="0.2">
      <c r="A32" s="26" t="s">
        <v>71</v>
      </c>
      <c r="B32" s="26"/>
      <c r="C32" s="26"/>
      <c r="D32" s="74"/>
      <c r="E32" s="25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20"/>
      <c r="S32" s="20"/>
      <c r="T32" s="14"/>
      <c r="U32" s="14"/>
      <c r="V32" s="108"/>
      <c r="W32" s="66"/>
      <c r="X32" s="66"/>
      <c r="Y32" s="81"/>
      <c r="Z32" s="66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73"/>
    </row>
    <row r="33" spans="1:42" x14ac:dyDescent="0.2">
      <c r="A33" s="120" t="s">
        <v>71</v>
      </c>
      <c r="B33" s="120"/>
      <c r="C33" s="45"/>
      <c r="D33" s="27"/>
      <c r="E33" s="25"/>
      <c r="F33" s="46"/>
      <c r="G33" s="17"/>
      <c r="H33" s="145"/>
      <c r="I33" s="165"/>
      <c r="J33" s="48"/>
      <c r="K33" s="165"/>
      <c r="L33" s="48"/>
      <c r="M33" s="165"/>
      <c r="N33" s="48"/>
      <c r="O33" s="165"/>
      <c r="P33" s="48"/>
      <c r="Q33" s="48"/>
      <c r="R33" s="20"/>
      <c r="S33" s="20"/>
      <c r="T33" s="14"/>
      <c r="U33" s="14"/>
      <c r="V33" s="108"/>
      <c r="W33" s="66"/>
      <c r="X33" s="66"/>
      <c r="Y33" s="169"/>
      <c r="Z33" s="57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72"/>
    </row>
  </sheetData>
  <sortState ref="A4:AP33">
    <sortCondition ref="A4"/>
  </sortState>
  <mergeCells count="21">
    <mergeCell ref="R2:R3"/>
    <mergeCell ref="S2:S3"/>
    <mergeCell ref="T2:T3"/>
    <mergeCell ref="Y2:Y3"/>
    <mergeCell ref="Z2:Z3"/>
    <mergeCell ref="Q2:Q3"/>
    <mergeCell ref="D1:P1"/>
    <mergeCell ref="R1:T1"/>
    <mergeCell ref="U1:AN1"/>
    <mergeCell ref="A2:A3"/>
    <mergeCell ref="B2:B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O2:O3"/>
  </mergeCells>
  <pageMargins left="0.7" right="0.7" top="0.75" bottom="0.75" header="0.3" footer="0.3"/>
  <pageSetup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DT22"/>
  <sheetViews>
    <sheetView topLeftCell="D1" workbookViewId="0">
      <selection activeCell="DL19" sqref="DL19"/>
    </sheetView>
  </sheetViews>
  <sheetFormatPr baseColWidth="10" defaultRowHeight="12.75" x14ac:dyDescent="0.2"/>
  <cols>
    <col min="4" max="4" width="7.5703125" customWidth="1"/>
    <col min="5" max="5" width="8.140625" customWidth="1"/>
    <col min="6" max="6" width="10.5703125" customWidth="1"/>
    <col min="7" max="7" width="7.140625" customWidth="1"/>
    <col min="8" max="8" width="8.42578125" hidden="1" customWidth="1"/>
    <col min="9" max="9" width="7.7109375" hidden="1" customWidth="1"/>
    <col min="10" max="10" width="8.5703125" hidden="1" customWidth="1"/>
    <col min="11" max="11" width="8.28515625" hidden="1" customWidth="1"/>
    <col min="12" max="12" width="7.42578125" customWidth="1"/>
    <col min="13" max="13" width="7.7109375" hidden="1" customWidth="1"/>
    <col min="14" max="14" width="10.140625" hidden="1" customWidth="1"/>
    <col min="15" max="15" width="9.28515625" hidden="1" customWidth="1"/>
    <col min="16" max="16" width="9.42578125" hidden="1" customWidth="1"/>
    <col min="17" max="17" width="10" customWidth="1"/>
    <col min="18" max="18" width="7.28515625" customWidth="1"/>
    <col min="19" max="19" width="10.42578125" customWidth="1"/>
    <col min="20" max="20" width="8" customWidth="1"/>
    <col min="21" max="21" width="11.5703125" hidden="1" customWidth="1"/>
    <col min="22" max="25" width="11.42578125" hidden="1" customWidth="1"/>
    <col min="26" max="26" width="7.85546875" hidden="1" customWidth="1"/>
    <col min="27" max="51" width="11.42578125" hidden="1" customWidth="1"/>
    <col min="52" max="52" width="10.28515625" hidden="1" customWidth="1"/>
    <col min="53" max="53" width="9.7109375" hidden="1" customWidth="1"/>
    <col min="54" max="54" width="7.5703125" hidden="1" customWidth="1"/>
    <col min="55" max="55" width="10" hidden="1" customWidth="1"/>
    <col min="56" max="56" width="8.7109375" hidden="1" customWidth="1"/>
    <col min="57" max="63" width="9" hidden="1" customWidth="1"/>
    <col min="64" max="64" width="9.28515625" hidden="1" customWidth="1"/>
    <col min="65" max="65" width="9.5703125" hidden="1" customWidth="1"/>
    <col min="66" max="66" width="11" hidden="1" customWidth="1"/>
    <col min="67" max="72" width="11.42578125" hidden="1" customWidth="1"/>
    <col min="73" max="73" width="10.28515625" hidden="1" customWidth="1"/>
    <col min="74" max="74" width="9.7109375" hidden="1" customWidth="1"/>
    <col min="75" max="75" width="7.5703125" hidden="1" customWidth="1"/>
    <col min="76" max="76" width="10" hidden="1" customWidth="1"/>
    <col min="77" max="77" width="8.7109375" hidden="1" customWidth="1"/>
    <col min="78" max="84" width="9" hidden="1" customWidth="1"/>
    <col min="85" max="85" width="9.28515625" hidden="1" customWidth="1"/>
    <col min="86" max="86" width="9.5703125" hidden="1" customWidth="1"/>
    <col min="87" max="87" width="0" hidden="1" customWidth="1"/>
    <col min="88" max="91" width="11.42578125" hidden="1" customWidth="1"/>
    <col min="92" max="92" width="0" hidden="1" customWidth="1"/>
    <col min="94" max="98" width="11.42578125" customWidth="1"/>
    <col min="99" max="115" width="11.42578125" hidden="1" customWidth="1"/>
    <col min="116" max="118" width="11.42578125" customWidth="1"/>
  </cols>
  <sheetData>
    <row r="1" spans="1:124" x14ac:dyDescent="0.2">
      <c r="A1" s="637"/>
      <c r="B1" s="638" t="s">
        <v>27</v>
      </c>
      <c r="C1" s="637"/>
      <c r="D1" s="639"/>
      <c r="E1" s="639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40"/>
      <c r="S1" s="640"/>
      <c r="T1" s="637"/>
      <c r="U1" s="637"/>
      <c r="V1" s="661"/>
      <c r="W1" s="662"/>
      <c r="X1" s="662"/>
      <c r="Y1" s="663"/>
      <c r="Z1" s="662"/>
      <c r="AA1" s="662"/>
      <c r="AB1" s="662"/>
      <c r="AC1" s="662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62" t="s">
        <v>1072</v>
      </c>
      <c r="AO1" s="637"/>
      <c r="AP1" s="664"/>
      <c r="AQ1" s="637"/>
      <c r="AR1" s="637"/>
      <c r="AS1" s="637"/>
      <c r="AT1" s="637"/>
      <c r="AU1" s="637"/>
      <c r="AV1" s="637"/>
      <c r="AW1" s="637"/>
      <c r="AX1" s="637"/>
      <c r="AY1" s="637"/>
      <c r="AZ1" s="662"/>
      <c r="BA1" s="662"/>
      <c r="BB1" s="662"/>
      <c r="BC1" s="662"/>
      <c r="BD1" s="637"/>
      <c r="BE1" s="647"/>
      <c r="BF1" s="647"/>
      <c r="BG1" s="647"/>
      <c r="BH1" s="647"/>
      <c r="BI1" s="647"/>
      <c r="BJ1" s="647"/>
      <c r="BK1" s="647"/>
      <c r="BL1" s="647"/>
      <c r="BM1" s="687"/>
      <c r="BN1" s="647"/>
      <c r="BO1" s="647"/>
      <c r="BP1" s="647"/>
      <c r="BQ1" s="647"/>
      <c r="BR1" s="647"/>
      <c r="BS1" s="647"/>
      <c r="BT1" s="647"/>
      <c r="BU1" s="644"/>
      <c r="BV1" s="644"/>
      <c r="BW1" s="644"/>
      <c r="BX1" s="644"/>
      <c r="BY1" s="635"/>
      <c r="BZ1" s="647"/>
      <c r="CA1" s="647"/>
      <c r="CB1" s="647"/>
      <c r="CC1" s="647"/>
      <c r="CD1" s="647"/>
      <c r="CE1" s="647"/>
      <c r="CF1" s="647"/>
      <c r="CG1" s="647"/>
      <c r="CH1" s="687"/>
    </row>
    <row r="2" spans="1:124" x14ac:dyDescent="0.2">
      <c r="A2" s="637"/>
      <c r="B2" s="638" t="s">
        <v>1273</v>
      </c>
      <c r="C2" s="637"/>
      <c r="D2" s="639"/>
      <c r="E2" s="639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40"/>
      <c r="S2" s="640"/>
      <c r="T2" s="637"/>
      <c r="U2" s="637"/>
      <c r="V2" s="661"/>
      <c r="W2" s="662"/>
      <c r="X2" s="662"/>
      <c r="Y2" s="663"/>
      <c r="Z2" s="662"/>
      <c r="AA2" s="662"/>
      <c r="AB2" s="662"/>
      <c r="AC2" s="662"/>
      <c r="AD2" s="637"/>
      <c r="AE2" s="637"/>
      <c r="AF2" s="637"/>
      <c r="AG2" s="637"/>
      <c r="AH2" s="637"/>
      <c r="AI2" s="637"/>
      <c r="AJ2" s="637"/>
      <c r="AK2" s="637"/>
      <c r="AL2" s="637"/>
      <c r="AM2" s="637"/>
      <c r="AN2" s="637"/>
      <c r="AO2" s="637"/>
      <c r="AP2" s="664"/>
      <c r="AQ2" s="637"/>
      <c r="AR2" s="637"/>
      <c r="AS2" s="637"/>
      <c r="AT2" s="637"/>
      <c r="AU2" s="637"/>
      <c r="AV2" s="637"/>
      <c r="AW2" s="637"/>
      <c r="AX2" s="637"/>
      <c r="AY2" s="637"/>
      <c r="AZ2" s="662"/>
      <c r="BA2" s="662"/>
      <c r="BB2" s="662"/>
      <c r="BC2" s="662"/>
      <c r="BD2" s="637"/>
      <c r="BE2" s="647"/>
      <c r="BF2" s="647"/>
      <c r="BG2" s="647"/>
      <c r="BH2" s="647"/>
      <c r="BI2" s="647"/>
      <c r="BJ2" s="647"/>
      <c r="BK2" s="647"/>
      <c r="BL2" s="647"/>
      <c r="BM2" s="687"/>
      <c r="BN2" s="647"/>
      <c r="BO2" s="647"/>
      <c r="BP2" s="647"/>
      <c r="BQ2" s="647"/>
      <c r="BR2" s="647"/>
      <c r="BS2" s="647"/>
      <c r="BT2" s="647"/>
      <c r="BU2" s="644"/>
      <c r="BV2" s="644"/>
      <c r="BW2" s="644"/>
      <c r="BX2" s="644"/>
      <c r="BY2" s="635"/>
      <c r="BZ2" s="647"/>
      <c r="CA2" s="647"/>
      <c r="CB2" s="647"/>
      <c r="CC2" s="647"/>
      <c r="CD2" s="647"/>
      <c r="CE2" s="647"/>
      <c r="CF2" s="647"/>
      <c r="CG2" s="647"/>
      <c r="CH2" s="687"/>
    </row>
    <row r="3" spans="1:124" x14ac:dyDescent="0.2">
      <c r="A3" s="637"/>
      <c r="B3" s="637"/>
      <c r="C3" s="638"/>
      <c r="D3" s="641"/>
      <c r="E3" s="639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38"/>
      <c r="S3" s="638"/>
      <c r="T3" s="642"/>
      <c r="U3" s="642"/>
      <c r="V3" s="665"/>
      <c r="W3" s="662"/>
      <c r="X3" s="662"/>
      <c r="Y3" s="663"/>
      <c r="Z3" s="662"/>
      <c r="AA3" s="662"/>
      <c r="AB3" s="662"/>
      <c r="AC3" s="662"/>
      <c r="AD3" s="637"/>
      <c r="AE3" s="637"/>
      <c r="AF3" s="637"/>
      <c r="AG3" s="637"/>
      <c r="AH3" s="637"/>
      <c r="AI3" s="637"/>
      <c r="AJ3" s="637"/>
      <c r="AK3" s="637"/>
      <c r="AL3" s="637"/>
      <c r="AM3" s="637"/>
      <c r="AN3" s="637"/>
      <c r="AO3" s="637"/>
      <c r="AP3" s="664"/>
      <c r="AQ3" s="637"/>
      <c r="AR3" s="637"/>
      <c r="AS3" s="637"/>
      <c r="AT3" s="637"/>
      <c r="AU3" s="637"/>
      <c r="AV3" s="637"/>
      <c r="AW3" s="637"/>
      <c r="AX3" s="637"/>
      <c r="AY3" s="637"/>
      <c r="AZ3" s="662"/>
      <c r="BA3" s="662"/>
      <c r="BB3" s="662"/>
      <c r="BC3" s="662"/>
      <c r="BD3" s="637"/>
      <c r="BE3" s="647"/>
      <c r="BF3" s="647"/>
      <c r="BG3" s="647"/>
      <c r="BH3" s="647"/>
      <c r="BI3" s="647"/>
      <c r="BJ3" s="647"/>
      <c r="BK3" s="647"/>
      <c r="BL3" s="647"/>
      <c r="BM3" s="687"/>
      <c r="BN3" s="647"/>
      <c r="BO3" s="647"/>
      <c r="BP3" s="647"/>
      <c r="BQ3" s="647"/>
      <c r="BR3" s="647"/>
      <c r="BS3" s="647"/>
      <c r="BT3" s="647"/>
      <c r="BU3" s="644"/>
      <c r="BV3" s="644"/>
      <c r="BW3" s="644"/>
      <c r="BX3" s="644"/>
      <c r="BY3" s="635"/>
      <c r="BZ3" s="647"/>
      <c r="CA3" s="647"/>
      <c r="CB3" s="647"/>
      <c r="CC3" s="647"/>
      <c r="CD3" s="647"/>
      <c r="CE3" s="647"/>
      <c r="CF3" s="647"/>
      <c r="CG3" s="647"/>
      <c r="CH3" s="687"/>
    </row>
    <row r="4" spans="1:124" x14ac:dyDescent="0.2">
      <c r="A4" s="637"/>
      <c r="B4" s="637" t="s">
        <v>309</v>
      </c>
      <c r="C4" s="638"/>
      <c r="D4" s="641"/>
      <c r="E4" s="639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38"/>
      <c r="S4" s="638"/>
      <c r="T4" s="642"/>
      <c r="U4" s="642"/>
      <c r="V4" s="665"/>
      <c r="W4" s="662"/>
      <c r="X4" s="662"/>
      <c r="Y4" s="663"/>
      <c r="Z4" s="662"/>
      <c r="AA4" s="662"/>
      <c r="AB4" s="662"/>
      <c r="AC4" s="662"/>
      <c r="AD4" s="637"/>
      <c r="AE4" s="637"/>
      <c r="AF4" s="637"/>
      <c r="AG4" s="637"/>
      <c r="AH4" s="637"/>
      <c r="AI4" s="637"/>
      <c r="AJ4" s="637"/>
      <c r="AK4" s="637"/>
      <c r="AL4" s="637"/>
      <c r="AM4" s="637"/>
      <c r="AN4" s="637"/>
      <c r="AO4" s="637"/>
      <c r="AP4" s="664"/>
      <c r="AQ4" s="637"/>
      <c r="AR4" s="637"/>
      <c r="AS4" s="637"/>
      <c r="AT4" s="637"/>
      <c r="AU4" s="637"/>
      <c r="AV4" s="637"/>
      <c r="AW4" s="637"/>
      <c r="AX4" s="637"/>
      <c r="AY4" s="637"/>
      <c r="AZ4" s="662"/>
      <c r="BA4" s="662"/>
      <c r="BB4" s="662"/>
      <c r="BC4" s="662"/>
      <c r="BD4" s="637"/>
      <c r="BE4" s="647"/>
      <c r="BF4" s="647"/>
      <c r="BG4" s="647"/>
      <c r="BH4" s="647"/>
      <c r="BI4" s="647"/>
      <c r="BJ4" s="647"/>
      <c r="BK4" s="647"/>
      <c r="BL4" s="647"/>
      <c r="BM4" s="687"/>
      <c r="BN4" s="647"/>
      <c r="BO4" s="647"/>
      <c r="BP4" s="647"/>
      <c r="BQ4" s="647"/>
      <c r="BR4" s="647"/>
      <c r="BS4" s="647"/>
      <c r="BT4" s="647"/>
      <c r="BU4" s="644"/>
      <c r="BV4" s="644"/>
      <c r="BW4" s="644"/>
      <c r="BX4" s="644"/>
      <c r="BY4" s="635"/>
      <c r="BZ4" s="647"/>
      <c r="CA4" s="647"/>
      <c r="CB4" s="647"/>
      <c r="CC4" s="647"/>
      <c r="CD4" s="647"/>
      <c r="CE4" s="647"/>
      <c r="CF4" s="647"/>
      <c r="CG4" s="647"/>
      <c r="CH4" s="687"/>
    </row>
    <row r="5" spans="1:124" x14ac:dyDescent="0.2">
      <c r="A5" s="637"/>
      <c r="B5" s="642" t="s">
        <v>994</v>
      </c>
      <c r="C5" s="637"/>
      <c r="D5" s="639"/>
      <c r="E5" s="639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40"/>
      <c r="S5" s="640"/>
      <c r="T5" s="637"/>
      <c r="U5" s="637"/>
      <c r="V5" s="661"/>
      <c r="W5" s="662"/>
      <c r="X5" s="662"/>
      <c r="Y5" s="663"/>
      <c r="Z5" s="662"/>
      <c r="AA5" s="662"/>
      <c r="AB5" s="662"/>
      <c r="AC5" s="662"/>
      <c r="AD5" s="637"/>
      <c r="AE5" s="637"/>
      <c r="AF5" s="637"/>
      <c r="AG5" s="637"/>
      <c r="AH5" s="637"/>
      <c r="AI5" s="637"/>
      <c r="AJ5" s="637"/>
      <c r="AK5" s="637"/>
      <c r="AL5" s="637"/>
      <c r="AM5" s="637"/>
      <c r="AN5" s="637"/>
      <c r="AO5" s="637"/>
      <c r="AP5" s="664"/>
      <c r="AQ5" s="637"/>
      <c r="AR5" s="637"/>
      <c r="AS5" s="637"/>
      <c r="AT5" s="637"/>
      <c r="AU5" s="637"/>
      <c r="AV5" s="637"/>
      <c r="AW5" s="637"/>
      <c r="AX5" s="637"/>
      <c r="AY5" s="637"/>
      <c r="AZ5" s="662"/>
      <c r="BA5" s="662"/>
      <c r="BB5" s="662"/>
      <c r="BC5" s="662"/>
      <c r="BD5" s="637"/>
      <c r="BE5" s="647"/>
      <c r="BF5" s="647"/>
      <c r="BG5" s="647"/>
      <c r="BH5" s="647"/>
      <c r="BI5" s="647"/>
      <c r="BJ5" s="647"/>
      <c r="BK5" s="647"/>
      <c r="BL5" s="647"/>
      <c r="BM5" s="687"/>
      <c r="BN5" s="647"/>
      <c r="BO5" s="647"/>
      <c r="BP5" s="647"/>
      <c r="BQ5" s="647"/>
      <c r="BR5" s="647"/>
      <c r="BS5" s="647"/>
      <c r="BT5" s="647"/>
      <c r="BU5" s="644"/>
      <c r="BV5" s="644"/>
      <c r="BW5" s="644"/>
      <c r="BX5" s="644"/>
      <c r="BY5" s="635"/>
      <c r="BZ5" s="647"/>
      <c r="CA5" s="647"/>
      <c r="CB5" s="647"/>
      <c r="CC5" s="647"/>
      <c r="CD5" s="647"/>
      <c r="CE5" s="647"/>
      <c r="CF5" s="647"/>
      <c r="CG5" s="647"/>
      <c r="CH5" s="687"/>
    </row>
    <row r="6" spans="1:124" x14ac:dyDescent="0.2">
      <c r="A6" s="637"/>
      <c r="B6" s="637" t="s">
        <v>1272</v>
      </c>
      <c r="C6" s="637"/>
      <c r="D6" s="639"/>
      <c r="E6" s="639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40"/>
      <c r="S6" s="640"/>
      <c r="T6" s="637"/>
      <c r="U6" s="637"/>
      <c r="V6" s="661"/>
      <c r="W6" s="662"/>
      <c r="X6" s="662"/>
      <c r="Y6" s="663"/>
      <c r="Z6" s="662"/>
      <c r="AA6" s="662"/>
      <c r="AB6" s="662"/>
      <c r="AC6" s="662"/>
      <c r="AD6" s="637"/>
      <c r="AE6" s="637"/>
      <c r="AF6" s="637"/>
      <c r="AG6" s="637"/>
      <c r="AH6" s="637"/>
      <c r="AI6" s="637"/>
      <c r="AJ6" s="637"/>
      <c r="AK6" s="637"/>
      <c r="AL6" s="637"/>
      <c r="AM6" s="637"/>
      <c r="AN6" s="637"/>
      <c r="AO6" s="637"/>
      <c r="AP6" s="664"/>
      <c r="AQ6" s="637"/>
      <c r="AR6" s="637"/>
      <c r="AS6" s="637"/>
      <c r="AT6" s="637"/>
      <c r="AU6" s="637"/>
      <c r="AV6" s="637"/>
      <c r="AW6" s="637"/>
      <c r="AX6" s="637"/>
      <c r="AY6" s="637"/>
      <c r="AZ6" s="662"/>
      <c r="BA6" s="662"/>
      <c r="BB6" s="662"/>
      <c r="BC6" s="662"/>
      <c r="BD6" s="637"/>
      <c r="BE6" s="647"/>
      <c r="BF6" s="647"/>
      <c r="BG6" s="647"/>
      <c r="BH6" s="647"/>
      <c r="BI6" s="647"/>
      <c r="BJ6" s="647"/>
      <c r="BK6" s="647"/>
      <c r="BL6" s="647"/>
      <c r="BM6" s="687"/>
      <c r="BN6" s="647"/>
      <c r="BO6" s="647"/>
      <c r="BP6" s="647"/>
      <c r="BQ6" s="647"/>
      <c r="BR6" s="647"/>
      <c r="BS6" s="647"/>
      <c r="BT6" s="647"/>
      <c r="BU6" s="644"/>
      <c r="BV6" s="644"/>
      <c r="BW6" s="644"/>
      <c r="BX6" s="644"/>
      <c r="BY6" s="635"/>
      <c r="BZ6" s="647"/>
      <c r="CA6" s="647"/>
      <c r="CB6" s="647"/>
      <c r="CC6" s="647"/>
      <c r="CD6" s="647"/>
      <c r="CE6" s="647"/>
      <c r="CF6" s="647"/>
      <c r="CG6" s="647"/>
      <c r="CH6" s="687"/>
    </row>
    <row r="7" spans="1:124" x14ac:dyDescent="0.2">
      <c r="A7" s="637"/>
      <c r="B7" s="637"/>
      <c r="C7" s="637"/>
      <c r="D7" s="639"/>
      <c r="E7" s="639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40"/>
      <c r="S7" s="640"/>
      <c r="T7" s="637"/>
      <c r="U7" s="637"/>
      <c r="V7" s="661"/>
      <c r="W7" s="662"/>
      <c r="X7" s="662"/>
      <c r="Y7" s="663"/>
      <c r="Z7" s="662"/>
      <c r="AA7" s="662"/>
      <c r="AB7" s="662"/>
      <c r="AC7" s="662"/>
      <c r="AD7" s="637"/>
      <c r="AE7" s="637"/>
      <c r="AF7" s="637"/>
      <c r="AG7" s="637"/>
      <c r="AH7" s="637"/>
      <c r="AI7" s="637"/>
      <c r="AJ7" s="637"/>
      <c r="AK7" s="637"/>
      <c r="AL7" s="637"/>
      <c r="AM7" s="637"/>
      <c r="AN7" s="637"/>
      <c r="AO7" s="637"/>
      <c r="AP7" s="664"/>
      <c r="AQ7" s="637"/>
      <c r="AR7" s="637"/>
      <c r="AS7" s="637"/>
      <c r="AT7" s="637"/>
      <c r="AU7" s="637"/>
      <c r="AV7" s="637"/>
      <c r="AW7" s="637"/>
      <c r="AX7" s="637"/>
      <c r="AY7" s="637"/>
      <c r="AZ7" s="662"/>
      <c r="BA7" s="662"/>
      <c r="BB7" s="662"/>
      <c r="BC7" s="662"/>
      <c r="BD7" s="637"/>
      <c r="BE7" s="647"/>
      <c r="BF7" s="647"/>
      <c r="BG7" s="647"/>
      <c r="BH7" s="647"/>
      <c r="BI7" s="647"/>
      <c r="BJ7" s="647"/>
      <c r="BK7" s="647"/>
      <c r="BL7" s="647"/>
      <c r="BM7" s="687"/>
      <c r="BN7" s="647"/>
      <c r="BO7" s="647"/>
      <c r="BP7" s="647"/>
      <c r="BQ7" s="647"/>
      <c r="BR7" s="647"/>
      <c r="BS7" s="647"/>
      <c r="BT7" s="647"/>
      <c r="BU7" s="644"/>
      <c r="BV7" s="644"/>
      <c r="BW7" s="644"/>
      <c r="BX7" s="644"/>
      <c r="BY7" s="635"/>
      <c r="BZ7" s="647"/>
      <c r="CA7" s="647"/>
      <c r="CB7" s="647"/>
      <c r="CC7" s="647"/>
      <c r="CD7" s="647"/>
      <c r="CE7" s="647"/>
      <c r="CF7" s="647"/>
      <c r="CG7" s="647"/>
      <c r="CH7" s="687"/>
    </row>
    <row r="8" spans="1:124" x14ac:dyDescent="0.2">
      <c r="A8" s="16"/>
      <c r="B8" s="16"/>
      <c r="C8" s="16"/>
      <c r="D8" s="38"/>
      <c r="E8" s="38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37"/>
      <c r="S8" s="37"/>
      <c r="T8" s="35"/>
      <c r="U8" s="35"/>
      <c r="V8" s="103"/>
      <c r="W8" s="39"/>
      <c r="X8" s="39"/>
      <c r="Y8" s="76"/>
      <c r="Z8" s="39"/>
      <c r="AA8" s="39"/>
      <c r="AB8" s="39"/>
      <c r="AC8" s="39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68"/>
      <c r="AZ8" s="39"/>
      <c r="BA8" s="39"/>
      <c r="BB8" s="39"/>
      <c r="BC8" s="39"/>
      <c r="BD8" s="16"/>
      <c r="BM8" s="436"/>
      <c r="BU8" s="39"/>
      <c r="BV8" s="39"/>
      <c r="BW8" s="39"/>
      <c r="BX8" s="39"/>
      <c r="BY8" s="16"/>
      <c r="CH8" s="436"/>
    </row>
    <row r="9" spans="1:124" x14ac:dyDescent="0.2">
      <c r="A9" s="16"/>
      <c r="B9" s="16"/>
      <c r="C9" s="16"/>
      <c r="D9" s="38"/>
      <c r="E9" s="38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37"/>
      <c r="S9" s="37"/>
      <c r="T9" s="35"/>
      <c r="U9" s="35"/>
      <c r="V9" s="103"/>
      <c r="W9" s="39"/>
      <c r="X9" s="39"/>
      <c r="Y9" s="76"/>
      <c r="Z9" s="39"/>
      <c r="AA9" s="39"/>
      <c r="AB9" s="39"/>
      <c r="AC9" s="39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68"/>
      <c r="AZ9" s="39"/>
      <c r="BA9" s="39"/>
      <c r="BB9" s="39"/>
      <c r="BC9" s="39"/>
      <c r="BD9" s="16"/>
      <c r="BM9" s="436"/>
      <c r="BU9" s="39"/>
      <c r="BV9" s="39"/>
      <c r="BW9" s="39"/>
      <c r="BX9" s="39"/>
      <c r="BY9" s="16"/>
      <c r="CH9" s="436"/>
    </row>
    <row r="10" spans="1:124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1260" t="s">
        <v>450</v>
      </c>
      <c r="V10" s="1260"/>
      <c r="W10" s="1260"/>
      <c r="X10" s="1260"/>
      <c r="Y10" s="1260"/>
      <c r="Z10" s="1260"/>
      <c r="AA10" s="1260"/>
      <c r="AB10" s="1260"/>
      <c r="AC10" s="1260"/>
      <c r="AD10" s="1260"/>
      <c r="AE10" s="1260"/>
      <c r="AF10" s="1260"/>
      <c r="AG10" s="1260"/>
      <c r="AH10" s="1260"/>
      <c r="AI10" s="1260"/>
      <c r="AJ10" s="1260"/>
      <c r="AK10" s="1260"/>
      <c r="AL10" s="1260"/>
      <c r="AM10" s="1260"/>
      <c r="AN10" s="1260"/>
      <c r="AO10" s="1260"/>
      <c r="AP10" s="1260"/>
      <c r="BM10" s="436"/>
      <c r="CH10" s="436"/>
    </row>
    <row r="11" spans="1:124" ht="57.75" x14ac:dyDescent="0.25">
      <c r="A11" s="1261" t="s">
        <v>57</v>
      </c>
      <c r="B11" s="1261" t="s">
        <v>0</v>
      </c>
      <c r="C11" s="1050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1126</v>
      </c>
      <c r="J11" s="1254" t="s">
        <v>1127</v>
      </c>
      <c r="K11" s="1254" t="s">
        <v>534</v>
      </c>
      <c r="L11" s="1254" t="s">
        <v>493</v>
      </c>
      <c r="M11" s="1254" t="s">
        <v>1148</v>
      </c>
      <c r="N11" s="1046" t="s">
        <v>529</v>
      </c>
      <c r="O11" s="1254" t="s">
        <v>492</v>
      </c>
      <c r="P11" s="1047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1245" t="s">
        <v>595</v>
      </c>
      <c r="V11" s="1245" t="s">
        <v>596</v>
      </c>
      <c r="W11" s="1043"/>
      <c r="X11" s="1268" t="s">
        <v>569</v>
      </c>
      <c r="Y11" s="1245" t="s">
        <v>599</v>
      </c>
      <c r="Z11" s="158" t="s">
        <v>15</v>
      </c>
      <c r="AA11" s="159" t="s">
        <v>15</v>
      </c>
      <c r="AB11" s="158" t="s">
        <v>16</v>
      </c>
      <c r="AC11" s="1245" t="s">
        <v>527</v>
      </c>
      <c r="AD11" s="1245" t="s">
        <v>536</v>
      </c>
      <c r="AE11" s="158" t="s">
        <v>3</v>
      </c>
      <c r="AF11" s="158" t="s">
        <v>4</v>
      </c>
      <c r="AG11" s="158" t="s">
        <v>5</v>
      </c>
      <c r="AH11" s="158" t="s">
        <v>6</v>
      </c>
      <c r="AI11" s="158" t="s">
        <v>7</v>
      </c>
      <c r="AJ11" s="158" t="s">
        <v>8</v>
      </c>
      <c r="AK11" s="158" t="s">
        <v>9</v>
      </c>
      <c r="AL11" s="158" t="s">
        <v>10</v>
      </c>
      <c r="AM11" s="158" t="s">
        <v>11</v>
      </c>
      <c r="AN11" s="158" t="s">
        <v>12</v>
      </c>
      <c r="AO11" s="158" t="s">
        <v>13</v>
      </c>
      <c r="AP11" s="158" t="s">
        <v>14</v>
      </c>
      <c r="AQ11" s="1042" t="s">
        <v>531</v>
      </c>
      <c r="AR11" s="160" t="s">
        <v>63</v>
      </c>
      <c r="AS11" s="1245" t="s">
        <v>976</v>
      </c>
      <c r="AT11" s="1245" t="s">
        <v>536</v>
      </c>
      <c r="AU11" s="158" t="s">
        <v>3</v>
      </c>
      <c r="AV11" s="158" t="s">
        <v>4</v>
      </c>
      <c r="AW11" s="158" t="s">
        <v>5</v>
      </c>
      <c r="AX11" s="158" t="s">
        <v>6</v>
      </c>
      <c r="AY11" s="158" t="s">
        <v>7</v>
      </c>
      <c r="AZ11" s="158" t="s">
        <v>15</v>
      </c>
      <c r="BA11" s="159" t="s">
        <v>15</v>
      </c>
      <c r="BB11" s="158" t="s">
        <v>16</v>
      </c>
      <c r="BC11" s="1245" t="s">
        <v>1059</v>
      </c>
      <c r="BD11" s="1245" t="s">
        <v>536</v>
      </c>
      <c r="BE11" s="158" t="s">
        <v>8</v>
      </c>
      <c r="BF11" s="158" t="s">
        <v>9</v>
      </c>
      <c r="BG11" s="158" t="s">
        <v>10</v>
      </c>
      <c r="BH11" s="158" t="s">
        <v>11</v>
      </c>
      <c r="BI11" s="158" t="s">
        <v>12</v>
      </c>
      <c r="BJ11" s="158" t="s">
        <v>13</v>
      </c>
      <c r="BK11" s="158" t="s">
        <v>14</v>
      </c>
      <c r="BL11" s="1042" t="s">
        <v>989</v>
      </c>
      <c r="BM11" s="1042" t="s">
        <v>63</v>
      </c>
      <c r="BN11" s="158" t="s">
        <v>3</v>
      </c>
      <c r="BO11" s="158" t="s">
        <v>4</v>
      </c>
      <c r="BP11" s="158" t="s">
        <v>5</v>
      </c>
      <c r="BQ11" s="158" t="s">
        <v>6</v>
      </c>
      <c r="BR11" s="158" t="s">
        <v>7</v>
      </c>
      <c r="BS11" s="1247" t="s">
        <v>1162</v>
      </c>
      <c r="BT11" s="1247" t="s">
        <v>1134</v>
      </c>
      <c r="BU11" s="158" t="s">
        <v>15</v>
      </c>
      <c r="BV11" s="159" t="s">
        <v>15</v>
      </c>
      <c r="BW11" s="158" t="s">
        <v>16</v>
      </c>
      <c r="BX11" s="1245" t="s">
        <v>1159</v>
      </c>
      <c r="BY11" s="1245" t="s">
        <v>536</v>
      </c>
      <c r="BZ11" s="158" t="s">
        <v>8</v>
      </c>
      <c r="CA11" s="158" t="s">
        <v>9</v>
      </c>
      <c r="CB11" s="158" t="s">
        <v>10</v>
      </c>
      <c r="CC11" s="158" t="s">
        <v>11</v>
      </c>
      <c r="CD11" s="158" t="s">
        <v>12</v>
      </c>
      <c r="CE11" s="158" t="s">
        <v>13</v>
      </c>
      <c r="CF11" s="158" t="s">
        <v>14</v>
      </c>
      <c r="CG11" s="1042" t="s">
        <v>1058</v>
      </c>
      <c r="CH11" s="1042" t="s">
        <v>63</v>
      </c>
      <c r="CI11" s="158" t="s">
        <v>3</v>
      </c>
      <c r="CJ11" s="158" t="s">
        <v>4</v>
      </c>
      <c r="CK11" s="158" t="s">
        <v>5</v>
      </c>
      <c r="CL11" s="158" t="s">
        <v>6</v>
      </c>
      <c r="CM11" s="158" t="s">
        <v>7</v>
      </c>
      <c r="CN11" s="1247" t="s">
        <v>1252</v>
      </c>
      <c r="CO11" s="1247" t="s">
        <v>1253</v>
      </c>
      <c r="CP11" s="158" t="s">
        <v>15</v>
      </c>
      <c r="CQ11" s="159" t="s">
        <v>15</v>
      </c>
      <c r="CR11" s="158" t="s">
        <v>16</v>
      </c>
      <c r="CS11" s="1245" t="s">
        <v>1254</v>
      </c>
      <c r="CT11" s="1245" t="s">
        <v>536</v>
      </c>
      <c r="CU11" s="158" t="s">
        <v>8</v>
      </c>
      <c r="CV11" s="158" t="s">
        <v>9</v>
      </c>
      <c r="CW11" s="158" t="s">
        <v>10</v>
      </c>
      <c r="CX11" s="158" t="s">
        <v>11</v>
      </c>
      <c r="CY11" s="158" t="s">
        <v>12</v>
      </c>
      <c r="CZ11" s="158" t="s">
        <v>13</v>
      </c>
      <c r="DA11" s="158" t="s">
        <v>14</v>
      </c>
      <c r="DB11" s="158" t="s">
        <v>3</v>
      </c>
      <c r="DC11" s="158" t="s">
        <v>4</v>
      </c>
      <c r="DD11" s="158" t="s">
        <v>5</v>
      </c>
      <c r="DE11" s="158" t="s">
        <v>6</v>
      </c>
      <c r="DF11" s="158" t="s">
        <v>7</v>
      </c>
      <c r="DG11" s="158" t="s">
        <v>8</v>
      </c>
      <c r="DH11" s="158" t="s">
        <v>9</v>
      </c>
      <c r="DI11" s="158" t="s">
        <v>10</v>
      </c>
      <c r="DJ11" s="158" t="s">
        <v>11</v>
      </c>
      <c r="DK11" s="158" t="s">
        <v>12</v>
      </c>
      <c r="DL11" s="158" t="s">
        <v>13</v>
      </c>
      <c r="DM11" s="1247" t="s">
        <v>1274</v>
      </c>
      <c r="DN11" s="1247" t="s">
        <v>1263</v>
      </c>
    </row>
    <row r="12" spans="1:124" ht="38.25" x14ac:dyDescent="0.25">
      <c r="A12" s="1262"/>
      <c r="B12" s="1262"/>
      <c r="C12" s="161" t="s">
        <v>427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1267"/>
      <c r="V12" s="1267"/>
      <c r="W12" s="1052" t="s">
        <v>570</v>
      </c>
      <c r="X12" s="1272"/>
      <c r="Y12" s="1246"/>
      <c r="Z12" s="162" t="s">
        <v>20</v>
      </c>
      <c r="AA12" s="163" t="s">
        <v>21</v>
      </c>
      <c r="AB12" s="162" t="s">
        <v>22</v>
      </c>
      <c r="AC12" s="1246"/>
      <c r="AD12" s="1246"/>
      <c r="AE12" s="162">
        <v>2015</v>
      </c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>
        <v>2015</v>
      </c>
      <c r="AQ12" s="162">
        <v>2015</v>
      </c>
      <c r="AR12" s="162" t="s">
        <v>64</v>
      </c>
      <c r="AS12" s="1246"/>
      <c r="AT12" s="1246"/>
      <c r="AU12" s="162">
        <v>2016</v>
      </c>
      <c r="AV12" s="162">
        <v>2016</v>
      </c>
      <c r="AW12" s="162">
        <v>2016</v>
      </c>
      <c r="AX12" s="162">
        <v>2016</v>
      </c>
      <c r="AY12" s="162">
        <v>2016</v>
      </c>
      <c r="AZ12" s="162" t="s">
        <v>20</v>
      </c>
      <c r="BA12" s="163" t="s">
        <v>21</v>
      </c>
      <c r="BB12" s="162" t="s">
        <v>22</v>
      </c>
      <c r="BC12" s="1246"/>
      <c r="BD12" s="1246"/>
      <c r="BE12" s="162">
        <v>2016</v>
      </c>
      <c r="BF12" s="162">
        <v>2016</v>
      </c>
      <c r="BG12" s="162">
        <v>2016</v>
      </c>
      <c r="BH12" s="162">
        <v>2016</v>
      </c>
      <c r="BI12" s="162">
        <v>2016</v>
      </c>
      <c r="BJ12" s="162">
        <v>2016</v>
      </c>
      <c r="BK12" s="162">
        <v>2016</v>
      </c>
      <c r="BL12" s="162">
        <v>2016</v>
      </c>
      <c r="BM12" s="162" t="s">
        <v>64</v>
      </c>
      <c r="BN12" s="162">
        <v>2017</v>
      </c>
      <c r="BO12" s="162">
        <v>2017</v>
      </c>
      <c r="BP12" s="162">
        <v>2017</v>
      </c>
      <c r="BQ12" s="162">
        <v>2017</v>
      </c>
      <c r="BR12" s="162">
        <v>2017</v>
      </c>
      <c r="BS12" s="1248"/>
      <c r="BT12" s="1248"/>
      <c r="BU12" s="162" t="s">
        <v>20</v>
      </c>
      <c r="BV12" s="163" t="s">
        <v>21</v>
      </c>
      <c r="BW12" s="162" t="s">
        <v>22</v>
      </c>
      <c r="BX12" s="1246"/>
      <c r="BY12" s="1246"/>
      <c r="BZ12" s="162">
        <v>2017</v>
      </c>
      <c r="CA12" s="162">
        <v>2017</v>
      </c>
      <c r="CB12" s="162">
        <v>2017</v>
      </c>
      <c r="CC12" s="162">
        <v>2017</v>
      </c>
      <c r="CD12" s="162">
        <v>2017</v>
      </c>
      <c r="CE12" s="162">
        <v>2017</v>
      </c>
      <c r="CF12" s="162">
        <v>2017</v>
      </c>
      <c r="CG12" s="162">
        <v>2017</v>
      </c>
      <c r="CH12" s="162" t="s">
        <v>64</v>
      </c>
      <c r="CI12" s="162">
        <v>2018</v>
      </c>
      <c r="CJ12" s="162">
        <v>2018</v>
      </c>
      <c r="CK12" s="162">
        <v>2018</v>
      </c>
      <c r="CL12" s="162">
        <v>2018</v>
      </c>
      <c r="CM12" s="162">
        <v>2018</v>
      </c>
      <c r="CN12" s="1248"/>
      <c r="CO12" s="1248"/>
      <c r="CP12" s="162" t="s">
        <v>20</v>
      </c>
      <c r="CQ12" s="163" t="s">
        <v>21</v>
      </c>
      <c r="CR12" s="162" t="s">
        <v>22</v>
      </c>
      <c r="CS12" s="1246"/>
      <c r="CT12" s="1246"/>
      <c r="CU12" s="162">
        <v>2018</v>
      </c>
      <c r="CV12" s="162">
        <v>2018</v>
      </c>
      <c r="CW12" s="162">
        <v>2018</v>
      </c>
      <c r="CX12" s="162">
        <v>2018</v>
      </c>
      <c r="CY12" s="162">
        <v>2018</v>
      </c>
      <c r="CZ12" s="162">
        <v>2018</v>
      </c>
      <c r="DA12" s="162">
        <v>2018</v>
      </c>
      <c r="DB12" s="162">
        <v>2019</v>
      </c>
      <c r="DC12" s="162">
        <v>2019</v>
      </c>
      <c r="DD12" s="162">
        <v>2019</v>
      </c>
      <c r="DE12" s="162">
        <v>2019</v>
      </c>
      <c r="DF12" s="162">
        <v>2019</v>
      </c>
      <c r="DG12" s="162">
        <v>2019</v>
      </c>
      <c r="DH12" s="162">
        <v>2019</v>
      </c>
      <c r="DI12" s="162">
        <v>2019</v>
      </c>
      <c r="DJ12" s="162">
        <v>2019</v>
      </c>
      <c r="DK12" s="162">
        <v>2019</v>
      </c>
      <c r="DL12" s="162">
        <v>2019</v>
      </c>
      <c r="DM12" s="1248"/>
      <c r="DN12" s="1248"/>
    </row>
    <row r="13" spans="1:124" x14ac:dyDescent="0.2">
      <c r="A13" s="120" t="s">
        <v>71</v>
      </c>
      <c r="B13" s="120" t="s">
        <v>678</v>
      </c>
      <c r="C13" s="120"/>
      <c r="D13" s="131"/>
      <c r="E13" s="130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19"/>
      <c r="S13" s="119"/>
      <c r="T13" s="134"/>
      <c r="U13" s="134"/>
      <c r="V13" s="108"/>
      <c r="W13" s="66"/>
      <c r="X13" s="66"/>
      <c r="Y13" s="81"/>
      <c r="Z13" s="66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73"/>
      <c r="AR13" s="73"/>
      <c r="AS13" s="55"/>
      <c r="AT13" s="55"/>
      <c r="AU13" s="55"/>
      <c r="AV13" s="55"/>
      <c r="AW13" s="55"/>
      <c r="AX13" s="55"/>
      <c r="AY13" s="55"/>
      <c r="AZ13" s="66"/>
      <c r="BA13" s="65"/>
      <c r="BB13" s="65"/>
      <c r="BC13" s="65"/>
      <c r="BD13" s="65"/>
      <c r="BE13" s="55"/>
      <c r="BF13" s="55"/>
      <c r="BG13" s="55"/>
      <c r="BH13" s="55"/>
      <c r="BI13" s="55"/>
      <c r="BJ13" s="55"/>
      <c r="BK13" s="55"/>
      <c r="BL13" s="55"/>
      <c r="BM13" s="448"/>
      <c r="BN13" s="55"/>
      <c r="BO13" s="55"/>
      <c r="BP13" s="55"/>
      <c r="BQ13" s="55"/>
      <c r="BR13" s="55"/>
      <c r="BS13" s="55"/>
      <c r="BT13" s="55"/>
      <c r="BU13" s="66"/>
      <c r="BV13" s="65"/>
      <c r="BW13" s="65"/>
      <c r="BX13" s="65"/>
      <c r="BY13" s="65"/>
      <c r="BZ13" s="55"/>
      <c r="CA13" s="55"/>
      <c r="CB13" s="55"/>
      <c r="CC13" s="55"/>
      <c r="CD13" s="55"/>
      <c r="CE13" s="55"/>
      <c r="CF13" s="55"/>
      <c r="CG13" s="55"/>
      <c r="CH13" s="448"/>
      <c r="CI13" s="968"/>
      <c r="CJ13" s="505"/>
      <c r="CK13" s="505"/>
      <c r="CL13" s="505"/>
      <c r="CM13" s="505"/>
      <c r="CN13" s="505"/>
      <c r="CO13" s="50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</row>
    <row r="14" spans="1:124" x14ac:dyDescent="0.2">
      <c r="A14" s="120" t="s">
        <v>679</v>
      </c>
      <c r="B14" s="100"/>
      <c r="C14" s="120"/>
      <c r="D14" s="8"/>
      <c r="E14" s="130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19"/>
      <c r="S14" s="119"/>
      <c r="T14" s="134"/>
      <c r="U14" s="134"/>
      <c r="V14" s="108"/>
      <c r="W14" s="66"/>
      <c r="X14" s="66"/>
      <c r="Y14" s="112"/>
      <c r="Z14" s="66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73"/>
      <c r="AR14" s="73"/>
      <c r="AS14" s="55"/>
      <c r="AT14" s="55"/>
      <c r="AU14" s="55"/>
      <c r="AV14" s="55"/>
      <c r="AW14" s="55"/>
      <c r="AX14" s="55"/>
      <c r="AY14" s="55"/>
      <c r="AZ14" s="66"/>
      <c r="BA14" s="65"/>
      <c r="BB14" s="65"/>
      <c r="BC14" s="65"/>
      <c r="BD14" s="65"/>
      <c r="BE14" s="55"/>
      <c r="BF14" s="55"/>
      <c r="BG14" s="55"/>
      <c r="BH14" s="55"/>
      <c r="BI14" s="55"/>
      <c r="BJ14" s="55"/>
      <c r="BK14" s="55"/>
      <c r="BL14" s="55"/>
      <c r="BM14" s="448"/>
      <c r="BN14" s="55"/>
      <c r="BO14" s="55"/>
      <c r="BP14" s="55"/>
      <c r="BQ14" s="55"/>
      <c r="BR14" s="55"/>
      <c r="BS14" s="55"/>
      <c r="BT14" s="55"/>
      <c r="BU14" s="66"/>
      <c r="BV14" s="65"/>
      <c r="BW14" s="65"/>
      <c r="BX14" s="65"/>
      <c r="BY14" s="65"/>
      <c r="BZ14" s="55"/>
      <c r="CA14" s="55"/>
      <c r="CB14" s="55"/>
      <c r="CC14" s="55"/>
      <c r="CD14" s="55"/>
      <c r="CE14" s="55"/>
      <c r="CF14" s="55"/>
      <c r="CG14" s="55"/>
      <c r="CH14" s="448"/>
      <c r="CI14" s="55"/>
      <c r="CJ14" s="55"/>
      <c r="CK14" s="55"/>
      <c r="CL14" s="55"/>
      <c r="CM14" s="55"/>
      <c r="CN14" s="505"/>
      <c r="CO14" s="50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6"/>
    </row>
    <row r="15" spans="1:124" x14ac:dyDescent="0.2">
      <c r="A15" s="301" t="s">
        <v>1015</v>
      </c>
      <c r="B15" s="301" t="s">
        <v>681</v>
      </c>
      <c r="C15" s="45" t="s">
        <v>994</v>
      </c>
      <c r="D15" s="58">
        <v>10</v>
      </c>
      <c r="E15" s="49">
        <v>0.1</v>
      </c>
      <c r="F15" s="46">
        <v>43281</v>
      </c>
      <c r="G15" s="48">
        <f>D15*12</f>
        <v>120</v>
      </c>
      <c r="H15" s="145">
        <f>100/G15</f>
        <v>0.83333333333333337</v>
      </c>
      <c r="I15" s="165">
        <f>H15*J15</f>
        <v>20.833333333333336</v>
      </c>
      <c r="J15" s="48">
        <f>(YEAR(F15)-YEAR(S15))*12+MONTH(F15)-MONTH(S15)</f>
        <v>25</v>
      </c>
      <c r="K15" s="165">
        <f>L15*H15</f>
        <v>79.166666666666671</v>
      </c>
      <c r="L15" s="48">
        <f>G15-J15</f>
        <v>95</v>
      </c>
      <c r="M15" s="165">
        <v>0</v>
      </c>
      <c r="N15" s="48">
        <f>G15-J15</f>
        <v>95</v>
      </c>
      <c r="O15" s="165">
        <f>P15*H15</f>
        <v>0</v>
      </c>
      <c r="P15" s="48">
        <f>L15-N15</f>
        <v>0</v>
      </c>
      <c r="Q15" s="46">
        <f>DATE(YEAR(S15),MONTH(S15)+G15,DAY(S15))</f>
        <v>46173</v>
      </c>
      <c r="R15" s="48">
        <v>7478</v>
      </c>
      <c r="S15" s="46">
        <v>42521</v>
      </c>
      <c r="T15" s="47">
        <v>5370</v>
      </c>
      <c r="U15" s="47">
        <f>T15*I15%</f>
        <v>1118.7500000000002</v>
      </c>
      <c r="V15" s="106">
        <f>T15-U15</f>
        <v>4251.25</v>
      </c>
      <c r="W15" s="165">
        <v>0</v>
      </c>
      <c r="X15" s="57">
        <f>W15*5</f>
        <v>0</v>
      </c>
      <c r="Y15" s="80">
        <f>V15-X15</f>
        <v>4251.25</v>
      </c>
      <c r="Z15" s="57">
        <v>0</v>
      </c>
      <c r="AA15" s="350">
        <v>0</v>
      </c>
      <c r="AB15" s="55">
        <v>0</v>
      </c>
      <c r="AC15" s="55">
        <f>Y15*M15/100/K15*100/7</f>
        <v>0</v>
      </c>
      <c r="AD15" s="55">
        <f>AC15*AB15</f>
        <v>0</v>
      </c>
      <c r="AE15" s="55"/>
      <c r="AF15" s="55"/>
      <c r="AG15" s="55"/>
      <c r="AH15" s="55"/>
      <c r="AI15" s="55"/>
      <c r="AJ15" s="55">
        <f t="shared" ref="AJ15:AP15" si="0">$AD15</f>
        <v>0</v>
      </c>
      <c r="AK15" s="55">
        <f t="shared" si="0"/>
        <v>0</v>
      </c>
      <c r="AL15" s="55">
        <f t="shared" si="0"/>
        <v>0</v>
      </c>
      <c r="AM15" s="55">
        <f t="shared" si="0"/>
        <v>0</v>
      </c>
      <c r="AN15" s="55">
        <f t="shared" si="0"/>
        <v>0</v>
      </c>
      <c r="AO15" s="55">
        <f t="shared" si="0"/>
        <v>0</v>
      </c>
      <c r="AP15" s="55">
        <f t="shared" si="0"/>
        <v>0</v>
      </c>
      <c r="AQ15" s="72">
        <f>SUM(AE15:AP15)</f>
        <v>0</v>
      </c>
      <c r="AR15" s="72">
        <f>Y15-AQ15</f>
        <v>4251.25</v>
      </c>
      <c r="AS15" s="55"/>
      <c r="AT15" s="55"/>
      <c r="AU15" s="55">
        <f>$AP15</f>
        <v>0</v>
      </c>
      <c r="AV15" s="55">
        <f>$AP15</f>
        <v>0</v>
      </c>
      <c r="AW15" s="55">
        <f>$AP15</f>
        <v>0</v>
      </c>
      <c r="AX15" s="55"/>
      <c r="AY15" s="55"/>
      <c r="AZ15" s="57">
        <v>118.901</v>
      </c>
      <c r="BA15" s="350">
        <v>118.77</v>
      </c>
      <c r="BB15" s="55">
        <f>AZ15/BA15</f>
        <v>1.0011029721310094</v>
      </c>
      <c r="BC15" s="55">
        <f>T15/(D15*12)</f>
        <v>44.75</v>
      </c>
      <c r="BD15" s="55">
        <f>BC15*BB15</f>
        <v>44.799358002862668</v>
      </c>
      <c r="BE15" s="55">
        <f>$BD15</f>
        <v>44.799358002862668</v>
      </c>
      <c r="BF15" s="55">
        <f>$BD15</f>
        <v>44.799358002862668</v>
      </c>
      <c r="BG15" s="505">
        <f>$BD15</f>
        <v>44.799358002862668</v>
      </c>
      <c r="BH15" s="505">
        <f>$BD15</f>
        <v>44.799358002862668</v>
      </c>
      <c r="BI15" s="505">
        <v>44.8</v>
      </c>
      <c r="BJ15" s="505">
        <v>44.8</v>
      </c>
      <c r="BK15" s="505">
        <v>44.8</v>
      </c>
      <c r="BL15" s="505">
        <f>SUM((AU15:AY15),(BE15:BK15))</f>
        <v>313.59743201145068</v>
      </c>
      <c r="BM15" s="506">
        <f>(AR15-BL15)</f>
        <v>3937.6525679885494</v>
      </c>
      <c r="BN15" s="505">
        <v>44.8</v>
      </c>
      <c r="BO15" s="505">
        <v>44.8</v>
      </c>
      <c r="BP15" s="505">
        <v>44.8</v>
      </c>
      <c r="BQ15" s="505">
        <v>44.8</v>
      </c>
      <c r="BR15" s="505">
        <v>44.8</v>
      </c>
      <c r="BS15" s="505">
        <f>SUM(BN15:BR15)</f>
        <v>224</v>
      </c>
      <c r="BT15" s="505">
        <f>BM15-BS15</f>
        <v>3713.6525679885494</v>
      </c>
      <c r="BU15" s="57">
        <v>126.408</v>
      </c>
      <c r="BV15" s="350">
        <v>118.77</v>
      </c>
      <c r="BW15" s="55">
        <f>BU15/BV15</f>
        <v>1.0643091689820663</v>
      </c>
      <c r="BX15" s="55">
        <f>BT15/L15</f>
        <v>39.091079663037362</v>
      </c>
      <c r="BY15" s="55">
        <f>BX15*BW15</f>
        <v>41.604994510779051</v>
      </c>
      <c r="BZ15" s="55">
        <v>42.86</v>
      </c>
      <c r="CA15" s="55">
        <v>42.86</v>
      </c>
      <c r="CB15" s="55">
        <v>42.86</v>
      </c>
      <c r="CC15" s="55">
        <v>42.86</v>
      </c>
      <c r="CD15" s="55">
        <v>42.86</v>
      </c>
      <c r="CE15" s="55">
        <v>42.86</v>
      </c>
      <c r="CF15" s="55">
        <v>42.86</v>
      </c>
      <c r="CG15" s="505">
        <f>SUM(BZ15:CF15)</f>
        <v>300.02000000000004</v>
      </c>
      <c r="CH15" s="506">
        <f>BT15-CG15</f>
        <v>3413.6325679885495</v>
      </c>
      <c r="CI15" s="55">
        <v>42.86</v>
      </c>
      <c r="CJ15" s="55">
        <v>42.86</v>
      </c>
      <c r="CK15" s="55">
        <v>42.86</v>
      </c>
      <c r="CL15" s="55">
        <v>42.86</v>
      </c>
      <c r="CM15" s="55">
        <v>42.86</v>
      </c>
      <c r="CN15" s="505">
        <f>SUM(CI15:CM15)</f>
        <v>214.3</v>
      </c>
      <c r="CO15" s="679">
        <f>CH15-CN15</f>
        <v>3199.3325679885493</v>
      </c>
      <c r="CP15" s="956">
        <v>132.28200000000001</v>
      </c>
      <c r="CQ15" s="350">
        <v>118.77</v>
      </c>
      <c r="CR15" s="957">
        <f>CP15/CQ15</f>
        <v>1.1137661025511494</v>
      </c>
      <c r="CS15" s="511">
        <f>CO15/L15</f>
        <v>33.677184926195253</v>
      </c>
      <c r="CT15" s="511">
        <f>CS15*CR15</f>
        <v>37.508507000142806</v>
      </c>
      <c r="CU15" s="511">
        <v>37.51</v>
      </c>
      <c r="CV15" s="511">
        <v>37.51</v>
      </c>
      <c r="CW15" s="511">
        <v>37.51</v>
      </c>
      <c r="CX15" s="511">
        <v>37.51</v>
      </c>
      <c r="CY15" s="511">
        <v>37.51</v>
      </c>
      <c r="CZ15" s="511">
        <v>37.51</v>
      </c>
      <c r="DA15" s="511">
        <v>37.51</v>
      </c>
      <c r="DB15" s="511">
        <v>37.51</v>
      </c>
      <c r="DC15" s="511">
        <v>37.51</v>
      </c>
      <c r="DD15" s="511">
        <v>37.51</v>
      </c>
      <c r="DE15" s="511">
        <v>37.51</v>
      </c>
      <c r="DF15" s="511">
        <v>37.51</v>
      </c>
      <c r="DG15" s="511">
        <v>37.51</v>
      </c>
      <c r="DH15" s="511">
        <v>37.51</v>
      </c>
      <c r="DI15" s="511">
        <v>37.51</v>
      </c>
      <c r="DJ15" s="511">
        <v>37.51</v>
      </c>
      <c r="DK15" s="511">
        <v>37.51</v>
      </c>
      <c r="DL15" s="511">
        <v>37.51</v>
      </c>
      <c r="DM15" s="511">
        <f>SUM(CU15:DL15)</f>
        <v>675.18</v>
      </c>
      <c r="DN15" s="960">
        <f>SUM(CO15-DM15)</f>
        <v>2524.1525679885494</v>
      </c>
    </row>
    <row r="16" spans="1:124" ht="15" x14ac:dyDescent="0.2">
      <c r="BG16" s="507">
        <f>(BG15*3)</f>
        <v>134.398074008588</v>
      </c>
      <c r="BH16" s="290">
        <f>SUM(BH14:BH15)</f>
        <v>44.799358002862668</v>
      </c>
      <c r="BI16" s="290">
        <f t="shared" ref="BI16:BR16" si="1">SUM(BI14:BI15)</f>
        <v>44.8</v>
      </c>
      <c r="BJ16" s="290">
        <f t="shared" si="1"/>
        <v>44.8</v>
      </c>
      <c r="BK16" s="290">
        <f t="shared" si="1"/>
        <v>44.8</v>
      </c>
      <c r="BL16" s="290">
        <f t="shared" si="1"/>
        <v>313.59743201145068</v>
      </c>
      <c r="BM16" s="290">
        <f t="shared" si="1"/>
        <v>3937.6525679885494</v>
      </c>
      <c r="BN16" s="290">
        <f t="shared" si="1"/>
        <v>44.8</v>
      </c>
      <c r="BO16" s="290">
        <f t="shared" si="1"/>
        <v>44.8</v>
      </c>
      <c r="BP16" s="290">
        <f t="shared" si="1"/>
        <v>44.8</v>
      </c>
      <c r="BQ16" s="290">
        <f>SUM(BQ14:BQ15)</f>
        <v>44.8</v>
      </c>
      <c r="BR16" s="290">
        <f t="shared" si="1"/>
        <v>44.8</v>
      </c>
      <c r="BS16" s="290"/>
      <c r="BT16" s="290">
        <f>SUM(BT13:BT15)</f>
        <v>3713.6525679885494</v>
      </c>
      <c r="BY16" s="13"/>
      <c r="BZ16" s="13">
        <f>SUM(BZ13:BZ15)</f>
        <v>42.86</v>
      </c>
      <c r="CA16" s="13">
        <f>SUM(CA13:CA15)</f>
        <v>42.86</v>
      </c>
      <c r="CB16" s="13">
        <f>SUM(CB13:CB15)</f>
        <v>42.86</v>
      </c>
      <c r="CC16" s="290">
        <f t="shared" ref="CC16:CN16" si="2">SUM(CC14:CC15)</f>
        <v>42.86</v>
      </c>
      <c r="CD16" s="290">
        <f>SUM(CD14:CD15)</f>
        <v>42.86</v>
      </c>
      <c r="CE16" s="524">
        <f t="shared" si="2"/>
        <v>42.86</v>
      </c>
      <c r="CF16" s="524">
        <f t="shared" si="2"/>
        <v>42.86</v>
      </c>
      <c r="CG16" s="290">
        <f t="shared" si="2"/>
        <v>300.02000000000004</v>
      </c>
      <c r="CH16" s="290">
        <f t="shared" si="2"/>
        <v>3413.6325679885495</v>
      </c>
      <c r="CI16" s="524">
        <f t="shared" si="2"/>
        <v>42.86</v>
      </c>
      <c r="CJ16" s="524">
        <f t="shared" si="2"/>
        <v>42.86</v>
      </c>
      <c r="CK16" s="524">
        <f t="shared" si="2"/>
        <v>42.86</v>
      </c>
      <c r="CL16" s="524">
        <f t="shared" si="2"/>
        <v>42.86</v>
      </c>
      <c r="CM16" s="524">
        <f t="shared" si="2"/>
        <v>42.86</v>
      </c>
      <c r="CN16" s="524">
        <f t="shared" si="2"/>
        <v>214.3</v>
      </c>
      <c r="CO16" s="993">
        <f>CH16-CN16</f>
        <v>3199.3325679885493</v>
      </c>
      <c r="CP16" s="958"/>
      <c r="CQ16" s="992"/>
      <c r="CR16" s="992"/>
      <c r="CS16" s="958"/>
      <c r="CT16" s="958"/>
      <c r="CU16" s="958">
        <f t="shared" ref="CU16:DA16" si="3">SUM(CU13:CU15)</f>
        <v>37.51</v>
      </c>
      <c r="CV16" s="958">
        <f t="shared" si="3"/>
        <v>37.51</v>
      </c>
      <c r="CW16" s="958">
        <f t="shared" si="3"/>
        <v>37.51</v>
      </c>
      <c r="CX16" s="958">
        <f t="shared" si="3"/>
        <v>37.51</v>
      </c>
      <c r="CY16" s="958">
        <f t="shared" si="3"/>
        <v>37.51</v>
      </c>
      <c r="CZ16" s="958">
        <f t="shared" si="3"/>
        <v>37.51</v>
      </c>
      <c r="DA16" s="958">
        <f t="shared" si="3"/>
        <v>37.51</v>
      </c>
      <c r="DB16" s="958">
        <f t="shared" ref="DB16:DC16" si="4">SUM(DB13:DB15)</f>
        <v>37.51</v>
      </c>
      <c r="DC16" s="958">
        <f t="shared" si="4"/>
        <v>37.51</v>
      </c>
      <c r="DD16" s="958">
        <f t="shared" ref="DD16:DE16" si="5">SUM(DD13:DD15)</f>
        <v>37.51</v>
      </c>
      <c r="DE16" s="958">
        <f t="shared" si="5"/>
        <v>37.51</v>
      </c>
      <c r="DF16" s="958">
        <f t="shared" ref="DF16:DL16" si="6">SUM(DF13:DF15)</f>
        <v>37.51</v>
      </c>
      <c r="DG16" s="958">
        <f t="shared" ref="DG16:DK16" si="7">SUM(DG13:DG15)</f>
        <v>37.51</v>
      </c>
      <c r="DH16" s="958">
        <f t="shared" si="7"/>
        <v>37.51</v>
      </c>
      <c r="DI16" s="958">
        <f t="shared" si="7"/>
        <v>37.51</v>
      </c>
      <c r="DJ16" s="958">
        <f t="shared" si="7"/>
        <v>37.51</v>
      </c>
      <c r="DK16" s="958">
        <f t="shared" si="7"/>
        <v>37.51</v>
      </c>
      <c r="DL16" s="958">
        <f t="shared" si="6"/>
        <v>37.51</v>
      </c>
      <c r="DM16" s="958">
        <f>SUM(DM13:DM15)</f>
        <v>675.18</v>
      </c>
      <c r="DN16" s="1030">
        <f>CO16-DM16</f>
        <v>2524.1525679885494</v>
      </c>
      <c r="DO16" s="434"/>
      <c r="DP16" s="434"/>
      <c r="DQ16" s="434"/>
      <c r="DR16" s="434"/>
      <c r="DS16" s="434"/>
      <c r="DT16" s="434"/>
    </row>
    <row r="17" spans="65:124" x14ac:dyDescent="0.2">
      <c r="BM17" s="289">
        <f>BM16-BN16-BO16</f>
        <v>3848.0525679885491</v>
      </c>
      <c r="CC17" s="13"/>
      <c r="CI17" s="989"/>
      <c r="CJ17" s="971"/>
      <c r="CK17" s="971"/>
      <c r="CL17" s="971"/>
      <c r="CM17" s="971"/>
      <c r="CN17" s="971"/>
      <c r="CO17" s="990"/>
      <c r="CP17" s="991"/>
      <c r="CQ17" s="992"/>
      <c r="CR17" s="992"/>
      <c r="CS17" s="958"/>
      <c r="CT17" s="958"/>
      <c r="CU17" s="958"/>
      <c r="CV17" s="958"/>
      <c r="CW17" s="958"/>
      <c r="CX17" s="958"/>
      <c r="CY17" s="958"/>
      <c r="CZ17" s="958"/>
      <c r="DA17" s="958"/>
      <c r="DB17" s="958"/>
      <c r="DC17" s="958"/>
      <c r="DD17" s="958"/>
      <c r="DE17" s="958"/>
      <c r="DF17" s="958"/>
      <c r="DG17" s="958"/>
      <c r="DH17" s="958"/>
      <c r="DI17" s="958"/>
      <c r="DJ17" s="958"/>
      <c r="DK17" s="958"/>
      <c r="DL17" s="958"/>
      <c r="DM17" s="958"/>
      <c r="DN17" s="958"/>
      <c r="DO17" s="434"/>
      <c r="DP17" s="434"/>
      <c r="DQ17" s="434"/>
      <c r="DR17" s="434"/>
      <c r="DS17" s="434"/>
      <c r="DT17" s="434"/>
    </row>
    <row r="18" spans="65:124" x14ac:dyDescent="0.2">
      <c r="BO18" s="12" t="s">
        <v>1100</v>
      </c>
      <c r="CH18" s="289">
        <f>BT16-CG16</f>
        <v>3413.6325679885495</v>
      </c>
      <c r="CI18" s="989"/>
      <c r="CJ18" s="971"/>
      <c r="CK18" s="971"/>
      <c r="CL18" s="971"/>
      <c r="CM18" s="971"/>
      <c r="CN18" s="971"/>
      <c r="CO18" s="993"/>
      <c r="CP18" s="959"/>
      <c r="CQ18" s="992"/>
      <c r="CR18" s="992"/>
      <c r="CS18" s="958"/>
      <c r="CT18" s="958"/>
      <c r="CU18" s="958"/>
      <c r="CV18" s="958"/>
      <c r="CW18" s="958"/>
      <c r="CX18" s="958"/>
      <c r="CY18" s="958"/>
      <c r="CZ18" s="958"/>
      <c r="DA18" s="958"/>
      <c r="DB18" s="958"/>
      <c r="DC18" s="958"/>
      <c r="DD18" s="958"/>
      <c r="DE18" s="958"/>
      <c r="DF18" s="958"/>
      <c r="DG18" s="958"/>
      <c r="DH18" s="958"/>
      <c r="DI18" s="958"/>
      <c r="DJ18" s="958"/>
      <c r="DK18" s="958"/>
      <c r="DL18" s="958"/>
      <c r="DM18" s="958"/>
      <c r="DN18" s="958"/>
      <c r="DO18" s="434"/>
      <c r="DP18" s="434"/>
      <c r="DQ18" s="434"/>
      <c r="DR18" s="434"/>
      <c r="DS18" s="434"/>
      <c r="DT18" s="434"/>
    </row>
    <row r="19" spans="65:124" x14ac:dyDescent="0.2">
      <c r="CI19" s="989"/>
      <c r="CJ19" s="971"/>
      <c r="CK19" s="971"/>
      <c r="CL19" s="971"/>
      <c r="CM19" s="971"/>
      <c r="CN19" s="971"/>
      <c r="CO19" s="990"/>
      <c r="CP19" s="991"/>
      <c r="CQ19" s="992"/>
      <c r="CR19" s="992"/>
      <c r="CS19" s="958"/>
      <c r="CT19" s="958"/>
      <c r="CU19" s="958"/>
      <c r="CV19" s="958"/>
      <c r="CW19" s="958"/>
      <c r="CX19" s="958"/>
      <c r="CY19" s="958"/>
      <c r="CZ19" s="958"/>
      <c r="DA19" s="958"/>
      <c r="DB19" s="958"/>
      <c r="DC19" s="958"/>
      <c r="DD19" s="958"/>
      <c r="DE19" s="958"/>
      <c r="DF19" s="958"/>
      <c r="DG19" s="958"/>
      <c r="DH19" s="958"/>
      <c r="DI19" s="958"/>
      <c r="DJ19" s="958"/>
      <c r="DK19" s="958"/>
      <c r="DL19" s="958"/>
      <c r="DM19" s="958"/>
      <c r="DN19" s="958"/>
      <c r="DO19" s="434"/>
      <c r="DP19" s="434"/>
      <c r="DQ19" s="434"/>
      <c r="DR19" s="434"/>
      <c r="DS19" s="434"/>
      <c r="DT19" s="434"/>
    </row>
    <row r="20" spans="65:124" x14ac:dyDescent="0.2">
      <c r="CI20" s="984"/>
      <c r="CJ20" s="971"/>
      <c r="CK20" s="971"/>
      <c r="CL20" s="971"/>
      <c r="CM20" s="971"/>
      <c r="CN20" s="971"/>
      <c r="CO20" s="971"/>
      <c r="CP20" s="958"/>
      <c r="CQ20" s="958"/>
      <c r="CR20" s="958"/>
      <c r="CS20" s="958"/>
      <c r="CT20" s="958"/>
      <c r="CU20" s="958"/>
      <c r="CV20" s="958"/>
      <c r="CW20" s="958"/>
      <c r="CX20" s="958"/>
      <c r="CY20" s="958"/>
      <c r="CZ20" s="958"/>
      <c r="DA20" s="958"/>
      <c r="DB20" s="958"/>
      <c r="DC20" s="958"/>
      <c r="DD20" s="958"/>
      <c r="DE20" s="958"/>
      <c r="DF20" s="958"/>
      <c r="DG20" s="958"/>
      <c r="DH20" s="958"/>
      <c r="DI20" s="958"/>
      <c r="DJ20" s="958"/>
      <c r="DK20" s="958"/>
      <c r="DL20" s="958"/>
      <c r="DM20" s="958"/>
      <c r="DN20" s="958"/>
      <c r="DO20" s="434"/>
      <c r="DP20" s="434"/>
      <c r="DQ20" s="434"/>
      <c r="DR20" s="434"/>
      <c r="DS20" s="434"/>
      <c r="DT20" s="434"/>
    </row>
    <row r="21" spans="65:124" x14ac:dyDescent="0.2">
      <c r="CI21" s="434"/>
      <c r="CJ21" s="434"/>
      <c r="CK21" s="434"/>
      <c r="CL21" s="434"/>
      <c r="CM21" s="434"/>
      <c r="CN21" s="434"/>
      <c r="CO21" s="434"/>
      <c r="CP21" s="434"/>
      <c r="CQ21" s="434"/>
      <c r="CR21" s="434"/>
      <c r="CS21" s="434"/>
      <c r="CT21" s="434"/>
      <c r="CU21" s="434"/>
      <c r="CV21" s="434"/>
      <c r="CW21" s="434"/>
      <c r="CX21" s="434"/>
      <c r="CY21" s="434"/>
      <c r="CZ21" s="434"/>
      <c r="DA21" s="434"/>
      <c r="DB21" s="434"/>
      <c r="DC21" s="434"/>
      <c r="DD21" s="434"/>
      <c r="DE21" s="434"/>
      <c r="DF21" s="434"/>
      <c r="DG21" s="434"/>
      <c r="DH21" s="434"/>
      <c r="DI21" s="434"/>
      <c r="DJ21" s="434"/>
      <c r="DK21" s="434"/>
      <c r="DL21" s="434"/>
      <c r="DM21" s="434"/>
      <c r="DN21" s="434"/>
      <c r="DO21" s="434"/>
      <c r="DP21" s="434"/>
      <c r="DQ21" s="434"/>
      <c r="DR21" s="434"/>
      <c r="DS21" s="434"/>
      <c r="DT21" s="434"/>
    </row>
    <row r="22" spans="65:124" x14ac:dyDescent="0.2">
      <c r="CI22" s="434"/>
      <c r="CJ22" s="434"/>
      <c r="CK22" s="434"/>
      <c r="CL22" s="434"/>
      <c r="CM22" s="434"/>
      <c r="CN22" s="434"/>
      <c r="CO22" s="434"/>
      <c r="CP22" s="434"/>
      <c r="CQ22" s="434"/>
      <c r="CR22" s="434"/>
      <c r="CS22" s="434"/>
      <c r="CT22" s="434"/>
      <c r="CU22" s="434"/>
      <c r="CV22" s="434"/>
      <c r="CW22" s="434"/>
      <c r="CX22" s="434"/>
      <c r="CY22" s="434"/>
      <c r="CZ22" s="434"/>
      <c r="DA22" s="434"/>
      <c r="DB22" s="434"/>
      <c r="DC22" s="434"/>
      <c r="DD22" s="434"/>
      <c r="DE22" s="434"/>
      <c r="DF22" s="434"/>
      <c r="DG22" s="434"/>
      <c r="DH22" s="434"/>
      <c r="DI22" s="434"/>
      <c r="DJ22" s="434"/>
      <c r="DK22" s="434"/>
      <c r="DL22" s="434"/>
      <c r="DM22" s="434"/>
      <c r="DN22" s="434"/>
      <c r="DO22" s="434"/>
      <c r="DP22" s="434"/>
      <c r="DQ22" s="434"/>
      <c r="DR22" s="434"/>
      <c r="DS22" s="434"/>
      <c r="DT22" s="434"/>
    </row>
  </sheetData>
  <mergeCells count="39">
    <mergeCell ref="D10:P10"/>
    <mergeCell ref="R10:T10"/>
    <mergeCell ref="U10:AP10"/>
    <mergeCell ref="H11:H12"/>
    <mergeCell ref="I11:I12"/>
    <mergeCell ref="X11:X12"/>
    <mergeCell ref="J11:J12"/>
    <mergeCell ref="K11:K12"/>
    <mergeCell ref="L11:L12"/>
    <mergeCell ref="M11:M12"/>
    <mergeCell ref="O11:O12"/>
    <mergeCell ref="Q11:Q12"/>
    <mergeCell ref="R11:R12"/>
    <mergeCell ref="S11:S12"/>
    <mergeCell ref="A11:A12"/>
    <mergeCell ref="B11:B12"/>
    <mergeCell ref="E11:E12"/>
    <mergeCell ref="F11:F12"/>
    <mergeCell ref="G11:G12"/>
    <mergeCell ref="BX11:BX12"/>
    <mergeCell ref="BY11:BY12"/>
    <mergeCell ref="T11:T12"/>
    <mergeCell ref="U11:U12"/>
    <mergeCell ref="AT11:AT12"/>
    <mergeCell ref="V11:V12"/>
    <mergeCell ref="Y11:Y12"/>
    <mergeCell ref="AC11:AC12"/>
    <mergeCell ref="AD11:AD12"/>
    <mergeCell ref="AS11:AS12"/>
    <mergeCell ref="BC11:BC12"/>
    <mergeCell ref="BD11:BD12"/>
    <mergeCell ref="BS11:BS12"/>
    <mergeCell ref="BT11:BT12"/>
    <mergeCell ref="DN11:DN12"/>
    <mergeCell ref="CN11:CN12"/>
    <mergeCell ref="CO11:CO12"/>
    <mergeCell ref="CS11:CS12"/>
    <mergeCell ref="CT11:CT12"/>
    <mergeCell ref="DM11:DM12"/>
  </mergeCells>
  <pageMargins left="0.39370078740157483" right="0.19685039370078741" top="0.74803149606299213" bottom="0.74803149606299213" header="0.31496062992125984" footer="0.31496062992125984"/>
  <pageSetup scale="45" orientation="landscape" r:id="rId1"/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GS40"/>
  <sheetViews>
    <sheetView topLeftCell="B10" zoomScaleNormal="100" workbookViewId="0">
      <selection activeCell="EM35" sqref="EM35"/>
    </sheetView>
  </sheetViews>
  <sheetFormatPr baseColWidth="10" defaultRowHeight="12.75" x14ac:dyDescent="0.2"/>
  <cols>
    <col min="1" max="1" width="18.42578125" customWidth="1"/>
    <col min="2" max="2" width="22.5703125" customWidth="1"/>
    <col min="3" max="3" width="13" customWidth="1"/>
    <col min="4" max="4" width="6.28515625" style="18" hidden="1" customWidth="1"/>
    <col min="5" max="5" width="7.42578125" style="18" hidden="1" customWidth="1"/>
    <col min="6" max="6" width="9.7109375" hidden="1" customWidth="1"/>
    <col min="7" max="7" width="6.85546875" hidden="1" customWidth="1"/>
    <col min="8" max="9" width="8.5703125" hidden="1" customWidth="1"/>
    <col min="10" max="10" width="7.42578125" hidden="1" customWidth="1"/>
    <col min="11" max="11" width="8.5703125" hidden="1" customWidth="1"/>
    <col min="12" max="12" width="7.5703125" hidden="1" customWidth="1"/>
    <col min="13" max="14" width="8.5703125" hidden="1" customWidth="1"/>
    <col min="15" max="15" width="8.42578125" hidden="1" customWidth="1"/>
    <col min="16" max="16" width="8.5703125" hidden="1" customWidth="1"/>
    <col min="17" max="17" width="11" hidden="1" customWidth="1"/>
    <col min="18" max="18" width="9" style="19" hidden="1" customWidth="1"/>
    <col min="19" max="19" width="9.28515625" style="19" hidden="1" customWidth="1"/>
    <col min="20" max="21" width="8.42578125" style="12" hidden="1" customWidth="1"/>
    <col min="22" max="22" width="6.85546875" style="104" hidden="1" customWidth="1"/>
    <col min="23" max="23" width="8.7109375" hidden="1" customWidth="1"/>
    <col min="24" max="24" width="8" hidden="1" customWidth="1"/>
    <col min="25" max="25" width="8" style="77" hidden="1" customWidth="1"/>
    <col min="26" max="26" width="6.5703125" hidden="1" customWidth="1"/>
    <col min="27" max="27" width="7.140625" hidden="1" customWidth="1"/>
    <col min="28" max="28" width="7.42578125" hidden="1" customWidth="1"/>
    <col min="29" max="33" width="7.7109375" hidden="1" customWidth="1"/>
    <col min="34" max="34" width="11.28515625" hidden="1" customWidth="1"/>
    <col min="35" max="36" width="7.7109375" hidden="1" customWidth="1"/>
    <col min="37" max="37" width="9.140625" hidden="1" customWidth="1"/>
    <col min="38" max="39" width="7.7109375" hidden="1" customWidth="1"/>
    <col min="40" max="40" width="9.140625" hidden="1" customWidth="1"/>
    <col min="41" max="41" width="10.85546875" hidden="1" customWidth="1"/>
    <col min="42" max="42" width="8.7109375" style="69" hidden="1" customWidth="1"/>
    <col min="43" max="43" width="7.7109375" style="69" hidden="1" customWidth="1"/>
    <col min="44" max="44" width="7.28515625" style="69" hidden="1" customWidth="1"/>
    <col min="45" max="45" width="8.42578125" style="16" hidden="1" customWidth="1"/>
    <col min="46" max="46" width="10" style="16" hidden="1" customWidth="1"/>
    <col min="47" max="47" width="11.42578125" style="16" hidden="1" customWidth="1"/>
    <col min="48" max="48" width="11.42578125" hidden="1" customWidth="1"/>
    <col min="49" max="49" width="10.42578125" hidden="1" customWidth="1"/>
    <col min="50" max="50" width="8" hidden="1" customWidth="1"/>
    <col min="51" max="51" width="8" style="77" hidden="1" customWidth="1"/>
    <col min="52" max="52" width="6.5703125" hidden="1" customWidth="1"/>
    <col min="53" max="53" width="8.140625" hidden="1" customWidth="1"/>
    <col min="54" max="54" width="8.5703125" hidden="1" customWidth="1"/>
    <col min="55" max="61" width="9" hidden="1" customWidth="1"/>
    <col min="62" max="62" width="9.28515625" hidden="1" customWidth="1"/>
    <col min="63" max="63" width="9.28515625" style="436" hidden="1" customWidth="1"/>
    <col min="64" max="64" width="10.5703125" style="16" hidden="1" customWidth="1"/>
    <col min="65" max="65" width="10" style="16" hidden="1" customWidth="1"/>
    <col min="66" max="66" width="11.42578125" style="16" hidden="1" customWidth="1"/>
    <col min="67" max="67" width="11.42578125" hidden="1" customWidth="1"/>
    <col min="68" max="68" width="10.42578125" hidden="1" customWidth="1"/>
    <col min="69" max="69" width="8" hidden="1" customWidth="1"/>
    <col min="70" max="70" width="8" style="77" hidden="1" customWidth="1"/>
    <col min="71" max="71" width="6.5703125" hidden="1" customWidth="1"/>
    <col min="72" max="73" width="12.42578125" hidden="1" customWidth="1"/>
    <col min="74" max="74" width="6" style="18" customWidth="1"/>
    <col min="75" max="75" width="7.42578125" style="18" customWidth="1"/>
    <col min="76" max="76" width="9.7109375" customWidth="1"/>
    <col min="77" max="77" width="6.85546875" customWidth="1"/>
    <col min="78" max="79" width="8.5703125" hidden="1" customWidth="1"/>
    <col min="80" max="80" width="7.42578125" hidden="1" customWidth="1"/>
    <col min="81" max="81" width="8.5703125" hidden="1" customWidth="1"/>
    <col min="82" max="82" width="7.5703125" customWidth="1"/>
    <col min="83" max="84" width="8.5703125" hidden="1" customWidth="1"/>
    <col min="85" max="85" width="8.42578125" hidden="1" customWidth="1"/>
    <col min="86" max="86" width="8.5703125" hidden="1" customWidth="1"/>
    <col min="87" max="87" width="11" customWidth="1"/>
    <col min="88" max="88" width="9" style="19" customWidth="1"/>
    <col min="89" max="89" width="9.28515625" style="19" customWidth="1"/>
    <col min="90" max="90" width="8.42578125" style="12" customWidth="1"/>
    <col min="91" max="91" width="10" hidden="1" customWidth="1"/>
    <col min="92" max="92" width="8" hidden="1" customWidth="1"/>
    <col min="93" max="93" width="8" style="77" hidden="1" customWidth="1"/>
    <col min="94" max="94" width="6.5703125" hidden="1" customWidth="1"/>
    <col min="95" max="95" width="9" hidden="1" customWidth="1"/>
    <col min="96" max="96" width="8.5703125" hidden="1" customWidth="1"/>
    <col min="97" max="103" width="9" hidden="1" customWidth="1"/>
    <col min="104" max="104" width="8.42578125" hidden="1" customWidth="1"/>
    <col min="105" max="105" width="10.5703125" style="16" hidden="1" customWidth="1"/>
    <col min="106" max="106" width="10" style="16" hidden="1" customWidth="1"/>
    <col min="107" max="107" width="10.42578125" style="16" hidden="1" customWidth="1"/>
    <col min="108" max="108" width="9.5703125" hidden="1" customWidth="1"/>
    <col min="109" max="109" width="10.42578125" hidden="1" customWidth="1"/>
    <col min="110" max="110" width="10.140625" hidden="1" customWidth="1"/>
    <col min="111" max="111" width="10.5703125" hidden="1" customWidth="1"/>
    <col min="112" max="112" width="10.140625" hidden="1" customWidth="1"/>
    <col min="113" max="113" width="9.42578125" style="436" hidden="1" customWidth="1"/>
    <col min="114" max="114" width="8.7109375" hidden="1" customWidth="1"/>
    <col min="115" max="115" width="9.140625" hidden="1" customWidth="1"/>
    <col min="116" max="118" width="11.42578125" hidden="1" customWidth="1"/>
    <col min="119" max="119" width="8.7109375" hidden="1" customWidth="1"/>
    <col min="121" max="125" width="11.42578125" customWidth="1"/>
    <col min="126" max="142" width="11.42578125" hidden="1" customWidth="1"/>
    <col min="143" max="145" width="11.42578125" customWidth="1"/>
  </cols>
  <sheetData>
    <row r="1" spans="1:201" x14ac:dyDescent="0.2">
      <c r="A1" s="548"/>
      <c r="B1" s="549" t="s">
        <v>27</v>
      </c>
      <c r="C1" s="548"/>
      <c r="D1" s="550"/>
      <c r="E1" s="550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51"/>
      <c r="S1" s="551"/>
      <c r="T1" s="548"/>
      <c r="U1" s="548"/>
      <c r="V1" s="552"/>
      <c r="W1" s="553"/>
      <c r="X1" s="553"/>
      <c r="Y1" s="554"/>
      <c r="Z1" s="553"/>
      <c r="AA1" s="553"/>
      <c r="AB1" s="553"/>
      <c r="AC1" s="553"/>
      <c r="AD1" s="548"/>
      <c r="AE1" s="548"/>
      <c r="AF1" s="548"/>
      <c r="AG1" s="548"/>
      <c r="AH1" s="548"/>
      <c r="AI1" s="548"/>
      <c r="AJ1" s="548"/>
      <c r="AK1" s="548"/>
      <c r="AL1" s="548"/>
      <c r="AM1" s="548"/>
      <c r="AN1" s="553" t="s">
        <v>310</v>
      </c>
      <c r="AO1" s="548"/>
      <c r="AP1" s="555"/>
      <c r="AQ1" s="555"/>
      <c r="AR1" s="555"/>
      <c r="AX1" s="541"/>
      <c r="AY1" s="542"/>
      <c r="AZ1" s="541"/>
      <c r="BA1" s="541"/>
      <c r="BB1" s="541"/>
      <c r="BC1" s="16"/>
      <c r="BQ1" s="541"/>
      <c r="BR1" s="542"/>
      <c r="BS1" s="541"/>
      <c r="BT1" s="541"/>
      <c r="BU1" s="541"/>
      <c r="BV1" s="550"/>
      <c r="BW1" s="550"/>
      <c r="BX1" s="548"/>
      <c r="BY1" s="548"/>
      <c r="BZ1" s="548"/>
      <c r="CA1" s="548"/>
      <c r="CB1" s="548"/>
      <c r="CC1" s="548"/>
      <c r="CD1" s="548"/>
      <c r="CE1" s="548"/>
      <c r="CF1" s="548"/>
      <c r="CG1" s="548"/>
      <c r="CH1" s="548"/>
      <c r="CI1" s="548"/>
      <c r="CJ1" s="551"/>
      <c r="CK1" s="551"/>
      <c r="CL1" s="548"/>
      <c r="CN1" s="541"/>
      <c r="CO1" s="542"/>
      <c r="CP1" s="541"/>
      <c r="CQ1" s="541"/>
      <c r="CR1" s="541"/>
      <c r="CS1" s="16"/>
    </row>
    <row r="2" spans="1:201" x14ac:dyDescent="0.2">
      <c r="A2" s="548"/>
      <c r="B2" s="549" t="s">
        <v>1273</v>
      </c>
      <c r="C2" s="548"/>
      <c r="D2" s="550"/>
      <c r="E2" s="550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51"/>
      <c r="S2" s="551"/>
      <c r="T2" s="548"/>
      <c r="U2" s="548"/>
      <c r="V2" s="552"/>
      <c r="W2" s="553"/>
      <c r="X2" s="553"/>
      <c r="Y2" s="554"/>
      <c r="Z2" s="553"/>
      <c r="AA2" s="553"/>
      <c r="AB2" s="553"/>
      <c r="AC2" s="553"/>
      <c r="AD2" s="548"/>
      <c r="AE2" s="548"/>
      <c r="AF2" s="548"/>
      <c r="AG2" s="548"/>
      <c r="AH2" s="548"/>
      <c r="AI2" s="548"/>
      <c r="AJ2" s="548"/>
      <c r="AK2" s="548"/>
      <c r="AL2" s="548"/>
      <c r="AM2" s="548"/>
      <c r="AN2" s="548"/>
      <c r="AO2" s="548"/>
      <c r="AP2" s="555"/>
      <c r="AQ2" s="555"/>
      <c r="AR2" s="555"/>
      <c r="AX2" s="541"/>
      <c r="AY2" s="542"/>
      <c r="AZ2" s="541"/>
      <c r="BA2" s="541"/>
      <c r="BB2" s="541"/>
      <c r="BC2" s="16"/>
      <c r="BQ2" s="541"/>
      <c r="BR2" s="542"/>
      <c r="BS2" s="541"/>
      <c r="BT2" s="541"/>
      <c r="BU2" s="541"/>
      <c r="BV2" s="550"/>
      <c r="BW2" s="550"/>
      <c r="BX2" s="548"/>
      <c r="BY2" s="548"/>
      <c r="BZ2" s="548"/>
      <c r="CA2" s="548"/>
      <c r="CB2" s="548"/>
      <c r="CC2" s="548"/>
      <c r="CD2" s="548"/>
      <c r="CE2" s="548"/>
      <c r="CF2" s="548"/>
      <c r="CG2" s="548"/>
      <c r="CH2" s="548"/>
      <c r="CI2" s="548"/>
      <c r="CJ2" s="551"/>
      <c r="CK2" s="551"/>
      <c r="CL2" s="548"/>
      <c r="CN2" s="541"/>
      <c r="CO2" s="542"/>
      <c r="CP2" s="541"/>
      <c r="CQ2" s="541"/>
      <c r="CR2" s="541"/>
      <c r="CS2" s="16"/>
    </row>
    <row r="3" spans="1:201" x14ac:dyDescent="0.2">
      <c r="A3" s="548"/>
      <c r="B3" s="556"/>
      <c r="C3" s="557"/>
      <c r="D3" s="558"/>
      <c r="E3" s="550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7"/>
      <c r="S3" s="557"/>
      <c r="T3" s="559"/>
      <c r="U3" s="559"/>
      <c r="V3" s="560"/>
      <c r="W3" s="553"/>
      <c r="X3" s="553"/>
      <c r="Y3" s="554"/>
      <c r="Z3" s="553"/>
      <c r="AA3" s="553"/>
      <c r="AB3" s="553"/>
      <c r="AC3" s="553"/>
      <c r="AD3" s="548"/>
      <c r="AE3" s="548"/>
      <c r="AF3" s="548"/>
      <c r="AG3" s="548"/>
      <c r="AH3" s="548"/>
      <c r="AI3" s="548"/>
      <c r="AJ3" s="548"/>
      <c r="AK3" s="548"/>
      <c r="AL3" s="548"/>
      <c r="AM3" s="548"/>
      <c r="AN3" s="548"/>
      <c r="AO3" s="548"/>
      <c r="AP3" s="555"/>
      <c r="AQ3" s="555"/>
      <c r="AR3" s="555"/>
      <c r="AX3" s="541"/>
      <c r="AY3" s="542"/>
      <c r="AZ3" s="541"/>
      <c r="BA3" s="541"/>
      <c r="BB3" s="541"/>
      <c r="BC3" s="16"/>
      <c r="BQ3" s="541"/>
      <c r="BR3" s="542"/>
      <c r="BS3" s="541"/>
      <c r="BT3" s="541"/>
      <c r="BU3" s="541"/>
      <c r="BV3" s="558"/>
      <c r="BW3" s="550"/>
      <c r="BX3" s="559"/>
      <c r="BY3" s="559"/>
      <c r="BZ3" s="559"/>
      <c r="CA3" s="559"/>
      <c r="CB3" s="559"/>
      <c r="CC3" s="559"/>
      <c r="CD3" s="559"/>
      <c r="CE3" s="559"/>
      <c r="CF3" s="559"/>
      <c r="CG3" s="559"/>
      <c r="CH3" s="559"/>
      <c r="CI3" s="559"/>
      <c r="CJ3" s="557"/>
      <c r="CK3" s="557"/>
      <c r="CL3" s="559"/>
      <c r="CN3" s="541"/>
      <c r="CO3" s="542"/>
      <c r="CP3" s="541"/>
      <c r="CQ3" s="541"/>
      <c r="CR3" s="541"/>
      <c r="CS3" s="16"/>
    </row>
    <row r="4" spans="1:201" x14ac:dyDescent="0.2">
      <c r="A4" s="548"/>
      <c r="B4" s="556" t="s">
        <v>309</v>
      </c>
      <c r="C4" s="557"/>
      <c r="D4" s="558"/>
      <c r="E4" s="550"/>
      <c r="F4" s="559"/>
      <c r="G4" s="559"/>
      <c r="H4" s="559"/>
      <c r="I4" s="559"/>
      <c r="J4" s="559"/>
      <c r="K4" s="559"/>
      <c r="L4" s="559"/>
      <c r="M4" s="559"/>
      <c r="N4" s="559"/>
      <c r="O4" s="559"/>
      <c r="P4" s="559"/>
      <c r="Q4" s="559"/>
      <c r="R4" s="557"/>
      <c r="S4" s="557"/>
      <c r="T4" s="559"/>
      <c r="U4" s="559"/>
      <c r="V4" s="560"/>
      <c r="W4" s="553"/>
      <c r="X4" s="553"/>
      <c r="Y4" s="554"/>
      <c r="Z4" s="553"/>
      <c r="AA4" s="553"/>
      <c r="AB4" s="553"/>
      <c r="AC4" s="553"/>
      <c r="AD4" s="548"/>
      <c r="AE4" s="548"/>
      <c r="AF4" s="548"/>
      <c r="AG4" s="548"/>
      <c r="AH4" s="548"/>
      <c r="AI4" s="548"/>
      <c r="AJ4" s="548"/>
      <c r="AK4" s="548"/>
      <c r="AL4" s="548"/>
      <c r="AM4" s="548"/>
      <c r="AN4" s="548"/>
      <c r="AO4" s="548"/>
      <c r="AP4" s="555"/>
      <c r="AQ4" s="555"/>
      <c r="AR4" s="555"/>
      <c r="AX4" s="541"/>
      <c r="AY4" s="542"/>
      <c r="AZ4" s="541"/>
      <c r="BA4" s="541"/>
      <c r="BB4" s="541"/>
      <c r="BC4" s="16"/>
      <c r="BQ4" s="541"/>
      <c r="BR4" s="542"/>
      <c r="BS4" s="541"/>
      <c r="BT4" s="541"/>
      <c r="BU4" s="541"/>
      <c r="BV4" s="558"/>
      <c r="BW4" s="550"/>
      <c r="BX4" s="559"/>
      <c r="BY4" s="559"/>
      <c r="BZ4" s="559"/>
      <c r="CA4" s="559"/>
      <c r="CB4" s="559"/>
      <c r="CC4" s="559"/>
      <c r="CD4" s="559"/>
      <c r="CE4" s="559"/>
      <c r="CF4" s="559"/>
      <c r="CG4" s="559"/>
      <c r="CH4" s="559"/>
      <c r="CI4" s="559"/>
      <c r="CJ4" s="557"/>
      <c r="CK4" s="557"/>
      <c r="CL4" s="559"/>
      <c r="CN4" s="541"/>
      <c r="CO4" s="542"/>
      <c r="CP4" s="541"/>
      <c r="CQ4" s="541"/>
      <c r="CR4" s="541"/>
      <c r="CS4" s="16"/>
    </row>
    <row r="5" spans="1:201" x14ac:dyDescent="0.2">
      <c r="A5" s="548"/>
      <c r="B5" s="561" t="s">
        <v>1030</v>
      </c>
      <c r="C5" s="548"/>
      <c r="D5" s="550"/>
      <c r="E5" s="550"/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  <c r="Q5" s="548"/>
      <c r="R5" s="551"/>
      <c r="S5" s="551"/>
      <c r="T5" s="548"/>
      <c r="U5" s="548"/>
      <c r="V5" s="552"/>
      <c r="W5" s="553"/>
      <c r="X5" s="553"/>
      <c r="Y5" s="554"/>
      <c r="Z5" s="553"/>
      <c r="AA5" s="553"/>
      <c r="AB5" s="553"/>
      <c r="AC5" s="553"/>
      <c r="AD5" s="548"/>
      <c r="AE5" s="548"/>
      <c r="AF5" s="548"/>
      <c r="AG5" s="548"/>
      <c r="AH5" s="548"/>
      <c r="AI5" s="548"/>
      <c r="AJ5" s="548"/>
      <c r="AK5" s="548"/>
      <c r="AL5" s="548"/>
      <c r="AM5" s="548"/>
      <c r="AN5" s="548"/>
      <c r="AO5" s="548"/>
      <c r="AP5" s="555"/>
      <c r="AQ5" s="555"/>
      <c r="AR5" s="555"/>
      <c r="AX5" s="541"/>
      <c r="AY5" s="542"/>
      <c r="AZ5" s="541"/>
      <c r="BA5" s="541"/>
      <c r="BB5" s="541"/>
      <c r="BC5" s="16"/>
      <c r="BQ5" s="541"/>
      <c r="BR5" s="542"/>
      <c r="BS5" s="541"/>
      <c r="BT5" s="541"/>
      <c r="BU5" s="541"/>
      <c r="BV5" s="550"/>
      <c r="BW5" s="550"/>
      <c r="BX5" s="548"/>
      <c r="BY5" s="548"/>
      <c r="BZ5" s="548"/>
      <c r="CA5" s="548"/>
      <c r="CB5" s="548"/>
      <c r="CC5" s="548"/>
      <c r="CD5" s="548"/>
      <c r="CE5" s="548"/>
      <c r="CF5" s="548"/>
      <c r="CG5" s="548"/>
      <c r="CH5" s="548"/>
      <c r="CI5" s="548"/>
      <c r="CJ5" s="551"/>
      <c r="CK5" s="551"/>
      <c r="CL5" s="548"/>
      <c r="CN5" s="541"/>
      <c r="CO5" s="542"/>
      <c r="CP5" s="541"/>
      <c r="CQ5" s="541"/>
      <c r="CR5" s="541"/>
      <c r="CS5" s="16"/>
    </row>
    <row r="6" spans="1:201" x14ac:dyDescent="0.2">
      <c r="A6" s="548"/>
      <c r="B6" s="556" t="s">
        <v>1272</v>
      </c>
      <c r="C6" s="548"/>
      <c r="D6" s="550"/>
      <c r="E6" s="550"/>
      <c r="F6" s="548"/>
      <c r="G6" s="548"/>
      <c r="H6" s="548"/>
      <c r="I6" s="548"/>
      <c r="J6" s="548"/>
      <c r="K6" s="548"/>
      <c r="L6" s="548"/>
      <c r="M6" s="548"/>
      <c r="N6" s="548"/>
      <c r="O6" s="548"/>
      <c r="P6" s="548"/>
      <c r="Q6" s="548"/>
      <c r="R6" s="551"/>
      <c r="S6" s="551"/>
      <c r="T6" s="548"/>
      <c r="U6" s="548"/>
      <c r="V6" s="552"/>
      <c r="W6" s="553"/>
      <c r="X6" s="553"/>
      <c r="Y6" s="554"/>
      <c r="Z6" s="553"/>
      <c r="AA6" s="553"/>
      <c r="AB6" s="553"/>
      <c r="AC6" s="553"/>
      <c r="AD6" s="548"/>
      <c r="AE6" s="548"/>
      <c r="AF6" s="548"/>
      <c r="AG6" s="548"/>
      <c r="AH6" s="548"/>
      <c r="AI6" s="548"/>
      <c r="AJ6" s="548"/>
      <c r="AK6" s="548"/>
      <c r="AL6" s="548"/>
      <c r="AM6" s="548"/>
      <c r="AN6" s="548"/>
      <c r="AO6" s="548"/>
      <c r="AP6" s="555"/>
      <c r="AQ6" s="555"/>
      <c r="AR6" s="555"/>
      <c r="AX6" s="541"/>
      <c r="AY6" s="542"/>
      <c r="AZ6" s="541"/>
      <c r="BA6" s="541"/>
      <c r="BB6" s="541"/>
      <c r="BC6" s="16"/>
      <c r="BQ6" s="541"/>
      <c r="BR6" s="542"/>
      <c r="BS6" s="541"/>
      <c r="BT6" s="541"/>
      <c r="BU6" s="541"/>
      <c r="BV6" s="550"/>
      <c r="BW6" s="550"/>
      <c r="BX6" s="548"/>
      <c r="BY6" s="548"/>
      <c r="BZ6" s="548"/>
      <c r="CA6" s="548"/>
      <c r="CB6" s="548"/>
      <c r="CC6" s="548"/>
      <c r="CD6" s="548"/>
      <c r="CE6" s="548"/>
      <c r="CF6" s="548"/>
      <c r="CG6" s="548"/>
      <c r="CH6" s="548"/>
      <c r="CI6" s="548"/>
      <c r="CJ6" s="551"/>
      <c r="CK6" s="551"/>
      <c r="CL6" s="548"/>
      <c r="CN6" s="541"/>
      <c r="CO6" s="542"/>
      <c r="CP6" s="541"/>
      <c r="CQ6" s="541"/>
      <c r="CR6" s="541"/>
      <c r="CS6" s="16"/>
    </row>
    <row r="7" spans="1:201" x14ac:dyDescent="0.2">
      <c r="A7" s="548"/>
      <c r="B7" s="548"/>
      <c r="C7" s="548"/>
      <c r="D7" s="550"/>
      <c r="E7" s="550"/>
      <c r="F7" s="548"/>
      <c r="G7" s="548"/>
      <c r="H7" s="548"/>
      <c r="I7" s="548"/>
      <c r="J7" s="548"/>
      <c r="K7" s="548"/>
      <c r="L7" s="548"/>
      <c r="M7" s="548"/>
      <c r="N7" s="548"/>
      <c r="O7" s="548"/>
      <c r="P7" s="548"/>
      <c r="Q7" s="548"/>
      <c r="R7" s="551"/>
      <c r="S7" s="551"/>
      <c r="T7" s="548"/>
      <c r="U7" s="548"/>
      <c r="V7" s="552"/>
      <c r="W7" s="553"/>
      <c r="X7" s="553"/>
      <c r="Y7" s="554"/>
      <c r="Z7" s="553"/>
      <c r="AA7" s="553"/>
      <c r="AB7" s="553"/>
      <c r="AC7" s="553"/>
      <c r="AD7" s="548"/>
      <c r="AE7" s="548"/>
      <c r="AF7" s="548"/>
      <c r="AG7" s="548"/>
      <c r="AH7" s="548"/>
      <c r="AI7" s="548"/>
      <c r="AJ7" s="548"/>
      <c r="AK7" s="548"/>
      <c r="AL7" s="548"/>
      <c r="AM7" s="548"/>
      <c r="AN7" s="548"/>
      <c r="AO7" s="548"/>
      <c r="AP7" s="555"/>
      <c r="AQ7" s="555"/>
      <c r="AR7" s="555"/>
      <c r="AX7" s="541"/>
      <c r="AY7" s="542"/>
      <c r="AZ7" s="541"/>
      <c r="BA7" s="541"/>
      <c r="BB7" s="541"/>
      <c r="BC7" s="16"/>
      <c r="BQ7" s="541"/>
      <c r="BR7" s="542"/>
      <c r="BS7" s="541"/>
      <c r="BT7" s="541"/>
      <c r="BU7" s="541"/>
      <c r="BV7" s="550"/>
      <c r="BW7" s="550"/>
      <c r="BX7" s="548"/>
      <c r="BY7" s="548"/>
      <c r="BZ7" s="548"/>
      <c r="CA7" s="548"/>
      <c r="CB7" s="548"/>
      <c r="CC7" s="548"/>
      <c r="CD7" s="548"/>
      <c r="CE7" s="548"/>
      <c r="CF7" s="548"/>
      <c r="CG7" s="548"/>
      <c r="CH7" s="548"/>
      <c r="CI7" s="548"/>
      <c r="CJ7" s="551"/>
      <c r="CK7" s="551"/>
      <c r="CL7" s="548"/>
      <c r="CN7" s="541"/>
      <c r="CO7" s="542"/>
      <c r="CP7" s="541"/>
      <c r="CQ7" s="541"/>
      <c r="CR7" s="541"/>
      <c r="CS7" s="16"/>
    </row>
    <row r="8" spans="1:201" s="16" customFormat="1" x14ac:dyDescent="0.2">
      <c r="D8" s="38"/>
      <c r="E8" s="38"/>
      <c r="R8" s="37"/>
      <c r="S8" s="37"/>
      <c r="T8" s="35"/>
      <c r="U8" s="35"/>
      <c r="V8" s="103"/>
      <c r="W8" s="39"/>
      <c r="X8" s="39"/>
      <c r="Y8" s="76"/>
      <c r="Z8" s="39"/>
      <c r="AA8" s="39"/>
      <c r="AB8" s="39"/>
      <c r="AC8" s="39"/>
      <c r="AP8" s="68"/>
      <c r="AQ8" s="68"/>
      <c r="AR8" s="68"/>
      <c r="AX8" s="39"/>
      <c r="AY8" s="76"/>
      <c r="AZ8" s="39"/>
      <c r="BA8" s="39"/>
      <c r="BB8" s="39"/>
      <c r="BK8" s="437"/>
      <c r="BQ8" s="39"/>
      <c r="BR8" s="76"/>
      <c r="BS8" s="39"/>
      <c r="BT8" s="39"/>
      <c r="BU8" s="39"/>
      <c r="BV8" s="38"/>
      <c r="BW8" s="38"/>
      <c r="CJ8" s="37"/>
      <c r="CK8" s="37"/>
      <c r="CL8" s="35"/>
      <c r="CN8" s="39"/>
      <c r="CO8" s="76"/>
      <c r="CP8" s="39"/>
      <c r="CQ8" s="39"/>
      <c r="CR8" s="39"/>
      <c r="DI8" s="437"/>
    </row>
    <row r="9" spans="1:201" s="16" customFormat="1" ht="20.25" customHeight="1" x14ac:dyDescent="0.2">
      <c r="D9" s="38"/>
      <c r="E9" s="38"/>
      <c r="R9" s="37"/>
      <c r="S9" s="37"/>
      <c r="T9" s="35"/>
      <c r="U9" s="35"/>
      <c r="V9" s="103"/>
      <c r="W9" s="39"/>
      <c r="X9" s="39"/>
      <c r="Y9" s="76"/>
      <c r="Z9" s="39"/>
      <c r="AA9" s="39"/>
      <c r="AB9" s="39"/>
      <c r="AC9" s="39"/>
      <c r="AP9" s="68"/>
      <c r="AQ9" s="68"/>
      <c r="AR9" s="68"/>
      <c r="AX9" s="39"/>
      <c r="AY9" s="76"/>
      <c r="AZ9" s="39"/>
      <c r="BA9" s="39"/>
      <c r="BB9" s="39"/>
      <c r="BK9" s="437"/>
      <c r="BQ9" s="39"/>
      <c r="BR9" s="76"/>
      <c r="BS9" s="39"/>
      <c r="BT9" s="39"/>
      <c r="BU9" s="39"/>
      <c r="BV9" s="38"/>
      <c r="BW9" s="38"/>
      <c r="CJ9" s="37"/>
      <c r="CK9" s="37"/>
      <c r="CL9" s="35"/>
      <c r="CN9" s="39"/>
      <c r="CO9" s="76"/>
      <c r="CP9" s="39"/>
      <c r="CQ9" s="39"/>
      <c r="CR9" s="39"/>
      <c r="DI9" s="437"/>
    </row>
    <row r="10" spans="1:201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1275" t="s">
        <v>450</v>
      </c>
      <c r="V10" s="1275"/>
      <c r="W10" s="1275"/>
      <c r="X10" s="1275"/>
      <c r="Y10" s="1275"/>
      <c r="Z10" s="1275"/>
      <c r="AA10" s="1275"/>
      <c r="AB10" s="1275"/>
      <c r="AC10" s="1275"/>
      <c r="AD10" s="1275"/>
      <c r="AE10" s="1275"/>
      <c r="AF10" s="1275"/>
      <c r="AG10" s="1275"/>
      <c r="AH10" s="1275"/>
      <c r="AI10" s="1275"/>
      <c r="AJ10" s="1275"/>
      <c r="AK10" s="1275"/>
      <c r="AL10" s="1275"/>
      <c r="AM10" s="1275"/>
      <c r="AN10" s="1275"/>
      <c r="AO10" s="1275"/>
      <c r="AP10" s="1275"/>
      <c r="AQ10" s="1275"/>
      <c r="AR10" s="1275"/>
      <c r="AY10"/>
      <c r="BR10"/>
      <c r="BV10" s="1258" t="s">
        <v>532</v>
      </c>
      <c r="BW10" s="1258"/>
      <c r="BX10" s="1258"/>
      <c r="BY10" s="1258"/>
      <c r="BZ10" s="1258"/>
      <c r="CA10" s="1258"/>
      <c r="CB10" s="1258"/>
      <c r="CC10" s="1258"/>
      <c r="CD10" s="1258"/>
      <c r="CE10" s="1258"/>
      <c r="CF10" s="1258"/>
      <c r="CG10" s="1258"/>
      <c r="CH10" s="1258"/>
      <c r="CI10" s="191"/>
      <c r="CJ10" s="1259" t="s">
        <v>448</v>
      </c>
      <c r="CK10" s="1259"/>
      <c r="CL10" s="1259"/>
      <c r="CO10"/>
    </row>
    <row r="11" spans="1:201" ht="54" customHeight="1" x14ac:dyDescent="0.25">
      <c r="A11" s="1261" t="s">
        <v>57</v>
      </c>
      <c r="B11" s="1261" t="s">
        <v>0</v>
      </c>
      <c r="C11" s="1050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526</v>
      </c>
      <c r="J11" s="1254" t="s">
        <v>525</v>
      </c>
      <c r="K11" s="1254" t="s">
        <v>534</v>
      </c>
      <c r="L11" s="1254" t="s">
        <v>493</v>
      </c>
      <c r="M11" s="1254" t="s">
        <v>535</v>
      </c>
      <c r="N11" s="1046" t="s">
        <v>529</v>
      </c>
      <c r="O11" s="1254" t="s">
        <v>492</v>
      </c>
      <c r="P11" s="1047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1245" t="s">
        <v>447</v>
      </c>
      <c r="V11" s="1268" t="s">
        <v>452</v>
      </c>
      <c r="W11" s="1245" t="s">
        <v>439</v>
      </c>
      <c r="X11" s="158" t="s">
        <v>15</v>
      </c>
      <c r="Y11" s="159" t="s">
        <v>15</v>
      </c>
      <c r="Z11" s="158" t="s">
        <v>16</v>
      </c>
      <c r="AA11" s="1245" t="s">
        <v>527</v>
      </c>
      <c r="AB11" s="1245" t="s">
        <v>536</v>
      </c>
      <c r="AC11" s="158" t="s">
        <v>3</v>
      </c>
      <c r="AD11" s="158" t="s">
        <v>4</v>
      </c>
      <c r="AE11" s="158" t="s">
        <v>5</v>
      </c>
      <c r="AF11" s="158" t="s">
        <v>6</v>
      </c>
      <c r="AG11" s="158" t="s">
        <v>7</v>
      </c>
      <c r="AH11" s="158" t="s">
        <v>8</v>
      </c>
      <c r="AI11" s="158" t="s">
        <v>9</v>
      </c>
      <c r="AJ11" s="158" t="s">
        <v>10</v>
      </c>
      <c r="AK11" s="158" t="s">
        <v>11</v>
      </c>
      <c r="AL11" s="158" t="s">
        <v>12</v>
      </c>
      <c r="AM11" s="158" t="s">
        <v>13</v>
      </c>
      <c r="AN11" s="158" t="s">
        <v>14</v>
      </c>
      <c r="AO11" s="1042" t="s">
        <v>531</v>
      </c>
      <c r="AP11" s="1042" t="s">
        <v>63</v>
      </c>
      <c r="AQ11" s="1245" t="s">
        <v>976</v>
      </c>
      <c r="AR11" s="1245" t="s">
        <v>536</v>
      </c>
      <c r="AS11" s="158" t="s">
        <v>3</v>
      </c>
      <c r="AT11" s="158" t="s">
        <v>4</v>
      </c>
      <c r="AU11" s="158" t="s">
        <v>5</v>
      </c>
      <c r="AV11" s="158" t="s">
        <v>6</v>
      </c>
      <c r="AW11" s="158" t="s">
        <v>7</v>
      </c>
      <c r="AX11" s="158" t="s">
        <v>15</v>
      </c>
      <c r="AY11" s="159" t="s">
        <v>15</v>
      </c>
      <c r="AZ11" s="158" t="s">
        <v>16</v>
      </c>
      <c r="BA11" s="1245" t="s">
        <v>1059</v>
      </c>
      <c r="BB11" s="1245" t="s">
        <v>536</v>
      </c>
      <c r="BC11" s="158" t="s">
        <v>8</v>
      </c>
      <c r="BD11" s="158" t="s">
        <v>9</v>
      </c>
      <c r="BE11" s="158" t="s">
        <v>10</v>
      </c>
      <c r="BF11" s="158" t="s">
        <v>11</v>
      </c>
      <c r="BG11" s="158" t="s">
        <v>12</v>
      </c>
      <c r="BH11" s="158" t="s">
        <v>13</v>
      </c>
      <c r="BI11" s="158" t="s">
        <v>14</v>
      </c>
      <c r="BJ11" s="1042" t="s">
        <v>989</v>
      </c>
      <c r="BK11" s="1042" t="s">
        <v>63</v>
      </c>
      <c r="BL11" s="158" t="s">
        <v>3</v>
      </c>
      <c r="BM11" s="158" t="s">
        <v>4</v>
      </c>
      <c r="BN11" s="158" t="s">
        <v>5</v>
      </c>
      <c r="BO11" s="158" t="s">
        <v>6</v>
      </c>
      <c r="BP11" s="158" t="s">
        <v>7</v>
      </c>
      <c r="BQ11" s="158" t="s">
        <v>15</v>
      </c>
      <c r="BR11" s="159" t="s">
        <v>15</v>
      </c>
      <c r="BS11" s="158" t="s">
        <v>16</v>
      </c>
      <c r="BT11" s="1245" t="s">
        <v>1057</v>
      </c>
      <c r="BU11" s="1043" t="s">
        <v>1134</v>
      </c>
      <c r="BV11" s="166" t="s">
        <v>306</v>
      </c>
      <c r="BW11" s="1263" t="s">
        <v>55</v>
      </c>
      <c r="BX11" s="1254" t="s">
        <v>564</v>
      </c>
      <c r="BY11" s="1254" t="s">
        <v>446</v>
      </c>
      <c r="BZ11" s="1254" t="s">
        <v>533</v>
      </c>
      <c r="CA11" s="1254" t="s">
        <v>1126</v>
      </c>
      <c r="CB11" s="1254" t="s">
        <v>1127</v>
      </c>
      <c r="CC11" s="1254" t="s">
        <v>534</v>
      </c>
      <c r="CD11" s="1254" t="s">
        <v>493</v>
      </c>
      <c r="CE11" s="1254" t="s">
        <v>1148</v>
      </c>
      <c r="CF11" s="1046" t="s">
        <v>529</v>
      </c>
      <c r="CG11" s="1254" t="s">
        <v>492</v>
      </c>
      <c r="CH11" s="1047" t="s">
        <v>530</v>
      </c>
      <c r="CI11" s="1256" t="s">
        <v>528</v>
      </c>
      <c r="CJ11" s="1250" t="s">
        <v>437</v>
      </c>
      <c r="CK11" s="1250" t="s">
        <v>56</v>
      </c>
      <c r="CL11" s="1252" t="s">
        <v>449</v>
      </c>
      <c r="CM11" s="1305" t="s">
        <v>1134</v>
      </c>
      <c r="CN11" s="158" t="s">
        <v>15</v>
      </c>
      <c r="CO11" s="159" t="s">
        <v>15</v>
      </c>
      <c r="CP11" s="158" t="s">
        <v>16</v>
      </c>
      <c r="CQ11" s="1245" t="s">
        <v>1124</v>
      </c>
      <c r="CR11" s="1245" t="s">
        <v>536</v>
      </c>
      <c r="CS11" s="158" t="s">
        <v>8</v>
      </c>
      <c r="CT11" s="158" t="s">
        <v>9</v>
      </c>
      <c r="CU11" s="158" t="s">
        <v>10</v>
      </c>
      <c r="CV11" s="158" t="s">
        <v>11</v>
      </c>
      <c r="CW11" s="158" t="s">
        <v>12</v>
      </c>
      <c r="CX11" s="158" t="s">
        <v>13</v>
      </c>
      <c r="CY11" s="158" t="s">
        <v>14</v>
      </c>
      <c r="CZ11" s="1042" t="s">
        <v>989</v>
      </c>
      <c r="DA11" s="158" t="s">
        <v>8</v>
      </c>
      <c r="DB11" s="158" t="s">
        <v>9</v>
      </c>
      <c r="DC11" s="158" t="s">
        <v>10</v>
      </c>
      <c r="DD11" s="158" t="s">
        <v>11</v>
      </c>
      <c r="DE11" s="158" t="s">
        <v>12</v>
      </c>
      <c r="DF11" s="158" t="s">
        <v>13</v>
      </c>
      <c r="DG11" s="158" t="s">
        <v>14</v>
      </c>
      <c r="DH11" s="1042" t="s">
        <v>1131</v>
      </c>
      <c r="DI11" s="1042" t="s">
        <v>63</v>
      </c>
      <c r="DJ11" s="158" t="s">
        <v>3</v>
      </c>
      <c r="DK11" s="158" t="s">
        <v>4</v>
      </c>
      <c r="DL11" s="158" t="s">
        <v>5</v>
      </c>
      <c r="DM11" s="158" t="s">
        <v>6</v>
      </c>
      <c r="DN11" s="158" t="s">
        <v>7</v>
      </c>
      <c r="DO11" s="1247" t="s">
        <v>1252</v>
      </c>
      <c r="DP11" s="1247" t="s">
        <v>1253</v>
      </c>
      <c r="DQ11" s="158" t="s">
        <v>15</v>
      </c>
      <c r="DR11" s="159" t="s">
        <v>15</v>
      </c>
      <c r="DS11" s="158" t="s">
        <v>16</v>
      </c>
      <c r="DT11" s="1245" t="s">
        <v>1254</v>
      </c>
      <c r="DU11" s="1245" t="s">
        <v>536</v>
      </c>
      <c r="DV11" s="158" t="s">
        <v>8</v>
      </c>
      <c r="DW11" s="158" t="s">
        <v>9</v>
      </c>
      <c r="DX11" s="158" t="s">
        <v>10</v>
      </c>
      <c r="DY11" s="158" t="s">
        <v>11</v>
      </c>
      <c r="DZ11" s="158" t="s">
        <v>12</v>
      </c>
      <c r="EA11" s="158" t="s">
        <v>13</v>
      </c>
      <c r="EB11" s="158" t="s">
        <v>14</v>
      </c>
      <c r="EC11" s="158" t="s">
        <v>3</v>
      </c>
      <c r="ED11" s="158" t="s">
        <v>4</v>
      </c>
      <c r="EE11" s="158" t="s">
        <v>5</v>
      </c>
      <c r="EF11" s="158" t="s">
        <v>6</v>
      </c>
      <c r="EG11" s="158" t="s">
        <v>7</v>
      </c>
      <c r="EH11" s="158" t="s">
        <v>8</v>
      </c>
      <c r="EI11" s="158" t="s">
        <v>9</v>
      </c>
      <c r="EJ11" s="158" t="s">
        <v>10</v>
      </c>
      <c r="EK11" s="158" t="s">
        <v>11</v>
      </c>
      <c r="EL11" s="158" t="s">
        <v>12</v>
      </c>
      <c r="EM11" s="158" t="s">
        <v>13</v>
      </c>
      <c r="EN11" s="1247" t="s">
        <v>1274</v>
      </c>
      <c r="EO11" s="1247" t="s">
        <v>1263</v>
      </c>
    </row>
    <row r="12" spans="1:201" ht="32.25" customHeight="1" x14ac:dyDescent="0.25">
      <c r="A12" s="1262"/>
      <c r="B12" s="1262"/>
      <c r="C12" s="161" t="s">
        <v>1030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1267"/>
      <c r="V12" s="1269">
        <v>41639</v>
      </c>
      <c r="W12" s="1246"/>
      <c r="X12" s="162" t="s">
        <v>20</v>
      </c>
      <c r="Y12" s="163" t="s">
        <v>21</v>
      </c>
      <c r="Z12" s="162" t="s">
        <v>22</v>
      </c>
      <c r="AA12" s="1246"/>
      <c r="AB12" s="1246"/>
      <c r="AC12" s="162">
        <v>2015</v>
      </c>
      <c r="AD12" s="162">
        <v>2015</v>
      </c>
      <c r="AE12" s="162">
        <v>2015</v>
      </c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 t="s">
        <v>64</v>
      </c>
      <c r="AQ12" s="1265"/>
      <c r="AR12" s="1265"/>
      <c r="AS12" s="430">
        <v>2016</v>
      </c>
      <c r="AT12" s="430">
        <v>2016</v>
      </c>
      <c r="AU12" s="430">
        <v>2016</v>
      </c>
      <c r="AV12" s="430">
        <v>2016</v>
      </c>
      <c r="AW12" s="430">
        <v>2016</v>
      </c>
      <c r="AX12" s="162" t="s">
        <v>20</v>
      </c>
      <c r="AY12" s="163" t="s">
        <v>21</v>
      </c>
      <c r="AZ12" s="162" t="s">
        <v>22</v>
      </c>
      <c r="BA12" s="1246"/>
      <c r="BB12" s="1246"/>
      <c r="BC12" s="430">
        <v>2016</v>
      </c>
      <c r="BD12" s="430">
        <v>2016</v>
      </c>
      <c r="BE12" s="430">
        <v>2016</v>
      </c>
      <c r="BF12" s="430">
        <v>2016</v>
      </c>
      <c r="BG12" s="430">
        <v>2016</v>
      </c>
      <c r="BH12" s="430">
        <v>2016</v>
      </c>
      <c r="BI12" s="430">
        <v>2016</v>
      </c>
      <c r="BJ12" s="162">
        <v>2016</v>
      </c>
      <c r="BK12" s="162" t="s">
        <v>64</v>
      </c>
      <c r="BL12" s="430">
        <v>2017</v>
      </c>
      <c r="BM12" s="430">
        <v>2017</v>
      </c>
      <c r="BN12" s="430">
        <v>2017</v>
      </c>
      <c r="BO12" s="430">
        <v>2017</v>
      </c>
      <c r="BP12" s="430">
        <v>2017</v>
      </c>
      <c r="BQ12" s="162" t="s">
        <v>20</v>
      </c>
      <c r="BR12" s="163" t="s">
        <v>21</v>
      </c>
      <c r="BS12" s="162" t="s">
        <v>22</v>
      </c>
      <c r="BT12" s="1246"/>
      <c r="BU12" s="1044"/>
      <c r="BV12" s="167"/>
      <c r="BW12" s="1264"/>
      <c r="BX12" s="1255"/>
      <c r="BY12" s="1255"/>
      <c r="BZ12" s="1255"/>
      <c r="CA12" s="1255"/>
      <c r="CB12" s="1255"/>
      <c r="CC12" s="1255"/>
      <c r="CD12" s="1255"/>
      <c r="CE12" s="1255"/>
      <c r="CF12" s="194">
        <v>43281</v>
      </c>
      <c r="CG12" s="1255"/>
      <c r="CH12" s="194">
        <v>43281</v>
      </c>
      <c r="CI12" s="1257"/>
      <c r="CJ12" s="1251" t="s">
        <v>18</v>
      </c>
      <c r="CK12" s="1251" t="s">
        <v>18</v>
      </c>
      <c r="CL12" s="1253"/>
      <c r="CM12" s="1305"/>
      <c r="CN12" s="162" t="s">
        <v>20</v>
      </c>
      <c r="CO12" s="163" t="s">
        <v>21</v>
      </c>
      <c r="CP12" s="162" t="s">
        <v>22</v>
      </c>
      <c r="CQ12" s="1246"/>
      <c r="CR12" s="1246"/>
      <c r="CS12" s="430">
        <v>2016</v>
      </c>
      <c r="CT12" s="430">
        <v>2016</v>
      </c>
      <c r="CU12" s="430">
        <v>2016</v>
      </c>
      <c r="CV12" s="430">
        <v>2016</v>
      </c>
      <c r="CW12" s="430">
        <v>2016</v>
      </c>
      <c r="CX12" s="430">
        <v>2016</v>
      </c>
      <c r="CY12" s="430">
        <v>2016</v>
      </c>
      <c r="CZ12" s="162">
        <v>2017</v>
      </c>
      <c r="DA12" s="430">
        <v>2017</v>
      </c>
      <c r="DB12" s="430">
        <v>2017</v>
      </c>
      <c r="DC12" s="430">
        <v>2017</v>
      </c>
      <c r="DD12" s="430">
        <v>2017</v>
      </c>
      <c r="DE12" s="430">
        <v>2017</v>
      </c>
      <c r="DF12" s="430">
        <v>2017</v>
      </c>
      <c r="DG12" s="430">
        <v>2017</v>
      </c>
      <c r="DH12" s="162">
        <v>2017</v>
      </c>
      <c r="DI12" s="162" t="s">
        <v>64</v>
      </c>
      <c r="DJ12" s="162">
        <v>2018</v>
      </c>
      <c r="DK12" s="162">
        <v>2018</v>
      </c>
      <c r="DL12" s="162">
        <v>2018</v>
      </c>
      <c r="DM12" s="162">
        <v>2018</v>
      </c>
      <c r="DN12" s="162">
        <v>2018</v>
      </c>
      <c r="DO12" s="1248"/>
      <c r="DP12" s="1248"/>
      <c r="DQ12" s="162" t="s">
        <v>20</v>
      </c>
      <c r="DR12" s="163" t="s">
        <v>21</v>
      </c>
      <c r="DS12" s="162" t="s">
        <v>22</v>
      </c>
      <c r="DT12" s="1246"/>
      <c r="DU12" s="1246"/>
      <c r="DV12" s="162">
        <v>2018</v>
      </c>
      <c r="DW12" s="162">
        <v>2018</v>
      </c>
      <c r="DX12" s="162">
        <v>2018</v>
      </c>
      <c r="DY12" s="162">
        <v>2018</v>
      </c>
      <c r="DZ12" s="162">
        <v>2018</v>
      </c>
      <c r="EA12" s="162">
        <v>2018</v>
      </c>
      <c r="EB12" s="162">
        <v>2018</v>
      </c>
      <c r="EC12" s="162">
        <v>2019</v>
      </c>
      <c r="ED12" s="162">
        <v>2019</v>
      </c>
      <c r="EE12" s="162">
        <v>2019</v>
      </c>
      <c r="EF12" s="162">
        <v>2019</v>
      </c>
      <c r="EG12" s="162">
        <v>2019</v>
      </c>
      <c r="EH12" s="162">
        <v>2019</v>
      </c>
      <c r="EI12" s="162">
        <v>2019</v>
      </c>
      <c r="EJ12" s="162">
        <v>2019</v>
      </c>
      <c r="EK12" s="162">
        <v>2019</v>
      </c>
      <c r="EL12" s="162">
        <v>2019</v>
      </c>
      <c r="EM12" s="162">
        <v>2019</v>
      </c>
      <c r="EN12" s="1248"/>
      <c r="EO12" s="1248"/>
    </row>
    <row r="13" spans="1:201" s="16" customFormat="1" x14ac:dyDescent="0.2">
      <c r="A13" s="120" t="s">
        <v>65</v>
      </c>
      <c r="B13" s="120"/>
      <c r="C13" s="120"/>
      <c r="D13" s="131"/>
      <c r="E13" s="130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19"/>
      <c r="S13" s="119"/>
      <c r="T13" s="134"/>
      <c r="U13" s="134"/>
      <c r="V13" s="108"/>
      <c r="W13" s="66"/>
      <c r="X13" s="66"/>
      <c r="Y13" s="81"/>
      <c r="Z13" s="66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73"/>
      <c r="AQ13" s="73"/>
      <c r="AR13" s="73"/>
      <c r="AS13" s="32"/>
      <c r="AT13" s="32"/>
      <c r="AU13" s="32"/>
      <c r="AV13" s="32"/>
      <c r="AW13" s="32"/>
      <c r="AX13" s="66"/>
      <c r="AY13" s="81"/>
      <c r="AZ13" s="66"/>
      <c r="BA13" s="65"/>
      <c r="BB13" s="65"/>
      <c r="BC13" s="32"/>
      <c r="BD13" s="32"/>
      <c r="BE13" s="32"/>
      <c r="BF13" s="32"/>
      <c r="BG13" s="32"/>
      <c r="BH13" s="32"/>
      <c r="BI13" s="32"/>
      <c r="BJ13" s="32"/>
      <c r="BK13" s="672"/>
      <c r="BL13" s="673"/>
      <c r="BM13" s="673"/>
      <c r="BN13" s="673"/>
      <c r="BO13" s="673"/>
      <c r="BP13" s="673"/>
      <c r="BQ13" s="674"/>
      <c r="BR13" s="675"/>
      <c r="BS13" s="674"/>
      <c r="BT13" s="676"/>
      <c r="BU13" s="676"/>
      <c r="BV13" s="131"/>
      <c r="BW13" s="130"/>
      <c r="BX13" s="125"/>
      <c r="BY13" s="125"/>
      <c r="BZ13" s="125"/>
      <c r="CA13" s="125"/>
      <c r="CB13" s="125"/>
      <c r="CC13" s="125"/>
      <c r="CD13" s="125"/>
      <c r="CE13" s="125"/>
      <c r="CF13" s="125"/>
      <c r="CG13" s="125"/>
      <c r="CH13" s="125"/>
      <c r="CI13" s="125"/>
      <c r="CJ13" s="119"/>
      <c r="CK13" s="119"/>
      <c r="CL13" s="134"/>
      <c r="CM13" s="32"/>
      <c r="CN13" s="66"/>
      <c r="CO13" s="81"/>
      <c r="CP13" s="66"/>
      <c r="CQ13" s="65"/>
      <c r="CR13" s="65"/>
      <c r="CS13" s="32"/>
      <c r="CT13" s="32"/>
      <c r="CU13" s="32"/>
      <c r="CV13" s="32"/>
      <c r="CW13" s="32"/>
      <c r="CX13" s="32"/>
      <c r="CY13" s="32"/>
      <c r="CZ13" s="32"/>
      <c r="DA13" s="673"/>
      <c r="DB13" s="673"/>
      <c r="DC13" s="673"/>
      <c r="DD13" s="673"/>
      <c r="DE13" s="673"/>
      <c r="DF13" s="673"/>
      <c r="DG13" s="673"/>
      <c r="DH13" s="673"/>
      <c r="DI13" s="672"/>
      <c r="DJ13" s="65"/>
      <c r="DK13" s="65"/>
      <c r="DL13" s="65"/>
      <c r="DM13" s="65"/>
      <c r="DN13" s="505"/>
      <c r="DO13" s="505"/>
      <c r="DP13" s="50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</row>
    <row r="14" spans="1:201" s="811" customFormat="1" x14ac:dyDescent="0.2">
      <c r="A14" s="120" t="s">
        <v>1196</v>
      </c>
      <c r="B14" s="814"/>
      <c r="C14" s="409"/>
      <c r="D14" s="1059"/>
      <c r="E14" s="1060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367"/>
      <c r="S14" s="367"/>
      <c r="T14" s="1061"/>
      <c r="U14" s="1061"/>
      <c r="V14" s="815"/>
      <c r="W14" s="816"/>
      <c r="X14" s="816"/>
      <c r="Y14" s="817"/>
      <c r="Z14" s="816"/>
      <c r="AA14" s="818"/>
      <c r="AB14" s="818"/>
      <c r="AC14" s="818"/>
      <c r="AD14" s="818"/>
      <c r="AE14" s="818"/>
      <c r="AF14" s="818"/>
      <c r="AG14" s="818"/>
      <c r="AH14" s="818"/>
      <c r="AI14" s="818"/>
      <c r="AJ14" s="818"/>
      <c r="AK14" s="818"/>
      <c r="AL14" s="818"/>
      <c r="AM14" s="818"/>
      <c r="AN14" s="818"/>
      <c r="AO14" s="818"/>
      <c r="AP14" s="819"/>
      <c r="AQ14" s="819"/>
      <c r="AR14" s="819"/>
      <c r="AS14" s="809"/>
      <c r="AT14" s="809"/>
      <c r="AU14" s="809"/>
      <c r="AV14" s="809"/>
      <c r="AW14" s="809"/>
      <c r="AX14" s="816"/>
      <c r="AY14" s="817"/>
      <c r="AZ14" s="816"/>
      <c r="BA14" s="818"/>
      <c r="BB14" s="818"/>
      <c r="BC14" s="809"/>
      <c r="BD14" s="809"/>
      <c r="BE14" s="809"/>
      <c r="BF14" s="809"/>
      <c r="BG14" s="809"/>
      <c r="BH14" s="809"/>
      <c r="BI14" s="809"/>
      <c r="BJ14" s="809"/>
      <c r="BK14" s="820"/>
      <c r="BL14" s="821"/>
      <c r="BM14" s="821"/>
      <c r="BN14" s="821"/>
      <c r="BO14" s="821"/>
      <c r="BP14" s="821"/>
      <c r="BQ14" s="822"/>
      <c r="BR14" s="823"/>
      <c r="BS14" s="822"/>
      <c r="BT14" s="824"/>
      <c r="BU14" s="824"/>
      <c r="BV14" s="1059"/>
      <c r="BW14" s="1060"/>
      <c r="BX14" s="183"/>
      <c r="BY14" s="183"/>
      <c r="BZ14" s="183"/>
      <c r="CA14" s="183"/>
      <c r="CB14" s="183"/>
      <c r="CC14" s="183"/>
      <c r="CD14" s="183"/>
      <c r="CE14" s="183"/>
      <c r="CF14" s="183"/>
      <c r="CG14" s="183"/>
      <c r="CH14" s="183"/>
      <c r="CI14" s="183"/>
      <c r="CJ14" s="809"/>
      <c r="CK14" s="809"/>
      <c r="CL14" s="809"/>
      <c r="CM14" s="809"/>
      <c r="CN14" s="816"/>
      <c r="CO14" s="817"/>
      <c r="CP14" s="816"/>
      <c r="CQ14" s="818"/>
      <c r="CR14" s="818"/>
      <c r="CS14" s="809"/>
      <c r="CT14" s="809"/>
      <c r="CU14" s="809"/>
      <c r="CV14" s="809"/>
      <c r="CW14" s="809"/>
      <c r="CX14" s="809"/>
      <c r="CY14" s="809"/>
      <c r="CZ14" s="809"/>
      <c r="DA14" s="821"/>
      <c r="DB14" s="821"/>
      <c r="DC14" s="821"/>
      <c r="DD14" s="821"/>
      <c r="DE14" s="821"/>
      <c r="DF14" s="821"/>
      <c r="DG14" s="821"/>
      <c r="DH14" s="821"/>
      <c r="DI14" s="820"/>
      <c r="DJ14" s="818"/>
      <c r="DK14" s="818"/>
      <c r="DL14" s="818"/>
      <c r="DM14" s="818"/>
      <c r="DN14" s="818"/>
      <c r="DO14" s="505"/>
      <c r="DP14" s="50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</row>
    <row r="15" spans="1:201" s="213" customFormat="1" ht="14.25" customHeight="1" x14ac:dyDescent="0.2">
      <c r="A15" s="215" t="s">
        <v>1198</v>
      </c>
      <c r="B15" s="826" t="s">
        <v>1200</v>
      </c>
      <c r="C15" s="216" t="s">
        <v>1030</v>
      </c>
      <c r="D15" s="1062"/>
      <c r="E15" s="1063"/>
      <c r="F15" s="795"/>
      <c r="G15" s="795"/>
      <c r="H15" s="795"/>
      <c r="I15" s="795"/>
      <c r="J15" s="795"/>
      <c r="K15" s="795"/>
      <c r="L15" s="795"/>
      <c r="M15" s="795"/>
      <c r="N15" s="795"/>
      <c r="O15" s="795"/>
      <c r="P15" s="795"/>
      <c r="Q15" s="795"/>
      <c r="R15" s="214"/>
      <c r="S15" s="214"/>
      <c r="T15" s="1064"/>
      <c r="U15" s="1064"/>
      <c r="V15" s="830"/>
      <c r="W15" s="831"/>
      <c r="X15" s="831"/>
      <c r="Y15" s="832"/>
      <c r="Z15" s="831"/>
      <c r="AA15" s="833"/>
      <c r="AB15" s="833"/>
      <c r="AC15" s="833"/>
      <c r="AD15" s="833"/>
      <c r="AE15" s="833"/>
      <c r="AF15" s="833"/>
      <c r="AG15" s="833"/>
      <c r="AH15" s="833"/>
      <c r="AI15" s="833"/>
      <c r="AJ15" s="833"/>
      <c r="AK15" s="833"/>
      <c r="AL15" s="833"/>
      <c r="AM15" s="833"/>
      <c r="AN15" s="833"/>
      <c r="AO15" s="833"/>
      <c r="AP15" s="834"/>
      <c r="AQ15" s="834"/>
      <c r="AR15" s="834"/>
      <c r="AS15" s="801"/>
      <c r="AT15" s="801"/>
      <c r="AU15" s="801"/>
      <c r="AV15" s="801"/>
      <c r="AW15" s="801"/>
      <c r="AX15" s="831"/>
      <c r="AY15" s="832"/>
      <c r="AZ15" s="831"/>
      <c r="BA15" s="833"/>
      <c r="BB15" s="833"/>
      <c r="BC15" s="801"/>
      <c r="BD15" s="801"/>
      <c r="BE15" s="801"/>
      <c r="BF15" s="801"/>
      <c r="BG15" s="801"/>
      <c r="BH15" s="801"/>
      <c r="BI15" s="801"/>
      <c r="BJ15" s="801"/>
      <c r="BK15" s="835"/>
      <c r="BL15" s="836"/>
      <c r="BM15" s="836"/>
      <c r="BN15" s="836"/>
      <c r="BO15" s="836"/>
      <c r="BP15" s="836"/>
      <c r="BQ15" s="837"/>
      <c r="BR15" s="838"/>
      <c r="BS15" s="837"/>
      <c r="BT15" s="839"/>
      <c r="BU15" s="839"/>
      <c r="BV15" s="217">
        <v>10</v>
      </c>
      <c r="BW15" s="840">
        <v>0.1</v>
      </c>
      <c r="BX15" s="214">
        <v>43281</v>
      </c>
      <c r="BY15" s="220">
        <v>120</v>
      </c>
      <c r="BZ15" s="221">
        <f>100/BY15</f>
        <v>0.83333333333333337</v>
      </c>
      <c r="CA15" s="222">
        <v>0</v>
      </c>
      <c r="CB15" s="48">
        <f>(YEAR(BX15)-YEAR(CK15))*12+MONTH(BX15)-MONTH(CK15)</f>
        <v>10</v>
      </c>
      <c r="CC15" s="222">
        <f>CD15*BZ15</f>
        <v>91.666666666666671</v>
      </c>
      <c r="CD15" s="220">
        <f>BY15-CB15</f>
        <v>110</v>
      </c>
      <c r="CE15" s="222">
        <f>CF15*BZ15</f>
        <v>8.3333333333333339</v>
      </c>
      <c r="CF15" s="220">
        <v>10</v>
      </c>
      <c r="CG15" s="222">
        <f>CC15-CE15</f>
        <v>83.333333333333343</v>
      </c>
      <c r="CH15" s="220">
        <f>CD15-CF15</f>
        <v>100</v>
      </c>
      <c r="CI15" s="214">
        <v>46610</v>
      </c>
      <c r="CJ15" s="214" t="s">
        <v>1201</v>
      </c>
      <c r="CK15" s="214">
        <v>42958</v>
      </c>
      <c r="CL15" s="1064">
        <v>4449</v>
      </c>
      <c r="CM15" s="1064">
        <v>4449</v>
      </c>
      <c r="CN15" s="841">
        <v>126.408</v>
      </c>
      <c r="CO15" s="832">
        <v>127.51300000000001</v>
      </c>
      <c r="CP15" s="225">
        <f>CN15/CO15</f>
        <v>0.99133421690337453</v>
      </c>
      <c r="CQ15" s="227">
        <f>CM15/BY15</f>
        <v>37.075000000000003</v>
      </c>
      <c r="CR15" s="227">
        <f>CQ15*CP15</f>
        <v>36.753716091692617</v>
      </c>
      <c r="CS15" s="801"/>
      <c r="CT15" s="801"/>
      <c r="CU15" s="801"/>
      <c r="CV15" s="801"/>
      <c r="CW15" s="801"/>
      <c r="CX15" s="801"/>
      <c r="CY15" s="801"/>
      <c r="CZ15" s="801"/>
      <c r="DA15" s="836"/>
      <c r="DB15" s="836"/>
      <c r="DC15" s="836"/>
      <c r="DD15" s="836">
        <v>36.75</v>
      </c>
      <c r="DE15" s="836">
        <v>36.75</v>
      </c>
      <c r="DF15" s="836">
        <v>36.75</v>
      </c>
      <c r="DG15" s="836">
        <v>36.75</v>
      </c>
      <c r="DH15" s="842">
        <f>SUM(DA15:DG15)</f>
        <v>147</v>
      </c>
      <c r="DI15" s="843">
        <f>CM15-DH15</f>
        <v>4302</v>
      </c>
      <c r="DJ15" s="227">
        <v>36.75</v>
      </c>
      <c r="DK15" s="227">
        <v>36.75</v>
      </c>
      <c r="DL15" s="227">
        <v>36.75</v>
      </c>
      <c r="DM15" s="227">
        <v>36.75</v>
      </c>
      <c r="DN15" s="227">
        <v>36.75</v>
      </c>
      <c r="DO15" s="505">
        <f>SUM(DJ15:DN15)</f>
        <v>183.75</v>
      </c>
      <c r="DP15" s="679">
        <f>DI15-DO15</f>
        <v>4118.25</v>
      </c>
      <c r="DQ15" s="956">
        <v>132.28200000000001</v>
      </c>
      <c r="DR15" s="832">
        <v>127.51300000000001</v>
      </c>
      <c r="DS15" s="957">
        <f>DQ15/DR15</f>
        <v>1.0374001082242594</v>
      </c>
      <c r="DT15" s="511">
        <f>DP15/CD15</f>
        <v>37.438636363636363</v>
      </c>
      <c r="DU15" s="511">
        <f>DT15*DS15</f>
        <v>38.838845415405061</v>
      </c>
      <c r="DV15" s="511">
        <v>38.838845415405061</v>
      </c>
      <c r="DW15" s="511">
        <v>38.838845415405061</v>
      </c>
      <c r="DX15" s="511">
        <v>38.838845415405061</v>
      </c>
      <c r="DY15" s="511">
        <v>38.838845415405061</v>
      </c>
      <c r="DZ15" s="511">
        <v>38.838845415405061</v>
      </c>
      <c r="EA15" s="511">
        <v>38.838845415405061</v>
      </c>
      <c r="EB15" s="511">
        <v>38.838845415405061</v>
      </c>
      <c r="EC15" s="511">
        <v>38.838845415405061</v>
      </c>
      <c r="ED15" s="511">
        <v>38.838845415405061</v>
      </c>
      <c r="EE15" s="511">
        <v>38.838845415405061</v>
      </c>
      <c r="EF15" s="511">
        <v>38.838845415405061</v>
      </c>
      <c r="EG15" s="511">
        <v>38.838845415405061</v>
      </c>
      <c r="EH15" s="511">
        <v>38.838845415405061</v>
      </c>
      <c r="EI15" s="511">
        <v>38.838845415405061</v>
      </c>
      <c r="EJ15" s="511">
        <v>38.838845415405061</v>
      </c>
      <c r="EK15" s="511">
        <v>38.838845415405061</v>
      </c>
      <c r="EL15" s="511">
        <v>38.838845415405061</v>
      </c>
      <c r="EM15" s="511">
        <v>38.838845415405061</v>
      </c>
      <c r="EN15" s="511">
        <f>SUM(DV15:EM15)</f>
        <v>699.09921747729118</v>
      </c>
      <c r="EO15" s="960">
        <f>DP15-EN15</f>
        <v>3419.1507825227091</v>
      </c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</row>
    <row r="16" spans="1:201" s="811" customFormat="1" x14ac:dyDescent="0.2">
      <c r="A16" s="120" t="s">
        <v>65</v>
      </c>
      <c r="B16" s="825"/>
      <c r="C16" s="177"/>
      <c r="D16" s="1059"/>
      <c r="E16" s="1060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367"/>
      <c r="S16" s="367"/>
      <c r="T16" s="1061"/>
      <c r="U16" s="1061"/>
      <c r="V16" s="815"/>
      <c r="W16" s="816"/>
      <c r="X16" s="816"/>
      <c r="Y16" s="817"/>
      <c r="Z16" s="816"/>
      <c r="AA16" s="818"/>
      <c r="AB16" s="818"/>
      <c r="AC16" s="818"/>
      <c r="AD16" s="818"/>
      <c r="AE16" s="818"/>
      <c r="AF16" s="818"/>
      <c r="AG16" s="818"/>
      <c r="AH16" s="818"/>
      <c r="AI16" s="818"/>
      <c r="AJ16" s="818"/>
      <c r="AK16" s="818"/>
      <c r="AL16" s="818"/>
      <c r="AM16" s="818"/>
      <c r="AN16" s="818"/>
      <c r="AO16" s="818"/>
      <c r="AP16" s="819"/>
      <c r="AQ16" s="819"/>
      <c r="AR16" s="819"/>
      <c r="AS16" s="809"/>
      <c r="AT16" s="809"/>
      <c r="AU16" s="809"/>
      <c r="AV16" s="809"/>
      <c r="AW16" s="809"/>
      <c r="AX16" s="816"/>
      <c r="AY16" s="817"/>
      <c r="AZ16" s="816"/>
      <c r="BA16" s="818"/>
      <c r="BB16" s="818"/>
      <c r="BC16" s="809"/>
      <c r="BD16" s="809"/>
      <c r="BE16" s="809"/>
      <c r="BF16" s="809"/>
      <c r="BG16" s="809"/>
      <c r="BH16" s="809"/>
      <c r="BI16" s="809"/>
      <c r="BJ16" s="809"/>
      <c r="BK16" s="820"/>
      <c r="BL16" s="821"/>
      <c r="BM16" s="821"/>
      <c r="BN16" s="821"/>
      <c r="BO16" s="821"/>
      <c r="BP16" s="821"/>
      <c r="BQ16" s="822"/>
      <c r="BR16" s="823"/>
      <c r="BS16" s="822"/>
      <c r="BT16" s="824"/>
      <c r="BU16" s="824"/>
      <c r="BV16" s="358"/>
      <c r="BW16" s="461"/>
      <c r="BX16" s="367"/>
      <c r="BY16" s="463"/>
      <c r="BZ16" s="464"/>
      <c r="CA16" s="465"/>
      <c r="CB16" s="183"/>
      <c r="CC16" s="465"/>
      <c r="CD16" s="463"/>
      <c r="CE16" s="465"/>
      <c r="CF16" s="463"/>
      <c r="CG16" s="465"/>
      <c r="CH16" s="463"/>
      <c r="CI16" s="367"/>
      <c r="CJ16" s="367"/>
      <c r="CK16" s="367"/>
      <c r="CL16" s="1061"/>
      <c r="CM16" s="1061"/>
      <c r="CN16" s="844"/>
      <c r="CO16" s="817"/>
      <c r="CP16" s="359"/>
      <c r="CQ16" s="355"/>
      <c r="CR16" s="355"/>
      <c r="CS16" s="809"/>
      <c r="CT16" s="809"/>
      <c r="CU16" s="809"/>
      <c r="CV16" s="809"/>
      <c r="CW16" s="809"/>
      <c r="CX16" s="809"/>
      <c r="CY16" s="809"/>
      <c r="CZ16" s="809"/>
      <c r="DA16" s="821"/>
      <c r="DB16" s="821"/>
      <c r="DC16" s="821"/>
      <c r="DD16" s="821"/>
      <c r="DE16" s="821"/>
      <c r="DF16" s="821"/>
      <c r="DG16" s="821"/>
      <c r="DH16" s="845"/>
      <c r="DI16" s="846"/>
      <c r="DJ16" s="355"/>
      <c r="DK16" s="355"/>
      <c r="DL16" s="355"/>
      <c r="DM16" s="355"/>
      <c r="DN16" s="355"/>
      <c r="DO16" s="505"/>
      <c r="DP16" s="679"/>
      <c r="DQ16" s="511"/>
      <c r="DR16" s="817"/>
      <c r="DS16" s="957"/>
      <c r="DT16" s="511"/>
      <c r="DU16" s="511"/>
      <c r="DV16" s="511"/>
      <c r="DW16" s="511"/>
      <c r="DX16" s="511"/>
      <c r="DY16" s="511"/>
      <c r="DZ16" s="511"/>
      <c r="EA16" s="511"/>
      <c r="EB16" s="511"/>
      <c r="EC16" s="511"/>
      <c r="ED16" s="511"/>
      <c r="EE16" s="511"/>
      <c r="EF16" s="511"/>
      <c r="EG16" s="511"/>
      <c r="EH16" s="511"/>
      <c r="EI16" s="511"/>
      <c r="EJ16" s="511"/>
      <c r="EK16" s="511"/>
      <c r="EL16" s="511"/>
      <c r="EM16" s="511"/>
      <c r="EN16" s="511">
        <f t="shared" ref="EN16:EN32" si="0">SUM(DV16:EM16)</f>
        <v>0</v>
      </c>
      <c r="EO16" s="1029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</row>
    <row r="17" spans="1:201" s="811" customFormat="1" x14ac:dyDescent="0.2">
      <c r="A17" s="120" t="s">
        <v>1202</v>
      </c>
      <c r="B17" s="825"/>
      <c r="C17" s="177"/>
      <c r="D17" s="1059"/>
      <c r="E17" s="1060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367"/>
      <c r="S17" s="367"/>
      <c r="T17" s="1061"/>
      <c r="U17" s="1061"/>
      <c r="V17" s="815"/>
      <c r="W17" s="816"/>
      <c r="X17" s="816"/>
      <c r="Y17" s="817"/>
      <c r="Z17" s="816"/>
      <c r="AA17" s="818"/>
      <c r="AB17" s="818"/>
      <c r="AC17" s="818"/>
      <c r="AD17" s="818"/>
      <c r="AE17" s="818"/>
      <c r="AF17" s="818"/>
      <c r="AG17" s="818"/>
      <c r="AH17" s="818"/>
      <c r="AI17" s="818"/>
      <c r="AJ17" s="818"/>
      <c r="AK17" s="818"/>
      <c r="AL17" s="818"/>
      <c r="AM17" s="818"/>
      <c r="AN17" s="818"/>
      <c r="AO17" s="818"/>
      <c r="AP17" s="819"/>
      <c r="AQ17" s="819"/>
      <c r="AR17" s="819"/>
      <c r="AS17" s="809"/>
      <c r="AT17" s="809"/>
      <c r="AU17" s="809"/>
      <c r="AV17" s="809"/>
      <c r="AW17" s="809"/>
      <c r="AX17" s="816"/>
      <c r="AY17" s="817"/>
      <c r="AZ17" s="816"/>
      <c r="BA17" s="818"/>
      <c r="BB17" s="818"/>
      <c r="BC17" s="809"/>
      <c r="BD17" s="809"/>
      <c r="BE17" s="809"/>
      <c r="BF17" s="809"/>
      <c r="BG17" s="809"/>
      <c r="BH17" s="809"/>
      <c r="BI17" s="809"/>
      <c r="BJ17" s="809"/>
      <c r="BK17" s="820"/>
      <c r="BL17" s="821"/>
      <c r="BM17" s="821"/>
      <c r="BN17" s="821"/>
      <c r="BO17" s="821"/>
      <c r="BP17" s="821"/>
      <c r="BQ17" s="822"/>
      <c r="BR17" s="823"/>
      <c r="BS17" s="822"/>
      <c r="BT17" s="824"/>
      <c r="BU17" s="824"/>
      <c r="BV17" s="358"/>
      <c r="BW17" s="461"/>
      <c r="BX17" s="367"/>
      <c r="BY17" s="463"/>
      <c r="BZ17" s="464"/>
      <c r="CA17" s="465"/>
      <c r="CB17" s="183"/>
      <c r="CC17" s="465"/>
      <c r="CD17" s="463"/>
      <c r="CE17" s="465"/>
      <c r="CF17" s="463"/>
      <c r="CG17" s="465"/>
      <c r="CH17" s="463"/>
      <c r="CI17" s="367"/>
      <c r="CJ17" s="367"/>
      <c r="CK17" s="367"/>
      <c r="CL17" s="1061"/>
      <c r="CM17" s="1061"/>
      <c r="CN17" s="844"/>
      <c r="CO17" s="817"/>
      <c r="CP17" s="359"/>
      <c r="CQ17" s="355"/>
      <c r="CR17" s="355"/>
      <c r="CS17" s="809"/>
      <c r="CT17" s="809"/>
      <c r="CU17" s="809"/>
      <c r="CV17" s="809"/>
      <c r="CW17" s="809"/>
      <c r="CX17" s="809"/>
      <c r="CY17" s="809"/>
      <c r="CZ17" s="809"/>
      <c r="DA17" s="821"/>
      <c r="DB17" s="821"/>
      <c r="DC17" s="821"/>
      <c r="DD17" s="821"/>
      <c r="DE17" s="821"/>
      <c r="DF17" s="821"/>
      <c r="DG17" s="821"/>
      <c r="DH17" s="845"/>
      <c r="DI17" s="846"/>
      <c r="DJ17" s="355"/>
      <c r="DK17" s="355"/>
      <c r="DL17" s="355"/>
      <c r="DM17" s="355"/>
      <c r="DN17" s="355"/>
      <c r="DO17" s="505"/>
      <c r="DP17" s="679"/>
      <c r="DQ17" s="623"/>
      <c r="DR17" s="817"/>
      <c r="DS17" s="957"/>
      <c r="DT17" s="511"/>
      <c r="DU17" s="511"/>
      <c r="DV17" s="511"/>
      <c r="DW17" s="511"/>
      <c r="DX17" s="511"/>
      <c r="DY17" s="511"/>
      <c r="DZ17" s="511"/>
      <c r="EA17" s="511"/>
      <c r="EB17" s="511"/>
      <c r="EC17" s="511"/>
      <c r="ED17" s="511"/>
      <c r="EE17" s="511"/>
      <c r="EF17" s="511"/>
      <c r="EG17" s="511"/>
      <c r="EH17" s="511"/>
      <c r="EI17" s="511"/>
      <c r="EJ17" s="511"/>
      <c r="EK17" s="511"/>
      <c r="EL17" s="511"/>
      <c r="EM17" s="511"/>
      <c r="EN17" s="511">
        <f t="shared" si="0"/>
        <v>0</v>
      </c>
      <c r="EO17" s="1029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</row>
    <row r="18" spans="1:201" s="213" customFormat="1" x14ac:dyDescent="0.2">
      <c r="A18" s="215" t="s">
        <v>1203</v>
      </c>
      <c r="B18" s="826" t="s">
        <v>1204</v>
      </c>
      <c r="C18" s="216" t="s">
        <v>1030</v>
      </c>
      <c r="D18" s="1062"/>
      <c r="E18" s="1063"/>
      <c r="F18" s="795"/>
      <c r="G18" s="795"/>
      <c r="H18" s="795"/>
      <c r="I18" s="795"/>
      <c r="J18" s="795"/>
      <c r="K18" s="795"/>
      <c r="L18" s="795"/>
      <c r="M18" s="795"/>
      <c r="N18" s="795"/>
      <c r="O18" s="795"/>
      <c r="P18" s="795"/>
      <c r="Q18" s="795"/>
      <c r="R18" s="214"/>
      <c r="S18" s="214"/>
      <c r="T18" s="1064"/>
      <c r="U18" s="1064"/>
      <c r="V18" s="830"/>
      <c r="W18" s="831"/>
      <c r="X18" s="831"/>
      <c r="Y18" s="832"/>
      <c r="Z18" s="831"/>
      <c r="AA18" s="833"/>
      <c r="AB18" s="833"/>
      <c r="AC18" s="833"/>
      <c r="AD18" s="833"/>
      <c r="AE18" s="833"/>
      <c r="AF18" s="833"/>
      <c r="AG18" s="833"/>
      <c r="AH18" s="833"/>
      <c r="AI18" s="833"/>
      <c r="AJ18" s="833"/>
      <c r="AK18" s="833"/>
      <c r="AL18" s="833"/>
      <c r="AM18" s="833"/>
      <c r="AN18" s="833"/>
      <c r="AO18" s="833"/>
      <c r="AP18" s="834"/>
      <c r="AQ18" s="834"/>
      <c r="AR18" s="834"/>
      <c r="AS18" s="801"/>
      <c r="AT18" s="801"/>
      <c r="AU18" s="801"/>
      <c r="AV18" s="801"/>
      <c r="AW18" s="801"/>
      <c r="AX18" s="831"/>
      <c r="AY18" s="832"/>
      <c r="AZ18" s="831"/>
      <c r="BA18" s="833"/>
      <c r="BB18" s="833"/>
      <c r="BC18" s="801"/>
      <c r="BD18" s="801"/>
      <c r="BE18" s="801"/>
      <c r="BF18" s="801"/>
      <c r="BG18" s="801"/>
      <c r="BH18" s="801"/>
      <c r="BI18" s="801"/>
      <c r="BJ18" s="801"/>
      <c r="BK18" s="835"/>
      <c r="BL18" s="836"/>
      <c r="BM18" s="836"/>
      <c r="BN18" s="836"/>
      <c r="BO18" s="836"/>
      <c r="BP18" s="836"/>
      <c r="BQ18" s="837"/>
      <c r="BR18" s="838"/>
      <c r="BS18" s="837"/>
      <c r="BT18" s="839"/>
      <c r="BU18" s="839"/>
      <c r="BV18" s="217">
        <v>10</v>
      </c>
      <c r="BW18" s="840">
        <v>0.1</v>
      </c>
      <c r="BX18" s="214">
        <v>43281</v>
      </c>
      <c r="BY18" s="220">
        <v>120</v>
      </c>
      <c r="BZ18" s="221">
        <f>100/BY18</f>
        <v>0.83333333333333337</v>
      </c>
      <c r="CA18" s="222">
        <v>0</v>
      </c>
      <c r="CB18" s="48">
        <f>(YEAR(BX18)-YEAR(CK18))*12+MONTH(BX18)-MONTH(CK18)</f>
        <v>10</v>
      </c>
      <c r="CC18" s="222">
        <f>CD18*BZ18</f>
        <v>91.666666666666671</v>
      </c>
      <c r="CD18" s="220">
        <f>BY18-CB18</f>
        <v>110</v>
      </c>
      <c r="CE18" s="222">
        <f>CF18*BZ18</f>
        <v>8.3333333333333339</v>
      </c>
      <c r="CF18" s="220">
        <v>10</v>
      </c>
      <c r="CG18" s="222">
        <f>CC18-CE18</f>
        <v>83.333333333333343</v>
      </c>
      <c r="CH18" s="220">
        <f>CD18-CF18</f>
        <v>100</v>
      </c>
      <c r="CI18" s="214">
        <v>46619</v>
      </c>
      <c r="CJ18" s="214" t="s">
        <v>1205</v>
      </c>
      <c r="CK18" s="214">
        <v>42967</v>
      </c>
      <c r="CL18" s="1064">
        <v>6000</v>
      </c>
      <c r="CM18" s="1064">
        <v>6000</v>
      </c>
      <c r="CN18" s="841">
        <v>126.408</v>
      </c>
      <c r="CO18" s="832">
        <v>127.51300000000001</v>
      </c>
      <c r="CP18" s="225">
        <f>CN18/CO18</f>
        <v>0.99133421690337453</v>
      </c>
      <c r="CQ18" s="227">
        <f>CM18/BY18</f>
        <v>50</v>
      </c>
      <c r="CR18" s="227">
        <f>CQ18*CP18</f>
        <v>49.566710845168728</v>
      </c>
      <c r="CS18" s="801"/>
      <c r="CT18" s="801"/>
      <c r="CU18" s="801"/>
      <c r="CV18" s="801"/>
      <c r="CW18" s="801"/>
      <c r="CX18" s="801"/>
      <c r="CY18" s="801"/>
      <c r="CZ18"/>
      <c r="DA18" s="836"/>
      <c r="DB18" s="836"/>
      <c r="DC18" s="836"/>
      <c r="DD18" s="836">
        <v>49.57</v>
      </c>
      <c r="DE18" s="836">
        <v>49.57</v>
      </c>
      <c r="DF18" s="836">
        <v>49.57</v>
      </c>
      <c r="DG18" s="836">
        <v>49.57</v>
      </c>
      <c r="DH18" s="842">
        <f>SUM(DA18:DG18)</f>
        <v>198.28</v>
      </c>
      <c r="DI18" s="843">
        <f>CM18-DH18</f>
        <v>5801.72</v>
      </c>
      <c r="DJ18" s="227">
        <v>49.57</v>
      </c>
      <c r="DK18" s="227">
        <v>49.57</v>
      </c>
      <c r="DL18" s="227">
        <v>49.57</v>
      </c>
      <c r="DM18" s="227">
        <v>49.57</v>
      </c>
      <c r="DN18" s="227">
        <v>49.57</v>
      </c>
      <c r="DO18" s="505">
        <f>SUM(DJ18:DN18)</f>
        <v>247.85</v>
      </c>
      <c r="DP18" s="679">
        <f>DI18-DO18</f>
        <v>5553.87</v>
      </c>
      <c r="DQ18" s="956">
        <v>132.28200000000001</v>
      </c>
      <c r="DR18" s="832">
        <v>127.51300000000001</v>
      </c>
      <c r="DS18" s="957">
        <f>DQ18/DR18</f>
        <v>1.0374001082242594</v>
      </c>
      <c r="DT18" s="511">
        <f>DP18/CD18</f>
        <v>50.489727272727272</v>
      </c>
      <c r="DU18" s="511">
        <f>DT18*DS18</f>
        <v>52.378048536940618</v>
      </c>
      <c r="DV18" s="511">
        <v>52.378048536940618</v>
      </c>
      <c r="DW18" s="511">
        <v>52.378048536940618</v>
      </c>
      <c r="DX18" s="511">
        <v>52.378048536940618</v>
      </c>
      <c r="DY18" s="511">
        <v>52.378048536940618</v>
      </c>
      <c r="DZ18" s="511">
        <v>52.378048536940618</v>
      </c>
      <c r="EA18" s="511">
        <v>52.378048536940618</v>
      </c>
      <c r="EB18" s="511">
        <v>52.378048536940618</v>
      </c>
      <c r="EC18" s="511">
        <v>52.378048536940618</v>
      </c>
      <c r="ED18" s="511">
        <v>52.378048536940618</v>
      </c>
      <c r="EE18" s="511">
        <v>52.378048536940618</v>
      </c>
      <c r="EF18" s="511">
        <v>52.378048536940618</v>
      </c>
      <c r="EG18" s="511">
        <v>52.378048536940618</v>
      </c>
      <c r="EH18" s="511">
        <v>52.378048536940618</v>
      </c>
      <c r="EI18" s="511">
        <v>52.378048536940618</v>
      </c>
      <c r="EJ18" s="511">
        <v>52.378048536940618</v>
      </c>
      <c r="EK18" s="511">
        <v>52.378048536940618</v>
      </c>
      <c r="EL18" s="511">
        <v>52.378048536940618</v>
      </c>
      <c r="EM18" s="511">
        <v>52.378048536940618</v>
      </c>
      <c r="EN18" s="511">
        <f t="shared" si="0"/>
        <v>942.80487366493094</v>
      </c>
      <c r="EO18" s="960">
        <f>DP18-EN18</f>
        <v>4611.0651263350692</v>
      </c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</row>
    <row r="19" spans="1:201" s="16" customFormat="1" x14ac:dyDescent="0.2">
      <c r="A19" s="120" t="s">
        <v>65</v>
      </c>
      <c r="B19" s="126"/>
      <c r="C19" s="45"/>
      <c r="D19" s="143"/>
      <c r="E19" s="28"/>
      <c r="F19" s="46"/>
      <c r="G19" s="58"/>
      <c r="H19" s="145"/>
      <c r="I19" s="165"/>
      <c r="J19" s="48"/>
      <c r="K19" s="165"/>
      <c r="L19" s="48"/>
      <c r="M19" s="165"/>
      <c r="N19" s="48"/>
      <c r="O19" s="165"/>
      <c r="P19" s="48"/>
      <c r="Q19" s="48"/>
      <c r="R19" s="125"/>
      <c r="S19" s="128"/>
      <c r="T19" s="251"/>
      <c r="U19" s="72"/>
      <c r="V19" s="776"/>
      <c r="W19" s="776"/>
      <c r="X19" s="47"/>
      <c r="Y19" s="106"/>
      <c r="Z19" s="257"/>
      <c r="AA19" s="57"/>
      <c r="AB19" s="57"/>
      <c r="AC19" s="57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72"/>
      <c r="AT19" s="55"/>
      <c r="AU19" s="55"/>
      <c r="AV19" s="55"/>
      <c r="AW19" s="55"/>
      <c r="AX19" s="55"/>
      <c r="AY19" s="55"/>
      <c r="AZ19" s="55"/>
      <c r="BA19" s="57"/>
      <c r="BB19" s="57"/>
      <c r="BC19" s="57"/>
      <c r="BD19" s="165"/>
      <c r="BE19" s="165"/>
      <c r="BF19" s="55"/>
      <c r="BG19" s="55"/>
      <c r="BH19" s="55"/>
      <c r="BI19" s="55"/>
      <c r="BJ19" s="55"/>
      <c r="BK19" s="55"/>
      <c r="BL19" s="55"/>
      <c r="BM19" s="55"/>
      <c r="BN19" s="448"/>
      <c r="BO19" s="55"/>
      <c r="BP19" s="55"/>
      <c r="BQ19" s="55"/>
      <c r="BR19" s="55"/>
      <c r="BS19" s="55"/>
      <c r="BT19" s="55"/>
      <c r="BU19" s="448"/>
      <c r="BV19" s="28"/>
      <c r="BW19" s="136"/>
      <c r="BX19" s="28"/>
      <c r="BY19" s="28"/>
      <c r="BZ19" s="28"/>
      <c r="CA19" s="755"/>
      <c r="CB19" s="755"/>
      <c r="CC19" s="755"/>
      <c r="CD19" s="755"/>
      <c r="CE19" s="755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505"/>
      <c r="DP19" s="679"/>
      <c r="DQ19" s="623"/>
      <c r="DR19" s="28"/>
      <c r="DS19" s="957"/>
      <c r="DT19" s="511"/>
      <c r="DU19" s="511"/>
      <c r="DV19" s="511"/>
      <c r="DW19" s="511"/>
      <c r="DX19" s="511"/>
      <c r="DY19" s="511"/>
      <c r="DZ19" s="511"/>
      <c r="EA19" s="511"/>
      <c r="EB19" s="511"/>
      <c r="EC19" s="511"/>
      <c r="ED19" s="511"/>
      <c r="EE19" s="511"/>
      <c r="EF19" s="511"/>
      <c r="EG19" s="511"/>
      <c r="EH19" s="511"/>
      <c r="EI19" s="511"/>
      <c r="EJ19" s="511"/>
      <c r="EK19" s="511"/>
      <c r="EL19" s="511"/>
      <c r="EM19" s="511"/>
      <c r="EN19" s="511">
        <f t="shared" si="0"/>
        <v>0</v>
      </c>
      <c r="EO19" s="1029"/>
    </row>
    <row r="20" spans="1:201" s="16" customFormat="1" x14ac:dyDescent="0.2">
      <c r="A20" s="120" t="s">
        <v>110</v>
      </c>
      <c r="B20" s="126"/>
      <c r="C20" s="45"/>
      <c r="D20" s="143"/>
      <c r="E20" s="28"/>
      <c r="F20" s="46"/>
      <c r="G20" s="58"/>
      <c r="H20" s="145"/>
      <c r="I20" s="165"/>
      <c r="J20" s="48"/>
      <c r="K20" s="165"/>
      <c r="L20" s="48"/>
      <c r="M20" s="165"/>
      <c r="N20" s="48"/>
      <c r="O20" s="165"/>
      <c r="P20" s="48"/>
      <c r="Q20" s="48"/>
      <c r="R20" s="125"/>
      <c r="S20" s="128"/>
      <c r="T20" s="251"/>
      <c r="U20" s="72"/>
      <c r="V20" s="776"/>
      <c r="W20" s="776"/>
      <c r="X20" s="47"/>
      <c r="Y20" s="106"/>
      <c r="Z20" s="257"/>
      <c r="AA20" s="57"/>
      <c r="AB20" s="57"/>
      <c r="AC20" s="57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72"/>
      <c r="AT20" s="55"/>
      <c r="AU20" s="55"/>
      <c r="AV20" s="55"/>
      <c r="AW20" s="55"/>
      <c r="AX20" s="55"/>
      <c r="AY20" s="55"/>
      <c r="AZ20" s="55"/>
      <c r="BA20" s="57"/>
      <c r="BB20" s="57"/>
      <c r="BC20" s="57"/>
      <c r="BD20" s="165"/>
      <c r="BE20" s="165"/>
      <c r="BF20" s="55"/>
      <c r="BG20" s="55"/>
      <c r="BH20" s="55"/>
      <c r="BI20" s="55"/>
      <c r="BJ20" s="55"/>
      <c r="BK20" s="55"/>
      <c r="BL20" s="55"/>
      <c r="BM20" s="55"/>
      <c r="BN20" s="448"/>
      <c r="BO20" s="55"/>
      <c r="BP20" s="55"/>
      <c r="BQ20" s="55"/>
      <c r="BR20" s="55"/>
      <c r="BS20" s="55"/>
      <c r="BT20" s="55"/>
      <c r="BU20" s="448"/>
      <c r="BV20" s="28"/>
      <c r="BW20" s="136"/>
      <c r="BX20" s="28"/>
      <c r="BY20" s="28"/>
      <c r="BZ20" s="28"/>
      <c r="CA20" s="755"/>
      <c r="CB20" s="755"/>
      <c r="CC20" s="755"/>
      <c r="CD20" s="755"/>
      <c r="CE20" s="755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505"/>
      <c r="DP20" s="679"/>
      <c r="DQ20" s="956"/>
      <c r="DR20" s="28"/>
      <c r="DS20" s="957"/>
      <c r="DT20" s="511"/>
      <c r="DU20" s="511"/>
      <c r="DV20" s="511"/>
      <c r="DW20" s="511"/>
      <c r="DX20" s="511"/>
      <c r="DY20" s="511"/>
      <c r="DZ20" s="511"/>
      <c r="EA20" s="511"/>
      <c r="EB20" s="511"/>
      <c r="EC20" s="511"/>
      <c r="ED20" s="511"/>
      <c r="EE20" s="511"/>
      <c r="EF20" s="511"/>
      <c r="EG20" s="511"/>
      <c r="EH20" s="511"/>
      <c r="EI20" s="511"/>
      <c r="EJ20" s="511"/>
      <c r="EK20" s="511"/>
      <c r="EL20" s="511"/>
      <c r="EM20" s="511"/>
      <c r="EN20" s="511">
        <f t="shared" si="0"/>
        <v>0</v>
      </c>
      <c r="EO20" s="960"/>
    </row>
    <row r="21" spans="1:201" s="213" customFormat="1" x14ac:dyDescent="0.2">
      <c r="A21" s="847" t="s">
        <v>1221</v>
      </c>
      <c r="B21" s="215" t="s">
        <v>1222</v>
      </c>
      <c r="C21" s="216" t="s">
        <v>1030</v>
      </c>
      <c r="D21" s="795">
        <v>10</v>
      </c>
      <c r="E21" s="796">
        <v>0.1</v>
      </c>
      <c r="F21" s="219">
        <v>43038</v>
      </c>
      <c r="G21" s="217"/>
      <c r="H21" s="221"/>
      <c r="I21" s="222"/>
      <c r="J21" s="220"/>
      <c r="K21" s="222"/>
      <c r="L21" s="220"/>
      <c r="M21" s="222"/>
      <c r="N21" s="220"/>
      <c r="O21" s="222"/>
      <c r="P21" s="220"/>
      <c r="Q21" s="219">
        <v>43005</v>
      </c>
      <c r="R21" s="795" t="s">
        <v>1223</v>
      </c>
      <c r="S21" s="797">
        <v>43005</v>
      </c>
      <c r="T21" s="923">
        <v>2700</v>
      </c>
      <c r="U21" s="228"/>
      <c r="V21" s="1065"/>
      <c r="W21" s="1065"/>
      <c r="X21" s="223"/>
      <c r="Y21" s="224"/>
      <c r="Z21" s="924"/>
      <c r="AA21" s="225"/>
      <c r="AB21" s="225"/>
      <c r="AC21" s="225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8"/>
      <c r="AT21" s="227"/>
      <c r="AU21" s="227"/>
      <c r="AV21" s="227"/>
      <c r="AW21" s="227"/>
      <c r="AX21" s="227"/>
      <c r="AY21" s="227"/>
      <c r="AZ21" s="227"/>
      <c r="BA21" s="225"/>
      <c r="BB21" s="225"/>
      <c r="BC21" s="225"/>
      <c r="BD21" s="222"/>
      <c r="BE21" s="222"/>
      <c r="BF21" s="227"/>
      <c r="BG21" s="227"/>
      <c r="BH21" s="227"/>
      <c r="BI21" s="227"/>
      <c r="BJ21" s="227"/>
      <c r="BK21" s="227"/>
      <c r="BL21" s="227"/>
      <c r="BM21" s="227"/>
      <c r="BN21" s="800"/>
      <c r="BO21" s="227"/>
      <c r="BP21" s="227"/>
      <c r="BQ21" s="227"/>
      <c r="BR21" s="227"/>
      <c r="BS21" s="227"/>
      <c r="BT21" s="227"/>
      <c r="BU21" s="923">
        <v>2700</v>
      </c>
      <c r="BV21" s="217">
        <v>10</v>
      </c>
      <c r="BW21" s="840">
        <v>0.1</v>
      </c>
      <c r="BX21" s="214">
        <v>43281</v>
      </c>
      <c r="BY21" s="220">
        <v>120</v>
      </c>
      <c r="BZ21" s="221">
        <f>100/BY21</f>
        <v>0.83333333333333337</v>
      </c>
      <c r="CA21" s="222">
        <v>0</v>
      </c>
      <c r="CB21" s="48">
        <f>(YEAR(BX21)-YEAR(CK21))*12+MONTH(BX21)-MONTH(CK21)</f>
        <v>10</v>
      </c>
      <c r="CC21" s="222">
        <f>CD21*BZ21</f>
        <v>91.666666666666671</v>
      </c>
      <c r="CD21" s="220">
        <f>BY21-CB21</f>
        <v>110</v>
      </c>
      <c r="CE21" s="222">
        <f>CF21*BZ21</f>
        <v>8.3333333333333339</v>
      </c>
      <c r="CF21" s="220">
        <v>10</v>
      </c>
      <c r="CG21" s="222">
        <f>CC21-CE21</f>
        <v>83.333333333333343</v>
      </c>
      <c r="CH21" s="220">
        <f>CD21-CF21</f>
        <v>100</v>
      </c>
      <c r="CI21" s="797">
        <v>46626</v>
      </c>
      <c r="CJ21" s="874" t="s">
        <v>1223</v>
      </c>
      <c r="CK21" s="797">
        <v>42974</v>
      </c>
      <c r="CL21" s="925">
        <v>2700</v>
      </c>
      <c r="CM21" s="925">
        <v>2700</v>
      </c>
      <c r="CN21" s="225">
        <v>126.408</v>
      </c>
      <c r="CO21" s="225">
        <v>127.91200000000001</v>
      </c>
      <c r="CP21" s="225">
        <f>CN21/CO21</f>
        <v>0.98824191631746827</v>
      </c>
      <c r="CQ21" s="227">
        <f>CM21/BY21</f>
        <v>22.5</v>
      </c>
      <c r="CR21" s="227">
        <f>CQ21*CP21</f>
        <v>22.235443117143035</v>
      </c>
      <c r="CS21" s="801"/>
      <c r="CT21" s="801"/>
      <c r="CU21" s="801"/>
      <c r="CV21" s="801"/>
      <c r="CW21" s="801"/>
      <c r="CX21" s="801"/>
      <c r="CY21" s="801"/>
      <c r="CZ21" s="801"/>
      <c r="DA21" s="836"/>
      <c r="DB21" s="836"/>
      <c r="DC21" s="836"/>
      <c r="DD21" s="836">
        <v>22.24</v>
      </c>
      <c r="DE21" s="836">
        <v>22.24</v>
      </c>
      <c r="DF21" s="836">
        <v>22.24</v>
      </c>
      <c r="DG21" s="836">
        <v>22.24</v>
      </c>
      <c r="DH21" s="842">
        <f>SUM(DA21:DG21)</f>
        <v>88.96</v>
      </c>
      <c r="DI21" s="843">
        <f>CM21-DH21</f>
        <v>2611.04</v>
      </c>
      <c r="DJ21" s="227">
        <v>22.24</v>
      </c>
      <c r="DK21" s="227">
        <v>22.24</v>
      </c>
      <c r="DL21" s="227">
        <v>22.24</v>
      </c>
      <c r="DM21" s="227">
        <v>22.24</v>
      </c>
      <c r="DN21" s="227">
        <v>22.24</v>
      </c>
      <c r="DO21" s="505">
        <f>SUM(DJ21:DN21)</f>
        <v>111.19999999999999</v>
      </c>
      <c r="DP21" s="679">
        <f>DI21-DO21</f>
        <v>2499.84</v>
      </c>
      <c r="DQ21" s="956">
        <v>132.28200000000001</v>
      </c>
      <c r="DR21" s="225">
        <v>127.91200000000001</v>
      </c>
      <c r="DS21" s="957">
        <f>DQ21/DR21</f>
        <v>1.0341641128275689</v>
      </c>
      <c r="DT21" s="511">
        <f>DP21/CD21</f>
        <v>22.725818181818184</v>
      </c>
      <c r="DU21" s="511">
        <f>DT21*DS21</f>
        <v>23.502225598280639</v>
      </c>
      <c r="DV21" s="511">
        <v>23.502225598280639</v>
      </c>
      <c r="DW21" s="511">
        <v>23.502225598280639</v>
      </c>
      <c r="DX21" s="511">
        <v>23.502225598280639</v>
      </c>
      <c r="DY21" s="511">
        <v>23.502225598280639</v>
      </c>
      <c r="DZ21" s="511">
        <v>23.502225598280639</v>
      </c>
      <c r="EA21" s="511">
        <v>23.502225598280639</v>
      </c>
      <c r="EB21" s="511">
        <v>23.502225598280639</v>
      </c>
      <c r="EC21" s="511">
        <v>23.502225598280639</v>
      </c>
      <c r="ED21" s="511">
        <v>23.502225598280639</v>
      </c>
      <c r="EE21" s="511">
        <v>23.502225598280639</v>
      </c>
      <c r="EF21" s="511">
        <v>23.502225598280639</v>
      </c>
      <c r="EG21" s="511">
        <v>23.502225598280639</v>
      </c>
      <c r="EH21" s="511">
        <v>23.502225598280639</v>
      </c>
      <c r="EI21" s="511">
        <v>23.502225598280639</v>
      </c>
      <c r="EJ21" s="511">
        <v>23.502225598280639</v>
      </c>
      <c r="EK21" s="511">
        <v>23.502225598280639</v>
      </c>
      <c r="EL21" s="511">
        <v>23.502225598280639</v>
      </c>
      <c r="EM21" s="511">
        <v>23.502225598280639</v>
      </c>
      <c r="EN21" s="511">
        <f t="shared" si="0"/>
        <v>423.04006076905142</v>
      </c>
      <c r="EO21" s="960">
        <f>DP21-EN21</f>
        <v>2076.7999392309489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</row>
    <row r="22" spans="1:201" s="811" customFormat="1" x14ac:dyDescent="0.2">
      <c r="A22" s="120" t="s">
        <v>65</v>
      </c>
      <c r="B22" s="814"/>
      <c r="C22" s="409"/>
      <c r="D22" s="1059"/>
      <c r="E22" s="1060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367"/>
      <c r="S22" s="367"/>
      <c r="T22" s="1061"/>
      <c r="U22" s="1061"/>
      <c r="V22" s="815"/>
      <c r="W22" s="816"/>
      <c r="X22" s="816"/>
      <c r="Y22" s="817"/>
      <c r="Z22" s="816"/>
      <c r="AA22" s="818"/>
      <c r="AB22" s="818"/>
      <c r="AC22" s="818"/>
      <c r="AD22" s="818"/>
      <c r="AE22" s="818"/>
      <c r="AF22" s="818"/>
      <c r="AG22" s="818"/>
      <c r="AH22" s="818"/>
      <c r="AI22" s="818"/>
      <c r="AJ22" s="818"/>
      <c r="AK22" s="818"/>
      <c r="AL22" s="818"/>
      <c r="AM22" s="818"/>
      <c r="AN22" s="818"/>
      <c r="AO22" s="818"/>
      <c r="AP22" s="819"/>
      <c r="AQ22" s="819"/>
      <c r="AR22" s="819"/>
      <c r="AS22" s="809"/>
      <c r="AT22" s="809"/>
      <c r="AU22" s="809"/>
      <c r="AV22" s="809"/>
      <c r="AW22" s="809"/>
      <c r="AX22" s="816"/>
      <c r="AY22" s="817"/>
      <c r="AZ22" s="816"/>
      <c r="BA22" s="818"/>
      <c r="BB22" s="818"/>
      <c r="BC22" s="809"/>
      <c r="BD22" s="809"/>
      <c r="BE22" s="809"/>
      <c r="BF22" s="809"/>
      <c r="BG22" s="809"/>
      <c r="BH22" s="809"/>
      <c r="BI22" s="809"/>
      <c r="BJ22" s="809"/>
      <c r="BK22" s="820"/>
      <c r="BL22" s="821"/>
      <c r="BM22" s="821"/>
      <c r="BN22" s="821"/>
      <c r="BO22" s="821"/>
      <c r="BP22" s="821"/>
      <c r="BQ22" s="822"/>
      <c r="BR22" s="823"/>
      <c r="BS22" s="822"/>
      <c r="BT22" s="824"/>
      <c r="BU22" s="824"/>
      <c r="BV22" s="1059"/>
      <c r="BW22" s="1060"/>
      <c r="BX22" s="183"/>
      <c r="BY22" s="183"/>
      <c r="BZ22" s="183"/>
      <c r="CA22" s="183"/>
      <c r="CB22" s="183"/>
      <c r="CC22" s="183"/>
      <c r="CD22" s="183"/>
      <c r="CE22" s="183"/>
      <c r="CF22" s="183"/>
      <c r="CG22" s="183"/>
      <c r="CH22" s="183"/>
      <c r="CI22" s="183"/>
      <c r="CJ22" s="367"/>
      <c r="CK22" s="367"/>
      <c r="CL22" s="1061"/>
      <c r="CM22" s="809"/>
      <c r="CN22" s="816"/>
      <c r="CO22" s="817"/>
      <c r="CP22" s="816"/>
      <c r="CQ22" s="818"/>
      <c r="CR22" s="818"/>
      <c r="CS22" s="809"/>
      <c r="CT22" s="809"/>
      <c r="CU22" s="809"/>
      <c r="CV22" s="809"/>
      <c r="CW22" s="809"/>
      <c r="CX22" s="809"/>
      <c r="CY22" s="809"/>
      <c r="CZ22" s="821"/>
      <c r="DA22" s="821"/>
      <c r="DB22" s="821"/>
      <c r="DC22" s="821"/>
      <c r="DD22" s="821"/>
      <c r="DE22" s="821"/>
      <c r="DF22" s="821"/>
      <c r="DG22" s="821"/>
      <c r="DH22" s="821"/>
      <c r="DI22" s="820"/>
      <c r="DJ22" s="818"/>
      <c r="DK22" s="818"/>
      <c r="DL22" s="818"/>
      <c r="DM22" s="818"/>
      <c r="DN22" s="818"/>
      <c r="DO22" s="505"/>
      <c r="DP22" s="679"/>
      <c r="DQ22" s="623"/>
      <c r="DR22" s="817"/>
      <c r="DS22" s="957"/>
      <c r="DT22" s="511"/>
      <c r="DU22" s="511"/>
      <c r="DV22" s="511"/>
      <c r="DW22" s="511"/>
      <c r="DX22" s="511"/>
      <c r="DY22" s="511"/>
      <c r="DZ22" s="511"/>
      <c r="EA22" s="511"/>
      <c r="EB22" s="511"/>
      <c r="EC22" s="511"/>
      <c r="ED22" s="511"/>
      <c r="EE22" s="511"/>
      <c r="EF22" s="511"/>
      <c r="EG22" s="511"/>
      <c r="EH22" s="511"/>
      <c r="EI22" s="511"/>
      <c r="EJ22" s="511"/>
      <c r="EK22" s="511"/>
      <c r="EL22" s="511"/>
      <c r="EM22" s="511"/>
      <c r="EN22" s="511">
        <f t="shared" si="0"/>
        <v>0</v>
      </c>
      <c r="EO22" s="1029"/>
      <c r="EP22" s="16"/>
      <c r="EQ22" s="16"/>
      <c r="ER22" s="16"/>
      <c r="ES22" s="16"/>
      <c r="ET22" s="16"/>
      <c r="EU22" s="16"/>
      <c r="EV22" s="16"/>
      <c r="EW22" s="16"/>
    </row>
    <row r="23" spans="1:201" s="16" customFormat="1" x14ac:dyDescent="0.2">
      <c r="A23" s="120" t="s">
        <v>1037</v>
      </c>
      <c r="B23" s="172"/>
      <c r="C23" s="120"/>
      <c r="D23" s="8"/>
      <c r="E23" s="130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19"/>
      <c r="S23" s="119"/>
      <c r="T23" s="134"/>
      <c r="U23" s="134"/>
      <c r="V23" s="108"/>
      <c r="W23" s="66"/>
      <c r="X23" s="66"/>
      <c r="Y23" s="112"/>
      <c r="Z23" s="66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73"/>
      <c r="AQ23" s="73"/>
      <c r="AR23" s="73"/>
      <c r="AS23" s="32"/>
      <c r="AT23" s="32"/>
      <c r="AU23" s="32"/>
      <c r="AV23" s="32"/>
      <c r="AW23" s="32"/>
      <c r="AX23" s="66"/>
      <c r="AY23" s="112"/>
      <c r="AZ23" s="66"/>
      <c r="BA23" s="65"/>
      <c r="BB23" s="65"/>
      <c r="BC23" s="32"/>
      <c r="BD23" s="32"/>
      <c r="BE23" s="32"/>
      <c r="BF23" s="32"/>
      <c r="BG23" s="32"/>
      <c r="BH23" s="32"/>
      <c r="BI23" s="32"/>
      <c r="BJ23" s="32"/>
      <c r="BK23" s="672"/>
      <c r="BL23" s="673"/>
      <c r="BM23" s="673"/>
      <c r="BN23" s="673"/>
      <c r="BO23" s="673"/>
      <c r="BP23" s="673"/>
      <c r="BQ23" s="674"/>
      <c r="BR23" s="677"/>
      <c r="BS23" s="674"/>
      <c r="BT23" s="676"/>
      <c r="BU23" s="676"/>
      <c r="BV23" s="8"/>
      <c r="BW23" s="130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19"/>
      <c r="CK23" s="119"/>
      <c r="CL23" s="134"/>
      <c r="CM23" s="32"/>
      <c r="CN23" s="66"/>
      <c r="CO23" s="112"/>
      <c r="CP23" s="66"/>
      <c r="CQ23" s="65"/>
      <c r="CR23" s="65"/>
      <c r="CS23" s="32"/>
      <c r="CT23" s="32"/>
      <c r="CU23" s="32"/>
      <c r="CV23" s="32"/>
      <c r="CW23" s="32"/>
      <c r="CX23" s="32"/>
      <c r="CY23" s="32"/>
      <c r="CZ23" s="673"/>
      <c r="DA23" s="673"/>
      <c r="DB23" s="673"/>
      <c r="DC23" s="673"/>
      <c r="DD23" s="673"/>
      <c r="DE23" s="673"/>
      <c r="DF23" s="673"/>
      <c r="DG23" s="673"/>
      <c r="DH23" s="673"/>
      <c r="DI23" s="672"/>
      <c r="DJ23" s="65"/>
      <c r="DK23" s="65"/>
      <c r="DL23" s="65"/>
      <c r="DM23" s="65"/>
      <c r="DN23" s="65"/>
      <c r="DO23" s="505"/>
      <c r="DP23" s="679"/>
      <c r="DQ23" s="656"/>
      <c r="DR23" s="112"/>
      <c r="DS23" s="957"/>
      <c r="DT23" s="511"/>
      <c r="DU23" s="511"/>
      <c r="DV23" s="511"/>
      <c r="DW23" s="511"/>
      <c r="DX23" s="511"/>
      <c r="DY23" s="511"/>
      <c r="DZ23" s="511"/>
      <c r="EA23" s="511"/>
      <c r="EB23" s="511"/>
      <c r="EC23" s="511"/>
      <c r="ED23" s="511"/>
      <c r="EE23" s="511"/>
      <c r="EF23" s="511"/>
      <c r="EG23" s="511"/>
      <c r="EH23" s="511"/>
      <c r="EI23" s="511"/>
      <c r="EJ23" s="511"/>
      <c r="EK23" s="511"/>
      <c r="EL23" s="511"/>
      <c r="EM23" s="511"/>
      <c r="EN23" s="511">
        <f t="shared" si="0"/>
        <v>0</v>
      </c>
      <c r="EO23" s="1029"/>
    </row>
    <row r="24" spans="1:201" s="16" customFormat="1" ht="15" x14ac:dyDescent="0.2">
      <c r="A24" s="45" t="s">
        <v>1038</v>
      </c>
      <c r="B24" s="45" t="s">
        <v>1039</v>
      </c>
      <c r="C24" s="45" t="s">
        <v>1030</v>
      </c>
      <c r="D24" s="58">
        <v>3</v>
      </c>
      <c r="E24" s="49">
        <v>0.33329999999999999</v>
      </c>
      <c r="F24" s="46">
        <v>42661</v>
      </c>
      <c r="G24" s="48">
        <v>36</v>
      </c>
      <c r="H24" s="145">
        <f>100/G24</f>
        <v>2.7777777777777777</v>
      </c>
      <c r="I24" s="165">
        <f>H24*J24</f>
        <v>0</v>
      </c>
      <c r="J24" s="48">
        <v>0</v>
      </c>
      <c r="K24" s="165">
        <f>L24*H24</f>
        <v>100</v>
      </c>
      <c r="L24" s="48">
        <f>G24-J24</f>
        <v>36</v>
      </c>
      <c r="M24" s="165">
        <f>N24*H24</f>
        <v>0</v>
      </c>
      <c r="N24" s="48">
        <v>0</v>
      </c>
      <c r="O24" s="165">
        <f>P24*H24</f>
        <v>100</v>
      </c>
      <c r="P24" s="48">
        <f>L24-N24</f>
        <v>36</v>
      </c>
      <c r="Q24" s="46">
        <v>42428</v>
      </c>
      <c r="R24" s="46" t="s">
        <v>1040</v>
      </c>
      <c r="S24" s="46">
        <v>42661</v>
      </c>
      <c r="T24" s="47">
        <v>9410.57</v>
      </c>
      <c r="U24" s="47">
        <v>0</v>
      </c>
      <c r="V24" s="106">
        <v>0</v>
      </c>
      <c r="W24" s="165">
        <v>0</v>
      </c>
      <c r="X24" s="57">
        <v>0</v>
      </c>
      <c r="Y24" s="80">
        <v>0</v>
      </c>
      <c r="Z24" s="57" t="e">
        <f>X24/Y24</f>
        <v>#DIV/0!</v>
      </c>
      <c r="AA24" s="55">
        <f>U24*M24/100/K24*100/7</f>
        <v>0</v>
      </c>
      <c r="AB24" s="55" t="e">
        <f>AA24*Z24</f>
        <v>#DIV/0!</v>
      </c>
      <c r="AC24" s="55"/>
      <c r="AD24" s="55"/>
      <c r="AE24" s="55"/>
      <c r="AF24" s="55"/>
      <c r="AG24" s="55"/>
      <c r="AH24" s="55" t="e">
        <f>AB24</f>
        <v>#DIV/0!</v>
      </c>
      <c r="AI24" s="55">
        <v>274.29533001433202</v>
      </c>
      <c r="AJ24" s="55">
        <v>274.29533001433202</v>
      </c>
      <c r="AK24" s="55">
        <v>274.29533001433202</v>
      </c>
      <c r="AL24" s="55">
        <v>274.29533001433202</v>
      </c>
      <c r="AM24" s="55">
        <v>274.29533001433202</v>
      </c>
      <c r="AN24" s="55">
        <v>274.29533001433202</v>
      </c>
      <c r="AO24" s="55" t="e">
        <f>SUM(AC24:AN24)</f>
        <v>#DIV/0!</v>
      </c>
      <c r="AP24" s="543">
        <f>T24</f>
        <v>9410.57</v>
      </c>
      <c r="AQ24" s="72"/>
      <c r="AR24" s="72"/>
      <c r="AS24" s="431">
        <f>$AN24</f>
        <v>274.29533001433202</v>
      </c>
      <c r="AT24" s="431">
        <v>125.21</v>
      </c>
      <c r="AU24" s="431"/>
      <c r="AV24" s="431"/>
      <c r="AW24" s="431"/>
      <c r="AX24" s="57">
        <v>118.901</v>
      </c>
      <c r="AY24" s="80">
        <v>121.00700000000001</v>
      </c>
      <c r="AZ24" s="57">
        <f>AX24/AY24</f>
        <v>0.9825960481625029</v>
      </c>
      <c r="BA24" s="55">
        <f>T24/(D24*12)</f>
        <v>261.40472222222223</v>
      </c>
      <c r="BB24" s="55">
        <f>BA24*AZ24</f>
        <v>256.85524702657239</v>
      </c>
      <c r="BC24" s="429"/>
      <c r="BD24" s="32"/>
      <c r="BE24" s="32"/>
      <c r="BF24" s="32"/>
      <c r="BG24" s="32"/>
      <c r="BH24" s="32">
        <v>256.86</v>
      </c>
      <c r="BI24" s="32">
        <v>256.86</v>
      </c>
      <c r="BJ24" s="544">
        <f>SUM(BC24:BI24)</f>
        <v>513.72</v>
      </c>
      <c r="BK24" s="678">
        <f>(T24-BJ24)</f>
        <v>8896.85</v>
      </c>
      <c r="BL24" s="679">
        <v>256.86</v>
      </c>
      <c r="BM24" s="679">
        <v>256.86</v>
      </c>
      <c r="BN24" s="679">
        <v>256.86</v>
      </c>
      <c r="BO24" s="679">
        <v>256.86</v>
      </c>
      <c r="BP24" s="679">
        <v>256.86</v>
      </c>
      <c r="BQ24" s="680">
        <v>126.408</v>
      </c>
      <c r="BR24" s="680">
        <v>121.00700000000001</v>
      </c>
      <c r="BS24" s="680">
        <f>BQ24/BR24</f>
        <v>1.0446337815167717</v>
      </c>
      <c r="BT24" s="525">
        <f>SUM(BL24+BM24+BN24+BO24+BP24)</f>
        <v>1284.3000000000002</v>
      </c>
      <c r="BU24" s="525">
        <f>BK24-BT24</f>
        <v>7612.55</v>
      </c>
      <c r="BV24" s="58">
        <v>3</v>
      </c>
      <c r="BW24" s="49">
        <v>0.33329999999999999</v>
      </c>
      <c r="BX24" s="214">
        <v>43281</v>
      </c>
      <c r="BY24" s="48">
        <v>36</v>
      </c>
      <c r="BZ24" s="145">
        <f>CL24/BY24/100</f>
        <v>2.6140472222222222</v>
      </c>
      <c r="CA24" s="165">
        <f>BZ24*CB24</f>
        <v>52.280944444444444</v>
      </c>
      <c r="CB24" s="48">
        <f>(YEAR(BX24)-YEAR(CK24))*12+MONTH(BX24)-MONTH(CK24)</f>
        <v>20</v>
      </c>
      <c r="CC24" s="165">
        <f>CD24*BZ24</f>
        <v>41.824755555555555</v>
      </c>
      <c r="CD24" s="48">
        <f>BY24-CB24</f>
        <v>16</v>
      </c>
      <c r="CE24" s="165">
        <f>CF24*BZ24</f>
        <v>41.824755555555555</v>
      </c>
      <c r="CF24" s="463">
        <f>BY24-CB24</f>
        <v>16</v>
      </c>
      <c r="CG24" s="165">
        <f>CC24-CE24</f>
        <v>0</v>
      </c>
      <c r="CH24" s="48">
        <f>CD24-CF24</f>
        <v>0</v>
      </c>
      <c r="CI24" s="462">
        <f>DATE(YEAR(CK24),MONTH(CK24)+BY24,DAY(CK24))</f>
        <v>43756</v>
      </c>
      <c r="CJ24" s="46" t="s">
        <v>1040</v>
      </c>
      <c r="CK24" s="46">
        <v>42661</v>
      </c>
      <c r="CL24" s="47">
        <v>9410.57</v>
      </c>
      <c r="CM24" s="725">
        <v>7612.55</v>
      </c>
      <c r="CN24" s="57">
        <v>126.408</v>
      </c>
      <c r="CO24" s="80">
        <v>121.00700000000001</v>
      </c>
      <c r="CP24" s="57">
        <f>CN24/CO24</f>
        <v>1.0446337815167717</v>
      </c>
      <c r="CQ24" s="55">
        <f>CM24/CD24</f>
        <v>475.78437500000001</v>
      </c>
      <c r="CR24" s="55">
        <f>CQ24*CP24</f>
        <v>497.02043084284378</v>
      </c>
      <c r="CS24" s="429"/>
      <c r="CT24" s="32"/>
      <c r="CU24" s="32"/>
      <c r="CV24" s="32"/>
      <c r="CW24" s="32"/>
      <c r="CX24" s="32">
        <v>256.86</v>
      </c>
      <c r="CY24" s="32">
        <v>256.86</v>
      </c>
      <c r="CZ24" s="1005">
        <f>SUM(CS24:CY24)</f>
        <v>513.72</v>
      </c>
      <c r="DA24" s="679">
        <v>284.01167476733934</v>
      </c>
      <c r="DB24" s="679">
        <v>284.01167476733934</v>
      </c>
      <c r="DC24" s="679">
        <v>284.01167476733934</v>
      </c>
      <c r="DD24" s="679">
        <v>284.01</v>
      </c>
      <c r="DE24" s="679">
        <v>284.01</v>
      </c>
      <c r="DF24" s="679">
        <v>284.01</v>
      </c>
      <c r="DG24" s="679">
        <v>284.01</v>
      </c>
      <c r="DH24" s="679">
        <f>SUM(DA24:DG24)</f>
        <v>1988.0750243020179</v>
      </c>
      <c r="DI24" s="678">
        <f>CM24-DH24</f>
        <v>5624.4749756979818</v>
      </c>
      <c r="DJ24" s="55">
        <v>284.01</v>
      </c>
      <c r="DK24" s="55">
        <v>284.01</v>
      </c>
      <c r="DL24" s="55">
        <v>284.01</v>
      </c>
      <c r="DM24" s="55">
        <v>284.01</v>
      </c>
      <c r="DN24" s="55">
        <v>284.01</v>
      </c>
      <c r="DO24" s="505">
        <f>SUM(DJ24:DN24)</f>
        <v>1420.05</v>
      </c>
      <c r="DP24" s="679">
        <f>DI24-DO24</f>
        <v>4204.4249756979816</v>
      </c>
      <c r="DQ24" s="956">
        <v>132.28200000000001</v>
      </c>
      <c r="DR24" s="80">
        <v>121.00700000000001</v>
      </c>
      <c r="DS24" s="957">
        <f>DQ24/DR24</f>
        <v>1.0931764278099614</v>
      </c>
      <c r="DT24" s="511">
        <f>DP24/CD24</f>
        <v>262.77656098112385</v>
      </c>
      <c r="DU24" s="511">
        <f>DT24*DS24</f>
        <v>287.26114224553146</v>
      </c>
      <c r="DV24" s="511">
        <v>287.26114224553146</v>
      </c>
      <c r="DW24" s="511">
        <v>287.26114224553146</v>
      </c>
      <c r="DX24" s="511">
        <v>287.26114224553146</v>
      </c>
      <c r="DY24" s="511">
        <v>287.26114224553146</v>
      </c>
      <c r="DZ24" s="511">
        <v>287.26114224553146</v>
      </c>
      <c r="EA24" s="511">
        <v>287.26114224553146</v>
      </c>
      <c r="EB24" s="511">
        <v>287.26114224553146</v>
      </c>
      <c r="EC24" s="511">
        <v>287.26114224553146</v>
      </c>
      <c r="ED24" s="511">
        <v>287.26114224553146</v>
      </c>
      <c r="EE24" s="511">
        <v>287.26114224553146</v>
      </c>
      <c r="EF24" s="511">
        <v>287.26114224553146</v>
      </c>
      <c r="EG24" s="511">
        <v>287.26114224553146</v>
      </c>
      <c r="EH24" s="511">
        <v>287.26114224553146</v>
      </c>
      <c r="EI24" s="511">
        <v>287.26114224553146</v>
      </c>
      <c r="EJ24" s="511">
        <v>181.77</v>
      </c>
      <c r="EK24" s="511">
        <v>0</v>
      </c>
      <c r="EL24" s="511">
        <v>0</v>
      </c>
      <c r="EM24" s="511">
        <v>0</v>
      </c>
      <c r="EN24" s="511">
        <f t="shared" si="0"/>
        <v>4203.4259914374416</v>
      </c>
      <c r="EO24" s="960">
        <f>DP24-EN24</f>
        <v>0.9989842605400554</v>
      </c>
    </row>
    <row r="25" spans="1:201" s="16" customFormat="1" ht="15" x14ac:dyDescent="0.2">
      <c r="A25" s="120" t="s">
        <v>65</v>
      </c>
      <c r="B25" s="100"/>
      <c r="C25" s="45"/>
      <c r="D25" s="58"/>
      <c r="E25" s="53"/>
      <c r="F25" s="46"/>
      <c r="G25" s="48"/>
      <c r="H25" s="145"/>
      <c r="I25" s="165"/>
      <c r="J25" s="48"/>
      <c r="K25" s="165"/>
      <c r="L25" s="48"/>
      <c r="M25" s="165"/>
      <c r="N25" s="48"/>
      <c r="O25" s="165"/>
      <c r="P25" s="48"/>
      <c r="Q25" s="46"/>
      <c r="R25" s="46"/>
      <c r="S25" s="46"/>
      <c r="T25" s="47"/>
      <c r="U25" s="47"/>
      <c r="V25" s="106"/>
      <c r="W25" s="165"/>
      <c r="X25" s="57"/>
      <c r="Y25" s="80"/>
      <c r="Z25" s="57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43"/>
      <c r="AQ25" s="72"/>
      <c r="AR25" s="72"/>
      <c r="AS25" s="431"/>
      <c r="AT25" s="431"/>
      <c r="AU25" s="431"/>
      <c r="AV25" s="431"/>
      <c r="AW25" s="431"/>
      <c r="AX25" s="57"/>
      <c r="AY25" s="80"/>
      <c r="AZ25" s="57"/>
      <c r="BA25" s="55"/>
      <c r="BB25" s="55"/>
      <c r="BC25" s="429"/>
      <c r="BD25" s="32"/>
      <c r="BE25" s="32"/>
      <c r="BF25" s="32"/>
      <c r="BG25" s="32"/>
      <c r="BH25" s="32"/>
      <c r="BI25" s="32"/>
      <c r="BJ25" s="544"/>
      <c r="BK25" s="678"/>
      <c r="BL25" s="679"/>
      <c r="BM25" s="679"/>
      <c r="BN25" s="679"/>
      <c r="BO25" s="679"/>
      <c r="BP25" s="679"/>
      <c r="BQ25" s="680"/>
      <c r="BR25" s="680"/>
      <c r="BS25" s="680"/>
      <c r="BT25" s="525"/>
      <c r="BU25" s="525"/>
      <c r="BV25" s="58"/>
      <c r="BW25" s="49"/>
      <c r="BX25" s="46"/>
      <c r="BY25" s="48"/>
      <c r="BZ25" s="145"/>
      <c r="CA25" s="165"/>
      <c r="CB25" s="48"/>
      <c r="CC25" s="165"/>
      <c r="CD25" s="48"/>
      <c r="CE25" s="165"/>
      <c r="CF25" s="463"/>
      <c r="CG25" s="165"/>
      <c r="CH25" s="48"/>
      <c r="CI25" s="462"/>
      <c r="CJ25" s="46"/>
      <c r="CK25" s="46"/>
      <c r="CL25" s="47"/>
      <c r="CM25" s="725"/>
      <c r="CN25" s="57"/>
      <c r="CO25" s="80"/>
      <c r="CP25" s="57"/>
      <c r="CQ25" s="55"/>
      <c r="CR25" s="55"/>
      <c r="CS25" s="429"/>
      <c r="CT25" s="32"/>
      <c r="CU25" s="32"/>
      <c r="CV25" s="32"/>
      <c r="CW25" s="32"/>
      <c r="CX25" s="32"/>
      <c r="CY25" s="32"/>
      <c r="CZ25" s="1005"/>
      <c r="DA25" s="679"/>
      <c r="DB25" s="679"/>
      <c r="DC25" s="679"/>
      <c r="DD25" s="679"/>
      <c r="DE25" s="679"/>
      <c r="DF25" s="679"/>
      <c r="DG25" s="679"/>
      <c r="DH25" s="679"/>
      <c r="DI25" s="678"/>
      <c r="DJ25" s="55"/>
      <c r="DK25" s="55"/>
      <c r="DL25" s="55"/>
      <c r="DM25" s="55"/>
      <c r="DN25" s="55"/>
      <c r="DO25" s="505"/>
      <c r="DP25" s="679"/>
      <c r="DQ25" s="956"/>
      <c r="DR25" s="80"/>
      <c r="DS25" s="957"/>
      <c r="DT25" s="511"/>
      <c r="DU25" s="511"/>
      <c r="DV25" s="511"/>
      <c r="DW25" s="511"/>
      <c r="DX25" s="511"/>
      <c r="DY25" s="511"/>
      <c r="DZ25" s="511"/>
      <c r="EA25" s="511"/>
      <c r="EB25" s="511"/>
      <c r="EC25" s="511"/>
      <c r="ED25" s="511"/>
      <c r="EE25" s="511"/>
      <c r="EF25" s="511"/>
      <c r="EG25" s="511"/>
      <c r="EH25" s="511"/>
      <c r="EI25" s="511"/>
      <c r="EJ25" s="511"/>
      <c r="EK25" s="511"/>
      <c r="EL25" s="511"/>
      <c r="EM25" s="511"/>
      <c r="EN25" s="511">
        <f t="shared" si="0"/>
        <v>0</v>
      </c>
      <c r="EO25" s="960"/>
    </row>
    <row r="26" spans="1:201" s="16" customFormat="1" ht="15" x14ac:dyDescent="0.2">
      <c r="A26" s="120" t="s">
        <v>1178</v>
      </c>
      <c r="B26" s="100"/>
      <c r="C26" s="45"/>
      <c r="D26" s="58"/>
      <c r="E26" s="53"/>
      <c r="F26" s="46"/>
      <c r="G26" s="48"/>
      <c r="H26" s="145"/>
      <c r="I26" s="165"/>
      <c r="J26" s="48"/>
      <c r="K26" s="165"/>
      <c r="L26" s="48"/>
      <c r="M26" s="165"/>
      <c r="N26" s="48"/>
      <c r="O26" s="165"/>
      <c r="P26" s="48"/>
      <c r="Q26" s="46"/>
      <c r="R26" s="46"/>
      <c r="S26" s="46"/>
      <c r="T26" s="47"/>
      <c r="U26" s="47"/>
      <c r="V26" s="106"/>
      <c r="W26" s="165"/>
      <c r="X26" s="57"/>
      <c r="Y26" s="80"/>
      <c r="Z26" s="57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43"/>
      <c r="AQ26" s="72"/>
      <c r="AR26" s="72"/>
      <c r="AS26" s="431"/>
      <c r="AT26" s="431"/>
      <c r="AU26" s="431"/>
      <c r="AV26" s="431"/>
      <c r="AW26" s="431"/>
      <c r="AX26" s="57"/>
      <c r="AY26" s="80"/>
      <c r="AZ26" s="57"/>
      <c r="BA26" s="55"/>
      <c r="BB26" s="55"/>
      <c r="BC26" s="429"/>
      <c r="BD26" s="32"/>
      <c r="BE26" s="32"/>
      <c r="BF26" s="32"/>
      <c r="BG26" s="32"/>
      <c r="BH26" s="32"/>
      <c r="BI26" s="32"/>
      <c r="BJ26" s="544"/>
      <c r="BK26" s="678"/>
      <c r="BL26" s="679"/>
      <c r="BM26" s="679"/>
      <c r="BN26" s="679"/>
      <c r="BO26" s="679"/>
      <c r="BP26" s="679"/>
      <c r="BQ26" s="680"/>
      <c r="BR26" s="680"/>
      <c r="BS26" s="680"/>
      <c r="BT26" s="525"/>
      <c r="BU26" s="525"/>
      <c r="BV26" s="58"/>
      <c r="BW26" s="49"/>
      <c r="BX26" s="46"/>
      <c r="BY26" s="48"/>
      <c r="BZ26" s="145"/>
      <c r="CA26" s="165"/>
      <c r="CB26" s="48"/>
      <c r="CC26" s="165"/>
      <c r="CD26" s="48"/>
      <c r="CE26" s="165"/>
      <c r="CF26" s="463"/>
      <c r="CG26" s="165"/>
      <c r="CH26" s="48"/>
      <c r="CI26" s="462"/>
      <c r="CJ26" s="46"/>
      <c r="CK26" s="46"/>
      <c r="CL26" s="47"/>
      <c r="CM26" s="725"/>
      <c r="CN26" s="57"/>
      <c r="CO26" s="80"/>
      <c r="CP26" s="57"/>
      <c r="CQ26" s="55"/>
      <c r="CR26" s="55"/>
      <c r="CS26" s="429"/>
      <c r="CT26" s="32"/>
      <c r="CU26" s="32"/>
      <c r="CV26" s="32"/>
      <c r="CW26" s="32"/>
      <c r="CX26" s="32"/>
      <c r="CY26" s="32"/>
      <c r="CZ26" s="1005"/>
      <c r="DA26" s="679"/>
      <c r="DB26" s="679"/>
      <c r="DC26" s="679"/>
      <c r="DD26" s="679"/>
      <c r="DE26" s="679"/>
      <c r="DF26" s="679"/>
      <c r="DG26" s="679"/>
      <c r="DH26" s="679"/>
      <c r="DI26" s="678"/>
      <c r="DJ26" s="55"/>
      <c r="DK26" s="55"/>
      <c r="DL26" s="55"/>
      <c r="DM26" s="55"/>
      <c r="DN26" s="55"/>
      <c r="DO26" s="505"/>
      <c r="DP26" s="679"/>
      <c r="DQ26" s="511"/>
      <c r="DR26" s="80"/>
      <c r="DS26" s="957"/>
      <c r="DT26" s="511"/>
      <c r="DU26" s="511"/>
      <c r="DV26" s="511"/>
      <c r="DW26" s="511"/>
      <c r="DX26" s="511"/>
      <c r="DY26" s="511"/>
      <c r="DZ26" s="511"/>
      <c r="EA26" s="511"/>
      <c r="EB26" s="511"/>
      <c r="EC26" s="511"/>
      <c r="ED26" s="511"/>
      <c r="EE26" s="511"/>
      <c r="EF26" s="511"/>
      <c r="EG26" s="511"/>
      <c r="EH26" s="511"/>
      <c r="EI26" s="511"/>
      <c r="EJ26" s="511"/>
      <c r="EK26" s="511"/>
      <c r="EL26" s="511"/>
      <c r="EM26" s="511"/>
      <c r="EN26" s="511">
        <f t="shared" si="0"/>
        <v>0</v>
      </c>
      <c r="EO26" s="1029"/>
    </row>
    <row r="27" spans="1:201" s="16" customFormat="1" ht="15" x14ac:dyDescent="0.2">
      <c r="A27" s="100" t="s">
        <v>1199</v>
      </c>
      <c r="B27" s="100" t="s">
        <v>1180</v>
      </c>
      <c r="C27" s="45" t="s">
        <v>1030</v>
      </c>
      <c r="D27" s="58">
        <v>10</v>
      </c>
      <c r="E27" s="53">
        <v>0.1</v>
      </c>
      <c r="F27" s="46">
        <v>43008</v>
      </c>
      <c r="G27" s="48">
        <v>120</v>
      </c>
      <c r="H27" s="145">
        <f>100/G27</f>
        <v>0.83333333333333337</v>
      </c>
      <c r="I27" s="165">
        <f>H27*J27</f>
        <v>1176.6666666666667</v>
      </c>
      <c r="J27" s="48">
        <f>(YEAR(F27)-YEAR(S27))*12+MONTH(F27)-MONTH(S27)</f>
        <v>1412</v>
      </c>
      <c r="K27" s="165">
        <f>L27*H27</f>
        <v>-1076.6666666666667</v>
      </c>
      <c r="L27" s="48">
        <f>G27-J27</f>
        <v>-1292</v>
      </c>
      <c r="M27" s="165">
        <f>N27*H27</f>
        <v>0.83333333333333337</v>
      </c>
      <c r="N27" s="48">
        <v>1</v>
      </c>
      <c r="O27" s="165">
        <f>P27*H27</f>
        <v>-1077.5</v>
      </c>
      <c r="P27" s="48">
        <f>L27-N27</f>
        <v>-1293</v>
      </c>
      <c r="Q27" s="46">
        <f>DATE(YEAR(S27),MONTH(S27)+G27,DAY(S27))</f>
        <v>3653</v>
      </c>
      <c r="R27" s="46"/>
      <c r="S27" s="46"/>
      <c r="T27" s="47"/>
      <c r="U27" s="47"/>
      <c r="V27" s="106"/>
      <c r="W27" s="165"/>
      <c r="X27" s="57"/>
      <c r="Y27" s="80"/>
      <c r="Z27" s="57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43"/>
      <c r="AQ27" s="72"/>
      <c r="AR27" s="72"/>
      <c r="AS27" s="431"/>
      <c r="AT27" s="431"/>
      <c r="AU27" s="431"/>
      <c r="AV27" s="431"/>
      <c r="AW27" s="431"/>
      <c r="AX27" s="57"/>
      <c r="AY27" s="80"/>
      <c r="AZ27" s="57"/>
      <c r="BA27" s="55"/>
      <c r="BB27" s="55"/>
      <c r="BC27" s="429"/>
      <c r="BD27" s="32"/>
      <c r="BE27" s="32"/>
      <c r="BF27" s="32"/>
      <c r="BG27" s="32"/>
      <c r="BH27" s="32"/>
      <c r="BI27" s="32"/>
      <c r="BJ27" s="544"/>
      <c r="BK27" s="678"/>
      <c r="BL27" s="679"/>
      <c r="BM27" s="679"/>
      <c r="BN27" s="679"/>
      <c r="BO27" s="679"/>
      <c r="BP27" s="679"/>
      <c r="BQ27" s="680"/>
      <c r="BR27" s="680"/>
      <c r="BS27" s="680"/>
      <c r="BT27" s="525"/>
      <c r="BU27" s="525"/>
      <c r="BV27" s="787">
        <v>10</v>
      </c>
      <c r="BW27" s="53">
        <v>0.1</v>
      </c>
      <c r="BX27" s="214">
        <v>43281</v>
      </c>
      <c r="BY27" s="48">
        <v>120</v>
      </c>
      <c r="BZ27" s="145">
        <f>100/BY27</f>
        <v>0.83333333333333337</v>
      </c>
      <c r="CA27" s="165">
        <f>BZ27*CB27</f>
        <v>10</v>
      </c>
      <c r="CB27" s="48">
        <f>(YEAR(BX27)-YEAR(CK27))*12+MONTH(BX27)-MONTH(CK27)</f>
        <v>12</v>
      </c>
      <c r="CC27" s="165">
        <f>CD27*BZ27</f>
        <v>90</v>
      </c>
      <c r="CD27" s="48">
        <f>BY27-CB27</f>
        <v>108</v>
      </c>
      <c r="CE27" s="165">
        <f>CD30*BZ30</f>
        <v>90.833333333333343</v>
      </c>
      <c r="CF27" s="48">
        <v>1</v>
      </c>
      <c r="CG27" s="165">
        <f>CH27*BZ27</f>
        <v>89.166666666666671</v>
      </c>
      <c r="CH27" s="48">
        <f>CD27-CF27</f>
        <v>107</v>
      </c>
      <c r="CI27" s="46">
        <f>DATE(YEAR(CK27),MONTH(CK27)+BY27,DAY(CK27))</f>
        <v>46566</v>
      </c>
      <c r="CJ27" s="48">
        <v>542</v>
      </c>
      <c r="CK27" s="46">
        <v>42914</v>
      </c>
      <c r="CL27" s="47">
        <v>5237.3999999999996</v>
      </c>
      <c r="CM27" s="725">
        <v>5237.3999999999996</v>
      </c>
      <c r="CN27" s="57">
        <v>126.408</v>
      </c>
      <c r="CO27" s="55">
        <v>118.532</v>
      </c>
      <c r="CP27" s="57">
        <f>CN27/CO27</f>
        <v>1.0664461917456889</v>
      </c>
      <c r="CQ27" s="55">
        <f>CM27/BY27</f>
        <v>43.644999999999996</v>
      </c>
      <c r="CR27" s="55">
        <f>CQ27*CP27</f>
        <v>46.545044038740585</v>
      </c>
      <c r="CS27" s="429"/>
      <c r="CT27" s="32"/>
      <c r="CU27" s="32"/>
      <c r="CV27" s="32"/>
      <c r="CW27" s="32"/>
      <c r="CX27" s="32"/>
      <c r="CY27" s="32"/>
      <c r="CZ27" s="1005"/>
      <c r="DA27" s="679"/>
      <c r="DB27" s="679"/>
      <c r="DC27" s="679"/>
      <c r="DD27" s="679">
        <v>46.55</v>
      </c>
      <c r="DE27" s="679">
        <v>46.55</v>
      </c>
      <c r="DF27" s="679">
        <v>46.55</v>
      </c>
      <c r="DG27" s="679">
        <v>46.55</v>
      </c>
      <c r="DH27" s="679">
        <f>SUM(DA27:DG27)</f>
        <v>186.2</v>
      </c>
      <c r="DI27" s="678">
        <f>CM27-DH27</f>
        <v>5051.2</v>
      </c>
      <c r="DJ27" s="55">
        <v>46.55</v>
      </c>
      <c r="DK27" s="55">
        <v>46.55</v>
      </c>
      <c r="DL27" s="55">
        <v>46.55</v>
      </c>
      <c r="DM27" s="55">
        <v>46.55</v>
      </c>
      <c r="DN27" s="55">
        <v>46.55</v>
      </c>
      <c r="DO27" s="505">
        <f>SUM(DJ27:DN27)</f>
        <v>232.75</v>
      </c>
      <c r="DP27" s="679">
        <f>DI27-DO27</f>
        <v>4818.45</v>
      </c>
      <c r="DQ27" s="956">
        <v>132.28200000000001</v>
      </c>
      <c r="DR27" s="55">
        <v>118.532</v>
      </c>
      <c r="DS27" s="957">
        <f>DQ27/DR27</f>
        <v>1.1160024297236191</v>
      </c>
      <c r="DT27" s="511">
        <f>DP27/CD27</f>
        <v>44.615277777777777</v>
      </c>
      <c r="DU27" s="511">
        <f>DT27*DS27</f>
        <v>49.790758402794189</v>
      </c>
      <c r="DV27" s="511">
        <v>49.790758402794189</v>
      </c>
      <c r="DW27" s="511">
        <v>49.790758402794189</v>
      </c>
      <c r="DX27" s="511">
        <v>49.790758402794189</v>
      </c>
      <c r="DY27" s="511">
        <v>49.790758402794189</v>
      </c>
      <c r="DZ27" s="511">
        <v>49.790758402794189</v>
      </c>
      <c r="EA27" s="511">
        <v>49.790758402794189</v>
      </c>
      <c r="EB27" s="511">
        <v>49.790758402794189</v>
      </c>
      <c r="EC27" s="511">
        <v>49.790758402794189</v>
      </c>
      <c r="ED27" s="511">
        <v>49.790758402794189</v>
      </c>
      <c r="EE27" s="511">
        <v>49.790758402794189</v>
      </c>
      <c r="EF27" s="511">
        <v>49.790758402794189</v>
      </c>
      <c r="EG27" s="511">
        <v>49.790758402794189</v>
      </c>
      <c r="EH27" s="511">
        <v>49.790758402794189</v>
      </c>
      <c r="EI27" s="511">
        <v>49.790758402794189</v>
      </c>
      <c r="EJ27" s="511">
        <v>49.790758402794189</v>
      </c>
      <c r="EK27" s="511">
        <v>49.790758402794189</v>
      </c>
      <c r="EL27" s="511">
        <v>49.790758402794189</v>
      </c>
      <c r="EM27" s="511">
        <v>49.790758402794189</v>
      </c>
      <c r="EN27" s="511">
        <f t="shared" si="0"/>
        <v>896.23365125029522</v>
      </c>
      <c r="EO27" s="960">
        <f>DP27-EN27</f>
        <v>3922.2163487497046</v>
      </c>
    </row>
    <row r="28" spans="1:201" s="16" customFormat="1" x14ac:dyDescent="0.2">
      <c r="A28" s="120" t="s">
        <v>65</v>
      </c>
      <c r="B28" s="772"/>
      <c r="C28" s="45"/>
      <c r="D28" s="125"/>
      <c r="E28" s="130"/>
      <c r="F28" s="46"/>
      <c r="G28" s="58"/>
      <c r="H28" s="145"/>
      <c r="I28" s="165"/>
      <c r="J28" s="48"/>
      <c r="K28" s="165"/>
      <c r="L28" s="48"/>
      <c r="M28" s="165"/>
      <c r="N28" s="48"/>
      <c r="O28" s="165"/>
      <c r="P28" s="48"/>
      <c r="Q28" s="48"/>
      <c r="R28" s="125"/>
      <c r="S28" s="119"/>
      <c r="T28" s="7"/>
      <c r="U28" s="72"/>
      <c r="V28" s="776"/>
      <c r="W28" s="776"/>
      <c r="X28" s="47"/>
      <c r="Y28" s="106"/>
      <c r="Z28" s="258"/>
      <c r="AA28" s="57"/>
      <c r="AB28" s="80"/>
      <c r="AC28" s="57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72"/>
      <c r="AT28" s="55"/>
      <c r="AU28" s="55"/>
      <c r="AV28" s="55"/>
      <c r="AW28" s="55"/>
      <c r="AX28" s="55"/>
      <c r="AY28" s="55"/>
      <c r="AZ28" s="55"/>
      <c r="BA28" s="57"/>
      <c r="BB28" s="494"/>
      <c r="BC28" s="57"/>
      <c r="BD28" s="165"/>
      <c r="BE28" s="165"/>
      <c r="BF28" s="55"/>
      <c r="BG28" s="55"/>
      <c r="BH28" s="55"/>
      <c r="BI28" s="55"/>
      <c r="BJ28" s="55"/>
      <c r="BK28" s="55"/>
      <c r="BL28" s="55"/>
      <c r="BM28" s="55"/>
      <c r="BN28" s="448"/>
      <c r="BO28" s="55"/>
      <c r="BP28" s="55"/>
      <c r="BQ28" s="55"/>
      <c r="BR28" s="55"/>
      <c r="BS28" s="55"/>
      <c r="BT28" s="55"/>
      <c r="BU28" s="448"/>
      <c r="BV28" s="772"/>
      <c r="BW28" s="777"/>
      <c r="BX28" s="772"/>
      <c r="BY28" s="772"/>
      <c r="BZ28" s="772"/>
      <c r="CA28" s="778"/>
      <c r="CB28" s="778"/>
      <c r="CC28" s="778"/>
      <c r="CD28" s="772"/>
      <c r="CE28" s="772"/>
      <c r="CF28" s="772"/>
      <c r="CG28" s="772"/>
      <c r="CH28" s="772"/>
      <c r="CI28" s="772"/>
      <c r="CJ28" s="46"/>
      <c r="CK28" s="46"/>
      <c r="CL28" s="47"/>
      <c r="CM28" s="32"/>
      <c r="CN28" s="57"/>
      <c r="CO28" s="80"/>
      <c r="CP28" s="57"/>
      <c r="CQ28" s="55"/>
      <c r="CR28" s="394"/>
      <c r="CS28" s="429"/>
      <c r="CT28" s="32"/>
      <c r="CU28" s="32"/>
      <c r="CV28" s="32"/>
      <c r="CW28" s="32"/>
      <c r="CX28" s="32"/>
      <c r="CY28" s="32"/>
      <c r="CZ28" s="1005"/>
      <c r="DA28" s="679"/>
      <c r="DB28" s="679"/>
      <c r="DC28" s="679"/>
      <c r="DD28" s="679"/>
      <c r="DE28" s="679"/>
      <c r="DF28" s="679"/>
      <c r="DG28" s="679"/>
      <c r="DH28" s="679"/>
      <c r="DI28" s="678"/>
      <c r="DJ28" s="394"/>
      <c r="DK28" s="394"/>
      <c r="DL28" s="394"/>
      <c r="DM28" s="394"/>
      <c r="DN28" s="394"/>
      <c r="DO28" s="505"/>
      <c r="DP28" s="679"/>
      <c r="DQ28" s="656"/>
      <c r="DR28" s="80"/>
      <c r="DS28" s="957"/>
      <c r="DT28" s="511"/>
      <c r="DU28" s="511"/>
      <c r="DV28" s="511"/>
      <c r="DW28" s="511"/>
      <c r="DX28" s="511"/>
      <c r="DY28" s="511"/>
      <c r="DZ28" s="511"/>
      <c r="EA28" s="511"/>
      <c r="EB28" s="511"/>
      <c r="EC28" s="511"/>
      <c r="ED28" s="511"/>
      <c r="EE28" s="511"/>
      <c r="EF28" s="511"/>
      <c r="EG28" s="511"/>
      <c r="EH28" s="511"/>
      <c r="EI28" s="511"/>
      <c r="EJ28" s="511"/>
      <c r="EK28" s="511"/>
      <c r="EL28" s="511"/>
      <c r="EM28" s="511"/>
      <c r="EN28" s="511">
        <f t="shared" si="0"/>
        <v>0</v>
      </c>
      <c r="EO28" s="1029"/>
    </row>
    <row r="29" spans="1:201" s="16" customFormat="1" x14ac:dyDescent="0.2">
      <c r="A29" s="120" t="s">
        <v>1181</v>
      </c>
      <c r="B29" s="772"/>
      <c r="C29" s="772"/>
      <c r="D29" s="779"/>
      <c r="E29" s="779"/>
      <c r="F29" s="772"/>
      <c r="G29" s="772"/>
      <c r="H29" s="772"/>
      <c r="I29" s="772"/>
      <c r="J29" s="772"/>
      <c r="K29" s="772"/>
      <c r="L29" s="772"/>
      <c r="M29" s="772"/>
      <c r="N29" s="772"/>
      <c r="O29" s="772"/>
      <c r="P29" s="772"/>
      <c r="Q29" s="772"/>
      <c r="R29" s="775"/>
      <c r="S29" s="780"/>
      <c r="T29" s="772"/>
      <c r="U29" s="772"/>
      <c r="V29" s="773"/>
      <c r="W29" s="772"/>
      <c r="X29" s="772"/>
      <c r="Y29" s="781"/>
      <c r="Z29" s="772"/>
      <c r="AA29" s="772"/>
      <c r="AB29" s="777"/>
      <c r="AC29" s="772"/>
      <c r="AD29" s="709"/>
      <c r="AE29" s="709"/>
      <c r="AF29" s="709"/>
      <c r="AG29" s="709"/>
      <c r="AH29" s="709"/>
      <c r="AI29" s="709"/>
      <c r="AJ29" s="709"/>
      <c r="AK29" s="709"/>
      <c r="AL29" s="709"/>
      <c r="AM29" s="709"/>
      <c r="AN29" s="709"/>
      <c r="AO29" s="709"/>
      <c r="AP29" s="709"/>
      <c r="AQ29" s="709"/>
      <c r="AR29" s="709"/>
      <c r="AS29" s="709"/>
      <c r="AT29" s="772"/>
      <c r="AU29" s="772"/>
      <c r="AV29" s="774"/>
      <c r="AW29" s="774"/>
      <c r="AX29" s="774"/>
      <c r="AY29" s="774"/>
      <c r="AZ29" s="774"/>
      <c r="BA29" s="772"/>
      <c r="BB29" s="777"/>
      <c r="BC29" s="772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774"/>
      <c r="BP29" s="774"/>
      <c r="BQ29" s="774"/>
      <c r="BR29" s="774"/>
      <c r="BS29" s="774"/>
      <c r="BT29" s="774"/>
      <c r="BU29" s="774"/>
      <c r="BV29" s="774"/>
      <c r="BW29" s="774"/>
      <c r="BX29" s="774"/>
      <c r="BY29" s="774"/>
      <c r="BZ29" s="774"/>
      <c r="CA29" s="774"/>
      <c r="CB29" s="774"/>
      <c r="CC29" s="774"/>
      <c r="CD29" s="774"/>
      <c r="CE29" s="774"/>
      <c r="CF29" s="774"/>
      <c r="CG29" s="774"/>
      <c r="CH29" s="774"/>
      <c r="CI29" s="774"/>
      <c r="CJ29" s="46"/>
      <c r="CK29" s="46"/>
      <c r="CL29" s="47"/>
      <c r="CM29" s="32"/>
      <c r="CN29" s="57"/>
      <c r="CO29" s="80"/>
      <c r="CP29" s="57"/>
      <c r="CQ29" s="55"/>
      <c r="CR29" s="394"/>
      <c r="CS29" s="429"/>
      <c r="CT29" s="32"/>
      <c r="CU29" s="32"/>
      <c r="CV29" s="32"/>
      <c r="CW29" s="32"/>
      <c r="CX29" s="32"/>
      <c r="CY29" s="32"/>
      <c r="CZ29" s="1005"/>
      <c r="DA29" s="679"/>
      <c r="DB29" s="679"/>
      <c r="DC29" s="679"/>
      <c r="DD29" s="679"/>
      <c r="DE29" s="679"/>
      <c r="DF29" s="679"/>
      <c r="DG29" s="679"/>
      <c r="DH29" s="679"/>
      <c r="DI29" s="678"/>
      <c r="DJ29" s="394"/>
      <c r="DK29" s="394"/>
      <c r="DL29" s="394"/>
      <c r="DM29" s="394"/>
      <c r="DN29" s="394"/>
      <c r="DO29" s="505"/>
      <c r="DP29" s="679"/>
      <c r="DQ29" s="623"/>
      <c r="DR29" s="80"/>
      <c r="DS29" s="957"/>
      <c r="DT29" s="511"/>
      <c r="DU29" s="511"/>
      <c r="DV29" s="511"/>
      <c r="DW29" s="511"/>
      <c r="DX29" s="511"/>
      <c r="DY29" s="511"/>
      <c r="DZ29" s="511"/>
      <c r="EA29" s="511"/>
      <c r="EB29" s="511"/>
      <c r="EC29" s="511"/>
      <c r="ED29" s="511"/>
      <c r="EE29" s="511"/>
      <c r="EF29" s="511"/>
      <c r="EG29" s="511"/>
      <c r="EH29" s="511"/>
      <c r="EI29" s="511"/>
      <c r="EJ29" s="511"/>
      <c r="EK29" s="511"/>
      <c r="EL29" s="511"/>
      <c r="EM29" s="511"/>
      <c r="EN29" s="511">
        <f t="shared" si="0"/>
        <v>0</v>
      </c>
      <c r="EO29" s="1029"/>
    </row>
    <row r="30" spans="1:201" s="16" customFormat="1" x14ac:dyDescent="0.2">
      <c r="A30" s="771" t="s">
        <v>1197</v>
      </c>
      <c r="B30" s="782" t="s">
        <v>1182</v>
      </c>
      <c r="C30" s="45" t="s">
        <v>1030</v>
      </c>
      <c r="D30" s="329">
        <v>10</v>
      </c>
      <c r="E30" s="342">
        <v>0.1</v>
      </c>
      <c r="F30" s="46">
        <v>43008</v>
      </c>
      <c r="G30" s="331">
        <v>120</v>
      </c>
      <c r="H30" s="332">
        <f>100/G30</f>
        <v>0.83333333333333337</v>
      </c>
      <c r="I30" s="333">
        <v>0</v>
      </c>
      <c r="J30" s="44">
        <f>(YEAR(F30)-YEAR(S30))*12+MONTH(F30)-MONTH(S30)</f>
        <v>2</v>
      </c>
      <c r="K30" s="333">
        <f>L30*H30</f>
        <v>98.333333333333343</v>
      </c>
      <c r="L30" s="331">
        <f>G30-J30</f>
        <v>118</v>
      </c>
      <c r="M30" s="333">
        <f>N30*H30</f>
        <v>100</v>
      </c>
      <c r="N30" s="331">
        <v>120</v>
      </c>
      <c r="O30" s="165">
        <f>K30-M30</f>
        <v>-1.6666666666666572</v>
      </c>
      <c r="P30" s="331">
        <f>L30-N30</f>
        <v>-2</v>
      </c>
      <c r="Q30" s="462">
        <f>DATE(YEAR(S30),MONTH(S30)+G30,DAY(S30))</f>
        <v>46589</v>
      </c>
      <c r="R30" s="783" t="s">
        <v>1183</v>
      </c>
      <c r="S30" s="330">
        <v>42937</v>
      </c>
      <c r="T30" s="784">
        <v>539</v>
      </c>
      <c r="U30" s="784"/>
      <c r="V30" s="773"/>
      <c r="W30" s="784"/>
      <c r="X30" s="784"/>
      <c r="Y30" s="785"/>
      <c r="Z30" s="784"/>
      <c r="AA30" s="784"/>
      <c r="AB30" s="786"/>
      <c r="AC30" s="784"/>
      <c r="AD30" s="709"/>
      <c r="AE30" s="709"/>
      <c r="AF30" s="709"/>
      <c r="AG30" s="709"/>
      <c r="AH30" s="709"/>
      <c r="AI30" s="709"/>
      <c r="AJ30" s="709"/>
      <c r="AK30" s="709"/>
      <c r="AL30" s="709"/>
      <c r="AM30" s="709"/>
      <c r="AN30" s="709"/>
      <c r="AO30" s="709"/>
      <c r="AP30" s="709"/>
      <c r="AQ30" s="709"/>
      <c r="AR30" s="709"/>
      <c r="AS30" s="709"/>
      <c r="AT30" s="784"/>
      <c r="AU30" s="784"/>
      <c r="AV30" s="709"/>
      <c r="AW30" s="709"/>
      <c r="AX30" s="709"/>
      <c r="AY30" s="709"/>
      <c r="AZ30" s="709"/>
      <c r="BA30" s="784"/>
      <c r="BB30" s="786"/>
      <c r="BC30" s="784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709"/>
      <c r="BP30" s="709"/>
      <c r="BQ30" s="709"/>
      <c r="BR30" s="709"/>
      <c r="BS30" s="709"/>
      <c r="BT30" s="709"/>
      <c r="BU30" s="784">
        <v>539</v>
      </c>
      <c r="BV30" s="329">
        <v>10</v>
      </c>
      <c r="BW30" s="342">
        <v>0.1</v>
      </c>
      <c r="BX30" s="214">
        <v>43281</v>
      </c>
      <c r="BY30" s="331">
        <v>120</v>
      </c>
      <c r="BZ30" s="332">
        <f>100/BY30</f>
        <v>0.83333333333333337</v>
      </c>
      <c r="CA30" s="333">
        <v>0</v>
      </c>
      <c r="CB30" s="48">
        <f>(YEAR(BX30)-YEAR(CK30))*12+MONTH(BX30)-MONTH(CK30)</f>
        <v>11</v>
      </c>
      <c r="CC30" s="333">
        <f>CD30*BZ30</f>
        <v>90.833333333333343</v>
      </c>
      <c r="CD30" s="331">
        <f>BY30-CB30</f>
        <v>109</v>
      </c>
      <c r="CE30" s="165">
        <f>CD30*BZ30</f>
        <v>90.833333333333343</v>
      </c>
      <c r="CF30" s="331">
        <v>120</v>
      </c>
      <c r="CG30" s="165">
        <f>CH30*BZ30</f>
        <v>-9.1666666666666679</v>
      </c>
      <c r="CH30" s="331">
        <f>CD30-CF30</f>
        <v>-11</v>
      </c>
      <c r="CI30" s="462">
        <v>46589</v>
      </c>
      <c r="CJ30" s="783">
        <v>1956</v>
      </c>
      <c r="CK30" s="330">
        <v>42937</v>
      </c>
      <c r="CL30" s="784">
        <v>539</v>
      </c>
      <c r="CM30" s="784">
        <v>539</v>
      </c>
      <c r="CN30" s="57">
        <v>126.408</v>
      </c>
      <c r="CO30" s="80">
        <v>126.89</v>
      </c>
      <c r="CP30" s="57">
        <v>0.99619999999999997</v>
      </c>
      <c r="CQ30" s="55">
        <v>4.49</v>
      </c>
      <c r="CR30" s="394">
        <v>4.47</v>
      </c>
      <c r="CS30" s="429"/>
      <c r="CT30" s="32"/>
      <c r="CU30" s="32"/>
      <c r="CV30" s="32"/>
      <c r="CW30" s="32"/>
      <c r="CX30" s="32"/>
      <c r="CY30" s="32"/>
      <c r="CZ30" s="1005"/>
      <c r="DA30" s="32"/>
      <c r="DB30" s="32"/>
      <c r="DC30" s="32"/>
      <c r="DD30" s="679">
        <v>8.94</v>
      </c>
      <c r="DE30" s="394">
        <v>8.94</v>
      </c>
      <c r="DF30" s="394">
        <v>8.94</v>
      </c>
      <c r="DG30" s="394">
        <v>8.94</v>
      </c>
      <c r="DH30" s="679">
        <f>SUM(DA30:DG30)</f>
        <v>35.76</v>
      </c>
      <c r="DI30" s="678">
        <f>CM30-DH30</f>
        <v>503.24</v>
      </c>
      <c r="DJ30" s="394">
        <v>4.47</v>
      </c>
      <c r="DK30" s="394">
        <v>4.47</v>
      </c>
      <c r="DL30" s="394">
        <v>4.47</v>
      </c>
      <c r="DM30" s="394">
        <v>4.47</v>
      </c>
      <c r="DN30" s="394">
        <v>4.47</v>
      </c>
      <c r="DO30" s="505">
        <f>SUM(DJ30:DN30)</f>
        <v>22.349999999999998</v>
      </c>
      <c r="DP30" s="679">
        <f>DI30-DO30</f>
        <v>480.89</v>
      </c>
      <c r="DQ30" s="956">
        <v>132.28200000000001</v>
      </c>
      <c r="DR30" s="80">
        <v>126.89</v>
      </c>
      <c r="DS30" s="957">
        <f>DQ30/DR30</f>
        <v>1.0424934983056191</v>
      </c>
      <c r="DT30" s="511">
        <f>DP30/CD30</f>
        <v>4.4118348623853212</v>
      </c>
      <c r="DU30" s="511">
        <f>DT30*DS30</f>
        <v>4.5993091596347631</v>
      </c>
      <c r="DV30" s="511">
        <v>4.5993091596347631</v>
      </c>
      <c r="DW30" s="511">
        <v>4.5993091596347631</v>
      </c>
      <c r="DX30" s="511">
        <v>4.5993091596347631</v>
      </c>
      <c r="DY30" s="511">
        <v>4.5993091596347631</v>
      </c>
      <c r="DZ30" s="511">
        <v>4.5993091596347631</v>
      </c>
      <c r="EA30" s="511">
        <v>4.5993091596347631</v>
      </c>
      <c r="EB30" s="511">
        <v>4.5993091596347631</v>
      </c>
      <c r="EC30" s="511">
        <v>4.5993091596347631</v>
      </c>
      <c r="ED30" s="511">
        <v>4.5993091596347631</v>
      </c>
      <c r="EE30" s="511">
        <v>4.5993091596347631</v>
      </c>
      <c r="EF30" s="511">
        <v>4.5993091596347631</v>
      </c>
      <c r="EG30" s="511">
        <v>4.5993091596347631</v>
      </c>
      <c r="EH30" s="511">
        <v>4.5993091596347631</v>
      </c>
      <c r="EI30" s="511">
        <v>4.5993091596347631</v>
      </c>
      <c r="EJ30" s="511">
        <v>4.5993091596347631</v>
      </c>
      <c r="EK30" s="511">
        <v>4.5993091596347631</v>
      </c>
      <c r="EL30" s="511">
        <v>4.5993091596347631</v>
      </c>
      <c r="EM30" s="511">
        <v>4.5993091596347631</v>
      </c>
      <c r="EN30" s="511">
        <f t="shared" si="0"/>
        <v>82.787564873425708</v>
      </c>
      <c r="EO30" s="960">
        <f>DP30-EN30</f>
        <v>398.10243512657428</v>
      </c>
    </row>
    <row r="31" spans="1:201" ht="14.25" x14ac:dyDescent="0.2">
      <c r="A31" s="368" t="s">
        <v>126</v>
      </c>
      <c r="B31" s="348"/>
      <c r="C31" s="348"/>
      <c r="D31" s="58"/>
      <c r="E31" s="49"/>
      <c r="F31" s="46"/>
      <c r="G31" s="48"/>
      <c r="H31" s="145"/>
      <c r="I31" s="165"/>
      <c r="J31" s="48"/>
      <c r="K31" s="165"/>
      <c r="L31" s="48"/>
      <c r="M31" s="165"/>
      <c r="N31" s="48"/>
      <c r="O31" s="165"/>
      <c r="P31" s="48"/>
      <c r="Q31" s="46"/>
      <c r="R31" s="46"/>
      <c r="S31" s="46"/>
      <c r="T31" s="47"/>
      <c r="U31" s="47"/>
      <c r="V31" s="106"/>
      <c r="W31" s="165"/>
      <c r="X31" s="57"/>
      <c r="Y31" s="80"/>
      <c r="Z31" s="57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43"/>
      <c r="AQ31" s="72"/>
      <c r="AR31" s="72"/>
      <c r="AS31" s="431"/>
      <c r="AT31" s="431"/>
      <c r="AU31" s="431"/>
      <c r="AV31" s="431"/>
      <c r="AW31" s="431"/>
      <c r="AX31" s="57"/>
      <c r="AY31" s="80"/>
      <c r="AZ31" s="57"/>
      <c r="BA31" s="55"/>
      <c r="BB31" s="55"/>
      <c r="BC31" s="429"/>
      <c r="BD31" s="32"/>
      <c r="BE31" s="32"/>
      <c r="BF31" s="32"/>
      <c r="BG31" s="32"/>
      <c r="BH31" s="32"/>
      <c r="BI31" s="32"/>
      <c r="BJ31" s="544"/>
      <c r="BK31" s="678"/>
      <c r="BL31" s="679"/>
      <c r="BM31" s="679"/>
      <c r="BN31" s="679"/>
      <c r="BO31" s="679"/>
      <c r="BP31" s="679"/>
      <c r="BQ31" s="680"/>
      <c r="BR31" s="680"/>
      <c r="BS31" s="680"/>
      <c r="BT31" s="681"/>
      <c r="BU31" s="681"/>
      <c r="BV31" s="58"/>
      <c r="BW31" s="49"/>
      <c r="BX31" s="46"/>
      <c r="BY31" s="48"/>
      <c r="BZ31" s="145"/>
      <c r="CA31" s="165"/>
      <c r="CB31" s="48"/>
      <c r="CC31" s="165"/>
      <c r="CD31" s="48"/>
      <c r="CE31" s="165"/>
      <c r="CF31" s="48"/>
      <c r="CG31" s="165"/>
      <c r="CH31" s="48"/>
      <c r="CI31" s="46"/>
      <c r="CJ31" s="175"/>
      <c r="CS31" s="28"/>
      <c r="CT31" s="28"/>
      <c r="CU31" s="28"/>
      <c r="CV31" s="28"/>
      <c r="CW31" s="28"/>
      <c r="CX31" s="28"/>
      <c r="CY31" s="28"/>
      <c r="CZ31" s="1006"/>
      <c r="DA31" s="32"/>
      <c r="DB31" s="32"/>
      <c r="DC31" s="32"/>
      <c r="DD31" s="28"/>
      <c r="DE31" s="28"/>
      <c r="DF31" s="28"/>
      <c r="DG31" s="28"/>
      <c r="DH31" s="28"/>
      <c r="DI31" s="794"/>
      <c r="DO31" s="505"/>
      <c r="DP31" s="679"/>
      <c r="DQ31" s="511"/>
      <c r="DR31" s="77"/>
      <c r="DS31" s="957"/>
      <c r="DT31" s="511"/>
      <c r="DU31" s="511"/>
      <c r="DV31" s="511"/>
      <c r="DW31" s="511"/>
      <c r="DX31" s="511"/>
      <c r="DY31" s="511"/>
      <c r="DZ31" s="511"/>
      <c r="EA31" s="511"/>
      <c r="EB31" s="511"/>
      <c r="EC31" s="511"/>
      <c r="ED31" s="511"/>
      <c r="EE31" s="511"/>
      <c r="EF31" s="511"/>
      <c r="EG31" s="511"/>
      <c r="EH31" s="511"/>
      <c r="EI31" s="511"/>
      <c r="EJ31" s="511"/>
      <c r="EK31" s="511"/>
      <c r="EL31" s="511"/>
      <c r="EM31" s="511"/>
      <c r="EN31" s="511">
        <f t="shared" si="0"/>
        <v>0</v>
      </c>
      <c r="EO31" s="1029"/>
    </row>
    <row r="32" spans="1:201" s="627" customFormat="1" ht="15" x14ac:dyDescent="0.2">
      <c r="A32" s="100" t="s">
        <v>1078</v>
      </c>
      <c r="B32" s="100" t="s">
        <v>1079</v>
      </c>
      <c r="C32" s="100" t="s">
        <v>1030</v>
      </c>
      <c r="D32" s="8">
        <v>3</v>
      </c>
      <c r="E32" s="127">
        <v>0.33329999999999999</v>
      </c>
      <c r="F32" s="119">
        <v>42548</v>
      </c>
      <c r="G32" s="125">
        <v>36</v>
      </c>
      <c r="H32" s="146">
        <f>100/G32</f>
        <v>2.7777777777777777</v>
      </c>
      <c r="I32" s="1167">
        <f>H32*J32</f>
        <v>0</v>
      </c>
      <c r="J32" s="125">
        <v>0</v>
      </c>
      <c r="K32" s="1167">
        <f>L32*H32</f>
        <v>100</v>
      </c>
      <c r="L32" s="125">
        <f>G32-J32</f>
        <v>36</v>
      </c>
      <c r="M32" s="1167">
        <f>N32*H32</f>
        <v>0</v>
      </c>
      <c r="N32" s="125">
        <v>0</v>
      </c>
      <c r="O32" s="1167">
        <f>P32*H32</f>
        <v>100</v>
      </c>
      <c r="P32" s="125">
        <f>L32-N32</f>
        <v>36</v>
      </c>
      <c r="Q32" s="119">
        <v>42428</v>
      </c>
      <c r="R32" s="119" t="s">
        <v>1080</v>
      </c>
      <c r="S32" s="119">
        <v>42548</v>
      </c>
      <c r="T32" s="134">
        <v>38754.06</v>
      </c>
      <c r="U32" s="134"/>
      <c r="V32" s="7"/>
      <c r="W32" s="1167"/>
      <c r="X32" s="64"/>
      <c r="Y32" s="82"/>
      <c r="Z32" s="64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1236">
        <v>38754.06</v>
      </c>
      <c r="AQ32" s="1169"/>
      <c r="AR32" s="1169"/>
      <c r="AS32" s="508"/>
      <c r="AT32" s="508"/>
      <c r="AU32" s="508"/>
      <c r="AV32" s="508"/>
      <c r="AW32" s="508"/>
      <c r="AX32" s="64">
        <v>118.901</v>
      </c>
      <c r="AY32" s="82">
        <v>118.901</v>
      </c>
      <c r="AZ32" s="64">
        <f>AX32/AY32</f>
        <v>1</v>
      </c>
      <c r="BA32" s="62">
        <f>T32/(D32*12)</f>
        <v>1076.5016666666666</v>
      </c>
      <c r="BB32" s="62">
        <f>BA32*AZ32</f>
        <v>1076.5016666666666</v>
      </c>
      <c r="BC32" s="510"/>
      <c r="BD32" s="509"/>
      <c r="BE32" s="509"/>
      <c r="BF32" s="509"/>
      <c r="BG32" s="509"/>
      <c r="BH32" s="509"/>
      <c r="BI32" s="509"/>
      <c r="BJ32" s="544"/>
      <c r="BK32" s="678">
        <v>38754.06</v>
      </c>
      <c r="BL32" s="679">
        <f>BB32*7</f>
        <v>7535.5116666666654</v>
      </c>
      <c r="BM32" s="679">
        <v>1076.5</v>
      </c>
      <c r="BN32" s="679">
        <v>1076.5</v>
      </c>
      <c r="BO32" s="679">
        <v>1076.5</v>
      </c>
      <c r="BP32" s="679">
        <v>1076.5</v>
      </c>
      <c r="BQ32" s="1237">
        <v>118.901</v>
      </c>
      <c r="BR32" s="1237">
        <v>121.00700000000001</v>
      </c>
      <c r="BS32" s="1237">
        <f>BQ32/BR32</f>
        <v>0.9825960481625029</v>
      </c>
      <c r="BT32" s="1227">
        <f>SUM(BL32+BM32+BN32+BO32+BP32)</f>
        <v>11841.511666666665</v>
      </c>
      <c r="BU32" s="1227">
        <f>BK32-BT32</f>
        <v>26912.548333333332</v>
      </c>
      <c r="BV32" s="8">
        <v>3</v>
      </c>
      <c r="BW32" s="127">
        <v>0.33329999999999999</v>
      </c>
      <c r="BX32" s="214">
        <v>43281</v>
      </c>
      <c r="BY32" s="125">
        <v>36</v>
      </c>
      <c r="BZ32" s="146">
        <f>CL32/BY32/100</f>
        <v>10.765016666666666</v>
      </c>
      <c r="CA32" s="1167">
        <f>BZ32*CB32</f>
        <v>258.36039999999997</v>
      </c>
      <c r="CB32" s="125">
        <f>(YEAR(BX32)-YEAR(CK32))*12+MONTH(BX32)-MONTH(CK32)</f>
        <v>24</v>
      </c>
      <c r="CC32" s="1167">
        <f>CD32*BZ32</f>
        <v>129.18019999999999</v>
      </c>
      <c r="CD32" s="125">
        <f>BY32-CB32</f>
        <v>12</v>
      </c>
      <c r="CE32" s="1167">
        <f>CF32*BZ32</f>
        <v>129.18019999999999</v>
      </c>
      <c r="CF32" s="183">
        <f>BY32-CB32</f>
        <v>12</v>
      </c>
      <c r="CG32" s="1167">
        <f>CC32-CE32</f>
        <v>0</v>
      </c>
      <c r="CH32" s="125">
        <f>CD32-CF32</f>
        <v>0</v>
      </c>
      <c r="CI32" s="367">
        <f>DATE(YEAR(CK32),MONTH(CK32)+BY32,DAY(CK32))</f>
        <v>43643</v>
      </c>
      <c r="CJ32" s="119" t="s">
        <v>1080</v>
      </c>
      <c r="CK32" s="119">
        <v>42548</v>
      </c>
      <c r="CL32" s="134">
        <v>38754.06</v>
      </c>
      <c r="CM32" s="960">
        <v>26912.5483333333</v>
      </c>
      <c r="CN32" s="64">
        <v>126.408</v>
      </c>
      <c r="CO32" s="82">
        <v>118.901</v>
      </c>
      <c r="CP32" s="64">
        <f>CN32/CO32</f>
        <v>1.0631365589860473</v>
      </c>
      <c r="CQ32" s="62">
        <f>CM32/CD32</f>
        <v>2242.7123611111083</v>
      </c>
      <c r="CR32" s="1238">
        <f>CQ32*CP32</f>
        <v>2384.3095023871374</v>
      </c>
      <c r="CS32" s="1239"/>
      <c r="CT32" s="1239"/>
      <c r="CU32" s="1239"/>
      <c r="CV32" s="1239"/>
      <c r="CW32" s="1239"/>
      <c r="CX32" s="1239"/>
      <c r="CY32" s="1239"/>
      <c r="CZ32" s="1240"/>
      <c r="DA32" s="679">
        <v>1192.1500000000001</v>
      </c>
      <c r="DB32" s="679">
        <v>1192.1500000000001</v>
      </c>
      <c r="DC32" s="679">
        <v>1192.1500000000001</v>
      </c>
      <c r="DD32" s="1239">
        <v>1192.1500000000001</v>
      </c>
      <c r="DE32" s="1239">
        <v>1192.1500000000001</v>
      </c>
      <c r="DF32" s="1239">
        <v>1192.1500000000001</v>
      </c>
      <c r="DG32" s="1239">
        <v>1192.1500000000001</v>
      </c>
      <c r="DH32" s="679">
        <f>SUM(DA32:DG32)</f>
        <v>8345.0499999999993</v>
      </c>
      <c r="DI32" s="1241">
        <f>CM32-DH32</f>
        <v>18567.4983333333</v>
      </c>
      <c r="DJ32" s="1238">
        <v>1192.1500000000001</v>
      </c>
      <c r="DK32" s="1238">
        <v>1192.1500000000001</v>
      </c>
      <c r="DL32" s="1238">
        <v>1192.1500000000001</v>
      </c>
      <c r="DM32" s="1238">
        <v>1192.1500000000001</v>
      </c>
      <c r="DN32" s="1238">
        <v>1192.1500000000001</v>
      </c>
      <c r="DO32" s="1170">
        <f>SUM(DJ32:DN32)</f>
        <v>5960.75</v>
      </c>
      <c r="DP32" s="679">
        <f>DI32-DO32</f>
        <v>12606.7483333333</v>
      </c>
      <c r="DQ32" s="1171">
        <v>132.28200000000001</v>
      </c>
      <c r="DR32" s="82">
        <v>118.901</v>
      </c>
      <c r="DS32" s="1200">
        <f>DQ32/DR32</f>
        <v>1.1125390030361395</v>
      </c>
      <c r="DT32" s="510">
        <f>DP32/CD32</f>
        <v>1050.5623611111084</v>
      </c>
      <c r="DU32" s="510">
        <f>DT32*DS32</f>
        <v>1168.7916018578453</v>
      </c>
      <c r="DV32" s="510">
        <v>1168.7916018578453</v>
      </c>
      <c r="DW32" s="510">
        <v>1168.7916018578453</v>
      </c>
      <c r="DX32" s="510">
        <v>1168.7916018578453</v>
      </c>
      <c r="DY32" s="510">
        <v>1168.7916018578453</v>
      </c>
      <c r="DZ32" s="510">
        <v>1168.7916018578453</v>
      </c>
      <c r="EA32" s="510">
        <v>1168.7916018578453</v>
      </c>
      <c r="EB32" s="510">
        <v>1168.7916018578453</v>
      </c>
      <c r="EC32" s="510">
        <v>1168.7916018578453</v>
      </c>
      <c r="ED32" s="510">
        <v>1168.7916018578453</v>
      </c>
      <c r="EE32" s="510">
        <v>1168.7916018578453</v>
      </c>
      <c r="EF32" s="510">
        <v>917.83</v>
      </c>
      <c r="EG32" s="510">
        <v>0</v>
      </c>
      <c r="EH32" s="510">
        <v>0</v>
      </c>
      <c r="EI32" s="510">
        <v>0</v>
      </c>
      <c r="EJ32" s="510">
        <v>0</v>
      </c>
      <c r="EK32" s="510">
        <v>0</v>
      </c>
      <c r="EL32" s="510">
        <v>0</v>
      </c>
      <c r="EM32" s="510">
        <v>0</v>
      </c>
      <c r="EN32" s="510">
        <f t="shared" si="0"/>
        <v>12605.746018578453</v>
      </c>
      <c r="EO32" s="960">
        <f>DP32-EN32</f>
        <v>1.002314754847248</v>
      </c>
    </row>
    <row r="33" spans="1:146" ht="15" x14ac:dyDescent="0.2">
      <c r="A33" s="349"/>
      <c r="AN33" s="398" t="e">
        <f>#REF!-#REF!-#REF!-#REF!-#REF!</f>
        <v>#REF!</v>
      </c>
      <c r="AS33" s="103"/>
      <c r="AT33" s="103"/>
      <c r="AU33" s="103"/>
      <c r="AV33" s="104"/>
      <c r="AW33" s="104"/>
      <c r="BC33" s="104"/>
      <c r="BD33" s="104"/>
      <c r="BE33" s="104"/>
      <c r="BF33" s="104"/>
      <c r="BG33" s="104"/>
      <c r="BH33" s="104"/>
      <c r="BI33" s="104"/>
      <c r="BJ33" s="545"/>
      <c r="BK33" s="682" t="e">
        <f>#REF!-#REF!-#REF!</f>
        <v>#REF!</v>
      </c>
      <c r="BL33" s="683"/>
      <c r="BM33" s="683"/>
      <c r="BN33" s="683"/>
      <c r="BO33" s="684"/>
      <c r="BP33" s="684"/>
      <c r="BQ33" s="685"/>
      <c r="BR33" s="686"/>
      <c r="BS33" s="685"/>
      <c r="BT33" s="685"/>
      <c r="BU33" s="685"/>
      <c r="CM33" s="682">
        <f>SUM(CM13:CM30)</f>
        <v>26537.949999999997</v>
      </c>
      <c r="CR33" s="195">
        <f>SUM(CR13:CR30)</f>
        <v>656.59134493558872</v>
      </c>
      <c r="CS33" s="443">
        <f>SUM(CS23:CS24)</f>
        <v>0</v>
      </c>
      <c r="CT33" s="443">
        <f>SUM(CT23:CT24)</f>
        <v>0</v>
      </c>
      <c r="CU33" s="443">
        <f>SUM(CU23:CU24)</f>
        <v>0</v>
      </c>
      <c r="CV33" s="443">
        <f>SUM(CV24:CV24)</f>
        <v>0</v>
      </c>
      <c r="CW33" s="443">
        <f>SUM(CW24:CW24)</f>
        <v>0</v>
      </c>
      <c r="CX33" s="443">
        <f>SUM(CX24:CX24)</f>
        <v>256.86</v>
      </c>
      <c r="CY33" s="443">
        <f>SUM(CY24:CY24)</f>
        <v>256.86</v>
      </c>
      <c r="CZ33" s="507">
        <f>SUM(CZ24:CZ24)</f>
        <v>513.72</v>
      </c>
      <c r="DA33" s="683">
        <f>SUM(DA23:DA32)</f>
        <v>1476.1616747673395</v>
      </c>
      <c r="DB33" s="683">
        <f>SUM(DB23:DB32)</f>
        <v>1476.1616747673395</v>
      </c>
      <c r="DC33" s="683">
        <f>SUM(DC23:DC32)</f>
        <v>1476.1616747673395</v>
      </c>
      <c r="DD33" s="683">
        <f>SUM(DD13:DD32)</f>
        <v>1640.21</v>
      </c>
      <c r="DE33" s="683">
        <f>SUM(DE13:DE32)</f>
        <v>1640.21</v>
      </c>
      <c r="DF33" s="933">
        <f>SUM(DF13:DF32)</f>
        <v>1640.21</v>
      </c>
      <c r="DG33" s="522">
        <f>SUM(DG14:DG32)</f>
        <v>1640.21</v>
      </c>
      <c r="DH33" s="684">
        <f>SUM(DH24:DH30)</f>
        <v>2210.035024302018</v>
      </c>
      <c r="DI33" s="682">
        <f>SUM(DI14:DI32)</f>
        <v>42461.173309031285</v>
      </c>
      <c r="DJ33" s="195">
        <f>SUM(DJ13:DJ32)</f>
        <v>1635.7400000000002</v>
      </c>
      <c r="DK33" s="195">
        <f t="shared" ref="DK33:DP33" si="1">SUM(DK13:DK32)</f>
        <v>1635.7400000000002</v>
      </c>
      <c r="DL33" s="524">
        <f t="shared" si="1"/>
        <v>1635.7400000000002</v>
      </c>
      <c r="DM33" s="524">
        <f t="shared" si="1"/>
        <v>1635.7400000000002</v>
      </c>
      <c r="DN33" s="524">
        <f t="shared" si="1"/>
        <v>1635.7400000000002</v>
      </c>
      <c r="DO33" s="195">
        <f t="shared" si="1"/>
        <v>8178.7</v>
      </c>
      <c r="DP33" s="195">
        <f t="shared" si="1"/>
        <v>34282.47330903128</v>
      </c>
      <c r="DQ33" s="959"/>
      <c r="DR33" s="992"/>
      <c r="DS33" s="992"/>
      <c r="DT33" s="958"/>
      <c r="DU33" s="958"/>
      <c r="DV33" s="958">
        <f t="shared" ref="DV33:EA33" si="2">SUM(DV14:DV32)</f>
        <v>1625.1619312164321</v>
      </c>
      <c r="DW33" s="958">
        <f t="shared" si="2"/>
        <v>1625.1619312164321</v>
      </c>
      <c r="DX33" s="958">
        <f t="shared" si="2"/>
        <v>1625.1619312164321</v>
      </c>
      <c r="DY33" s="958">
        <f t="shared" si="2"/>
        <v>1625.1619312164321</v>
      </c>
      <c r="DZ33" s="958">
        <f t="shared" si="2"/>
        <v>1625.1619312164321</v>
      </c>
      <c r="EA33" s="958">
        <f t="shared" si="2"/>
        <v>1625.1619312164321</v>
      </c>
      <c r="EB33" s="958">
        <f t="shared" ref="EB33:EO33" si="3">SUM(EB13:EB32)</f>
        <v>1625.1619312164321</v>
      </c>
      <c r="EC33" s="958">
        <f t="shared" si="3"/>
        <v>1625.1619312164321</v>
      </c>
      <c r="ED33" s="958">
        <f t="shared" si="3"/>
        <v>1625.1619312164321</v>
      </c>
      <c r="EE33" s="958">
        <f t="shared" si="3"/>
        <v>1625.1619312164321</v>
      </c>
      <c r="EF33" s="958">
        <f t="shared" si="3"/>
        <v>1374.2003293585867</v>
      </c>
      <c r="EG33" s="958">
        <f t="shared" ref="EG33:EL33" si="4">SUM(EG13:EG32)</f>
        <v>456.37032935858673</v>
      </c>
      <c r="EH33" s="958">
        <f t="shared" si="4"/>
        <v>456.37032935858673</v>
      </c>
      <c r="EI33" s="958">
        <f t="shared" si="4"/>
        <v>456.37032935858673</v>
      </c>
      <c r="EJ33" s="958">
        <f t="shared" si="4"/>
        <v>350.87918711305531</v>
      </c>
      <c r="EK33" s="958">
        <f t="shared" si="4"/>
        <v>169.10918711305527</v>
      </c>
      <c r="EL33" s="958">
        <f t="shared" si="4"/>
        <v>169.10918711305527</v>
      </c>
      <c r="EM33" s="958">
        <f t="shared" si="3"/>
        <v>169.10918711305527</v>
      </c>
      <c r="EN33" s="958">
        <f t="shared" si="3"/>
        <v>19853.137378050887</v>
      </c>
      <c r="EO33" s="958">
        <f t="shared" si="3"/>
        <v>14429.335930980396</v>
      </c>
      <c r="EP33" s="434"/>
    </row>
    <row r="34" spans="1:146" ht="14.25" x14ac:dyDescent="0.2">
      <c r="A34" s="1249"/>
      <c r="B34" s="1249"/>
      <c r="C34" s="1249"/>
      <c r="D34" s="1249"/>
      <c r="E34" s="1249"/>
      <c r="F34" s="1249"/>
      <c r="G34" s="1249"/>
      <c r="H34" s="1249"/>
      <c r="I34" s="1249"/>
      <c r="J34" s="1249"/>
      <c r="K34" s="1249"/>
      <c r="L34" s="1249"/>
      <c r="M34" s="1249"/>
      <c r="N34" s="1249"/>
      <c r="O34" s="1249"/>
      <c r="P34" s="1249"/>
      <c r="Q34" s="1249"/>
      <c r="R34" s="1249"/>
      <c r="S34" s="1249"/>
      <c r="T34" s="1249"/>
      <c r="U34" s="1249"/>
      <c r="V34" s="1249"/>
      <c r="W34" s="1249"/>
      <c r="X34" s="1249"/>
      <c r="Y34" s="171"/>
      <c r="Z34" s="170"/>
      <c r="AA34" s="170"/>
      <c r="AB34" s="170"/>
      <c r="AC34" s="170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Y34" s="171"/>
      <c r="AZ34" s="170"/>
      <c r="BA34" s="170"/>
      <c r="BB34" s="170"/>
      <c r="BR34" s="171"/>
      <c r="BS34" s="170"/>
      <c r="BT34" s="170"/>
      <c r="BU34" s="170"/>
      <c r="BV34"/>
      <c r="BW34"/>
      <c r="CM34" s="104"/>
      <c r="CS34" s="104"/>
      <c r="CT34" s="104"/>
      <c r="CU34" s="104"/>
      <c r="CV34" s="104"/>
      <c r="CW34" s="104"/>
      <c r="CX34" s="104"/>
      <c r="CY34" s="104"/>
      <c r="CZ34" s="545"/>
      <c r="DA34" s="683"/>
      <c r="DB34" s="683"/>
      <c r="DC34" s="683"/>
      <c r="DD34" s="684"/>
      <c r="DE34" s="684"/>
      <c r="DF34" s="684"/>
      <c r="DG34" s="684"/>
      <c r="DH34" s="684"/>
      <c r="DI34" s="441"/>
      <c r="DJ34" s="989"/>
      <c r="DK34" s="971"/>
      <c r="DL34" s="971"/>
      <c r="DM34" s="971"/>
      <c r="DN34" s="971"/>
      <c r="DO34" s="971"/>
      <c r="DP34" s="990">
        <f>DI33-DO33</f>
        <v>34282.473309031287</v>
      </c>
      <c r="DQ34" s="991"/>
      <c r="DR34" s="992">
        <v>118.901</v>
      </c>
      <c r="DS34" s="992">
        <f>DQ34/DR34</f>
        <v>0</v>
      </c>
      <c r="DT34" s="958"/>
      <c r="DU34" s="958"/>
      <c r="DV34" s="958"/>
      <c r="DW34" s="958"/>
      <c r="DX34" s="958"/>
      <c r="DY34" s="958"/>
      <c r="DZ34" s="958"/>
      <c r="EA34" s="958"/>
      <c r="EB34" s="958"/>
      <c r="EC34" s="958"/>
      <c r="ED34" s="958"/>
      <c r="EE34" s="958"/>
      <c r="EF34" s="958"/>
      <c r="EG34" s="958"/>
      <c r="EH34" s="958"/>
      <c r="EI34" s="958"/>
      <c r="EJ34" s="958"/>
      <c r="EK34" s="958"/>
      <c r="EL34" s="958"/>
      <c r="EM34" s="958"/>
      <c r="EN34" s="958"/>
      <c r="EO34" s="958">
        <f>DP33-EN33</f>
        <v>14429.335930980393</v>
      </c>
      <c r="EP34" s="434"/>
    </row>
    <row r="35" spans="1:146" x14ac:dyDescent="0.2">
      <c r="A35" s="1249"/>
      <c r="B35" s="1249"/>
      <c r="C35" s="1249"/>
      <c r="D35" s="1249"/>
      <c r="E35" s="1249"/>
      <c r="F35" s="1249"/>
      <c r="G35" s="1249"/>
      <c r="H35" s="1249"/>
      <c r="I35" s="1249"/>
      <c r="J35" s="1249"/>
      <c r="K35" s="1249"/>
      <c r="L35" s="1249"/>
      <c r="M35" s="1249"/>
      <c r="N35" s="1249"/>
      <c r="O35" s="1249"/>
      <c r="P35" s="1249"/>
      <c r="Q35" s="1249"/>
      <c r="R35" s="1249"/>
      <c r="S35" s="1249"/>
      <c r="T35" s="1249"/>
      <c r="U35" s="1249"/>
      <c r="V35" s="1249"/>
      <c r="W35" s="1249"/>
      <c r="X35" s="1249"/>
      <c r="BV35"/>
      <c r="BW35"/>
      <c r="CO35" s="171"/>
      <c r="CP35" s="170"/>
      <c r="CQ35" s="170"/>
      <c r="CR35" s="170"/>
    </row>
    <row r="36" spans="1:146" x14ac:dyDescent="0.2">
      <c r="X36" s="1266"/>
      <c r="Y36" s="1270"/>
      <c r="Z36" s="1270"/>
      <c r="AA36" s="1270"/>
      <c r="AB36" s="1270"/>
      <c r="AN36" s="289"/>
      <c r="AO36" s="104"/>
      <c r="AX36" s="1266"/>
      <c r="AY36" s="1270"/>
      <c r="AZ36" s="1270"/>
      <c r="BA36" s="1270"/>
      <c r="BB36" s="1270"/>
      <c r="BQ36" s="1266"/>
      <c r="BR36" s="1270"/>
      <c r="BS36" s="1270"/>
      <c r="BT36" s="1270"/>
      <c r="BU36" s="1270"/>
    </row>
    <row r="37" spans="1:146" x14ac:dyDescent="0.2">
      <c r="X37" s="1270"/>
      <c r="Y37" s="1270"/>
      <c r="Z37" s="1270"/>
      <c r="AA37" s="1270"/>
      <c r="AB37" s="1270"/>
      <c r="AX37" s="1270"/>
      <c r="AY37" s="1270"/>
      <c r="AZ37" s="1270"/>
      <c r="BA37" s="1270"/>
      <c r="BB37" s="1270"/>
      <c r="BQ37" s="1270"/>
      <c r="BR37" s="1270"/>
      <c r="BS37" s="1270"/>
      <c r="BT37" s="1270"/>
      <c r="BU37" s="1270"/>
      <c r="CN37" s="1051"/>
      <c r="CO37" s="1053"/>
      <c r="CP37" s="1053"/>
      <c r="CQ37" s="1053"/>
      <c r="CR37" s="1053"/>
    </row>
    <row r="38" spans="1:146" x14ac:dyDescent="0.2">
      <c r="X38" s="1270"/>
      <c r="Y38" s="1270"/>
      <c r="Z38" s="1270"/>
      <c r="AA38" s="1270"/>
      <c r="AB38" s="1270"/>
      <c r="AX38" s="1270"/>
      <c r="AY38" s="1270"/>
      <c r="AZ38" s="1270"/>
      <c r="BA38" s="1270"/>
      <c r="BB38" s="1270"/>
      <c r="BQ38" s="1270"/>
      <c r="BR38" s="1270"/>
      <c r="BS38" s="1270"/>
      <c r="BT38" s="1270"/>
      <c r="BU38" s="1270"/>
      <c r="CN38" s="1053"/>
      <c r="CO38" s="1053"/>
      <c r="CP38" s="1053"/>
      <c r="CQ38" s="1053"/>
      <c r="CR38" s="1053"/>
    </row>
    <row r="39" spans="1:146" x14ac:dyDescent="0.2">
      <c r="X39" s="1270"/>
      <c r="Y39" s="1270"/>
      <c r="Z39" s="1270"/>
      <c r="AA39" s="1270"/>
      <c r="AB39" s="1270"/>
      <c r="AX39" s="1270"/>
      <c r="AY39" s="1270"/>
      <c r="AZ39" s="1270"/>
      <c r="BA39" s="1270"/>
      <c r="BB39" s="1270"/>
      <c r="BQ39" s="1270"/>
      <c r="BR39" s="1270"/>
      <c r="BS39" s="1270"/>
      <c r="BT39" s="1270"/>
      <c r="BU39" s="1270"/>
      <c r="CN39" s="1053" t="s">
        <v>1100</v>
      </c>
      <c r="CO39" s="1053"/>
      <c r="CP39" s="1053"/>
      <c r="CQ39" s="1053"/>
      <c r="CR39" s="1053"/>
    </row>
    <row r="40" spans="1:146" x14ac:dyDescent="0.2">
      <c r="CN40" s="1053"/>
      <c r="CO40" s="1053"/>
      <c r="CP40" s="1053"/>
      <c r="CQ40" s="1053"/>
      <c r="CR40" s="1053"/>
    </row>
  </sheetData>
  <mergeCells count="58">
    <mergeCell ref="BB11:BB12"/>
    <mergeCell ref="R11:R12"/>
    <mergeCell ref="S11:S12"/>
    <mergeCell ref="T11:T12"/>
    <mergeCell ref="U11:U12"/>
    <mergeCell ref="V11:V12"/>
    <mergeCell ref="W11:W12"/>
    <mergeCell ref="AA11:AA12"/>
    <mergeCell ref="AB11:AB12"/>
    <mergeCell ref="AQ11:AQ12"/>
    <mergeCell ref="AR11:AR12"/>
    <mergeCell ref="BA11:BA12"/>
    <mergeCell ref="B11:B12"/>
    <mergeCell ref="E11:E12"/>
    <mergeCell ref="F11:F12"/>
    <mergeCell ref="G11:G12"/>
    <mergeCell ref="J11:J12"/>
    <mergeCell ref="BT11:BT12"/>
    <mergeCell ref="BQ36:BU39"/>
    <mergeCell ref="D10:P10"/>
    <mergeCell ref="R10:T10"/>
    <mergeCell ref="H11:H12"/>
    <mergeCell ref="I11:I12"/>
    <mergeCell ref="K11:K12"/>
    <mergeCell ref="L11:L12"/>
    <mergeCell ref="M11:M12"/>
    <mergeCell ref="O11:O12"/>
    <mergeCell ref="Q11:Q12"/>
    <mergeCell ref="U10:AR10"/>
    <mergeCell ref="A34:X35"/>
    <mergeCell ref="X36:AB39"/>
    <mergeCell ref="AX36:BB39"/>
    <mergeCell ref="A11:A12"/>
    <mergeCell ref="BV10:CH10"/>
    <mergeCell ref="CJ10:CL10"/>
    <mergeCell ref="BW11:BW12"/>
    <mergeCell ref="BX11:BX12"/>
    <mergeCell ref="BY11:BY12"/>
    <mergeCell ref="BZ11:BZ12"/>
    <mergeCell ref="CA11:CA12"/>
    <mergeCell ref="CB11:CB12"/>
    <mergeCell ref="CC11:CC12"/>
    <mergeCell ref="CD11:CD12"/>
    <mergeCell ref="CE11:CE12"/>
    <mergeCell ref="CG11:CG12"/>
    <mergeCell ref="CI11:CI12"/>
    <mergeCell ref="CQ11:CQ12"/>
    <mergeCell ref="CR11:CR12"/>
    <mergeCell ref="CM11:CM12"/>
    <mergeCell ref="CJ11:CJ12"/>
    <mergeCell ref="CK11:CK12"/>
    <mergeCell ref="CL11:CL12"/>
    <mergeCell ref="EO11:EO12"/>
    <mergeCell ref="DO11:DO12"/>
    <mergeCell ref="DP11:DP12"/>
    <mergeCell ref="DT11:DT12"/>
    <mergeCell ref="DU11:DU12"/>
    <mergeCell ref="EN11:EN12"/>
  </mergeCells>
  <printOptions horizontalCentered="1"/>
  <pageMargins left="0.19685039370078741" right="0.19685039370078741" top="0.39370078740157483" bottom="0.39370078740157483" header="0" footer="0"/>
  <pageSetup scale="45" orientation="landscape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FY26"/>
  <sheetViews>
    <sheetView topLeftCell="CJ4" zoomScaleNormal="100" workbookViewId="0">
      <selection activeCell="FW24" sqref="FW24"/>
    </sheetView>
  </sheetViews>
  <sheetFormatPr baseColWidth="10" defaultRowHeight="12.75" x14ac:dyDescent="0.2"/>
  <cols>
    <col min="1" max="1" width="20.28515625" customWidth="1"/>
    <col min="2" max="2" width="24.5703125" customWidth="1"/>
    <col min="3" max="3" width="16" customWidth="1"/>
    <col min="4" max="4" width="6.7109375" style="18" hidden="1" customWidth="1"/>
    <col min="5" max="5" width="7.42578125" style="18" hidden="1" customWidth="1"/>
    <col min="6" max="6" width="9.7109375" hidden="1" customWidth="1"/>
    <col min="7" max="14" width="8.5703125" hidden="1" customWidth="1"/>
    <col min="15" max="15" width="8.42578125" hidden="1" customWidth="1"/>
    <col min="16" max="16" width="8.5703125" hidden="1" customWidth="1"/>
    <col min="17" max="17" width="11" hidden="1" customWidth="1"/>
    <col min="18" max="18" width="11.5703125" style="19" hidden="1" customWidth="1"/>
    <col min="19" max="19" width="9.5703125" style="19" hidden="1" customWidth="1"/>
    <col min="20" max="21" width="8.42578125" style="12" hidden="1" customWidth="1"/>
    <col min="22" max="22" width="7.140625" style="12" hidden="1" customWidth="1"/>
    <col min="23" max="24" width="7.28515625" style="12" hidden="1" customWidth="1"/>
    <col min="25" max="25" width="7.7109375" style="104" hidden="1" customWidth="1"/>
    <col min="26" max="26" width="7.28515625" hidden="1" customWidth="1"/>
    <col min="27" max="27" width="8.7109375" hidden="1" customWidth="1"/>
    <col min="28" max="28" width="8.7109375" style="77" hidden="1" customWidth="1"/>
    <col min="29" max="29" width="7.42578125" hidden="1" customWidth="1"/>
    <col min="30" max="30" width="8.7109375" hidden="1" customWidth="1"/>
    <col min="31" max="31" width="8.140625" hidden="1" customWidth="1"/>
    <col min="32" max="36" width="7.7109375" hidden="1" customWidth="1"/>
    <col min="37" max="37" width="11.28515625" hidden="1" customWidth="1"/>
    <col min="38" max="39" width="7.7109375" hidden="1" customWidth="1"/>
    <col min="40" max="40" width="8.28515625" hidden="1" customWidth="1"/>
    <col min="41" max="43" width="7.7109375" hidden="1" customWidth="1"/>
    <col min="44" max="44" width="8.140625" hidden="1" customWidth="1"/>
    <col min="45" max="45" width="7.85546875" style="69" hidden="1" customWidth="1"/>
    <col min="46" max="46" width="7.5703125" style="16" hidden="1" customWidth="1"/>
    <col min="47" max="47" width="5.85546875" style="16" hidden="1" customWidth="1"/>
    <col min="48" max="48" width="8.7109375" hidden="1" customWidth="1"/>
    <col min="49" max="49" width="9.140625" hidden="1" customWidth="1"/>
    <col min="50" max="50" width="11.42578125" hidden="1" customWidth="1"/>
    <col min="51" max="51" width="8.7109375" hidden="1" customWidth="1"/>
    <col min="52" max="52" width="9.5703125" hidden="1" customWidth="1"/>
    <col min="53" max="53" width="8.7109375" hidden="1" customWidth="1"/>
    <col min="54" max="54" width="8.7109375" style="77" hidden="1" customWidth="1"/>
    <col min="55" max="55" width="7.42578125" hidden="1" customWidth="1"/>
    <col min="56" max="57" width="7.85546875" hidden="1" customWidth="1"/>
    <col min="58" max="65" width="9" hidden="1" customWidth="1"/>
    <col min="66" max="66" width="9.5703125" hidden="1" customWidth="1"/>
    <col min="67" max="67" width="8.140625" hidden="1" customWidth="1"/>
    <col min="68" max="68" width="9.140625" hidden="1" customWidth="1"/>
    <col min="69" max="69" width="11.42578125" hidden="1" customWidth="1"/>
    <col min="70" max="70" width="8.7109375" hidden="1" customWidth="1"/>
    <col min="71" max="71" width="9.5703125" hidden="1" customWidth="1"/>
    <col min="72" max="72" width="8.7109375" hidden="1" customWidth="1"/>
    <col min="73" max="73" width="8.7109375" style="77" hidden="1" customWidth="1"/>
    <col min="74" max="74" width="7.42578125" hidden="1" customWidth="1"/>
    <col min="75" max="76" width="7.85546875" hidden="1" customWidth="1"/>
    <col min="77" max="84" width="9" hidden="1" customWidth="1"/>
    <col min="85" max="85" width="11.85546875" hidden="1" customWidth="1"/>
    <col min="86" max="86" width="6.7109375" style="18" customWidth="1"/>
    <col min="87" max="87" width="7.42578125" style="18" customWidth="1"/>
    <col min="88" max="88" width="9.7109375" customWidth="1"/>
    <col min="89" max="89" width="8.5703125" customWidth="1"/>
    <col min="90" max="90" width="8.5703125" hidden="1" customWidth="1"/>
    <col min="91" max="91" width="7.140625" hidden="1" customWidth="1"/>
    <col min="92" max="95" width="8.5703125" hidden="1" customWidth="1"/>
    <col min="96" max="96" width="10.85546875" customWidth="1"/>
    <col min="97" max="97" width="8.42578125" hidden="1" customWidth="1"/>
    <col min="98" max="98" width="10" hidden="1" customWidth="1"/>
    <col min="99" max="99" width="11" customWidth="1"/>
    <col min="100" max="100" width="9.42578125" style="19" customWidth="1"/>
    <col min="101" max="101" width="9.5703125" style="19" customWidth="1"/>
    <col min="102" max="103" width="8.42578125" style="12" customWidth="1"/>
    <col min="104" max="104" width="7.140625" style="12" hidden="1" customWidth="1"/>
    <col min="105" max="106" width="7.28515625" style="12" hidden="1" customWidth="1"/>
    <col min="107" max="107" width="7.7109375" style="104" hidden="1" customWidth="1"/>
    <col min="108" max="108" width="7.28515625" hidden="1" customWidth="1"/>
    <col min="109" max="109" width="8.7109375" hidden="1" customWidth="1"/>
    <col min="110" max="110" width="8.7109375" style="77" hidden="1" customWidth="1"/>
    <col min="111" max="111" width="7.42578125" hidden="1" customWidth="1"/>
    <col min="112" max="112" width="8.7109375" hidden="1" customWidth="1"/>
    <col min="113" max="113" width="8.140625" hidden="1" customWidth="1"/>
    <col min="114" max="118" width="7.7109375" hidden="1" customWidth="1"/>
    <col min="119" max="119" width="11.28515625" hidden="1" customWidth="1"/>
    <col min="120" max="121" width="7.7109375" hidden="1" customWidth="1"/>
    <col min="122" max="122" width="8.28515625" hidden="1" customWidth="1"/>
    <col min="123" max="125" width="7.7109375" hidden="1" customWidth="1"/>
    <col min="126" max="126" width="8.140625" hidden="1" customWidth="1"/>
    <col min="127" max="127" width="7.85546875" style="69" hidden="1" customWidth="1"/>
    <col min="128" max="128" width="7.5703125" style="16" hidden="1" customWidth="1"/>
    <col min="129" max="129" width="5.85546875" style="16" hidden="1" customWidth="1"/>
    <col min="130" max="130" width="8.7109375" hidden="1" customWidth="1"/>
    <col min="131" max="131" width="9.140625" hidden="1" customWidth="1"/>
    <col min="132" max="132" width="11.42578125" hidden="1" customWidth="1"/>
    <col min="133" max="133" width="8.7109375" hidden="1" customWidth="1"/>
    <col min="134" max="134" width="9.5703125" hidden="1" customWidth="1"/>
    <col min="135" max="135" width="8.85546875" hidden="1" customWidth="1"/>
    <col min="136" max="136" width="8.140625" hidden="1" customWidth="1"/>
    <col min="137" max="137" width="8.7109375" style="77" hidden="1" customWidth="1"/>
    <col min="138" max="138" width="7.140625" hidden="1" customWidth="1"/>
    <col min="139" max="140" width="7.85546875" hidden="1" customWidth="1"/>
    <col min="141" max="143" width="9" hidden="1" customWidth="1"/>
    <col min="144" max="144" width="10.140625" hidden="1" customWidth="1"/>
    <col min="145" max="145" width="9" hidden="1" customWidth="1"/>
    <col min="146" max="146" width="9.5703125" hidden="1" customWidth="1"/>
    <col min="147" max="148" width="9" hidden="1" customWidth="1"/>
    <col min="149" max="149" width="9.140625" hidden="1" customWidth="1"/>
    <col min="150" max="150" width="7.5703125" hidden="1" customWidth="1"/>
    <col min="151" max="151" width="8" hidden="1" customWidth="1"/>
    <col min="152" max="152" width="9.5703125" hidden="1" customWidth="1"/>
    <col min="153" max="153" width="11.42578125" hidden="1" customWidth="1"/>
    <col min="154" max="154" width="10.7109375" hidden="1" customWidth="1"/>
    <col min="155" max="155" width="8.42578125" hidden="1" customWidth="1"/>
    <col min="156" max="156" width="9" customWidth="1"/>
    <col min="157" max="161" width="11.42578125" customWidth="1"/>
    <col min="162" max="178" width="11.42578125" hidden="1" customWidth="1"/>
    <col min="179" max="181" width="11.42578125" customWidth="1"/>
  </cols>
  <sheetData>
    <row r="1" spans="1:181" x14ac:dyDescent="0.2">
      <c r="A1" s="556"/>
      <c r="B1" s="549" t="s">
        <v>27</v>
      </c>
      <c r="C1" s="556"/>
      <c r="D1" s="569"/>
      <c r="E1" s="569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70"/>
      <c r="S1" s="570"/>
      <c r="T1" s="556"/>
      <c r="U1" s="556"/>
      <c r="V1" s="556"/>
      <c r="W1" s="556"/>
      <c r="X1" s="556"/>
      <c r="Y1" s="571"/>
      <c r="Z1" s="572"/>
      <c r="AA1" s="572"/>
      <c r="AB1" s="573"/>
      <c r="AC1" s="572"/>
      <c r="AD1" s="572"/>
      <c r="AE1" s="572"/>
      <c r="AF1" s="572"/>
      <c r="AG1" s="556"/>
      <c r="AH1" s="556"/>
      <c r="AI1" s="556"/>
      <c r="AJ1" s="556"/>
      <c r="AK1" s="556"/>
      <c r="AL1" s="556"/>
      <c r="AM1" s="556"/>
      <c r="AN1" s="556"/>
      <c r="AO1" s="556"/>
      <c r="AP1" s="556"/>
      <c r="AQ1" s="572" t="s">
        <v>1072</v>
      </c>
      <c r="AR1" s="556"/>
      <c r="AS1" s="574"/>
      <c r="AT1" s="556"/>
      <c r="AU1" s="556"/>
      <c r="AV1" s="556"/>
      <c r="AW1" s="556"/>
      <c r="AX1" s="556"/>
      <c r="AY1" s="556"/>
      <c r="AZ1" s="556"/>
      <c r="BA1" s="572"/>
      <c r="BB1" s="573"/>
      <c r="BC1" s="572"/>
      <c r="BD1" s="572"/>
      <c r="BE1" s="572"/>
      <c r="BT1" s="94"/>
      <c r="BU1" s="95"/>
      <c r="BV1" s="94"/>
      <c r="BW1" s="94"/>
      <c r="BX1" s="94"/>
      <c r="CH1" s="569"/>
      <c r="CI1" s="569"/>
      <c r="CJ1" s="556"/>
      <c r="CK1" s="556"/>
      <c r="CL1" s="556"/>
      <c r="CM1" s="556"/>
      <c r="CN1" s="556"/>
      <c r="CO1" s="556"/>
      <c r="CP1" s="556"/>
      <c r="CQ1" s="556"/>
      <c r="CR1" s="556"/>
      <c r="CS1" s="556"/>
      <c r="CT1" s="556"/>
      <c r="CU1" s="556"/>
      <c r="CV1" s="570"/>
      <c r="CW1" s="570"/>
      <c r="CX1" s="556"/>
      <c r="CY1" s="556"/>
      <c r="CZ1" s="556"/>
      <c r="DA1" s="556"/>
      <c r="DB1" s="556"/>
      <c r="DC1" s="571"/>
      <c r="DD1" s="572"/>
      <c r="DE1" s="572"/>
      <c r="DF1" s="573"/>
      <c r="DG1" s="572"/>
      <c r="DH1" s="572"/>
      <c r="DI1" s="572"/>
      <c r="DJ1" s="572"/>
      <c r="DK1" s="556"/>
      <c r="DL1" s="556"/>
      <c r="DM1" s="556"/>
      <c r="DN1" s="556"/>
      <c r="DO1" s="556"/>
      <c r="DP1" s="556"/>
      <c r="DQ1" s="556"/>
      <c r="DR1" s="556"/>
      <c r="DS1" s="556"/>
      <c r="DT1" s="556"/>
      <c r="DU1" s="572" t="s">
        <v>1072</v>
      </c>
      <c r="DV1" s="556"/>
      <c r="DW1" s="574"/>
      <c r="DX1" s="556"/>
      <c r="DY1" s="556"/>
      <c r="DZ1" s="556"/>
      <c r="EA1" s="556"/>
      <c r="EB1" s="556"/>
      <c r="EC1" s="556"/>
      <c r="ED1" s="556"/>
      <c r="EE1" s="556"/>
      <c r="EF1" s="572"/>
      <c r="EG1" s="573"/>
      <c r="EH1" s="572"/>
      <c r="EI1" s="572"/>
      <c r="EJ1" s="572"/>
    </row>
    <row r="2" spans="1:181" x14ac:dyDescent="0.2">
      <c r="A2" s="556"/>
      <c r="B2" s="549" t="s">
        <v>1273</v>
      </c>
      <c r="C2" s="556"/>
      <c r="D2" s="569"/>
      <c r="E2" s="569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70"/>
      <c r="S2" s="570"/>
      <c r="T2" s="556"/>
      <c r="U2" s="556"/>
      <c r="V2" s="556"/>
      <c r="W2" s="556"/>
      <c r="X2" s="556"/>
      <c r="Y2" s="571"/>
      <c r="Z2" s="572"/>
      <c r="AA2" s="572"/>
      <c r="AB2" s="573"/>
      <c r="AC2" s="572"/>
      <c r="AD2" s="572"/>
      <c r="AE2" s="572"/>
      <c r="AF2" s="572"/>
      <c r="AG2" s="556"/>
      <c r="AH2" s="556"/>
      <c r="AI2" s="556"/>
      <c r="AJ2" s="556"/>
      <c r="AK2" s="556"/>
      <c r="AL2" s="556"/>
      <c r="AM2" s="556"/>
      <c r="AN2" s="556"/>
      <c r="AO2" s="556"/>
      <c r="AP2" s="556"/>
      <c r="AQ2" s="556"/>
      <c r="AR2" s="556"/>
      <c r="AS2" s="574"/>
      <c r="AT2" s="556"/>
      <c r="AU2" s="556"/>
      <c r="AV2" s="556"/>
      <c r="AW2" s="556"/>
      <c r="AX2" s="556"/>
      <c r="AY2" s="556"/>
      <c r="AZ2" s="556"/>
      <c r="BA2" s="572"/>
      <c r="BB2" s="573"/>
      <c r="BC2" s="572"/>
      <c r="BD2" s="572"/>
      <c r="BE2" s="572"/>
      <c r="BT2" s="94"/>
      <c r="BU2" s="95"/>
      <c r="BV2" s="94"/>
      <c r="BW2" s="94"/>
      <c r="BX2" s="94"/>
      <c r="CH2" s="569"/>
      <c r="CI2" s="569"/>
      <c r="CJ2" s="556"/>
      <c r="CK2" s="556"/>
      <c r="CL2" s="556"/>
      <c r="CM2" s="556"/>
      <c r="CN2" s="556"/>
      <c r="CO2" s="556"/>
      <c r="CP2" s="556"/>
      <c r="CQ2" s="556"/>
      <c r="CR2" s="556"/>
      <c r="CS2" s="556"/>
      <c r="CT2" s="556"/>
      <c r="CU2" s="556"/>
      <c r="CV2" s="570"/>
      <c r="CW2" s="570"/>
      <c r="CX2" s="556"/>
      <c r="CY2" s="556"/>
      <c r="CZ2" s="556"/>
      <c r="DA2" s="556"/>
      <c r="DB2" s="556"/>
      <c r="DC2" s="571"/>
      <c r="DD2" s="572"/>
      <c r="DE2" s="572"/>
      <c r="DF2" s="573"/>
      <c r="DG2" s="572"/>
      <c r="DH2" s="572"/>
      <c r="DI2" s="572"/>
      <c r="DJ2" s="572"/>
      <c r="DK2" s="556"/>
      <c r="DL2" s="556"/>
      <c r="DM2" s="556"/>
      <c r="DN2" s="556"/>
      <c r="DO2" s="556"/>
      <c r="DP2" s="556"/>
      <c r="DQ2" s="556"/>
      <c r="DR2" s="556"/>
      <c r="DS2" s="556"/>
      <c r="DT2" s="556"/>
      <c r="DU2" s="556"/>
      <c r="DV2" s="556"/>
      <c r="DW2" s="574"/>
      <c r="DX2" s="556"/>
      <c r="DY2" s="556"/>
      <c r="DZ2" s="556"/>
      <c r="EA2" s="556"/>
      <c r="EB2" s="556"/>
      <c r="EC2" s="556"/>
      <c r="ED2" s="556"/>
      <c r="EE2" s="556"/>
      <c r="EF2" s="572"/>
      <c r="EG2" s="573"/>
      <c r="EH2" s="572"/>
      <c r="EI2" s="572"/>
      <c r="EJ2" s="572"/>
    </row>
    <row r="3" spans="1:181" x14ac:dyDescent="0.2">
      <c r="A3" s="556"/>
      <c r="B3" s="556"/>
      <c r="C3" s="549"/>
      <c r="D3" s="575"/>
      <c r="E3" s="569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49"/>
      <c r="S3" s="549"/>
      <c r="T3" s="561"/>
      <c r="U3" s="561"/>
      <c r="V3" s="561"/>
      <c r="W3" s="561"/>
      <c r="X3" s="561"/>
      <c r="Y3" s="576"/>
      <c r="Z3" s="572"/>
      <c r="AA3" s="572"/>
      <c r="AB3" s="573"/>
      <c r="AC3" s="572"/>
      <c r="AD3" s="572"/>
      <c r="AE3" s="572"/>
      <c r="AF3" s="572"/>
      <c r="AG3" s="556"/>
      <c r="AH3" s="556"/>
      <c r="AI3" s="556"/>
      <c r="AJ3" s="556"/>
      <c r="AK3" s="556"/>
      <c r="AL3" s="556"/>
      <c r="AM3" s="556"/>
      <c r="AN3" s="556"/>
      <c r="AO3" s="556"/>
      <c r="AP3" s="556"/>
      <c r="AQ3" s="556"/>
      <c r="AR3" s="556"/>
      <c r="AS3" s="574"/>
      <c r="AT3" s="556"/>
      <c r="AU3" s="556"/>
      <c r="AV3" s="556"/>
      <c r="AW3" s="556"/>
      <c r="AX3" s="556"/>
      <c r="AY3" s="556"/>
      <c r="AZ3" s="556"/>
      <c r="BA3" s="572"/>
      <c r="BB3" s="573"/>
      <c r="BC3" s="572"/>
      <c r="BD3" s="572"/>
      <c r="BE3" s="572"/>
      <c r="BT3" s="94"/>
      <c r="BU3" s="95"/>
      <c r="BV3" s="94"/>
      <c r="BW3" s="94"/>
      <c r="BX3" s="94"/>
      <c r="CH3" s="575"/>
      <c r="CI3" s="569"/>
      <c r="CJ3" s="561"/>
      <c r="CK3" s="561"/>
      <c r="CL3" s="561"/>
      <c r="CM3" s="561"/>
      <c r="CN3" s="561"/>
      <c r="CO3" s="561"/>
      <c r="CP3" s="561"/>
      <c r="CQ3" s="561"/>
      <c r="CR3" s="561"/>
      <c r="CS3" s="561"/>
      <c r="CT3" s="561"/>
      <c r="CU3" s="561"/>
      <c r="CV3" s="549"/>
      <c r="CW3" s="549"/>
      <c r="CX3" s="561"/>
      <c r="CY3" s="561"/>
      <c r="CZ3" s="561"/>
      <c r="DA3" s="561"/>
      <c r="DB3" s="561"/>
      <c r="DC3" s="576"/>
      <c r="DD3" s="572"/>
      <c r="DE3" s="572"/>
      <c r="DF3" s="573"/>
      <c r="DG3" s="572"/>
      <c r="DH3" s="572"/>
      <c r="DI3" s="572"/>
      <c r="DJ3" s="572"/>
      <c r="DK3" s="556"/>
      <c r="DL3" s="556"/>
      <c r="DM3" s="556"/>
      <c r="DN3" s="556"/>
      <c r="DO3" s="556"/>
      <c r="DP3" s="556"/>
      <c r="DQ3" s="556"/>
      <c r="DR3" s="556"/>
      <c r="DS3" s="556"/>
      <c r="DT3" s="556"/>
      <c r="DU3" s="556"/>
      <c r="DV3" s="556"/>
      <c r="DW3" s="574"/>
      <c r="DX3" s="556"/>
      <c r="DY3" s="556"/>
      <c r="DZ3" s="556"/>
      <c r="EA3" s="556"/>
      <c r="EB3" s="556"/>
      <c r="EC3" s="556"/>
      <c r="ED3" s="556"/>
      <c r="EE3" s="556"/>
      <c r="EF3" s="572"/>
      <c r="EG3" s="573"/>
      <c r="EH3" s="572"/>
      <c r="EI3" s="572"/>
      <c r="EJ3" s="572"/>
    </row>
    <row r="4" spans="1:181" x14ac:dyDescent="0.2">
      <c r="A4" s="556"/>
      <c r="B4" s="556" t="s">
        <v>309</v>
      </c>
      <c r="C4" s="549"/>
      <c r="D4" s="575"/>
      <c r="E4" s="569"/>
      <c r="F4" s="561"/>
      <c r="G4" s="561"/>
      <c r="H4" s="561"/>
      <c r="I4" s="561"/>
      <c r="J4" s="561"/>
      <c r="K4" s="561"/>
      <c r="L4" s="561"/>
      <c r="M4" s="561"/>
      <c r="N4" s="561"/>
      <c r="O4" s="561"/>
      <c r="P4" s="561"/>
      <c r="Q4" s="561"/>
      <c r="R4" s="549"/>
      <c r="S4" s="549"/>
      <c r="T4" s="561"/>
      <c r="U4" s="561"/>
      <c r="V4" s="561"/>
      <c r="W4" s="561"/>
      <c r="X4" s="561"/>
      <c r="Y4" s="576"/>
      <c r="Z4" s="572"/>
      <c r="AA4" s="572"/>
      <c r="AB4" s="573"/>
      <c r="AC4" s="572"/>
      <c r="AD4" s="572"/>
      <c r="AE4" s="572"/>
      <c r="AF4" s="572"/>
      <c r="AG4" s="556"/>
      <c r="AH4" s="556"/>
      <c r="AI4" s="556"/>
      <c r="AJ4" s="556"/>
      <c r="AK4" s="556"/>
      <c r="AL4" s="556"/>
      <c r="AM4" s="556"/>
      <c r="AN4" s="556"/>
      <c r="AO4" s="556"/>
      <c r="AP4" s="556"/>
      <c r="AQ4" s="556"/>
      <c r="AR4" s="556"/>
      <c r="AS4" s="574"/>
      <c r="AT4" s="556"/>
      <c r="AU4" s="556"/>
      <c r="AV4" s="556"/>
      <c r="AW4" s="556"/>
      <c r="AX4" s="556"/>
      <c r="AY4" s="556"/>
      <c r="AZ4" s="556"/>
      <c r="BA4" s="572"/>
      <c r="BB4" s="573"/>
      <c r="BC4" s="572"/>
      <c r="BD4" s="572"/>
      <c r="BE4" s="572"/>
      <c r="BT4" s="94"/>
      <c r="BU4" s="95"/>
      <c r="BV4" s="94"/>
      <c r="BW4" s="94"/>
      <c r="BX4" s="94"/>
      <c r="CH4" s="575"/>
      <c r="CI4" s="569"/>
      <c r="CJ4" s="561"/>
      <c r="CK4" s="561"/>
      <c r="CL4" s="561"/>
      <c r="CM4" s="561"/>
      <c r="CN4" s="561"/>
      <c r="CO4" s="561"/>
      <c r="CP4" s="561"/>
      <c r="CQ4" s="561"/>
      <c r="CR4" s="561"/>
      <c r="CS4" s="561"/>
      <c r="CT4" s="561"/>
      <c r="CU4" s="561"/>
      <c r="CV4" s="549"/>
      <c r="CW4" s="549"/>
      <c r="CX4" s="561"/>
      <c r="CY4" s="561"/>
      <c r="CZ4" s="561"/>
      <c r="DA4" s="561"/>
      <c r="DB4" s="561"/>
      <c r="DC4" s="576"/>
      <c r="DD4" s="572"/>
      <c r="DE4" s="572"/>
      <c r="DF4" s="573"/>
      <c r="DG4" s="572"/>
      <c r="DH4" s="572"/>
      <c r="DI4" s="572"/>
      <c r="DJ4" s="572"/>
      <c r="DK4" s="556"/>
      <c r="DL4" s="556"/>
      <c r="DM4" s="556"/>
      <c r="DN4" s="556"/>
      <c r="DO4" s="556"/>
      <c r="DP4" s="556"/>
      <c r="DQ4" s="556"/>
      <c r="DR4" s="556"/>
      <c r="DS4" s="556"/>
      <c r="DT4" s="556"/>
      <c r="DU4" s="556"/>
      <c r="DV4" s="556"/>
      <c r="DW4" s="574"/>
      <c r="DX4" s="556"/>
      <c r="DY4" s="556"/>
      <c r="DZ4" s="556"/>
      <c r="EA4" s="556"/>
      <c r="EB4" s="556"/>
      <c r="EC4" s="556"/>
      <c r="ED4" s="556"/>
      <c r="EE4" s="556"/>
      <c r="EF4" s="572"/>
      <c r="EG4" s="573"/>
      <c r="EH4" s="572"/>
      <c r="EI4" s="572"/>
      <c r="EJ4" s="572"/>
    </row>
    <row r="5" spans="1:181" x14ac:dyDescent="0.2">
      <c r="A5" s="556"/>
      <c r="B5" s="561" t="s">
        <v>684</v>
      </c>
      <c r="C5" s="556"/>
      <c r="D5" s="569"/>
      <c r="E5" s="569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70"/>
      <c r="S5" s="570"/>
      <c r="T5" s="556"/>
      <c r="U5" s="556"/>
      <c r="V5" s="556"/>
      <c r="W5" s="556"/>
      <c r="X5" s="556"/>
      <c r="Y5" s="571"/>
      <c r="Z5" s="572"/>
      <c r="AA5" s="572"/>
      <c r="AB5" s="573"/>
      <c r="AC5" s="572"/>
      <c r="AD5" s="572"/>
      <c r="AE5" s="572"/>
      <c r="AF5" s="572"/>
      <c r="AG5" s="556"/>
      <c r="AH5" s="556"/>
      <c r="AI5" s="556"/>
      <c r="AJ5" s="556"/>
      <c r="AK5" s="556"/>
      <c r="AL5" s="556"/>
      <c r="AM5" s="556"/>
      <c r="AN5" s="556"/>
      <c r="AO5" s="556"/>
      <c r="AP5" s="556"/>
      <c r="AQ5" s="556"/>
      <c r="AR5" s="556"/>
      <c r="AS5" s="574"/>
      <c r="AT5" s="556"/>
      <c r="AU5" s="556"/>
      <c r="AV5" s="556"/>
      <c r="AW5" s="556"/>
      <c r="AX5" s="556"/>
      <c r="AY5" s="556"/>
      <c r="AZ5" s="556"/>
      <c r="BA5" s="572"/>
      <c r="BB5" s="573"/>
      <c r="BC5" s="572"/>
      <c r="BD5" s="572"/>
      <c r="BE5" s="572"/>
      <c r="BT5" s="94"/>
      <c r="BU5" s="95"/>
      <c r="BV5" s="94"/>
      <c r="BW5" s="94"/>
      <c r="BX5" s="94"/>
      <c r="CH5" s="569"/>
      <c r="CI5" s="569"/>
      <c r="CJ5" s="556"/>
      <c r="CK5" s="556"/>
      <c r="CL5" s="556"/>
      <c r="CM5" s="556"/>
      <c r="CN5" s="556"/>
      <c r="CO5" s="556"/>
      <c r="CP5" s="556"/>
      <c r="CQ5" s="556"/>
      <c r="CR5" s="556"/>
      <c r="CS5" s="556"/>
      <c r="CT5" s="556"/>
      <c r="CU5" s="556"/>
      <c r="CV5" s="570"/>
      <c r="CW5" s="570"/>
      <c r="CX5" s="556"/>
      <c r="CY5" s="556"/>
      <c r="CZ5" s="556"/>
      <c r="DA5" s="556"/>
      <c r="DB5" s="556"/>
      <c r="DC5" s="571"/>
      <c r="DD5" s="572"/>
      <c r="DE5" s="572"/>
      <c r="DF5" s="573"/>
      <c r="DG5" s="572"/>
      <c r="DH5" s="572"/>
      <c r="DI5" s="572"/>
      <c r="DJ5" s="572"/>
      <c r="DK5" s="556"/>
      <c r="DL5" s="556"/>
      <c r="DM5" s="556"/>
      <c r="DN5" s="556"/>
      <c r="DO5" s="556"/>
      <c r="DP5" s="556"/>
      <c r="DQ5" s="556"/>
      <c r="DR5" s="556"/>
      <c r="DS5" s="556"/>
      <c r="DT5" s="556"/>
      <c r="DU5" s="556"/>
      <c r="DV5" s="556"/>
      <c r="DW5" s="574"/>
      <c r="DX5" s="556"/>
      <c r="DY5" s="556"/>
      <c r="DZ5" s="556"/>
      <c r="EA5" s="556"/>
      <c r="EB5" s="556"/>
      <c r="EC5" s="556"/>
      <c r="ED5" s="556"/>
      <c r="EE5" s="556"/>
      <c r="EF5" s="572"/>
      <c r="EG5" s="573"/>
      <c r="EH5" s="572"/>
      <c r="EI5" s="572"/>
      <c r="EJ5" s="572"/>
    </row>
    <row r="6" spans="1:181" x14ac:dyDescent="0.2">
      <c r="A6" s="556"/>
      <c r="B6" s="556" t="s">
        <v>1272</v>
      </c>
      <c r="C6" s="556"/>
      <c r="D6" s="569"/>
      <c r="E6" s="569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70"/>
      <c r="S6" s="570"/>
      <c r="T6" s="556"/>
      <c r="U6" s="556"/>
      <c r="V6" s="556"/>
      <c r="W6" s="556"/>
      <c r="X6" s="556"/>
      <c r="Y6" s="571"/>
      <c r="Z6" s="572"/>
      <c r="AA6" s="572"/>
      <c r="AB6" s="573"/>
      <c r="AC6" s="572"/>
      <c r="AD6" s="572"/>
      <c r="AE6" s="572"/>
      <c r="AF6" s="572"/>
      <c r="AG6" s="556"/>
      <c r="AH6" s="556"/>
      <c r="AI6" s="556"/>
      <c r="AJ6" s="556"/>
      <c r="AK6" s="556"/>
      <c r="AL6" s="556"/>
      <c r="AM6" s="556"/>
      <c r="AN6" s="556"/>
      <c r="AO6" s="556"/>
      <c r="AP6" s="556"/>
      <c r="AQ6" s="556"/>
      <c r="AR6" s="556"/>
      <c r="AS6" s="574"/>
      <c r="AT6" s="556"/>
      <c r="AU6" s="556"/>
      <c r="AV6" s="556"/>
      <c r="AW6" s="556"/>
      <c r="AX6" s="556"/>
      <c r="AY6" s="556"/>
      <c r="AZ6" s="556"/>
      <c r="BA6" s="572"/>
      <c r="BB6" s="573"/>
      <c r="BC6" s="572"/>
      <c r="BD6" s="572"/>
      <c r="BE6" s="572"/>
      <c r="BT6" s="94"/>
      <c r="BU6" s="95"/>
      <c r="BV6" s="94"/>
      <c r="BW6" s="94"/>
      <c r="BX6" s="94"/>
      <c r="CH6" s="569"/>
      <c r="CI6" s="569"/>
      <c r="CJ6" s="556"/>
      <c r="CK6" s="556"/>
      <c r="CL6" s="556"/>
      <c r="CM6" s="556"/>
      <c r="CN6" s="556"/>
      <c r="CO6" s="556"/>
      <c r="CP6" s="556"/>
      <c r="CQ6" s="556"/>
      <c r="CR6" s="556"/>
      <c r="CS6" s="556"/>
      <c r="CT6" s="556"/>
      <c r="CU6" s="556"/>
      <c r="CV6" s="570"/>
      <c r="CW6" s="570"/>
      <c r="CX6" s="556"/>
      <c r="CY6" s="556"/>
      <c r="CZ6" s="556"/>
      <c r="DA6" s="556"/>
      <c r="DB6" s="556"/>
      <c r="DC6" s="571"/>
      <c r="DD6" s="572"/>
      <c r="DE6" s="572"/>
      <c r="DF6" s="573"/>
      <c r="DG6" s="572"/>
      <c r="DH6" s="572"/>
      <c r="DI6" s="572"/>
      <c r="DJ6" s="572"/>
      <c r="DK6" s="556"/>
      <c r="DL6" s="556"/>
      <c r="DM6" s="556"/>
      <c r="DN6" s="556"/>
      <c r="DO6" s="556"/>
      <c r="DP6" s="556"/>
      <c r="DQ6" s="556"/>
      <c r="DR6" s="556"/>
      <c r="DS6" s="556"/>
      <c r="DT6" s="556"/>
      <c r="DU6" s="556"/>
      <c r="DV6" s="556"/>
      <c r="DW6" s="574"/>
      <c r="DX6" s="556"/>
      <c r="DY6" s="556"/>
      <c r="DZ6" s="556"/>
      <c r="EA6" s="556"/>
      <c r="EB6" s="556"/>
      <c r="EC6" s="556"/>
      <c r="ED6" s="556"/>
      <c r="EE6" s="556"/>
      <c r="EF6" s="572"/>
      <c r="EG6" s="573"/>
      <c r="EH6" s="572"/>
      <c r="EI6" s="572"/>
      <c r="EJ6" s="572"/>
    </row>
    <row r="7" spans="1:181" x14ac:dyDescent="0.2">
      <c r="A7" s="556"/>
      <c r="B7" s="556"/>
      <c r="C7" s="556"/>
      <c r="D7" s="569"/>
      <c r="E7" s="569"/>
      <c r="F7" s="556"/>
      <c r="G7" s="556"/>
      <c r="H7" s="556"/>
      <c r="I7" s="556"/>
      <c r="J7" s="556"/>
      <c r="K7" s="556"/>
      <c r="L7" s="556"/>
      <c r="M7" s="556"/>
      <c r="N7" s="556"/>
      <c r="O7" s="556"/>
      <c r="P7" s="556"/>
      <c r="Q7" s="556"/>
      <c r="R7" s="570"/>
      <c r="S7" s="570"/>
      <c r="T7" s="556"/>
      <c r="U7" s="556"/>
      <c r="V7" s="556"/>
      <c r="W7" s="556"/>
      <c r="X7" s="556"/>
      <c r="Y7" s="571"/>
      <c r="Z7" s="572"/>
      <c r="AA7" s="572"/>
      <c r="AB7" s="573"/>
      <c r="AC7" s="572"/>
      <c r="AD7" s="572"/>
      <c r="AE7" s="572"/>
      <c r="AF7" s="572"/>
      <c r="AG7" s="556"/>
      <c r="AH7" s="556"/>
      <c r="AI7" s="556"/>
      <c r="AJ7" s="556"/>
      <c r="AK7" s="556"/>
      <c r="AL7" s="556"/>
      <c r="AM7" s="556"/>
      <c r="AN7" s="556"/>
      <c r="AO7" s="556"/>
      <c r="AP7" s="556"/>
      <c r="AQ7" s="556"/>
      <c r="AR7" s="556"/>
      <c r="AS7" s="574"/>
      <c r="AT7" s="556"/>
      <c r="AU7" s="556"/>
      <c r="AV7" s="556"/>
      <c r="AW7" s="556"/>
      <c r="AX7" s="556"/>
      <c r="AY7" s="556"/>
      <c r="AZ7" s="556"/>
      <c r="BA7" s="572"/>
      <c r="BB7" s="573"/>
      <c r="BC7" s="572"/>
      <c r="BD7" s="572"/>
      <c r="BE7" s="572"/>
      <c r="BT7" s="94"/>
      <c r="BU7" s="95"/>
      <c r="BV7" s="94"/>
      <c r="BW7" s="94"/>
      <c r="BX7" s="94"/>
      <c r="CH7" s="569"/>
      <c r="CI7" s="569"/>
      <c r="CJ7" s="556"/>
      <c r="CK7" s="556"/>
      <c r="CL7" s="556"/>
      <c r="CM7" s="556"/>
      <c r="CN7" s="556"/>
      <c r="CO7" s="556"/>
      <c r="CP7" s="556"/>
      <c r="CQ7" s="556"/>
      <c r="CR7" s="556"/>
      <c r="CS7" s="556"/>
      <c r="CT7" s="556"/>
      <c r="CU7" s="556"/>
      <c r="CV7" s="570"/>
      <c r="CW7" s="570"/>
      <c r="CX7" s="556"/>
      <c r="CY7" s="556"/>
      <c r="CZ7" s="556"/>
      <c r="DA7" s="556"/>
      <c r="DB7" s="556"/>
      <c r="DC7" s="571"/>
      <c r="DD7" s="572"/>
      <c r="DE7" s="572"/>
      <c r="DF7" s="573"/>
      <c r="DG7" s="572"/>
      <c r="DH7" s="572"/>
      <c r="DI7" s="572"/>
      <c r="DJ7" s="572"/>
      <c r="DK7" s="556"/>
      <c r="DL7" s="556"/>
      <c r="DM7" s="556"/>
      <c r="DN7" s="556"/>
      <c r="DO7" s="556"/>
      <c r="DP7" s="556"/>
      <c r="DQ7" s="556"/>
      <c r="DR7" s="556"/>
      <c r="DS7" s="556"/>
      <c r="DT7" s="556"/>
      <c r="DU7" s="556"/>
      <c r="DV7" s="556"/>
      <c r="DW7" s="574"/>
      <c r="DX7" s="556"/>
      <c r="DY7" s="556"/>
      <c r="DZ7" s="556"/>
      <c r="EA7" s="556"/>
      <c r="EB7" s="556"/>
      <c r="EC7" s="556"/>
      <c r="ED7" s="556"/>
      <c r="EE7" s="556"/>
      <c r="EF7" s="572"/>
      <c r="EG7" s="573"/>
      <c r="EH7" s="572"/>
      <c r="EI7" s="572"/>
      <c r="EJ7" s="572"/>
    </row>
    <row r="8" spans="1:181" s="16" customFormat="1" x14ac:dyDescent="0.2">
      <c r="D8" s="38"/>
      <c r="E8" s="38"/>
      <c r="R8" s="37"/>
      <c r="S8" s="37"/>
      <c r="T8" s="35"/>
      <c r="U8" s="35"/>
      <c r="V8" s="35"/>
      <c r="W8" s="35"/>
      <c r="X8" s="35"/>
      <c r="Y8" s="103"/>
      <c r="Z8" s="39"/>
      <c r="AA8" s="39"/>
      <c r="AB8" s="76"/>
      <c r="AC8" s="39"/>
      <c r="AD8" s="39"/>
      <c r="AE8" s="39"/>
      <c r="AF8" s="39"/>
      <c r="AS8" s="68"/>
      <c r="BA8" s="39"/>
      <c r="BB8" s="76"/>
      <c r="BC8" s="39"/>
      <c r="BD8" s="39"/>
      <c r="BE8" s="39"/>
      <c r="BT8" s="39"/>
      <c r="BU8" s="76"/>
      <c r="BV8" s="39"/>
      <c r="BW8" s="39"/>
      <c r="BX8" s="39"/>
      <c r="CH8" s="38"/>
      <c r="CI8" s="38"/>
      <c r="CV8" s="37"/>
      <c r="CW8" s="37"/>
      <c r="CX8" s="35"/>
      <c r="CY8" s="35"/>
      <c r="CZ8" s="35"/>
      <c r="DA8" s="35"/>
      <c r="DB8" s="35"/>
      <c r="DC8" s="103"/>
      <c r="DD8" s="39"/>
      <c r="DE8" s="39"/>
      <c r="DF8" s="76"/>
      <c r="DG8" s="39"/>
      <c r="DH8" s="39"/>
      <c r="DI8" s="39"/>
      <c r="DJ8" s="39"/>
      <c r="DW8" s="68"/>
      <c r="EF8" s="39"/>
      <c r="EG8" s="76"/>
      <c r="EH8" s="39"/>
      <c r="EI8" s="39"/>
      <c r="EJ8" s="39"/>
    </row>
    <row r="9" spans="1:181" s="16" customFormat="1" ht="20.25" customHeight="1" x14ac:dyDescent="0.2">
      <c r="D9" s="38"/>
      <c r="E9" s="38"/>
      <c r="R9" s="37"/>
      <c r="S9" s="37"/>
      <c r="T9" s="35"/>
      <c r="U9" s="35"/>
      <c r="V9" s="35"/>
      <c r="W9" s="35"/>
      <c r="X9" s="35"/>
      <c r="Y9" s="103"/>
      <c r="Z9" s="39"/>
      <c r="AA9" s="39"/>
      <c r="AB9" s="76"/>
      <c r="AC9" s="39"/>
      <c r="AD9" s="39"/>
      <c r="AE9" s="39"/>
      <c r="AF9" s="39"/>
      <c r="AS9" s="68"/>
      <c r="BA9" s="39"/>
      <c r="BB9" s="76"/>
      <c r="BC9" s="39"/>
      <c r="BD9" s="39"/>
      <c r="BE9" s="39"/>
      <c r="BT9" s="39"/>
      <c r="BU9" s="76"/>
      <c r="BV9" s="39"/>
      <c r="BW9" s="39"/>
      <c r="BX9" s="39"/>
      <c r="CH9" s="38"/>
      <c r="CI9" s="38"/>
      <c r="CV9" s="37"/>
      <c r="CW9" s="37"/>
      <c r="CX9" s="35"/>
      <c r="CY9" s="35"/>
      <c r="CZ9" s="35"/>
      <c r="DA9" s="35"/>
      <c r="DB9" s="35"/>
      <c r="DC9" s="103"/>
      <c r="DD9" s="39"/>
      <c r="DE9" s="39"/>
      <c r="DF9" s="76"/>
      <c r="DG9" s="39"/>
      <c r="DH9" s="39"/>
      <c r="DI9" s="39"/>
      <c r="DJ9" s="39"/>
      <c r="DW9" s="68"/>
      <c r="EF9" s="39"/>
      <c r="EG9" s="76"/>
      <c r="EH9" s="39"/>
      <c r="EI9" s="39"/>
      <c r="EJ9" s="39"/>
    </row>
    <row r="10" spans="1:181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299"/>
      <c r="V10" s="253"/>
      <c r="W10" s="1260" t="s">
        <v>450</v>
      </c>
      <c r="X10" s="1260"/>
      <c r="Y10" s="1260"/>
      <c r="Z10" s="1260"/>
      <c r="AA10" s="1260"/>
      <c r="AB10" s="1260"/>
      <c r="AC10" s="1260"/>
      <c r="AD10" s="1260"/>
      <c r="AE10" s="1260"/>
      <c r="AF10" s="1260"/>
      <c r="AG10" s="1260"/>
      <c r="AH10" s="1260"/>
      <c r="AI10" s="1260"/>
      <c r="AJ10" s="1260"/>
      <c r="AK10" s="1260"/>
      <c r="AL10" s="1260"/>
      <c r="AM10" s="1260"/>
      <c r="AN10" s="1260"/>
      <c r="AO10" s="1260"/>
      <c r="AP10" s="1260"/>
      <c r="AQ10" s="1260"/>
      <c r="AR10" s="1260"/>
      <c r="AS10" s="1260"/>
      <c r="BB10"/>
      <c r="BU10"/>
      <c r="CH10" s="1258" t="s">
        <v>532</v>
      </c>
      <c r="CI10" s="1258"/>
      <c r="CJ10" s="1258"/>
      <c r="CK10" s="1258"/>
      <c r="CL10" s="1258"/>
      <c r="CM10" s="1258"/>
      <c r="CN10" s="1258"/>
      <c r="CO10" s="1258"/>
      <c r="CP10" s="1258"/>
      <c r="CQ10" s="1258"/>
      <c r="CR10" s="1258"/>
      <c r="CS10" s="1258"/>
      <c r="CT10" s="1258"/>
      <c r="CU10" s="191"/>
      <c r="CV10" s="1259" t="s">
        <v>448</v>
      </c>
      <c r="CW10" s="1259"/>
      <c r="CX10" s="1259"/>
      <c r="CY10" s="723"/>
      <c r="CZ10" s="253"/>
      <c r="DA10" s="1260" t="s">
        <v>450</v>
      </c>
      <c r="DB10" s="1260"/>
      <c r="DC10" s="1260"/>
      <c r="DD10" s="1260"/>
      <c r="DE10" s="1260"/>
      <c r="DF10" s="1260"/>
      <c r="DG10" s="1260"/>
      <c r="DH10" s="1260"/>
      <c r="DI10" s="1260"/>
      <c r="DJ10" s="1260"/>
      <c r="DK10" s="1260"/>
      <c r="DL10" s="1260"/>
      <c r="DM10" s="1260"/>
      <c r="DN10" s="1260"/>
      <c r="DO10" s="1260"/>
      <c r="DP10" s="1260"/>
      <c r="DQ10" s="1260"/>
      <c r="DR10" s="1260"/>
      <c r="DS10" s="1260"/>
      <c r="DT10" s="1260"/>
      <c r="DU10" s="1260"/>
      <c r="DV10" s="1260"/>
      <c r="DW10" s="1260"/>
      <c r="EG10"/>
    </row>
    <row r="11" spans="1:181" ht="54" customHeight="1" x14ac:dyDescent="0.25">
      <c r="A11" s="1261" t="s">
        <v>57</v>
      </c>
      <c r="B11" s="1261" t="s">
        <v>0</v>
      </c>
      <c r="C11" s="300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526</v>
      </c>
      <c r="J11" s="1254" t="s">
        <v>525</v>
      </c>
      <c r="K11" s="1254" t="s">
        <v>534</v>
      </c>
      <c r="L11" s="1254" t="s">
        <v>493</v>
      </c>
      <c r="M11" s="1254" t="s">
        <v>535</v>
      </c>
      <c r="N11" s="297" t="s">
        <v>529</v>
      </c>
      <c r="O11" s="1254" t="s">
        <v>492</v>
      </c>
      <c r="P11" s="298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293"/>
      <c r="V11" s="1245" t="s">
        <v>595</v>
      </c>
      <c r="W11" s="1245" t="s">
        <v>596</v>
      </c>
      <c r="X11" s="295"/>
      <c r="Y11" s="1268" t="s">
        <v>569</v>
      </c>
      <c r="Z11" s="1245" t="s">
        <v>599</v>
      </c>
      <c r="AA11" s="158" t="s">
        <v>15</v>
      </c>
      <c r="AB11" s="159" t="s">
        <v>15</v>
      </c>
      <c r="AC11" s="158" t="s">
        <v>16</v>
      </c>
      <c r="AD11" s="1245" t="s">
        <v>527</v>
      </c>
      <c r="AE11" s="1245" t="s">
        <v>536</v>
      </c>
      <c r="AF11" s="158" t="s">
        <v>3</v>
      </c>
      <c r="AG11" s="158" t="s">
        <v>4</v>
      </c>
      <c r="AH11" s="158" t="s">
        <v>5</v>
      </c>
      <c r="AI11" s="158" t="s">
        <v>6</v>
      </c>
      <c r="AJ11" s="158" t="s">
        <v>7</v>
      </c>
      <c r="AK11" s="158" t="s">
        <v>8</v>
      </c>
      <c r="AL11" s="158" t="s">
        <v>9</v>
      </c>
      <c r="AM11" s="158" t="s">
        <v>10</v>
      </c>
      <c r="AN11" s="158" t="s">
        <v>11</v>
      </c>
      <c r="AO11" s="158" t="s">
        <v>12</v>
      </c>
      <c r="AP11" s="158" t="s">
        <v>13</v>
      </c>
      <c r="AQ11" s="158" t="s">
        <v>14</v>
      </c>
      <c r="AR11" s="196" t="s">
        <v>531</v>
      </c>
      <c r="AS11" s="196" t="s">
        <v>63</v>
      </c>
      <c r="AT11" s="1245" t="s">
        <v>976</v>
      </c>
      <c r="AU11" s="1245" t="s">
        <v>536</v>
      </c>
      <c r="AV11" s="158" t="s">
        <v>3</v>
      </c>
      <c r="AW11" s="158" t="s">
        <v>4</v>
      </c>
      <c r="AX11" s="158" t="s">
        <v>5</v>
      </c>
      <c r="AY11" s="158" t="s">
        <v>6</v>
      </c>
      <c r="AZ11" s="158" t="s">
        <v>7</v>
      </c>
      <c r="BA11" s="158" t="s">
        <v>15</v>
      </c>
      <c r="BB11" s="159" t="s">
        <v>15</v>
      </c>
      <c r="BC11" s="158" t="s">
        <v>16</v>
      </c>
      <c r="BD11" s="1245" t="s">
        <v>1059</v>
      </c>
      <c r="BE11" s="1245" t="s">
        <v>536</v>
      </c>
      <c r="BF11" s="158" t="s">
        <v>8</v>
      </c>
      <c r="BG11" s="158" t="s">
        <v>9</v>
      </c>
      <c r="BH11" s="158" t="s">
        <v>10</v>
      </c>
      <c r="BI11" s="158" t="s">
        <v>11</v>
      </c>
      <c r="BJ11" s="158" t="s">
        <v>12</v>
      </c>
      <c r="BK11" s="158" t="s">
        <v>13</v>
      </c>
      <c r="BL11" s="158" t="s">
        <v>14</v>
      </c>
      <c r="BM11" s="196" t="s">
        <v>989</v>
      </c>
      <c r="BN11" s="196" t="s">
        <v>63</v>
      </c>
      <c r="BO11" s="158" t="s">
        <v>3</v>
      </c>
      <c r="BP11" s="158" t="s">
        <v>4</v>
      </c>
      <c r="BQ11" s="158" t="s">
        <v>5</v>
      </c>
      <c r="BR11" s="158" t="s">
        <v>6</v>
      </c>
      <c r="BS11" s="158" t="s">
        <v>7</v>
      </c>
      <c r="BT11" s="158" t="s">
        <v>15</v>
      </c>
      <c r="BU11" s="159" t="s">
        <v>15</v>
      </c>
      <c r="BV11" s="158" t="s">
        <v>16</v>
      </c>
      <c r="BW11" s="1245" t="s">
        <v>1004</v>
      </c>
      <c r="BX11" s="1245" t="s">
        <v>536</v>
      </c>
      <c r="BY11" s="158" t="s">
        <v>8</v>
      </c>
      <c r="BZ11" s="158" t="s">
        <v>9</v>
      </c>
      <c r="CA11" s="158" t="s">
        <v>10</v>
      </c>
      <c r="CB11" s="158" t="s">
        <v>11</v>
      </c>
      <c r="CC11" s="158" t="s">
        <v>12</v>
      </c>
      <c r="CD11" s="158" t="s">
        <v>13</v>
      </c>
      <c r="CE11" s="158" t="s">
        <v>14</v>
      </c>
      <c r="CF11" s="196" t="s">
        <v>1058</v>
      </c>
      <c r="CG11" s="1247" t="s">
        <v>1134</v>
      </c>
      <c r="CH11" s="166" t="s">
        <v>306</v>
      </c>
      <c r="CI11" s="1263" t="s">
        <v>55</v>
      </c>
      <c r="CJ11" s="1254" t="s">
        <v>564</v>
      </c>
      <c r="CK11" s="1254" t="s">
        <v>446</v>
      </c>
      <c r="CL11" s="1254" t="s">
        <v>533</v>
      </c>
      <c r="CM11" s="1254" t="s">
        <v>1126</v>
      </c>
      <c r="CN11" s="1254" t="s">
        <v>1127</v>
      </c>
      <c r="CO11" s="1254" t="s">
        <v>534</v>
      </c>
      <c r="CP11" s="1254" t="s">
        <v>493</v>
      </c>
      <c r="CQ11" s="1254" t="s">
        <v>1148</v>
      </c>
      <c r="CR11" s="721" t="s">
        <v>529</v>
      </c>
      <c r="CS11" s="1254" t="s">
        <v>492</v>
      </c>
      <c r="CT11" s="722" t="s">
        <v>530</v>
      </c>
      <c r="CU11" s="1256" t="s">
        <v>528</v>
      </c>
      <c r="CV11" s="1250" t="s">
        <v>437</v>
      </c>
      <c r="CW11" s="1250" t="s">
        <v>56</v>
      </c>
      <c r="CX11" s="1252" t="s">
        <v>449</v>
      </c>
      <c r="CY11" s="719"/>
      <c r="CZ11" s="1245" t="s">
        <v>595</v>
      </c>
      <c r="DA11" s="1245" t="s">
        <v>596</v>
      </c>
      <c r="DB11" s="717"/>
      <c r="DC11" s="1268" t="s">
        <v>569</v>
      </c>
      <c r="DD11" s="1245" t="s">
        <v>599</v>
      </c>
      <c r="DE11" s="158" t="s">
        <v>15</v>
      </c>
      <c r="DF11" s="159" t="s">
        <v>15</v>
      </c>
      <c r="DG11" s="158" t="s">
        <v>16</v>
      </c>
      <c r="DH11" s="1245" t="s">
        <v>527</v>
      </c>
      <c r="DI11" s="1245" t="s">
        <v>536</v>
      </c>
      <c r="DJ11" s="158" t="s">
        <v>3</v>
      </c>
      <c r="DK11" s="158" t="s">
        <v>4</v>
      </c>
      <c r="DL11" s="158" t="s">
        <v>5</v>
      </c>
      <c r="DM11" s="158" t="s">
        <v>6</v>
      </c>
      <c r="DN11" s="158" t="s">
        <v>7</v>
      </c>
      <c r="DO11" s="158" t="s">
        <v>8</v>
      </c>
      <c r="DP11" s="158" t="s">
        <v>9</v>
      </c>
      <c r="DQ11" s="158" t="s">
        <v>10</v>
      </c>
      <c r="DR11" s="158" t="s">
        <v>11</v>
      </c>
      <c r="DS11" s="158" t="s">
        <v>12</v>
      </c>
      <c r="DT11" s="158" t="s">
        <v>13</v>
      </c>
      <c r="DU11" s="158" t="s">
        <v>14</v>
      </c>
      <c r="DV11" s="718" t="s">
        <v>531</v>
      </c>
      <c r="DW11" s="718" t="s">
        <v>63</v>
      </c>
      <c r="DX11" s="1245" t="s">
        <v>976</v>
      </c>
      <c r="DY11" s="1245" t="s">
        <v>536</v>
      </c>
      <c r="DZ11" s="158" t="s">
        <v>3</v>
      </c>
      <c r="EA11" s="158" t="s">
        <v>4</v>
      </c>
      <c r="EB11" s="158" t="s">
        <v>5</v>
      </c>
      <c r="EC11" s="158" t="s">
        <v>6</v>
      </c>
      <c r="ED11" s="158" t="s">
        <v>7</v>
      </c>
      <c r="EE11" s="1247" t="s">
        <v>1134</v>
      </c>
      <c r="EF11" s="158" t="s">
        <v>15</v>
      </c>
      <c r="EG11" s="159" t="s">
        <v>15</v>
      </c>
      <c r="EH11" s="158" t="s">
        <v>16</v>
      </c>
      <c r="EI11" s="1245" t="s">
        <v>1124</v>
      </c>
      <c r="EJ11" s="1245" t="s">
        <v>536</v>
      </c>
      <c r="EK11" s="158" t="s">
        <v>8</v>
      </c>
      <c r="EL11" s="158" t="s">
        <v>9</v>
      </c>
      <c r="EM11" s="158" t="s">
        <v>10</v>
      </c>
      <c r="EN11" s="158" t="s">
        <v>11</v>
      </c>
      <c r="EO11" s="158" t="s">
        <v>12</v>
      </c>
      <c r="EP11" s="158" t="s">
        <v>13</v>
      </c>
      <c r="EQ11" s="158" t="s">
        <v>14</v>
      </c>
      <c r="ER11" s="718" t="s">
        <v>1131</v>
      </c>
      <c r="ES11" s="718" t="s">
        <v>63</v>
      </c>
      <c r="ET11" s="158" t="s">
        <v>3</v>
      </c>
      <c r="EU11" s="158" t="s">
        <v>4</v>
      </c>
      <c r="EV11" s="158" t="s">
        <v>5</v>
      </c>
      <c r="EW11" s="158" t="s">
        <v>6</v>
      </c>
      <c r="EX11" s="158" t="s">
        <v>7</v>
      </c>
      <c r="EY11" s="1247" t="s">
        <v>1252</v>
      </c>
      <c r="EZ11" s="1247" t="s">
        <v>1253</v>
      </c>
      <c r="FA11" s="158" t="s">
        <v>15</v>
      </c>
      <c r="FB11" s="159" t="s">
        <v>15</v>
      </c>
      <c r="FC11" s="158" t="s">
        <v>16</v>
      </c>
      <c r="FD11" s="1245" t="s">
        <v>1254</v>
      </c>
      <c r="FE11" s="1245" t="s">
        <v>536</v>
      </c>
      <c r="FF11" s="158" t="s">
        <v>8</v>
      </c>
      <c r="FG11" s="158" t="s">
        <v>9</v>
      </c>
      <c r="FH11" s="158" t="s">
        <v>10</v>
      </c>
      <c r="FI11" s="158" t="s">
        <v>11</v>
      </c>
      <c r="FJ11" s="158" t="s">
        <v>12</v>
      </c>
      <c r="FK11" s="158" t="s">
        <v>13</v>
      </c>
      <c r="FL11" s="158" t="s">
        <v>14</v>
      </c>
      <c r="FM11" s="158" t="s">
        <v>3</v>
      </c>
      <c r="FN11" s="158" t="s">
        <v>4</v>
      </c>
      <c r="FO11" s="158" t="s">
        <v>5</v>
      </c>
      <c r="FP11" s="158" t="s">
        <v>6</v>
      </c>
      <c r="FQ11" s="158" t="s">
        <v>7</v>
      </c>
      <c r="FR11" s="158" t="s">
        <v>8</v>
      </c>
      <c r="FS11" s="158" t="s">
        <v>9</v>
      </c>
      <c r="FT11" s="158" t="s">
        <v>10</v>
      </c>
      <c r="FU11" s="158" t="s">
        <v>11</v>
      </c>
      <c r="FV11" s="158" t="s">
        <v>12</v>
      </c>
      <c r="FW11" s="158" t="s">
        <v>13</v>
      </c>
      <c r="FX11" s="1247" t="s">
        <v>1274</v>
      </c>
      <c r="FY11" s="1247" t="s">
        <v>1263</v>
      </c>
    </row>
    <row r="12" spans="1:181" ht="32.25" customHeight="1" x14ac:dyDescent="0.25">
      <c r="A12" s="1262"/>
      <c r="B12" s="1262"/>
      <c r="C12" s="161" t="s">
        <v>658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294"/>
      <c r="V12" s="1267"/>
      <c r="W12" s="1267"/>
      <c r="X12" s="296" t="s">
        <v>570</v>
      </c>
      <c r="Y12" s="1272"/>
      <c r="Z12" s="1246"/>
      <c r="AA12" s="162" t="s">
        <v>20</v>
      </c>
      <c r="AB12" s="163" t="s">
        <v>21</v>
      </c>
      <c r="AC12" s="162" t="s">
        <v>22</v>
      </c>
      <c r="AD12" s="1246"/>
      <c r="AE12" s="1246"/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>
        <v>2015</v>
      </c>
      <c r="AQ12" s="162">
        <v>2015</v>
      </c>
      <c r="AR12" s="162">
        <v>2015</v>
      </c>
      <c r="AS12" s="162" t="s">
        <v>64</v>
      </c>
      <c r="AT12" s="1246"/>
      <c r="AU12" s="1246"/>
      <c r="AV12" s="162">
        <v>2016</v>
      </c>
      <c r="AW12" s="162">
        <v>2016</v>
      </c>
      <c r="AX12" s="162">
        <v>2016</v>
      </c>
      <c r="AY12" s="162">
        <v>2016</v>
      </c>
      <c r="AZ12" s="162">
        <v>2016</v>
      </c>
      <c r="BA12" s="162" t="s">
        <v>20</v>
      </c>
      <c r="BB12" s="163" t="s">
        <v>21</v>
      </c>
      <c r="BC12" s="162" t="s">
        <v>22</v>
      </c>
      <c r="BD12" s="1246"/>
      <c r="BE12" s="1246"/>
      <c r="BF12" s="162">
        <v>2016</v>
      </c>
      <c r="BG12" s="162">
        <v>2016</v>
      </c>
      <c r="BH12" s="162">
        <v>2016</v>
      </c>
      <c r="BI12" s="162">
        <v>2016</v>
      </c>
      <c r="BJ12" s="162">
        <v>2016</v>
      </c>
      <c r="BK12" s="162">
        <v>2016</v>
      </c>
      <c r="BL12" s="162">
        <v>2016</v>
      </c>
      <c r="BM12" s="162">
        <v>2016</v>
      </c>
      <c r="BN12" s="162" t="s">
        <v>64</v>
      </c>
      <c r="BO12" s="162">
        <v>2017</v>
      </c>
      <c r="BP12" s="162">
        <v>2017</v>
      </c>
      <c r="BQ12" s="162">
        <v>2017</v>
      </c>
      <c r="BR12" s="162">
        <v>2017</v>
      </c>
      <c r="BS12" s="162">
        <v>2017</v>
      </c>
      <c r="BT12" s="162" t="s">
        <v>20</v>
      </c>
      <c r="BU12" s="163" t="s">
        <v>21</v>
      </c>
      <c r="BV12" s="162" t="s">
        <v>22</v>
      </c>
      <c r="BW12" s="1246"/>
      <c r="BX12" s="1246"/>
      <c r="BY12" s="162">
        <v>2017</v>
      </c>
      <c r="BZ12" s="162">
        <v>2017</v>
      </c>
      <c r="CA12" s="162">
        <v>2017</v>
      </c>
      <c r="CB12" s="162">
        <v>2017</v>
      </c>
      <c r="CC12" s="162">
        <v>2017</v>
      </c>
      <c r="CD12" s="162">
        <v>2017</v>
      </c>
      <c r="CE12" s="162">
        <v>2017</v>
      </c>
      <c r="CF12" s="162">
        <v>2017</v>
      </c>
      <c r="CG12" s="1248"/>
      <c r="CH12" s="167"/>
      <c r="CI12" s="1264"/>
      <c r="CJ12" s="1255"/>
      <c r="CK12" s="1255"/>
      <c r="CL12" s="1255"/>
      <c r="CM12" s="1255"/>
      <c r="CN12" s="1255"/>
      <c r="CO12" s="1255"/>
      <c r="CP12" s="1255"/>
      <c r="CQ12" s="1255"/>
      <c r="CR12" s="194"/>
      <c r="CS12" s="1255"/>
      <c r="CT12" s="194">
        <v>43281</v>
      </c>
      <c r="CU12" s="1257"/>
      <c r="CV12" s="1251" t="s">
        <v>18</v>
      </c>
      <c r="CW12" s="1251" t="s">
        <v>18</v>
      </c>
      <c r="CX12" s="1253"/>
      <c r="CY12" s="720"/>
      <c r="CZ12" s="1267"/>
      <c r="DA12" s="1267"/>
      <c r="DB12" s="724" t="s">
        <v>570</v>
      </c>
      <c r="DC12" s="1272"/>
      <c r="DD12" s="1246"/>
      <c r="DE12" s="162" t="s">
        <v>20</v>
      </c>
      <c r="DF12" s="163" t="s">
        <v>21</v>
      </c>
      <c r="DG12" s="162" t="s">
        <v>22</v>
      </c>
      <c r="DH12" s="1246"/>
      <c r="DI12" s="1246"/>
      <c r="DJ12" s="162">
        <v>2015</v>
      </c>
      <c r="DK12" s="162">
        <v>2015</v>
      </c>
      <c r="DL12" s="162">
        <v>2015</v>
      </c>
      <c r="DM12" s="162">
        <v>2015</v>
      </c>
      <c r="DN12" s="162">
        <v>2015</v>
      </c>
      <c r="DO12" s="162">
        <v>2015</v>
      </c>
      <c r="DP12" s="162">
        <v>2015</v>
      </c>
      <c r="DQ12" s="162">
        <v>2015</v>
      </c>
      <c r="DR12" s="162">
        <v>2015</v>
      </c>
      <c r="DS12" s="162">
        <v>2015</v>
      </c>
      <c r="DT12" s="162">
        <v>2015</v>
      </c>
      <c r="DU12" s="162">
        <v>2015</v>
      </c>
      <c r="DV12" s="162">
        <v>2015</v>
      </c>
      <c r="DW12" s="162" t="s">
        <v>64</v>
      </c>
      <c r="DX12" s="1246"/>
      <c r="DY12" s="1246"/>
      <c r="DZ12" s="162">
        <v>2016</v>
      </c>
      <c r="EA12" s="162">
        <v>2016</v>
      </c>
      <c r="EB12" s="162">
        <v>2016</v>
      </c>
      <c r="EC12" s="162">
        <v>2016</v>
      </c>
      <c r="ED12" s="162">
        <v>2016</v>
      </c>
      <c r="EE12" s="1248"/>
      <c r="EF12" s="162" t="s">
        <v>20</v>
      </c>
      <c r="EG12" s="163" t="s">
        <v>21</v>
      </c>
      <c r="EH12" s="162" t="s">
        <v>22</v>
      </c>
      <c r="EI12" s="1246"/>
      <c r="EJ12" s="1246"/>
      <c r="EK12" s="162">
        <v>2017</v>
      </c>
      <c r="EL12" s="162">
        <v>2017</v>
      </c>
      <c r="EM12" s="162">
        <v>2017</v>
      </c>
      <c r="EN12" s="162">
        <v>2017</v>
      </c>
      <c r="EO12" s="162">
        <v>2017</v>
      </c>
      <c r="EP12" s="162">
        <v>2017</v>
      </c>
      <c r="EQ12" s="162">
        <v>2017</v>
      </c>
      <c r="ER12" s="162"/>
      <c r="ES12" s="162" t="s">
        <v>64</v>
      </c>
      <c r="ET12" s="162">
        <v>2018</v>
      </c>
      <c r="EU12" s="162">
        <v>2018</v>
      </c>
      <c r="EV12" s="162">
        <v>2018</v>
      </c>
      <c r="EW12" s="162">
        <v>2018</v>
      </c>
      <c r="EX12" s="162">
        <v>2018</v>
      </c>
      <c r="EY12" s="1248"/>
      <c r="EZ12" s="1248"/>
      <c r="FA12" s="162" t="s">
        <v>20</v>
      </c>
      <c r="FB12" s="163" t="s">
        <v>21</v>
      </c>
      <c r="FC12" s="162" t="s">
        <v>22</v>
      </c>
      <c r="FD12" s="1246"/>
      <c r="FE12" s="1246"/>
      <c r="FF12" s="162">
        <v>2018</v>
      </c>
      <c r="FG12" s="162">
        <v>2018</v>
      </c>
      <c r="FH12" s="162">
        <v>2018</v>
      </c>
      <c r="FI12" s="162">
        <v>2018</v>
      </c>
      <c r="FJ12" s="162">
        <v>2018</v>
      </c>
      <c r="FK12" s="162">
        <v>2018</v>
      </c>
      <c r="FL12" s="162">
        <v>2018</v>
      </c>
      <c r="FM12" s="162">
        <v>2019</v>
      </c>
      <c r="FN12" s="162">
        <v>2019</v>
      </c>
      <c r="FO12" s="162">
        <v>2019</v>
      </c>
      <c r="FP12" s="162">
        <v>2019</v>
      </c>
      <c r="FQ12" s="162">
        <v>2019</v>
      </c>
      <c r="FR12" s="162">
        <v>2019</v>
      </c>
      <c r="FS12" s="162">
        <v>2019</v>
      </c>
      <c r="FT12" s="162">
        <v>2019</v>
      </c>
      <c r="FU12" s="162">
        <v>2019</v>
      </c>
      <c r="FV12" s="162">
        <v>2019</v>
      </c>
      <c r="FW12" s="162">
        <v>2019</v>
      </c>
      <c r="FX12" s="1248"/>
      <c r="FY12" s="1248"/>
    </row>
    <row r="13" spans="1:181" s="16" customFormat="1" x14ac:dyDescent="0.2">
      <c r="A13" s="368" t="s">
        <v>65</v>
      </c>
      <c r="B13" s="368"/>
      <c r="C13" s="124"/>
      <c r="D13" s="27"/>
      <c r="E13" s="25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20"/>
      <c r="S13" s="20"/>
      <c r="T13" s="14"/>
      <c r="U13" s="14"/>
      <c r="V13" s="14"/>
      <c r="W13" s="14"/>
      <c r="X13" s="14"/>
      <c r="Y13" s="108"/>
      <c r="Z13" s="66"/>
      <c r="AA13" s="66"/>
      <c r="AB13" s="82"/>
      <c r="AC13" s="66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73"/>
      <c r="AT13" s="55"/>
      <c r="AU13" s="55"/>
      <c r="AV13" s="55"/>
      <c r="AW13" s="55"/>
      <c r="AX13" s="55"/>
      <c r="AY13" s="55"/>
      <c r="AZ13" s="55"/>
      <c r="BA13" s="66"/>
      <c r="BB13" s="82"/>
      <c r="BC13" s="66"/>
      <c r="BD13" s="65"/>
      <c r="BE13" s="65"/>
      <c r="BF13" s="55"/>
      <c r="BG13" s="55"/>
      <c r="BH13" s="55"/>
      <c r="BI13" s="55"/>
      <c r="BJ13" s="55"/>
      <c r="BK13" s="55"/>
      <c r="BL13" s="55"/>
      <c r="BM13" s="55"/>
      <c r="BN13" s="32"/>
      <c r="BO13" s="55"/>
      <c r="BP13" s="55"/>
      <c r="BQ13" s="55"/>
      <c r="BR13" s="55"/>
      <c r="BS13" s="55"/>
      <c r="BT13" s="66"/>
      <c r="BU13" s="82"/>
      <c r="BV13" s="66"/>
      <c r="BW13" s="65"/>
      <c r="BX13" s="65"/>
      <c r="BY13" s="55"/>
      <c r="BZ13" s="55"/>
      <c r="CA13" s="55"/>
      <c r="CB13" s="55"/>
      <c r="CC13" s="55"/>
      <c r="CD13" s="55"/>
      <c r="CE13" s="55"/>
      <c r="CF13" s="55"/>
      <c r="CG13" s="32"/>
      <c r="CH13" s="27"/>
      <c r="CI13" s="25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20"/>
      <c r="CW13" s="20"/>
      <c r="CX13" s="14"/>
      <c r="CY13" s="14"/>
      <c r="CZ13" s="14"/>
      <c r="DA13" s="14"/>
      <c r="DB13" s="14"/>
      <c r="DC13" s="108"/>
      <c r="DD13" s="66"/>
      <c r="DE13" s="66"/>
      <c r="DF13" s="82"/>
      <c r="DG13" s="66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73"/>
      <c r="DX13" s="55"/>
      <c r="DY13" s="55"/>
      <c r="DZ13" s="55"/>
      <c r="EA13" s="55"/>
      <c r="EB13" s="55"/>
      <c r="EC13" s="55"/>
      <c r="ED13" s="55"/>
      <c r="EE13" s="55"/>
      <c r="EF13" s="66"/>
      <c r="EG13" s="82"/>
      <c r="EH13" s="66"/>
      <c r="EI13" s="65"/>
      <c r="EJ13" s="65"/>
      <c r="EK13" s="55"/>
      <c r="EL13" s="55"/>
      <c r="EM13" s="55"/>
      <c r="EN13" s="55"/>
      <c r="EO13" s="55"/>
      <c r="EP13" s="55"/>
      <c r="EQ13" s="55"/>
      <c r="ER13" s="55"/>
      <c r="ES13" s="32"/>
      <c r="ET13" s="355"/>
      <c r="EU13" s="355"/>
      <c r="EV13" s="355"/>
      <c r="EW13" s="3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</row>
    <row r="14" spans="1:181" s="16" customFormat="1" x14ac:dyDescent="0.2">
      <c r="A14" s="368" t="s">
        <v>66</v>
      </c>
      <c r="B14" s="489"/>
      <c r="C14" s="45"/>
      <c r="D14" s="150"/>
      <c r="E14" s="25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20"/>
      <c r="S14" s="20"/>
      <c r="T14" s="14"/>
      <c r="U14" s="14"/>
      <c r="V14" s="14"/>
      <c r="W14" s="14"/>
      <c r="X14" s="14"/>
      <c r="Y14" s="108"/>
      <c r="Z14" s="66"/>
      <c r="AA14" s="66"/>
      <c r="AB14" s="488"/>
      <c r="AC14" s="66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73"/>
      <c r="AT14" s="55"/>
      <c r="AU14" s="55"/>
      <c r="AV14" s="55"/>
      <c r="AW14" s="55"/>
      <c r="AX14" s="55"/>
      <c r="AY14" s="55"/>
      <c r="AZ14" s="55"/>
      <c r="BA14" s="66"/>
      <c r="BB14" s="488"/>
      <c r="BC14" s="66"/>
      <c r="BD14" s="65"/>
      <c r="BE14" s="65"/>
      <c r="BF14" s="55"/>
      <c r="BG14" s="55"/>
      <c r="BH14" s="55"/>
      <c r="BI14" s="55"/>
      <c r="BJ14" s="55"/>
      <c r="BK14" s="55"/>
      <c r="BL14" s="55"/>
      <c r="BM14" s="55"/>
      <c r="BN14" s="32"/>
      <c r="BO14" s="55"/>
      <c r="BP14" s="55"/>
      <c r="BQ14" s="55"/>
      <c r="BR14" s="55"/>
      <c r="BS14" s="55"/>
      <c r="BT14" s="66"/>
      <c r="BU14" s="488"/>
      <c r="BV14" s="66"/>
      <c r="BW14" s="65"/>
      <c r="BX14" s="65"/>
      <c r="BY14" s="55"/>
      <c r="BZ14" s="55"/>
      <c r="CA14" s="55"/>
      <c r="CB14" s="55"/>
      <c r="CC14" s="55"/>
      <c r="CD14" s="55"/>
      <c r="CE14" s="55"/>
      <c r="CF14" s="55"/>
      <c r="CG14" s="32"/>
      <c r="CH14" s="150"/>
      <c r="CI14" s="25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20"/>
      <c r="CW14" s="20"/>
      <c r="CX14" s="14"/>
      <c r="CY14" s="14"/>
      <c r="CZ14" s="14"/>
      <c r="DA14" s="14"/>
      <c r="DB14" s="14"/>
      <c r="DC14" s="108"/>
      <c r="DD14" s="66"/>
      <c r="DE14" s="66"/>
      <c r="DF14" s="488"/>
      <c r="DG14" s="66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73"/>
      <c r="DX14" s="55"/>
      <c r="DY14" s="55"/>
      <c r="DZ14" s="55"/>
      <c r="EA14" s="55"/>
      <c r="EB14" s="55"/>
      <c r="EC14" s="55"/>
      <c r="ED14" s="55"/>
      <c r="EE14" s="55"/>
      <c r="EF14" s="66"/>
      <c r="EG14" s="488"/>
      <c r="EH14" s="66"/>
      <c r="EI14" s="65"/>
      <c r="EJ14" s="65"/>
      <c r="EK14" s="55"/>
      <c r="EL14" s="55"/>
      <c r="EM14" s="55"/>
      <c r="EN14" s="55"/>
      <c r="EO14" s="55"/>
      <c r="EP14" s="55"/>
      <c r="EQ14" s="55"/>
      <c r="ER14" s="55"/>
      <c r="ES14" s="32"/>
      <c r="ET14" s="355"/>
      <c r="EU14" s="355"/>
      <c r="EV14" s="355"/>
      <c r="EW14" s="355"/>
      <c r="EX14" s="3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</row>
    <row r="15" spans="1:181" s="16" customFormat="1" x14ac:dyDescent="0.2">
      <c r="A15" s="119" t="s">
        <v>685</v>
      </c>
      <c r="B15" s="100" t="s">
        <v>686</v>
      </c>
      <c r="C15" s="45" t="s">
        <v>684</v>
      </c>
      <c r="D15" s="58">
        <v>3</v>
      </c>
      <c r="E15" s="30">
        <v>0.33329999999999999</v>
      </c>
      <c r="F15" s="46">
        <v>42185</v>
      </c>
      <c r="G15" s="125">
        <v>36</v>
      </c>
      <c r="H15" s="145">
        <f>100/G15</f>
        <v>2.7777777777777777</v>
      </c>
      <c r="I15" s="165">
        <f>H15*J15</f>
        <v>0</v>
      </c>
      <c r="J15" s="48">
        <v>0</v>
      </c>
      <c r="K15" s="165">
        <f>L15*H15</f>
        <v>100</v>
      </c>
      <c r="L15" s="48">
        <f>G15-J15</f>
        <v>36</v>
      </c>
      <c r="M15" s="165">
        <f>N15*H15</f>
        <v>2.7777777777777777</v>
      </c>
      <c r="N15" s="48">
        <v>1</v>
      </c>
      <c r="O15" s="165">
        <f>K15-M15</f>
        <v>97.222222222222229</v>
      </c>
      <c r="P15" s="48">
        <f>L15-N15</f>
        <v>35</v>
      </c>
      <c r="Q15" s="48">
        <f>M15-O15</f>
        <v>-94.444444444444457</v>
      </c>
      <c r="R15" s="125" t="s">
        <v>687</v>
      </c>
      <c r="S15" s="33">
        <v>42339</v>
      </c>
      <c r="T15" s="5">
        <v>7999.01</v>
      </c>
      <c r="U15" s="72"/>
      <c r="V15" s="154">
        <v>0</v>
      </c>
      <c r="W15" s="154">
        <v>0</v>
      </c>
      <c r="X15" s="55">
        <v>0</v>
      </c>
      <c r="Y15" s="106">
        <v>0</v>
      </c>
      <c r="Z15" s="258">
        <f>W15-Y15</f>
        <v>0</v>
      </c>
      <c r="AA15" s="57">
        <v>115.958</v>
      </c>
      <c r="AB15" s="57">
        <v>118.532</v>
      </c>
      <c r="AC15" s="57">
        <f>AA15/AB15</f>
        <v>0.97828434515573859</v>
      </c>
      <c r="AD15" s="55">
        <f>T15*M15/100/K15*100/1</f>
        <v>222.1947222222222</v>
      </c>
      <c r="AE15" s="55">
        <f>AD15*AC15</f>
        <v>217.36961832622788</v>
      </c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>
        <v>217.37</v>
      </c>
      <c r="AR15" s="55">
        <f>SUM(AF15:AQ15)</f>
        <v>217.37</v>
      </c>
      <c r="AS15" s="72">
        <f>T15-AR15</f>
        <v>7781.64</v>
      </c>
      <c r="AT15" s="55"/>
      <c r="AU15" s="55"/>
      <c r="AV15" s="55">
        <f>$AQ15</f>
        <v>217.37</v>
      </c>
      <c r="AW15" s="55">
        <f>$AQ15</f>
        <v>217.37</v>
      </c>
      <c r="AX15" s="55">
        <f>$AQ15</f>
        <v>217.37</v>
      </c>
      <c r="AY15" s="55">
        <f>$AQ15</f>
        <v>217.37</v>
      </c>
      <c r="AZ15" s="55">
        <f>$AQ15</f>
        <v>217.37</v>
      </c>
      <c r="BA15" s="57">
        <v>118.901</v>
      </c>
      <c r="BB15" s="57">
        <v>118.532</v>
      </c>
      <c r="BC15" s="57">
        <f>BA15/BB15</f>
        <v>1.0031130833867647</v>
      </c>
      <c r="BD15" s="55">
        <f>T15/(D15*12)</f>
        <v>222.19472222222223</v>
      </c>
      <c r="BE15" s="55">
        <f>BD15*BC15</f>
        <v>222.88643292059902</v>
      </c>
      <c r="BF15" s="55">
        <f>$BE15</f>
        <v>222.88643292059902</v>
      </c>
      <c r="BG15" s="55">
        <f>$BE15</f>
        <v>222.88643292059902</v>
      </c>
      <c r="BH15" s="55">
        <f>$BE15</f>
        <v>222.88643292059902</v>
      </c>
      <c r="BI15" s="55">
        <f>$BE15</f>
        <v>222.88643292059902</v>
      </c>
      <c r="BJ15" s="55">
        <v>222.89</v>
      </c>
      <c r="BK15" s="55">
        <v>222.89</v>
      </c>
      <c r="BL15" s="55">
        <v>222.89</v>
      </c>
      <c r="BM15" s="55">
        <f>SUM((AV15:AZ15),(BF15:BL15))</f>
        <v>2647.0657316823954</v>
      </c>
      <c r="BN15" s="439">
        <f>(AS15-BM15)</f>
        <v>5134.5742683176049</v>
      </c>
      <c r="BO15" s="55">
        <v>222.89</v>
      </c>
      <c r="BP15" s="55">
        <v>222.89</v>
      </c>
      <c r="BQ15" s="55">
        <v>222.89</v>
      </c>
      <c r="BR15" s="55">
        <v>222.89</v>
      </c>
      <c r="BS15" s="55">
        <v>222.89</v>
      </c>
      <c r="BT15" s="57">
        <v>118.901</v>
      </c>
      <c r="BU15" s="57">
        <v>118.532</v>
      </c>
      <c r="BV15" s="57">
        <f>BT15/BU15</f>
        <v>1.0031130833867647</v>
      </c>
      <c r="BW15" s="55"/>
      <c r="BX15" s="55"/>
      <c r="BY15" s="55"/>
      <c r="BZ15" s="55"/>
      <c r="CA15" s="55"/>
      <c r="CB15" s="55"/>
      <c r="CC15" s="55"/>
      <c r="CD15" s="55"/>
      <c r="CE15" s="55"/>
      <c r="CF15" s="55">
        <f>SUM((BO15:BS15),(BY15:CE15))</f>
        <v>1114.4499999999998</v>
      </c>
      <c r="CG15" s="439">
        <f>BN15-CF15</f>
        <v>4020.1242683176051</v>
      </c>
      <c r="CH15" s="58">
        <v>3</v>
      </c>
      <c r="CI15" s="30">
        <v>0.33329999999999999</v>
      </c>
      <c r="CJ15" s="46">
        <v>43281</v>
      </c>
      <c r="CK15" s="125">
        <v>36</v>
      </c>
      <c r="CL15" s="145">
        <f>CX15/CK15/100</f>
        <v>2.2219472222222221</v>
      </c>
      <c r="CM15" s="165">
        <f>CL15*CN15</f>
        <v>66.658416666666668</v>
      </c>
      <c r="CN15" s="463">
        <f>(YEAR(CJ15)-YEAR(CW15))*12+MONTH(CJ15)-MONTH(CW15)</f>
        <v>30</v>
      </c>
      <c r="CO15" s="165">
        <f>CP15*CL15</f>
        <v>13.331683333333332</v>
      </c>
      <c r="CP15" s="48">
        <f>CK15-CN15</f>
        <v>6</v>
      </c>
      <c r="CQ15" s="165">
        <f>CR15*CL15</f>
        <v>13.331683333333332</v>
      </c>
      <c r="CR15" s="463">
        <f>CK15-CN15</f>
        <v>6</v>
      </c>
      <c r="CS15" s="165">
        <f>CO15-CQ15</f>
        <v>0</v>
      </c>
      <c r="CT15" s="48">
        <f>CP15-CR15</f>
        <v>0</v>
      </c>
      <c r="CU15" s="462">
        <f>DATE(YEAR(CW15),MONTH(CW15)+CK15,DAY(CW15))</f>
        <v>43435</v>
      </c>
      <c r="CV15" s="125" t="s">
        <v>687</v>
      </c>
      <c r="CW15" s="33">
        <v>42339</v>
      </c>
      <c r="CX15" s="5">
        <v>7999.01</v>
      </c>
      <c r="CY15" s="72"/>
      <c r="CZ15" s="154">
        <v>0</v>
      </c>
      <c r="DA15" s="154">
        <v>0</v>
      </c>
      <c r="DB15" s="55">
        <v>0</v>
      </c>
      <c r="DC15" s="106">
        <v>0</v>
      </c>
      <c r="DD15" s="258">
        <f>DA15-DC15</f>
        <v>0</v>
      </c>
      <c r="DE15" s="57">
        <v>115.958</v>
      </c>
      <c r="DF15" s="57">
        <v>118.532</v>
      </c>
      <c r="DG15" s="57">
        <f>DE15/DF15</f>
        <v>0.97828434515573859</v>
      </c>
      <c r="DH15" s="55">
        <f>CX15*CQ15/100/CO15*100/1</f>
        <v>7999.0100000000011</v>
      </c>
      <c r="DI15" s="55">
        <f>DH15*DG15</f>
        <v>7825.3062597442058</v>
      </c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>
        <v>217.37</v>
      </c>
      <c r="DV15" s="55">
        <f>SUM(DJ15:DU15)</f>
        <v>217.37</v>
      </c>
      <c r="DW15" s="72">
        <f>CX15-DV15</f>
        <v>7781.64</v>
      </c>
      <c r="DX15" s="55"/>
      <c r="DY15" s="55"/>
      <c r="DZ15" s="55">
        <f>$AQ15</f>
        <v>217.37</v>
      </c>
      <c r="EA15" s="55">
        <f>$AQ15</f>
        <v>217.37</v>
      </c>
      <c r="EB15" s="55">
        <f>$AQ15</f>
        <v>217.37</v>
      </c>
      <c r="EC15" s="55">
        <f>$AQ15</f>
        <v>217.37</v>
      </c>
      <c r="ED15" s="55">
        <f>$AQ15</f>
        <v>217.37</v>
      </c>
      <c r="EE15" s="55">
        <v>4020.1242683176051</v>
      </c>
      <c r="EF15" s="57">
        <v>126.408</v>
      </c>
      <c r="EG15" s="57">
        <v>118.532</v>
      </c>
      <c r="EH15" s="57">
        <f>EF15/EG15</f>
        <v>1.0664461917456889</v>
      </c>
      <c r="EI15" s="55">
        <f>EE15/CR15</f>
        <v>670.02071138626752</v>
      </c>
      <c r="EJ15" s="55">
        <f>EI15*EH15</f>
        <v>714.54103604862235</v>
      </c>
      <c r="EK15" s="55">
        <v>238.18</v>
      </c>
      <c r="EL15" s="55">
        <v>238.18</v>
      </c>
      <c r="EM15" s="55">
        <v>238.18</v>
      </c>
      <c r="EN15" s="55">
        <v>238.18</v>
      </c>
      <c r="EO15" s="55">
        <v>238.18</v>
      </c>
      <c r="EP15" s="55">
        <v>238.18</v>
      </c>
      <c r="EQ15" s="55">
        <v>238.18</v>
      </c>
      <c r="ER15" s="55">
        <f>SUM(EK15:EQ15)</f>
        <v>1667.2600000000002</v>
      </c>
      <c r="ES15" s="927">
        <f>EE15-ER15</f>
        <v>2352.8642683176049</v>
      </c>
      <c r="ET15" s="55">
        <v>238.18</v>
      </c>
      <c r="EU15" s="55">
        <v>238.18</v>
      </c>
      <c r="EV15" s="55">
        <v>238.18</v>
      </c>
      <c r="EW15" s="55">
        <v>238.18</v>
      </c>
      <c r="EX15" s="55">
        <v>238.18</v>
      </c>
      <c r="EY15" s="55">
        <f>SUM(ET15:EX15)</f>
        <v>1190.9000000000001</v>
      </c>
      <c r="EZ15" s="63">
        <f>ES15-EY15</f>
        <v>1161.9642683176048</v>
      </c>
      <c r="FA15" s="656">
        <v>132.28200000000001</v>
      </c>
      <c r="FB15" s="1036">
        <v>118.532</v>
      </c>
      <c r="FC15" s="656">
        <f>FA15/FB15</f>
        <v>1.1160024297236191</v>
      </c>
      <c r="FD15" s="511">
        <f>EZ15/CR15</f>
        <v>193.66071138626748</v>
      </c>
      <c r="FE15" s="511">
        <f>FD15*FC15</f>
        <v>216.12582444907906</v>
      </c>
      <c r="FF15" s="511">
        <v>216.13</v>
      </c>
      <c r="FG15" s="511">
        <v>216.13</v>
      </c>
      <c r="FH15" s="511">
        <v>216.13</v>
      </c>
      <c r="FI15" s="511">
        <v>216.13</v>
      </c>
      <c r="FJ15" s="511">
        <v>216.13</v>
      </c>
      <c r="FK15" s="511">
        <v>80.31</v>
      </c>
      <c r="FL15" s="511">
        <v>0</v>
      </c>
      <c r="FM15" s="511">
        <v>0</v>
      </c>
      <c r="FN15" s="511">
        <v>0</v>
      </c>
      <c r="FO15" s="511">
        <v>0</v>
      </c>
      <c r="FP15" s="511">
        <v>0</v>
      </c>
      <c r="FQ15" s="511">
        <v>0</v>
      </c>
      <c r="FR15" s="511">
        <v>0</v>
      </c>
      <c r="FS15" s="511">
        <v>0</v>
      </c>
      <c r="FT15" s="511">
        <v>0</v>
      </c>
      <c r="FU15" s="511">
        <v>0</v>
      </c>
      <c r="FV15" s="511">
        <v>0</v>
      </c>
      <c r="FW15" s="511">
        <v>0</v>
      </c>
      <c r="FX15" s="511">
        <f>SUM(FF15:FW15)</f>
        <v>1160.96</v>
      </c>
      <c r="FY15" s="756">
        <f>EZ15-FX15</f>
        <v>1.0042683176047831</v>
      </c>
    </row>
    <row r="16" spans="1:181" s="16" customFormat="1" x14ac:dyDescent="0.2">
      <c r="A16" s="368" t="s">
        <v>65</v>
      </c>
      <c r="B16" s="368"/>
      <c r="C16" s="45"/>
      <c r="D16" s="27"/>
      <c r="E16" s="25"/>
      <c r="F16" s="46"/>
      <c r="G16" s="17"/>
      <c r="H16" s="145"/>
      <c r="I16" s="48"/>
      <c r="J16" s="48"/>
      <c r="K16" s="48"/>
      <c r="L16" s="48"/>
      <c r="M16" s="48"/>
      <c r="N16" s="48"/>
      <c r="O16" s="48"/>
      <c r="P16" s="48"/>
      <c r="Q16" s="48"/>
      <c r="R16" s="20"/>
      <c r="S16" s="20"/>
      <c r="T16" s="14"/>
      <c r="U16" s="66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72"/>
      <c r="AL16" s="72"/>
      <c r="AM16" s="72"/>
      <c r="AN16" s="72"/>
      <c r="AO16" s="72"/>
      <c r="AP16" s="72"/>
      <c r="AQ16" s="72"/>
      <c r="AR16" s="72"/>
      <c r="AS16" s="72"/>
      <c r="AT16" s="55"/>
      <c r="AU16" s="55"/>
      <c r="AV16" s="55">
        <f t="shared" ref="AV16:AZ18" si="0">$AQ16</f>
        <v>0</v>
      </c>
      <c r="AW16" s="55">
        <f t="shared" si="0"/>
        <v>0</v>
      </c>
      <c r="AX16" s="55">
        <f t="shared" si="0"/>
        <v>0</v>
      </c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439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439"/>
      <c r="CH16" s="27"/>
      <c r="CI16" s="25"/>
      <c r="CJ16" s="46"/>
      <c r="CK16" s="17"/>
      <c r="CL16" s="145"/>
      <c r="CM16" s="48"/>
      <c r="CN16" s="48"/>
      <c r="CO16" s="48"/>
      <c r="CP16" s="48"/>
      <c r="CQ16" s="48"/>
      <c r="CR16" s="48"/>
      <c r="CS16" s="48"/>
      <c r="CT16" s="48"/>
      <c r="CU16" s="48"/>
      <c r="CV16" s="20"/>
      <c r="CW16" s="20"/>
      <c r="CX16" s="14"/>
      <c r="CY16" s="66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72"/>
      <c r="DP16" s="72"/>
      <c r="DQ16" s="72"/>
      <c r="DR16" s="72"/>
      <c r="DS16" s="72"/>
      <c r="DT16" s="72"/>
      <c r="DU16" s="72"/>
      <c r="DV16" s="72"/>
      <c r="DW16" s="72"/>
      <c r="DX16" s="55"/>
      <c r="DY16" s="55"/>
      <c r="DZ16" s="55">
        <f t="shared" ref="DZ16:ED18" si="1">$AQ16</f>
        <v>0</v>
      </c>
      <c r="EA16" s="55">
        <f t="shared" si="1"/>
        <v>0</v>
      </c>
      <c r="EB16" s="55">
        <f t="shared" si="1"/>
        <v>0</v>
      </c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927"/>
      <c r="ET16" s="55"/>
      <c r="EU16" s="55"/>
      <c r="EV16" s="55"/>
      <c r="EW16" s="55"/>
      <c r="EX16" s="55"/>
      <c r="EY16" s="55"/>
      <c r="EZ16" s="63"/>
      <c r="FA16" s="656"/>
      <c r="FB16" s="1037"/>
      <c r="FC16" s="656"/>
      <c r="FD16" s="511"/>
      <c r="FE16" s="511"/>
      <c r="FF16" s="511"/>
      <c r="FG16" s="511"/>
      <c r="FH16" s="511"/>
      <c r="FI16" s="511"/>
      <c r="FJ16" s="511"/>
      <c r="FK16" s="511"/>
      <c r="FL16" s="511"/>
      <c r="FM16" s="511"/>
      <c r="FN16" s="511"/>
      <c r="FO16" s="511"/>
      <c r="FP16" s="511"/>
      <c r="FQ16" s="511"/>
      <c r="FR16" s="511"/>
      <c r="FS16" s="511"/>
      <c r="FT16" s="511"/>
      <c r="FU16" s="511"/>
      <c r="FV16" s="511"/>
      <c r="FW16" s="511"/>
      <c r="FX16" s="511">
        <f t="shared" ref="FX16:FX18" si="2">SUM(FF16:FW16)</f>
        <v>0</v>
      </c>
      <c r="FY16" s="756"/>
    </row>
    <row r="17" spans="1:181" s="16" customFormat="1" x14ac:dyDescent="0.2">
      <c r="A17" s="368" t="s">
        <v>109</v>
      </c>
      <c r="B17" s="347"/>
      <c r="C17" s="45"/>
      <c r="D17" s="4"/>
      <c r="E17" s="25"/>
      <c r="F17" s="17"/>
      <c r="G17" s="17"/>
      <c r="H17" s="188"/>
      <c r="I17" s="17"/>
      <c r="J17" s="17"/>
      <c r="K17" s="17"/>
      <c r="L17" s="17"/>
      <c r="M17" s="17"/>
      <c r="N17" s="17"/>
      <c r="O17" s="17"/>
      <c r="P17" s="17"/>
      <c r="Q17" s="17"/>
      <c r="R17" s="20"/>
      <c r="S17" s="20"/>
      <c r="T17" s="14"/>
      <c r="U17" s="66"/>
      <c r="V17" s="65"/>
      <c r="W17" s="65"/>
      <c r="X17" s="6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72"/>
      <c r="AL17" s="72"/>
      <c r="AM17" s="72"/>
      <c r="AN17" s="72"/>
      <c r="AO17" s="72"/>
      <c r="AP17" s="72"/>
      <c r="AQ17" s="72"/>
      <c r="AR17" s="72"/>
      <c r="AS17" s="72"/>
      <c r="AT17" s="55"/>
      <c r="AU17" s="55"/>
      <c r="AV17" s="55">
        <f t="shared" si="0"/>
        <v>0</v>
      </c>
      <c r="AW17" s="55">
        <f t="shared" si="0"/>
        <v>0</v>
      </c>
      <c r="AX17" s="55">
        <f t="shared" si="0"/>
        <v>0</v>
      </c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439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439"/>
      <c r="CH17" s="4"/>
      <c r="CI17" s="25"/>
      <c r="CJ17" s="17"/>
      <c r="CK17" s="17"/>
      <c r="CL17" s="188"/>
      <c r="CM17" s="17"/>
      <c r="CN17" s="17"/>
      <c r="CO17" s="17"/>
      <c r="CP17" s="17"/>
      <c r="CQ17" s="17"/>
      <c r="CR17" s="17"/>
      <c r="CS17" s="17"/>
      <c r="CT17" s="17"/>
      <c r="CU17" s="17"/>
      <c r="CV17" s="20"/>
      <c r="CW17" s="20"/>
      <c r="CX17" s="14"/>
      <c r="CY17" s="66"/>
      <c r="CZ17" s="65"/>
      <c r="DA17" s="65"/>
      <c r="DB17" s="6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72"/>
      <c r="DP17" s="72"/>
      <c r="DQ17" s="72"/>
      <c r="DR17" s="72"/>
      <c r="DS17" s="72"/>
      <c r="DT17" s="72"/>
      <c r="DU17" s="72"/>
      <c r="DV17" s="72"/>
      <c r="DW17" s="72"/>
      <c r="DX17" s="55"/>
      <c r="DY17" s="55"/>
      <c r="DZ17" s="55">
        <f t="shared" si="1"/>
        <v>0</v>
      </c>
      <c r="EA17" s="55">
        <f t="shared" si="1"/>
        <v>0</v>
      </c>
      <c r="EB17" s="55">
        <f t="shared" si="1"/>
        <v>0</v>
      </c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927"/>
      <c r="ET17" s="55"/>
      <c r="EU17" s="55"/>
      <c r="EV17" s="55"/>
      <c r="EW17" s="55"/>
      <c r="EX17" s="55"/>
      <c r="EY17" s="55"/>
      <c r="EZ17" s="63"/>
      <c r="FA17" s="621"/>
      <c r="FB17" s="1037"/>
      <c r="FC17" s="621"/>
      <c r="FD17" s="511"/>
      <c r="FE17" s="511"/>
      <c r="FF17" s="511"/>
      <c r="FG17" s="511"/>
      <c r="FH17" s="511"/>
      <c r="FI17" s="511"/>
      <c r="FJ17" s="511"/>
      <c r="FK17" s="511"/>
      <c r="FL17" s="511"/>
      <c r="FM17" s="511"/>
      <c r="FN17" s="511"/>
      <c r="FO17" s="511"/>
      <c r="FP17" s="511"/>
      <c r="FQ17" s="511"/>
      <c r="FR17" s="511"/>
      <c r="FS17" s="511"/>
      <c r="FT17" s="511"/>
      <c r="FU17" s="511"/>
      <c r="FV17" s="511"/>
      <c r="FW17" s="511"/>
      <c r="FX17" s="511">
        <f t="shared" si="2"/>
        <v>0</v>
      </c>
      <c r="FY17" s="756"/>
    </row>
    <row r="18" spans="1:181" s="16" customFormat="1" x14ac:dyDescent="0.2">
      <c r="A18" s="100" t="s">
        <v>717</v>
      </c>
      <c r="B18" s="100" t="s">
        <v>708</v>
      </c>
      <c r="C18" s="45" t="s">
        <v>684</v>
      </c>
      <c r="D18" s="58">
        <v>10</v>
      </c>
      <c r="E18" s="53">
        <v>0.1</v>
      </c>
      <c r="F18" s="46">
        <v>42335</v>
      </c>
      <c r="G18" s="48">
        <v>120</v>
      </c>
      <c r="H18" s="145">
        <f>100/G18</f>
        <v>0.83333333333333337</v>
      </c>
      <c r="I18" s="165">
        <f>H18*J18</f>
        <v>0</v>
      </c>
      <c r="J18" s="48">
        <f>(YEAR(F18)-YEAR(S18))*12+MONTH(F18)-MONTH(S18)</f>
        <v>0</v>
      </c>
      <c r="K18" s="165">
        <f>L18*H18</f>
        <v>100</v>
      </c>
      <c r="L18" s="48">
        <f>G18-J18</f>
        <v>120</v>
      </c>
      <c r="M18" s="165">
        <f>N18*H18</f>
        <v>0.83333333333333337</v>
      </c>
      <c r="N18" s="48">
        <v>1</v>
      </c>
      <c r="O18" s="165">
        <f>P18*H18</f>
        <v>99.166666666666671</v>
      </c>
      <c r="P18" s="48">
        <f>L18-N18</f>
        <v>119</v>
      </c>
      <c r="Q18" s="48">
        <v>0</v>
      </c>
      <c r="R18" s="48">
        <v>4658</v>
      </c>
      <c r="S18" s="46">
        <v>42335</v>
      </c>
      <c r="T18" s="47">
        <v>734</v>
      </c>
      <c r="U18" s="57">
        <f>H18*T18/100</f>
        <v>6.1166666666666671</v>
      </c>
      <c r="V18" s="32"/>
      <c r="W18" s="32"/>
      <c r="X18" s="55"/>
      <c r="Y18" s="55"/>
      <c r="Z18" s="55">
        <f>Y18*X18</f>
        <v>0</v>
      </c>
      <c r="AA18" s="55">
        <v>115.958</v>
      </c>
      <c r="AB18" s="55">
        <v>118.051</v>
      </c>
      <c r="AC18" s="55">
        <f>AA18/AB18</f>
        <v>0.98227037466857536</v>
      </c>
      <c r="AD18" s="55">
        <f>H18*T18/100</f>
        <v>6.1166666666666671</v>
      </c>
      <c r="AE18" s="55">
        <f>AD18*AC18</f>
        <v>6.0082204583894532</v>
      </c>
      <c r="AF18" s="55"/>
      <c r="AG18" s="55"/>
      <c r="AH18" s="55"/>
      <c r="AI18" s="55"/>
      <c r="AJ18" s="55"/>
      <c r="AK18" s="72"/>
      <c r="AL18" s="72"/>
      <c r="AM18" s="72"/>
      <c r="AN18" s="72"/>
      <c r="AO18" s="72"/>
      <c r="AP18" s="72"/>
      <c r="AQ18" s="72">
        <f>6.01</f>
        <v>6.01</v>
      </c>
      <c r="AR18" s="72">
        <f>AQ18</f>
        <v>6.01</v>
      </c>
      <c r="AS18" s="72">
        <f>T18-AE18</f>
        <v>727.99177954161053</v>
      </c>
      <c r="AT18" s="55"/>
      <c r="AU18" s="55"/>
      <c r="AV18" s="55">
        <f t="shared" si="0"/>
        <v>6.01</v>
      </c>
      <c r="AW18" s="55">
        <f t="shared" si="0"/>
        <v>6.01</v>
      </c>
      <c r="AX18" s="55">
        <f t="shared" si="0"/>
        <v>6.01</v>
      </c>
      <c r="AY18" s="55">
        <f t="shared" si="0"/>
        <v>6.01</v>
      </c>
      <c r="AZ18" s="55">
        <f t="shared" si="0"/>
        <v>6.01</v>
      </c>
      <c r="BA18" s="57">
        <v>118.901</v>
      </c>
      <c r="BB18" s="374">
        <v>118.051</v>
      </c>
      <c r="BC18" s="55">
        <f>BA18/BB18</f>
        <v>1.0072002778460156</v>
      </c>
      <c r="BD18" s="55">
        <f>T18/(D18*12)</f>
        <v>6.1166666666666663</v>
      </c>
      <c r="BE18" s="55">
        <f>BD18*BC18</f>
        <v>6.1607083661581283</v>
      </c>
      <c r="BF18" s="55">
        <f>$BE18</f>
        <v>6.1607083661581283</v>
      </c>
      <c r="BG18" s="55">
        <f>$BE18</f>
        <v>6.1607083661581283</v>
      </c>
      <c r="BH18" s="55">
        <f>$BE18</f>
        <v>6.1607083661581283</v>
      </c>
      <c r="BI18" s="55">
        <f>$BE18</f>
        <v>6.1607083661581283</v>
      </c>
      <c r="BJ18" s="55">
        <v>6.16</v>
      </c>
      <c r="BK18" s="55">
        <v>6.16</v>
      </c>
      <c r="BL18" s="55">
        <v>6.16</v>
      </c>
      <c r="BM18" s="55">
        <f>SUM((AV18:AZ18),(BF18:BL18))</f>
        <v>73.17283346463249</v>
      </c>
      <c r="BN18" s="439">
        <f>(AS18-BM18)</f>
        <v>654.81894607697802</v>
      </c>
      <c r="BO18" s="55">
        <v>6.16</v>
      </c>
      <c r="BP18" s="55">
        <v>6.16</v>
      </c>
      <c r="BQ18" s="55">
        <v>6.16</v>
      </c>
      <c r="BR18" s="55">
        <v>6.16</v>
      </c>
      <c r="BS18" s="55">
        <v>6.16</v>
      </c>
      <c r="BT18" s="57">
        <v>118.901</v>
      </c>
      <c r="BU18" s="374">
        <v>118.051</v>
      </c>
      <c r="BV18" s="55">
        <f>BT18/BU18</f>
        <v>1.0072002778460156</v>
      </c>
      <c r="BW18" s="55"/>
      <c r="BX18" s="55"/>
      <c r="BY18" s="55"/>
      <c r="BZ18" s="55"/>
      <c r="CA18" s="55"/>
      <c r="CB18" s="55"/>
      <c r="CC18" s="55"/>
      <c r="CD18" s="55"/>
      <c r="CE18" s="55"/>
      <c r="CF18" s="55">
        <f>SUM((BO18:BS18),(BY18:CE18))</f>
        <v>30.8</v>
      </c>
      <c r="CG18" s="439">
        <f>BN18-CF18</f>
        <v>624.01894607697807</v>
      </c>
      <c r="CH18" s="58">
        <v>10</v>
      </c>
      <c r="CI18" s="53">
        <v>0.1</v>
      </c>
      <c r="CJ18" s="46">
        <v>43281</v>
      </c>
      <c r="CK18" s="48">
        <v>120</v>
      </c>
      <c r="CL18" s="145">
        <f>CX18/CK18/100</f>
        <v>6.1166666666666661E-2</v>
      </c>
      <c r="CM18" s="165">
        <f>CL18*CN18</f>
        <v>1.8961666666666666</v>
      </c>
      <c r="CN18" s="463">
        <f>(YEAR(CJ18)-YEAR(CW18))*12+MONTH(CJ18)-MONTH(CW18)</f>
        <v>31</v>
      </c>
      <c r="CO18" s="165">
        <f>CP18*CL18</f>
        <v>5.4438333333333331</v>
      </c>
      <c r="CP18" s="48">
        <f>CK18-CN18</f>
        <v>89</v>
      </c>
      <c r="CQ18" s="165">
        <f>CR18*CL18</f>
        <v>5.4438333333333331</v>
      </c>
      <c r="CR18" s="463">
        <f>CK18-CN18</f>
        <v>89</v>
      </c>
      <c r="CS18" s="165">
        <f>CO18-CQ18</f>
        <v>0</v>
      </c>
      <c r="CT18" s="48">
        <f>CP18-CR18</f>
        <v>0</v>
      </c>
      <c r="CU18" s="462">
        <f>DATE(YEAR(CW18),MONTH(CW18)+CK18,DAY(CW18))</f>
        <v>45988</v>
      </c>
      <c r="CV18" s="48">
        <v>4658</v>
      </c>
      <c r="CW18" s="46">
        <v>42335</v>
      </c>
      <c r="CX18" s="47">
        <v>734</v>
      </c>
      <c r="CY18" s="57">
        <f>CL18*CX18/100</f>
        <v>0.44896333333333333</v>
      </c>
      <c r="CZ18" s="32"/>
      <c r="DA18" s="32"/>
      <c r="DB18" s="55"/>
      <c r="DC18" s="55"/>
      <c r="DD18" s="55">
        <f>DC18*DB18</f>
        <v>0</v>
      </c>
      <c r="DE18" s="55">
        <v>115.958</v>
      </c>
      <c r="DF18" s="55">
        <v>118.051</v>
      </c>
      <c r="DG18" s="55">
        <f>DE18/DF18</f>
        <v>0.98227037466857536</v>
      </c>
      <c r="DH18" s="55">
        <f>CL18*CX18/100</f>
        <v>0.44896333333333333</v>
      </c>
      <c r="DI18" s="55">
        <f>DH18*DG18</f>
        <v>0.44100338164578584</v>
      </c>
      <c r="DJ18" s="55"/>
      <c r="DK18" s="55"/>
      <c r="DL18" s="55"/>
      <c r="DM18" s="55"/>
      <c r="DN18" s="55"/>
      <c r="DO18" s="72"/>
      <c r="DP18" s="72"/>
      <c r="DQ18" s="72"/>
      <c r="DR18" s="72"/>
      <c r="DS18" s="72"/>
      <c r="DT18" s="72"/>
      <c r="DU18" s="72">
        <f>6.01</f>
        <v>6.01</v>
      </c>
      <c r="DV18" s="72">
        <f>DU18</f>
        <v>6.01</v>
      </c>
      <c r="DW18" s="72">
        <f>CX18-DI18</f>
        <v>733.55899661835417</v>
      </c>
      <c r="DX18" s="55"/>
      <c r="DY18" s="55"/>
      <c r="DZ18" s="55">
        <f t="shared" si="1"/>
        <v>6.01</v>
      </c>
      <c r="EA18" s="55">
        <f t="shared" si="1"/>
        <v>6.01</v>
      </c>
      <c r="EB18" s="55">
        <f t="shared" si="1"/>
        <v>6.01</v>
      </c>
      <c r="EC18" s="55">
        <f t="shared" si="1"/>
        <v>6.01</v>
      </c>
      <c r="ED18" s="55">
        <f t="shared" si="1"/>
        <v>6.01</v>
      </c>
      <c r="EE18" s="55">
        <v>624.01894607697807</v>
      </c>
      <c r="EF18" s="57">
        <v>126.408</v>
      </c>
      <c r="EG18" s="374">
        <v>118.051</v>
      </c>
      <c r="EH18" s="55">
        <f>EF18/EG18</f>
        <v>1.0707914375990037</v>
      </c>
      <c r="EI18" s="55">
        <f>EE18/CR18</f>
        <v>7.0114488323255966</v>
      </c>
      <c r="EJ18" s="55">
        <f>EI18*EH18</f>
        <v>7.5077993748177816</v>
      </c>
      <c r="EK18" s="55">
        <v>6.22</v>
      </c>
      <c r="EL18" s="55">
        <v>6.22</v>
      </c>
      <c r="EM18" s="55">
        <v>6.22</v>
      </c>
      <c r="EN18" s="55">
        <v>6.18</v>
      </c>
      <c r="EO18" s="55">
        <v>6.18</v>
      </c>
      <c r="EP18" s="55">
        <v>6.18</v>
      </c>
      <c r="EQ18" s="55">
        <v>6.18</v>
      </c>
      <c r="ER18" s="55">
        <f>SUM(EK18:EQ18)</f>
        <v>43.38</v>
      </c>
      <c r="ES18" s="927">
        <f>EE18-ER18</f>
        <v>580.63894607697807</v>
      </c>
      <c r="ET18" s="55">
        <v>6.18</v>
      </c>
      <c r="EU18" s="55">
        <v>6.62</v>
      </c>
      <c r="EV18" s="55">
        <v>6.62</v>
      </c>
      <c r="EW18" s="55">
        <v>6.62</v>
      </c>
      <c r="EX18" s="55">
        <v>6.62</v>
      </c>
      <c r="EY18" s="55">
        <f>SUM(ET18:EX18)</f>
        <v>32.660000000000004</v>
      </c>
      <c r="EZ18" s="63">
        <f>ES18-EY18</f>
        <v>547.9789460769781</v>
      </c>
      <c r="FA18" s="656">
        <v>132.28200000000001</v>
      </c>
      <c r="FB18" s="1038">
        <v>118.051</v>
      </c>
      <c r="FC18" s="656">
        <f>FA18/FB18</f>
        <v>1.1205495929725289</v>
      </c>
      <c r="FD18" s="511">
        <f>EZ18/CR18</f>
        <v>6.1570668098536867</v>
      </c>
      <c r="FE18" s="511">
        <f>FD18*FC18</f>
        <v>6.8992987076862153</v>
      </c>
      <c r="FF18" s="511">
        <v>6.9</v>
      </c>
      <c r="FG18" s="511">
        <v>6.9</v>
      </c>
      <c r="FH18" s="511">
        <v>6.9</v>
      </c>
      <c r="FI18" s="511">
        <v>6.9</v>
      </c>
      <c r="FJ18" s="511">
        <v>6.9</v>
      </c>
      <c r="FK18" s="511">
        <v>6.9</v>
      </c>
      <c r="FL18" s="511">
        <v>6.9</v>
      </c>
      <c r="FM18" s="511">
        <v>6.9</v>
      </c>
      <c r="FN18" s="511">
        <v>6.9</v>
      </c>
      <c r="FO18" s="511">
        <v>6.9</v>
      </c>
      <c r="FP18" s="511">
        <v>6.9</v>
      </c>
      <c r="FQ18" s="511">
        <v>6.9</v>
      </c>
      <c r="FR18" s="511">
        <v>6.9</v>
      </c>
      <c r="FS18" s="511">
        <v>6.9</v>
      </c>
      <c r="FT18" s="511">
        <v>6.9</v>
      </c>
      <c r="FU18" s="511">
        <v>6.9</v>
      </c>
      <c r="FV18" s="511">
        <v>6.9</v>
      </c>
      <c r="FW18" s="511">
        <v>6.9</v>
      </c>
      <c r="FX18" s="511">
        <f t="shared" si="2"/>
        <v>124.20000000000005</v>
      </c>
      <c r="FY18" s="756">
        <f>EZ18-FX18</f>
        <v>423.77894607697806</v>
      </c>
    </row>
    <row r="19" spans="1:181" ht="15" x14ac:dyDescent="0.2">
      <c r="R19" s="175"/>
      <c r="V19" s="254"/>
      <c r="W19" s="254"/>
      <c r="Y19" s="103"/>
      <c r="Z19" s="268"/>
      <c r="AD19" s="195"/>
      <c r="AE19" s="195"/>
      <c r="AF19" s="195" t="e">
        <f>SUM(#REF!)</f>
        <v>#REF!</v>
      </c>
      <c r="AG19" s="195" t="e">
        <f>SUM(#REF!)</f>
        <v>#REF!</v>
      </c>
      <c r="AH19" s="195" t="e">
        <f>SUM(#REF!)</f>
        <v>#REF!</v>
      </c>
      <c r="AI19" s="195" t="e">
        <f>SUM(#REF!)</f>
        <v>#REF!</v>
      </c>
      <c r="AJ19" s="195" t="e">
        <f>SUM(#REF!)</f>
        <v>#REF!</v>
      </c>
      <c r="AK19" s="195">
        <f>SUM(AK15:AK15)</f>
        <v>0</v>
      </c>
      <c r="AL19" s="195"/>
      <c r="AM19" s="195"/>
      <c r="AN19" s="195"/>
      <c r="AO19" s="195"/>
      <c r="AP19" s="195">
        <f>SUM(AP15:AP15)</f>
        <v>0</v>
      </c>
      <c r="AQ19" s="195">
        <f>SUM(AQ15:AQ18)</f>
        <v>223.38</v>
      </c>
      <c r="AR19" s="385">
        <f>SUM(AR15:AR18)</f>
        <v>223.38</v>
      </c>
      <c r="AS19" s="385">
        <f>SUM(AS15:AS18)</f>
        <v>8509.6317795416107</v>
      </c>
      <c r="AV19" s="13">
        <f>SUM(AV14:AV18)</f>
        <v>223.38</v>
      </c>
      <c r="AW19" s="13">
        <f>SUM(AW15:AW18)</f>
        <v>223.38</v>
      </c>
      <c r="AX19" s="13">
        <f>SUM(AX14:AX18)</f>
        <v>223.38</v>
      </c>
      <c r="AY19" s="13">
        <f>SUM(AY13:AY18)</f>
        <v>223.38</v>
      </c>
      <c r="AZ19" s="13">
        <f>SUM(AZ14:AZ18)</f>
        <v>223.38</v>
      </c>
      <c r="BD19" s="195"/>
      <c r="BE19" s="195"/>
      <c r="BF19" s="13">
        <f t="shared" ref="BF19:BL19" si="3">SUM(BF14:BF18)</f>
        <v>229.04714128675715</v>
      </c>
      <c r="BG19" s="13">
        <f t="shared" si="3"/>
        <v>229.04714128675715</v>
      </c>
      <c r="BH19" s="13">
        <f t="shared" si="3"/>
        <v>229.04714128675715</v>
      </c>
      <c r="BI19" s="13">
        <f t="shared" si="3"/>
        <v>229.04714128675715</v>
      </c>
      <c r="BJ19" s="13">
        <f t="shared" si="3"/>
        <v>229.04999999999998</v>
      </c>
      <c r="BK19" s="13">
        <f t="shared" si="3"/>
        <v>229.04999999999998</v>
      </c>
      <c r="BL19" s="13">
        <f t="shared" si="3"/>
        <v>229.04999999999998</v>
      </c>
      <c r="BM19" s="491">
        <f>SUM((AV19:AZ19),(BF19:BL19))</f>
        <v>2720.238565147029</v>
      </c>
      <c r="BN19" s="490">
        <f>(AS19-BM19)</f>
        <v>5789.3932143945822</v>
      </c>
      <c r="BO19" s="13">
        <f>SUM(BO14:BO18)</f>
        <v>229.04999999999998</v>
      </c>
      <c r="BP19" s="13">
        <f>SUM(BP15:BP18)</f>
        <v>229.04999999999998</v>
      </c>
      <c r="BQ19" s="13">
        <f>SUM(BQ14:BQ18)</f>
        <v>229.04999999999998</v>
      </c>
      <c r="BR19" s="13">
        <f>SUM(BR13:BR18)</f>
        <v>229.04999999999998</v>
      </c>
      <c r="BS19" s="13">
        <f>SUM(BS14:BS18)</f>
        <v>229.04999999999998</v>
      </c>
      <c r="BW19" s="195"/>
      <c r="BX19" s="195"/>
      <c r="BY19" s="13">
        <f t="shared" ref="BY19:CE19" si="4">SUM(BY14:BY18)</f>
        <v>0</v>
      </c>
      <c r="BZ19" s="13">
        <f t="shared" si="4"/>
        <v>0</v>
      </c>
      <c r="CA19" s="13">
        <f t="shared" si="4"/>
        <v>0</v>
      </c>
      <c r="CB19" s="13">
        <f t="shared" si="4"/>
        <v>0</v>
      </c>
      <c r="CC19" s="13">
        <f t="shared" si="4"/>
        <v>0</v>
      </c>
      <c r="CD19" s="13">
        <f t="shared" si="4"/>
        <v>0</v>
      </c>
      <c r="CE19" s="13">
        <f t="shared" si="4"/>
        <v>0</v>
      </c>
      <c r="CF19" s="491">
        <f>SUM(CF13:CF18)</f>
        <v>1145.2499999999998</v>
      </c>
      <c r="CG19" s="490">
        <f>SUM(CG13:CG18)</f>
        <v>4644.1432143945831</v>
      </c>
      <c r="CV19" s="175"/>
      <c r="CZ19" s="254"/>
      <c r="DA19" s="254"/>
      <c r="DC19" s="103"/>
      <c r="DD19" s="268"/>
      <c r="DH19" s="195"/>
      <c r="DI19" s="195"/>
      <c r="DJ19" s="195" t="e">
        <f>SUM(#REF!)</f>
        <v>#REF!</v>
      </c>
      <c r="DK19" s="195" t="e">
        <f>SUM(#REF!)</f>
        <v>#REF!</v>
      </c>
      <c r="DL19" s="195" t="e">
        <f>SUM(#REF!)</f>
        <v>#REF!</v>
      </c>
      <c r="DM19" s="195" t="e">
        <f>SUM(#REF!)</f>
        <v>#REF!</v>
      </c>
      <c r="DN19" s="195" t="e">
        <f>SUM(#REF!)</f>
        <v>#REF!</v>
      </c>
      <c r="DO19" s="195">
        <f>SUM(DO15:DO15)</f>
        <v>0</v>
      </c>
      <c r="DP19" s="195"/>
      <c r="DQ19" s="195"/>
      <c r="DR19" s="195"/>
      <c r="DS19" s="195"/>
      <c r="DT19" s="195">
        <f>SUM(DT15:DT15)</f>
        <v>0</v>
      </c>
      <c r="DU19" s="195">
        <f>SUM(DU15:DU18)</f>
        <v>223.38</v>
      </c>
      <c r="DV19" s="385">
        <f>SUM(DV15:DV18)</f>
        <v>223.38</v>
      </c>
      <c r="DW19" s="385">
        <f>SUM(DW15:DW18)</f>
        <v>8515.1989966183537</v>
      </c>
      <c r="DZ19" s="13">
        <f>SUM(DZ14:DZ18)</f>
        <v>223.38</v>
      </c>
      <c r="EA19" s="13">
        <f>SUM(EA15:EA18)</f>
        <v>223.38</v>
      </c>
      <c r="EB19" s="13">
        <f>SUM(EB14:EB18)</f>
        <v>223.38</v>
      </c>
      <c r="EC19" s="13">
        <f>SUM(EC13:EC18)</f>
        <v>223.38</v>
      </c>
      <c r="ED19" s="13">
        <f>SUM(ED14:ED18)</f>
        <v>223.38</v>
      </c>
      <c r="EE19" s="195">
        <f>SUM(EE13:EE18)</f>
        <v>4644.1432143945831</v>
      </c>
      <c r="EF19" s="965"/>
      <c r="EG19" s="966"/>
      <c r="EH19" s="965"/>
      <c r="EI19" s="195"/>
      <c r="EJ19" s="479">
        <f t="shared" ref="EJ19:EQ19" si="5">SUM(EJ15:EJ18)</f>
        <v>722.0488354234401</v>
      </c>
      <c r="EK19" s="479">
        <f t="shared" si="5"/>
        <v>244.4</v>
      </c>
      <c r="EL19" s="479">
        <f t="shared" si="5"/>
        <v>244.4</v>
      </c>
      <c r="EM19" s="479">
        <f t="shared" si="5"/>
        <v>244.4</v>
      </c>
      <c r="EN19" s="479">
        <f t="shared" si="5"/>
        <v>244.36</v>
      </c>
      <c r="EO19" s="479">
        <f t="shared" si="5"/>
        <v>244.36</v>
      </c>
      <c r="EP19" s="479">
        <f t="shared" si="5"/>
        <v>244.36</v>
      </c>
      <c r="EQ19" s="479">
        <f t="shared" si="5"/>
        <v>244.36</v>
      </c>
      <c r="ER19" s="479">
        <f t="shared" ref="ER19:FK19" si="6">SUM(ER15:ER18)</f>
        <v>1710.6400000000003</v>
      </c>
      <c r="ES19" s="479">
        <f t="shared" si="6"/>
        <v>2933.5032143945828</v>
      </c>
      <c r="ET19" s="479">
        <f t="shared" si="6"/>
        <v>244.36</v>
      </c>
      <c r="EU19" s="479">
        <f t="shared" si="6"/>
        <v>244.8</v>
      </c>
      <c r="EV19" s="1024">
        <f t="shared" si="6"/>
        <v>244.8</v>
      </c>
      <c r="EW19" s="1024">
        <f t="shared" si="6"/>
        <v>244.8</v>
      </c>
      <c r="EX19" s="1024">
        <f t="shared" si="6"/>
        <v>244.8</v>
      </c>
      <c r="EY19" s="479">
        <f t="shared" si="6"/>
        <v>1223.5600000000002</v>
      </c>
      <c r="EZ19" s="479">
        <f t="shared" si="6"/>
        <v>1709.9432143945828</v>
      </c>
      <c r="FA19" s="479">
        <f t="shared" si="6"/>
        <v>264.56400000000002</v>
      </c>
      <c r="FB19" s="479">
        <f t="shared" si="6"/>
        <v>236.583</v>
      </c>
      <c r="FC19" s="479">
        <f t="shared" si="6"/>
        <v>2.2365520226961477</v>
      </c>
      <c r="FD19" s="479">
        <f t="shared" si="6"/>
        <v>199.81777819612117</v>
      </c>
      <c r="FE19" s="479">
        <f t="shared" si="6"/>
        <v>223.02512315676529</v>
      </c>
      <c r="FF19" s="479">
        <f t="shared" si="6"/>
        <v>223.03</v>
      </c>
      <c r="FG19" s="479">
        <f t="shared" si="6"/>
        <v>223.03</v>
      </c>
      <c r="FH19" s="479">
        <f t="shared" si="6"/>
        <v>223.03</v>
      </c>
      <c r="FI19" s="479">
        <f t="shared" si="6"/>
        <v>223.03</v>
      </c>
      <c r="FJ19" s="479">
        <f t="shared" si="6"/>
        <v>223.03</v>
      </c>
      <c r="FK19" s="958">
        <f t="shared" si="6"/>
        <v>87.210000000000008</v>
      </c>
      <c r="FL19" s="1024">
        <f t="shared" ref="FL19:FQ19" si="7">SUM(FL14:FL18)</f>
        <v>6.9</v>
      </c>
      <c r="FM19" s="1024">
        <f t="shared" si="7"/>
        <v>6.9</v>
      </c>
      <c r="FN19" s="1024">
        <f t="shared" si="7"/>
        <v>6.9</v>
      </c>
      <c r="FO19" s="1024">
        <f t="shared" si="7"/>
        <v>6.9</v>
      </c>
      <c r="FP19" s="1024">
        <f t="shared" si="7"/>
        <v>6.9</v>
      </c>
      <c r="FQ19" s="1024">
        <f t="shared" si="7"/>
        <v>6.9</v>
      </c>
      <c r="FR19" s="1024">
        <f t="shared" ref="FR19:FW19" si="8">SUM(FR14:FR18)</f>
        <v>6.9</v>
      </c>
      <c r="FS19" s="1024">
        <f t="shared" ref="FS19:FV19" si="9">SUM(FS14:FS18)</f>
        <v>6.9</v>
      </c>
      <c r="FT19" s="1024">
        <f t="shared" si="9"/>
        <v>6.9</v>
      </c>
      <c r="FU19" s="1024">
        <f t="shared" si="9"/>
        <v>6.9</v>
      </c>
      <c r="FV19" s="1024">
        <f t="shared" si="9"/>
        <v>6.9</v>
      </c>
      <c r="FW19" s="1024">
        <f t="shared" si="8"/>
        <v>6.9</v>
      </c>
      <c r="FX19" s="958">
        <f>SUM(FX13:FX18)</f>
        <v>1285.1600000000001</v>
      </c>
      <c r="FY19" s="958">
        <f>SUM(FY13:FY18)</f>
        <v>424.78321439458284</v>
      </c>
    </row>
    <row r="20" spans="1:181" s="104" customFormat="1" x14ac:dyDescent="0.2">
      <c r="A20" s="110" t="s">
        <v>315</v>
      </c>
      <c r="B20" s="87"/>
      <c r="C20" s="87"/>
      <c r="D20" s="88"/>
      <c r="E20" s="88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9"/>
      <c r="S20" s="89"/>
      <c r="T20" s="90"/>
      <c r="U20" s="90"/>
      <c r="V20" s="90"/>
      <c r="W20" s="90"/>
      <c r="X20" s="90"/>
      <c r="Z20"/>
      <c r="AA20"/>
      <c r="AB20" s="77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 s="16"/>
      <c r="AS20" s="68"/>
      <c r="AT20" s="103"/>
      <c r="AU20" s="103"/>
      <c r="BA20"/>
      <c r="BB20" s="77"/>
      <c r="BC20"/>
      <c r="BD20"/>
      <c r="BE20"/>
      <c r="BN20" s="104">
        <f>BN19-BO19-BP19</f>
        <v>5331.2932143945818</v>
      </c>
      <c r="BT20"/>
      <c r="BU20" s="77"/>
      <c r="BV20"/>
      <c r="BW20"/>
      <c r="BX20"/>
      <c r="CH20" s="88"/>
      <c r="CI20" s="88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9"/>
      <c r="CW20" s="89"/>
      <c r="CX20" s="90"/>
      <c r="CY20" s="90"/>
      <c r="CZ20" s="90"/>
      <c r="DA20" s="90"/>
      <c r="DB20" s="90"/>
      <c r="DD20"/>
      <c r="DE20"/>
      <c r="DF20" s="77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 s="16"/>
      <c r="DW20" s="68"/>
      <c r="DX20" s="103"/>
      <c r="DY20" s="103"/>
      <c r="EE20" s="254"/>
      <c r="EF20" s="965"/>
      <c r="EG20" s="966"/>
      <c r="EH20" s="965"/>
      <c r="EI20" s="965"/>
      <c r="EJ20" s="965"/>
      <c r="EK20" s="254"/>
      <c r="EL20" s="254"/>
      <c r="EM20" s="254"/>
      <c r="EN20" s="254"/>
      <c r="EO20" s="254"/>
      <c r="EP20" s="254"/>
      <c r="EQ20" s="254"/>
      <c r="ER20" s="254"/>
      <c r="ES20" s="254"/>
      <c r="ET20" s="982"/>
      <c r="EU20" s="479"/>
      <c r="EV20" s="479"/>
      <c r="EW20" s="479"/>
      <c r="EX20" s="479"/>
      <c r="EY20" s="479"/>
      <c r="EZ20" s="982">
        <f>ES19-EY19</f>
        <v>1709.9432143945826</v>
      </c>
      <c r="FA20" s="959"/>
      <c r="FB20" s="963"/>
      <c r="FC20" s="959"/>
      <c r="FD20" s="958"/>
      <c r="FE20" s="958"/>
      <c r="FF20" s="958"/>
      <c r="FG20" s="958"/>
      <c r="FH20" s="958"/>
      <c r="FI20" s="958"/>
      <c r="FJ20" s="958"/>
      <c r="FK20" s="958"/>
      <c r="FL20" s="958"/>
      <c r="FM20" s="958"/>
      <c r="FN20" s="958"/>
      <c r="FO20" s="958"/>
      <c r="FP20" s="958"/>
      <c r="FQ20" s="958"/>
      <c r="FR20" s="958"/>
      <c r="FS20" s="958"/>
      <c r="FT20" s="958"/>
      <c r="FU20" s="958"/>
      <c r="FV20" s="958"/>
      <c r="FW20" s="958"/>
      <c r="FX20" s="958"/>
      <c r="FY20" s="961">
        <f>EZ20-FF19</f>
        <v>1486.9132143945826</v>
      </c>
    </row>
    <row r="21" spans="1:181" s="104" customFormat="1" x14ac:dyDescent="0.2">
      <c r="A21" s="238" t="s">
        <v>568</v>
      </c>
      <c r="B21" s="239"/>
      <c r="C21" s="239"/>
      <c r="D21" s="240"/>
      <c r="E21" s="240"/>
      <c r="F21"/>
      <c r="G21"/>
      <c r="H21"/>
      <c r="I21"/>
      <c r="J21"/>
      <c r="K21"/>
      <c r="L21"/>
      <c r="M21"/>
      <c r="N21"/>
      <c r="O21"/>
      <c r="P21"/>
      <c r="Q21"/>
      <c r="R21" s="19"/>
      <c r="S21" s="19"/>
      <c r="T21" s="12"/>
      <c r="U21" s="12"/>
      <c r="V21" s="12"/>
      <c r="W21" s="12"/>
      <c r="X21" s="12"/>
      <c r="Z21"/>
      <c r="AA21"/>
      <c r="AB21" s="85"/>
      <c r="AC21"/>
      <c r="AD21"/>
      <c r="AE21" s="12"/>
      <c r="AF21"/>
      <c r="AG21"/>
      <c r="AH21"/>
      <c r="AI21"/>
      <c r="AJ21"/>
      <c r="AK21"/>
      <c r="AL21"/>
      <c r="AM21"/>
      <c r="AN21"/>
      <c r="AO21"/>
      <c r="AP21"/>
      <c r="AQ21"/>
      <c r="AR21" s="386"/>
      <c r="AS21" s="68"/>
      <c r="AT21" s="103"/>
      <c r="AU21" s="103"/>
      <c r="BA21"/>
      <c r="BB21" s="85"/>
      <c r="BC21"/>
      <c r="BD21"/>
      <c r="BE21" s="12"/>
      <c r="BT21"/>
      <c r="BU21" s="85"/>
      <c r="BV21"/>
      <c r="BW21"/>
      <c r="BX21" s="12"/>
      <c r="CH21" s="240"/>
      <c r="CI21" s="240"/>
      <c r="CJ21"/>
      <c r="CK21"/>
      <c r="CL21"/>
      <c r="CM21"/>
      <c r="CN21"/>
      <c r="CO21"/>
      <c r="CP21"/>
      <c r="CQ21"/>
      <c r="CR21"/>
      <c r="CS21"/>
      <c r="CT21"/>
      <c r="CU21"/>
      <c r="CV21" s="19"/>
      <c r="CW21" s="19"/>
      <c r="CX21" s="12"/>
      <c r="CY21" s="12"/>
      <c r="CZ21" s="12"/>
      <c r="DA21" s="12"/>
      <c r="DB21" s="12"/>
      <c r="DD21"/>
      <c r="DE21"/>
      <c r="DF21" s="85"/>
      <c r="DG21"/>
      <c r="DH21"/>
      <c r="DI21" s="12"/>
      <c r="DJ21"/>
      <c r="DK21"/>
      <c r="DL21"/>
      <c r="DM21"/>
      <c r="DN21"/>
      <c r="DO21"/>
      <c r="DP21"/>
      <c r="DQ21"/>
      <c r="DR21"/>
      <c r="DS21"/>
      <c r="DT21"/>
      <c r="DU21"/>
      <c r="DV21" s="386"/>
      <c r="DW21" s="68"/>
      <c r="DX21" s="103"/>
      <c r="DY21" s="103"/>
      <c r="EE21" s="254"/>
      <c r="EF21" s="965"/>
      <c r="EG21" s="966"/>
      <c r="EH21" s="965"/>
      <c r="EI21" s="965"/>
      <c r="EJ21" s="965"/>
      <c r="EK21" s="254"/>
      <c r="EL21" s="254"/>
      <c r="EM21" s="254"/>
      <c r="EN21" s="254"/>
      <c r="EO21" s="254"/>
      <c r="EP21" s="254"/>
      <c r="EQ21" s="254"/>
      <c r="ER21" s="254"/>
      <c r="ES21" s="254">
        <f>EE19-ER19</f>
        <v>2933.5032143945828</v>
      </c>
      <c r="ET21" s="982"/>
      <c r="EU21" s="479"/>
      <c r="EV21" s="479"/>
      <c r="EW21" s="479"/>
      <c r="EX21" s="479"/>
      <c r="EY21" s="479"/>
      <c r="EZ21" s="982"/>
      <c r="FA21" s="963"/>
      <c r="FB21" s="964"/>
      <c r="FC21" s="959"/>
      <c r="FD21" s="958"/>
      <c r="FE21" s="958"/>
      <c r="FF21" s="958"/>
      <c r="FG21" s="958"/>
      <c r="FH21" s="958"/>
      <c r="FI21" s="958"/>
      <c r="FJ21" s="958"/>
      <c r="FK21" s="958"/>
      <c r="FL21" s="958"/>
      <c r="FM21" s="958"/>
      <c r="FN21" s="958"/>
      <c r="FO21" s="958"/>
      <c r="FP21" s="958"/>
      <c r="FQ21" s="958"/>
      <c r="FR21" s="958"/>
      <c r="FS21" s="958"/>
      <c r="FT21" s="958"/>
      <c r="FU21" s="958"/>
      <c r="FV21" s="958"/>
      <c r="FW21" s="958"/>
      <c r="FX21" s="958"/>
      <c r="FY21" s="962"/>
    </row>
    <row r="22" spans="1:181" ht="30.75" hidden="1" customHeight="1" x14ac:dyDescent="0.2">
      <c r="A22" s="1271" t="s">
        <v>462</v>
      </c>
      <c r="B22" s="1271"/>
      <c r="C22" s="1271"/>
      <c r="D22" s="1271"/>
      <c r="E22" s="1271"/>
      <c r="F22" s="1271"/>
      <c r="G22" s="1271"/>
      <c r="H22" s="1271"/>
      <c r="I22" s="1271"/>
      <c r="J22" s="1271"/>
      <c r="K22" s="1271"/>
      <c r="L22" s="1271"/>
      <c r="M22" s="1271"/>
      <c r="N22" s="1271"/>
      <c r="O22" s="1271"/>
      <c r="P22" s="1271"/>
      <c r="Q22" s="1271"/>
      <c r="R22" s="1271"/>
      <c r="S22" s="1271"/>
      <c r="T22" s="1271"/>
      <c r="U22" s="1271"/>
      <c r="V22" s="1271"/>
      <c r="W22" s="1271"/>
      <c r="X22" s="1271"/>
      <c r="Y22" s="1271"/>
      <c r="Z22" s="1271"/>
      <c r="AA22" s="1271"/>
      <c r="AB22" s="171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387"/>
      <c r="AS22" s="387"/>
      <c r="BB22" s="171"/>
      <c r="BC22" s="170"/>
      <c r="BD22" s="170"/>
      <c r="BE22" s="170"/>
      <c r="BU22" s="171"/>
      <c r="BV22" s="170"/>
      <c r="BW22" s="170"/>
      <c r="BX22" s="170"/>
      <c r="CH22"/>
      <c r="CI22"/>
      <c r="CV22"/>
      <c r="CW22"/>
      <c r="CX22"/>
      <c r="CY22"/>
      <c r="CZ22"/>
      <c r="DA22"/>
      <c r="DB22"/>
      <c r="DC22"/>
      <c r="DF22" s="171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387"/>
      <c r="DW22" s="387"/>
      <c r="EG22" s="171"/>
      <c r="EH22" s="170"/>
      <c r="EI22" s="170"/>
      <c r="EJ22" s="170"/>
      <c r="ET22" s="395"/>
      <c r="EU22" s="958"/>
      <c r="EV22" s="958"/>
      <c r="EW22" s="958"/>
      <c r="EX22" s="958"/>
      <c r="EY22" s="958"/>
      <c r="EZ22" s="961"/>
      <c r="FA22" s="963"/>
      <c r="FB22" s="964"/>
      <c r="FC22" s="959"/>
      <c r="FD22" s="958"/>
      <c r="FE22" s="958"/>
      <c r="FF22" s="958"/>
      <c r="FG22" s="958"/>
      <c r="FH22" s="958"/>
      <c r="FI22" s="958"/>
      <c r="FJ22" s="958"/>
      <c r="FK22" s="958"/>
      <c r="FL22" s="958"/>
      <c r="FM22" s="958"/>
      <c r="FN22" s="958"/>
      <c r="FO22" s="958"/>
      <c r="FP22" s="958"/>
      <c r="FQ22" s="958"/>
      <c r="FR22" s="958"/>
      <c r="FS22" s="958"/>
      <c r="FT22" s="958"/>
      <c r="FU22" s="958"/>
      <c r="FV22" s="958"/>
      <c r="FW22" s="958"/>
      <c r="FX22" s="958"/>
      <c r="FY22" s="962"/>
    </row>
    <row r="23" spans="1:181" hidden="1" x14ac:dyDescent="0.2">
      <c r="A23" s="1271"/>
      <c r="B23" s="1271"/>
      <c r="C23" s="1271"/>
      <c r="D23" s="1271"/>
      <c r="E23" s="1271"/>
      <c r="F23" s="1271"/>
      <c r="G23" s="1271"/>
      <c r="H23" s="1271"/>
      <c r="I23" s="1271"/>
      <c r="J23" s="1271"/>
      <c r="K23" s="1271"/>
      <c r="L23" s="1271"/>
      <c r="M23" s="1271"/>
      <c r="N23" s="1271"/>
      <c r="O23" s="1271"/>
      <c r="P23" s="1271"/>
      <c r="Q23" s="1271"/>
      <c r="R23" s="1271"/>
      <c r="S23" s="1271"/>
      <c r="T23" s="1271"/>
      <c r="U23" s="1271"/>
      <c r="V23" s="1271"/>
      <c r="W23" s="1271"/>
      <c r="X23" s="1271"/>
      <c r="Y23" s="1271"/>
      <c r="Z23" s="1271"/>
      <c r="AA23" s="1271"/>
      <c r="AR23" s="16"/>
      <c r="AS23" s="68"/>
      <c r="CH23"/>
      <c r="CI23"/>
      <c r="CV23"/>
      <c r="CW23"/>
      <c r="CX23"/>
      <c r="CY23"/>
      <c r="CZ23"/>
      <c r="DA23"/>
      <c r="DB23"/>
      <c r="DC23"/>
      <c r="DV23" s="16"/>
      <c r="DW23" s="68"/>
      <c r="ET23" s="395"/>
      <c r="EU23" s="958"/>
      <c r="EV23" s="958"/>
      <c r="EW23" s="958"/>
      <c r="EX23" s="958"/>
      <c r="EY23" s="958"/>
      <c r="EZ23" s="961"/>
      <c r="FA23" s="959"/>
      <c r="FB23" s="963"/>
      <c r="FC23" s="959"/>
      <c r="FD23" s="958"/>
      <c r="FE23" s="958"/>
      <c r="FF23" s="958"/>
      <c r="FG23" s="958"/>
      <c r="FH23" s="958"/>
      <c r="FI23" s="958"/>
      <c r="FJ23" s="958"/>
      <c r="FK23" s="958"/>
      <c r="FL23" s="958"/>
      <c r="FM23" s="958"/>
      <c r="FN23" s="958"/>
      <c r="FO23" s="958"/>
      <c r="FP23" s="958"/>
      <c r="FQ23" s="958"/>
      <c r="FR23" s="958"/>
      <c r="FS23" s="958"/>
      <c r="FT23" s="958"/>
      <c r="FU23" s="958"/>
      <c r="FV23" s="958"/>
      <c r="FW23" s="958"/>
      <c r="FX23" s="958"/>
      <c r="FY23" s="962"/>
    </row>
    <row r="24" spans="1:181" x14ac:dyDescent="0.2">
      <c r="AR24" s="16"/>
      <c r="AS24" s="68"/>
      <c r="DV24" s="16"/>
      <c r="DW24" s="68"/>
      <c r="ET24" s="395"/>
      <c r="EU24" s="958"/>
      <c r="EV24" s="958"/>
      <c r="EW24" s="958"/>
      <c r="EX24" s="958"/>
      <c r="EY24" s="958"/>
      <c r="EZ24" s="961"/>
      <c r="FA24" s="959"/>
      <c r="FB24" s="963"/>
      <c r="FC24" s="959"/>
      <c r="FD24" s="958"/>
      <c r="FE24" s="958"/>
      <c r="FF24" s="958"/>
      <c r="FG24" s="958"/>
      <c r="FH24" s="958"/>
      <c r="FI24" s="958"/>
      <c r="FJ24" s="958"/>
      <c r="FK24" s="958"/>
      <c r="FL24" s="958"/>
      <c r="FM24" s="958"/>
      <c r="FN24" s="958"/>
      <c r="FO24" s="958"/>
      <c r="FP24" s="958"/>
      <c r="FQ24" s="958"/>
      <c r="FR24" s="958"/>
      <c r="FS24" s="958"/>
      <c r="FT24" s="958"/>
      <c r="FU24" s="958"/>
      <c r="FV24" s="958"/>
      <c r="FW24" s="958"/>
      <c r="FX24" s="958"/>
      <c r="FY24" s="962"/>
    </row>
    <row r="25" spans="1:181" x14ac:dyDescent="0.2">
      <c r="ET25" s="434"/>
      <c r="EU25" s="434"/>
      <c r="EV25" s="434"/>
      <c r="EW25" s="434"/>
      <c r="EX25" s="434"/>
      <c r="EY25" s="434"/>
      <c r="EZ25" s="434"/>
      <c r="FA25" s="434"/>
      <c r="FB25" s="434"/>
      <c r="FC25" s="434"/>
      <c r="FD25" s="434"/>
      <c r="FE25" s="434"/>
      <c r="FF25" s="434"/>
      <c r="FG25" s="434"/>
      <c r="FH25" s="434"/>
      <c r="FI25" s="434"/>
      <c r="FJ25" s="434"/>
      <c r="FK25" s="434"/>
      <c r="FL25" s="434"/>
      <c r="FM25" s="434"/>
      <c r="FN25" s="434"/>
      <c r="FO25" s="434"/>
      <c r="FP25" s="434"/>
      <c r="FQ25" s="434"/>
      <c r="FR25" s="434"/>
      <c r="FS25" s="434"/>
      <c r="FT25" s="434"/>
      <c r="FU25" s="434"/>
      <c r="FV25" s="434"/>
      <c r="FW25" s="434"/>
      <c r="FX25" s="434"/>
      <c r="FY25" s="434"/>
    </row>
    <row r="26" spans="1:181" x14ac:dyDescent="0.2">
      <c r="ET26" s="434"/>
      <c r="EU26" s="434"/>
      <c r="EV26" s="434"/>
      <c r="EW26" s="434"/>
      <c r="EX26" s="434"/>
      <c r="EY26" s="434"/>
      <c r="EZ26" s="434"/>
      <c r="FA26" s="434"/>
      <c r="FB26" s="434"/>
      <c r="FC26" s="434"/>
      <c r="FD26" s="434"/>
      <c r="FE26" s="434"/>
      <c r="FF26" s="434"/>
      <c r="FG26" s="434"/>
      <c r="FH26" s="434"/>
      <c r="FI26" s="434"/>
      <c r="FJ26" s="434"/>
      <c r="FK26" s="434"/>
      <c r="FL26" s="434"/>
      <c r="FM26" s="434"/>
      <c r="FN26" s="434"/>
      <c r="FO26" s="434"/>
      <c r="FP26" s="434"/>
      <c r="FQ26" s="434"/>
      <c r="FR26" s="434"/>
      <c r="FS26" s="434"/>
      <c r="FT26" s="434"/>
      <c r="FU26" s="434"/>
      <c r="FV26" s="434"/>
      <c r="FW26" s="434"/>
      <c r="FX26" s="434"/>
      <c r="FY26" s="434"/>
    </row>
  </sheetData>
  <mergeCells count="67">
    <mergeCell ref="G11:G12"/>
    <mergeCell ref="BW11:BW12"/>
    <mergeCell ref="BX11:BX12"/>
    <mergeCell ref="Q11:Q12"/>
    <mergeCell ref="D10:P10"/>
    <mergeCell ref="R10:T10"/>
    <mergeCell ref="W10:AS10"/>
    <mergeCell ref="H11:H12"/>
    <mergeCell ref="I11:I12"/>
    <mergeCell ref="Z11:Z12"/>
    <mergeCell ref="AD11:AD12"/>
    <mergeCell ref="AE11:AE12"/>
    <mergeCell ref="BD11:BD12"/>
    <mergeCell ref="BE11:BE12"/>
    <mergeCell ref="AT11:AT12"/>
    <mergeCell ref="AU11:AU12"/>
    <mergeCell ref="A22:AA23"/>
    <mergeCell ref="R11:R12"/>
    <mergeCell ref="S11:S12"/>
    <mergeCell ref="T11:T12"/>
    <mergeCell ref="V11:V12"/>
    <mergeCell ref="W11:W12"/>
    <mergeCell ref="Y11:Y12"/>
    <mergeCell ref="J11:J12"/>
    <mergeCell ref="K11:K12"/>
    <mergeCell ref="L11:L12"/>
    <mergeCell ref="M11:M12"/>
    <mergeCell ref="O11:O12"/>
    <mergeCell ref="A11:A12"/>
    <mergeCell ref="B11:B12"/>
    <mergeCell ref="E11:E12"/>
    <mergeCell ref="F11:F12"/>
    <mergeCell ref="CG11:CG12"/>
    <mergeCell ref="CH10:CT10"/>
    <mergeCell ref="CV10:CX10"/>
    <mergeCell ref="DA10:DW10"/>
    <mergeCell ref="CI11:CI12"/>
    <mergeCell ref="CJ11:CJ12"/>
    <mergeCell ref="CK11:CK12"/>
    <mergeCell ref="CL11:CL12"/>
    <mergeCell ref="CM11:CM12"/>
    <mergeCell ref="CN11:CN12"/>
    <mergeCell ref="CO11:CO12"/>
    <mergeCell ref="CP11:CP12"/>
    <mergeCell ref="CQ11:CQ12"/>
    <mergeCell ref="CS11:CS12"/>
    <mergeCell ref="CU11:CU12"/>
    <mergeCell ref="CV11:CV12"/>
    <mergeCell ref="CW11:CW12"/>
    <mergeCell ref="CX11:CX12"/>
    <mergeCell ref="CZ11:CZ12"/>
    <mergeCell ref="DA11:DA12"/>
    <mergeCell ref="DC11:DC12"/>
    <mergeCell ref="EE11:EE12"/>
    <mergeCell ref="EI11:EI12"/>
    <mergeCell ref="EJ11:EJ12"/>
    <mergeCell ref="DD11:DD12"/>
    <mergeCell ref="DH11:DH12"/>
    <mergeCell ref="DI11:DI12"/>
    <mergeCell ref="DX11:DX12"/>
    <mergeCell ref="DY11:DY12"/>
    <mergeCell ref="FY11:FY12"/>
    <mergeCell ref="EY11:EY12"/>
    <mergeCell ref="EZ11:EZ12"/>
    <mergeCell ref="FD11:FD12"/>
    <mergeCell ref="FE11:FE12"/>
    <mergeCell ref="FX11:FX12"/>
  </mergeCells>
  <printOptions horizontalCentered="1"/>
  <pageMargins left="0.39370078740157483" right="0.19685039370078741" top="0.39370078740157483" bottom="0.39370078740157483" header="0" footer="0"/>
  <pageSetup scale="45" orientation="landscape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EQ129"/>
  <sheetViews>
    <sheetView topLeftCell="A25" zoomScale="85" zoomScaleNormal="85" workbookViewId="0">
      <selection activeCell="EN57" sqref="EN57"/>
    </sheetView>
  </sheetViews>
  <sheetFormatPr baseColWidth="10" defaultRowHeight="12.75" x14ac:dyDescent="0.2"/>
  <cols>
    <col min="1" max="1" width="17.5703125" customWidth="1"/>
    <col min="2" max="2" width="25.140625" customWidth="1"/>
    <col min="3" max="3" width="16.28515625" customWidth="1"/>
    <col min="4" max="4" width="6.7109375" style="18" hidden="1" customWidth="1"/>
    <col min="5" max="5" width="7.42578125" style="18" hidden="1" customWidth="1"/>
    <col min="6" max="6" width="9.7109375" hidden="1" customWidth="1"/>
    <col min="7" max="14" width="8.5703125" hidden="1" customWidth="1"/>
    <col min="15" max="15" width="8.42578125" hidden="1" customWidth="1"/>
    <col min="16" max="16" width="8.5703125" hidden="1" customWidth="1"/>
    <col min="17" max="17" width="11" hidden="1" customWidth="1"/>
    <col min="18" max="18" width="11.5703125" style="19" hidden="1" customWidth="1"/>
    <col min="19" max="19" width="9.5703125" style="19" hidden="1" customWidth="1"/>
    <col min="20" max="20" width="9.42578125" style="12" hidden="1" customWidth="1"/>
    <col min="21" max="21" width="8.42578125" style="12" hidden="1" customWidth="1"/>
    <col min="22" max="22" width="10.140625" style="104" hidden="1" customWidth="1"/>
    <col min="23" max="24" width="8.7109375" hidden="1" customWidth="1"/>
    <col min="25" max="25" width="8.7109375" style="77" hidden="1" customWidth="1"/>
    <col min="26" max="26" width="7.42578125" hidden="1" customWidth="1"/>
    <col min="27" max="28" width="10.42578125" hidden="1" customWidth="1"/>
    <col min="29" max="33" width="7.7109375" hidden="1" customWidth="1"/>
    <col min="34" max="34" width="11.28515625" hidden="1" customWidth="1"/>
    <col min="35" max="40" width="7.7109375" hidden="1" customWidth="1"/>
    <col min="41" max="41" width="9.28515625" hidden="1" customWidth="1"/>
    <col min="42" max="42" width="10" style="69" hidden="1" customWidth="1"/>
    <col min="43" max="44" width="8.7109375" hidden="1" customWidth="1"/>
    <col min="45" max="45" width="9.5703125" hidden="1" customWidth="1"/>
    <col min="46" max="46" width="9.85546875" hidden="1" customWidth="1"/>
    <col min="47" max="49" width="11.42578125" hidden="1" customWidth="1"/>
    <col min="50" max="50" width="8.7109375" hidden="1" customWidth="1"/>
    <col min="51" max="51" width="8.7109375" style="77" hidden="1" customWidth="1"/>
    <col min="52" max="52" width="7.42578125" hidden="1" customWidth="1"/>
    <col min="53" max="53" width="7.7109375" hidden="1" customWidth="1"/>
    <col min="54" max="54" width="6.85546875" hidden="1" customWidth="1"/>
    <col min="55" max="60" width="9" hidden="1" customWidth="1"/>
    <col min="61" max="61" width="9.5703125" hidden="1" customWidth="1"/>
    <col min="62" max="62" width="9" style="443" hidden="1" customWidth="1"/>
    <col min="63" max="63" width="10.5703125" style="443" hidden="1" customWidth="1"/>
    <col min="64" max="64" width="7.85546875" hidden="1" customWidth="1"/>
    <col min="65" max="65" width="8.85546875" hidden="1" customWidth="1"/>
    <col min="66" max="67" width="11.42578125" hidden="1" customWidth="1"/>
    <col min="68" max="68" width="8.140625" hidden="1" customWidth="1"/>
    <col min="69" max="69" width="8.7109375" hidden="1" customWidth="1"/>
    <col min="70" max="70" width="8.7109375" style="77" hidden="1" customWidth="1"/>
    <col min="71" max="71" width="7.42578125" hidden="1" customWidth="1"/>
    <col min="72" max="73" width="10.42578125" hidden="1" customWidth="1"/>
    <col min="74" max="79" width="9" hidden="1" customWidth="1"/>
    <col min="80" max="80" width="9.5703125" hidden="1" customWidth="1"/>
    <col min="81" max="81" width="8.42578125" style="443" hidden="1" customWidth="1"/>
    <col min="82" max="82" width="11.7109375" style="443" hidden="1" customWidth="1"/>
    <col min="83" max="83" width="6.7109375" style="18" customWidth="1"/>
    <col min="84" max="84" width="7.42578125" style="18" customWidth="1"/>
    <col min="85" max="85" width="9.7109375" customWidth="1"/>
    <col min="86" max="86" width="8.5703125" customWidth="1"/>
    <col min="87" max="90" width="8.5703125" hidden="1" customWidth="1"/>
    <col min="91" max="91" width="8.5703125" customWidth="1"/>
    <col min="92" max="92" width="8.5703125" hidden="1" customWidth="1"/>
    <col min="93" max="93" width="12.42578125" hidden="1" customWidth="1"/>
    <col min="94" max="94" width="8.42578125" hidden="1" customWidth="1"/>
    <col min="95" max="95" width="8.5703125" hidden="1" customWidth="1"/>
    <col min="96" max="96" width="11" customWidth="1"/>
    <col min="97" max="97" width="11.5703125" style="19" customWidth="1"/>
    <col min="98" max="98" width="9.5703125" style="19" customWidth="1"/>
    <col min="99" max="99" width="9.42578125" style="12" bestFit="1" customWidth="1"/>
    <col min="100" max="100" width="11.42578125" hidden="1" customWidth="1"/>
    <col min="101" max="101" width="8.140625" hidden="1" customWidth="1"/>
    <col min="102" max="102" width="8.140625" style="77" hidden="1" customWidth="1"/>
    <col min="103" max="103" width="6.85546875" hidden="1" customWidth="1"/>
    <col min="104" max="104" width="10.42578125" hidden="1" customWidth="1"/>
    <col min="105" max="105" width="10.7109375" hidden="1" customWidth="1"/>
    <col min="106" max="107" width="11.5703125" hidden="1" customWidth="1"/>
    <col min="108" max="108" width="10.28515625" hidden="1" customWidth="1"/>
    <col min="109" max="110" width="9" hidden="1" customWidth="1"/>
    <col min="111" max="111" width="12" hidden="1" customWidth="1"/>
    <col min="112" max="112" width="9.5703125" hidden="1" customWidth="1"/>
    <col min="113" max="113" width="11.28515625" style="443" hidden="1" customWidth="1"/>
    <col min="114" max="114" width="11.7109375" style="443" hidden="1" customWidth="1"/>
    <col min="115" max="115" width="9.140625" hidden="1" customWidth="1"/>
    <col min="116" max="116" width="10.28515625" hidden="1" customWidth="1"/>
    <col min="117" max="119" width="11.42578125" hidden="1" customWidth="1"/>
    <col min="120" max="120" width="10" hidden="1" customWidth="1"/>
    <col min="122" max="126" width="11.42578125" customWidth="1"/>
    <col min="127" max="143" width="11.42578125" hidden="1" customWidth="1"/>
    <col min="144" max="146" width="11.42578125" customWidth="1"/>
  </cols>
  <sheetData>
    <row r="1" spans="1:146" x14ac:dyDescent="0.2">
      <c r="A1" s="556" t="s">
        <v>1100</v>
      </c>
      <c r="B1" s="549" t="s">
        <v>27</v>
      </c>
      <c r="C1" s="556"/>
      <c r="D1" s="569"/>
      <c r="E1" s="569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70"/>
      <c r="S1" s="570"/>
      <c r="T1" s="556"/>
      <c r="U1" s="556"/>
      <c r="V1" s="571"/>
      <c r="W1" s="572"/>
      <c r="X1" s="572"/>
      <c r="Y1" s="573"/>
      <c r="Z1" s="572"/>
      <c r="AA1" s="572"/>
      <c r="AB1" s="572"/>
      <c r="AC1" s="572"/>
      <c r="AD1" s="556"/>
      <c r="AE1" s="556"/>
      <c r="AF1" s="556"/>
      <c r="AG1" s="556"/>
      <c r="AH1" s="556"/>
      <c r="AI1" s="556"/>
      <c r="AJ1" s="556"/>
      <c r="AK1" s="556"/>
      <c r="AL1" s="556"/>
      <c r="AM1" s="556"/>
      <c r="AN1" s="572" t="s">
        <v>1072</v>
      </c>
      <c r="AO1" s="556"/>
      <c r="AP1" s="574"/>
      <c r="AQ1" s="556"/>
      <c r="AR1" s="556"/>
      <c r="AS1" s="556"/>
      <c r="AT1" s="556"/>
      <c r="AU1" s="556"/>
      <c r="AV1" s="556"/>
      <c r="AW1" s="556"/>
      <c r="AX1" s="572"/>
      <c r="AY1" s="573"/>
      <c r="AZ1" s="572"/>
      <c r="BA1" s="572"/>
      <c r="BB1" s="94"/>
      <c r="BQ1" s="94"/>
      <c r="BR1" s="95"/>
      <c r="BS1" s="94"/>
      <c r="BT1" s="94"/>
      <c r="BU1" s="94"/>
      <c r="CE1" s="569"/>
      <c r="CF1" s="569"/>
      <c r="CG1" s="556"/>
      <c r="CH1" s="556"/>
      <c r="CI1" s="556"/>
      <c r="CJ1" s="556"/>
      <c r="CK1" s="556"/>
      <c r="CL1" s="556"/>
      <c r="CM1" s="556"/>
      <c r="CN1" s="556"/>
      <c r="CO1" s="556"/>
      <c r="CP1" s="556"/>
      <c r="CQ1" s="556"/>
      <c r="CR1" s="556"/>
      <c r="CS1" s="570"/>
      <c r="CT1" s="570"/>
      <c r="CU1" s="556"/>
      <c r="CW1" s="748"/>
      <c r="CX1" s="749"/>
      <c r="CY1" s="748"/>
      <c r="CZ1" s="748"/>
      <c r="DA1" s="541"/>
    </row>
    <row r="2" spans="1:146" x14ac:dyDescent="0.2">
      <c r="A2" s="556"/>
      <c r="B2" s="549" t="s">
        <v>1273</v>
      </c>
      <c r="C2" s="556"/>
      <c r="D2" s="569"/>
      <c r="E2" s="569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70"/>
      <c r="S2" s="570"/>
      <c r="T2" s="556"/>
      <c r="U2" s="556"/>
      <c r="V2" s="571"/>
      <c r="W2" s="572"/>
      <c r="X2" s="572"/>
      <c r="Y2" s="573"/>
      <c r="Z2" s="572"/>
      <c r="AA2" s="572"/>
      <c r="AB2" s="572"/>
      <c r="AC2" s="572"/>
      <c r="AD2" s="556"/>
      <c r="AE2" s="556"/>
      <c r="AF2" s="556"/>
      <c r="AG2" s="556"/>
      <c r="AH2" s="556"/>
      <c r="AI2" s="556"/>
      <c r="AJ2" s="556"/>
      <c r="AK2" s="556"/>
      <c r="AL2" s="556"/>
      <c r="AM2" s="556"/>
      <c r="AN2" s="556"/>
      <c r="AO2" s="556"/>
      <c r="AP2" s="574"/>
      <c r="AQ2" s="556"/>
      <c r="AR2" s="556"/>
      <c r="AS2" s="556"/>
      <c r="AT2" s="556"/>
      <c r="AU2" s="556"/>
      <c r="AV2" s="556"/>
      <c r="AW2" s="556"/>
      <c r="AX2" s="572"/>
      <c r="AY2" s="573"/>
      <c r="AZ2" s="572"/>
      <c r="BA2" s="572"/>
      <c r="BB2" s="94"/>
      <c r="BQ2" s="94"/>
      <c r="BR2" s="95"/>
      <c r="BS2" s="94"/>
      <c r="BT2" s="94"/>
      <c r="BU2" s="94"/>
      <c r="CE2" s="569"/>
      <c r="CF2" s="569"/>
      <c r="CG2" s="556"/>
      <c r="CH2" s="556"/>
      <c r="CI2" s="556"/>
      <c r="CJ2" s="556"/>
      <c r="CK2" s="556"/>
      <c r="CL2" s="556"/>
      <c r="CM2" s="556"/>
      <c r="CN2" s="556"/>
      <c r="CO2" s="556"/>
      <c r="CP2" s="556"/>
      <c r="CQ2" s="556"/>
      <c r="CR2" s="556"/>
      <c r="CS2" s="570"/>
      <c r="CT2" s="570"/>
      <c r="CU2" s="556"/>
      <c r="CW2" s="748"/>
      <c r="CX2" s="749"/>
      <c r="CY2" s="748"/>
      <c r="CZ2" s="748"/>
      <c r="DA2" s="541"/>
    </row>
    <row r="3" spans="1:146" x14ac:dyDescent="0.2">
      <c r="A3" s="556"/>
      <c r="B3" s="556"/>
      <c r="C3" s="549"/>
      <c r="D3" s="575"/>
      <c r="E3" s="569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49"/>
      <c r="S3" s="549"/>
      <c r="T3" s="561"/>
      <c r="U3" s="561"/>
      <c r="V3" s="576"/>
      <c r="W3" s="572"/>
      <c r="X3" s="572"/>
      <c r="Y3" s="573"/>
      <c r="Z3" s="572"/>
      <c r="AA3" s="572"/>
      <c r="AB3" s="572"/>
      <c r="AC3" s="572"/>
      <c r="AD3" s="556"/>
      <c r="AE3" s="556"/>
      <c r="AF3" s="556"/>
      <c r="AG3" s="556"/>
      <c r="AH3" s="556"/>
      <c r="AI3" s="556"/>
      <c r="AJ3" s="556"/>
      <c r="AK3" s="556"/>
      <c r="AL3" s="556"/>
      <c r="AM3" s="556"/>
      <c r="AN3" s="556"/>
      <c r="AO3" s="556"/>
      <c r="AP3" s="574"/>
      <c r="AQ3" s="556"/>
      <c r="AR3" s="556"/>
      <c r="AS3" s="556"/>
      <c r="AT3" s="556"/>
      <c r="AU3" s="556"/>
      <c r="AV3" s="556"/>
      <c r="AW3" s="556"/>
      <c r="AX3" s="572"/>
      <c r="AY3" s="573"/>
      <c r="AZ3" s="572"/>
      <c r="BA3" s="572"/>
      <c r="BB3" s="94"/>
      <c r="BQ3" s="94"/>
      <c r="BR3" s="95"/>
      <c r="BS3" s="94"/>
      <c r="BT3" s="94"/>
      <c r="BU3" s="94"/>
      <c r="CE3" s="575"/>
      <c r="CF3" s="569"/>
      <c r="CG3" s="561"/>
      <c r="CH3" s="561"/>
      <c r="CI3" s="561"/>
      <c r="CJ3" s="561"/>
      <c r="CK3" s="561"/>
      <c r="CL3" s="561"/>
      <c r="CM3" s="561"/>
      <c r="CN3" s="561"/>
      <c r="CO3" s="561"/>
      <c r="CP3" s="561"/>
      <c r="CQ3" s="561"/>
      <c r="CR3" s="561"/>
      <c r="CS3" s="549"/>
      <c r="CT3" s="549"/>
      <c r="CU3" s="561"/>
      <c r="CW3" s="748"/>
      <c r="CX3" s="749"/>
      <c r="CY3" s="748"/>
      <c r="CZ3" s="748"/>
      <c r="DA3" s="541"/>
    </row>
    <row r="4" spans="1:146" x14ac:dyDescent="0.2">
      <c r="A4" s="556"/>
      <c r="B4" s="556" t="s">
        <v>309</v>
      </c>
      <c r="C4" s="549"/>
      <c r="D4" s="575"/>
      <c r="E4" s="569"/>
      <c r="F4" s="561"/>
      <c r="G4" s="561"/>
      <c r="H4" s="561"/>
      <c r="I4" s="561"/>
      <c r="J4" s="561"/>
      <c r="K4" s="561"/>
      <c r="L4" s="561"/>
      <c r="M4" s="561"/>
      <c r="N4" s="561"/>
      <c r="O4" s="561"/>
      <c r="P4" s="561"/>
      <c r="Q4" s="561"/>
      <c r="R4" s="549"/>
      <c r="S4" s="549"/>
      <c r="T4" s="561"/>
      <c r="U4" s="561"/>
      <c r="V4" s="576"/>
      <c r="W4" s="572"/>
      <c r="X4" s="572"/>
      <c r="Y4" s="573"/>
      <c r="Z4" s="572"/>
      <c r="AA4" s="572"/>
      <c r="AB4" s="572"/>
      <c r="AC4" s="572"/>
      <c r="AD4" s="556"/>
      <c r="AE4" s="556"/>
      <c r="AF4" s="556"/>
      <c r="AG4" s="556"/>
      <c r="AH4" s="556"/>
      <c r="AI4" s="556"/>
      <c r="AJ4" s="556"/>
      <c r="AK4" s="556"/>
      <c r="AL4" s="556"/>
      <c r="AM4" s="556"/>
      <c r="AN4" s="556"/>
      <c r="AO4" s="556"/>
      <c r="AP4" s="574"/>
      <c r="AQ4" s="556"/>
      <c r="AR4" s="556"/>
      <c r="AS4" s="556"/>
      <c r="AT4" s="556"/>
      <c r="AU4" s="556"/>
      <c r="AV4" s="556"/>
      <c r="AW4" s="556"/>
      <c r="AX4" s="572"/>
      <c r="AY4" s="573"/>
      <c r="AZ4" s="572"/>
      <c r="BA4" s="572"/>
      <c r="BB4" s="94"/>
      <c r="BQ4" s="94"/>
      <c r="BR4" s="95"/>
      <c r="BS4" s="94"/>
      <c r="BT4" s="94"/>
      <c r="BU4" s="94"/>
      <c r="CE4" s="575"/>
      <c r="CF4" s="569"/>
      <c r="CG4" s="561"/>
      <c r="CH4" s="561"/>
      <c r="CI4" s="561"/>
      <c r="CJ4" s="561"/>
      <c r="CK4" s="561"/>
      <c r="CL4" s="561"/>
      <c r="CM4" s="561"/>
      <c r="CN4" s="561"/>
      <c r="CO4" s="561"/>
      <c r="CP4" s="561"/>
      <c r="CQ4" s="561"/>
      <c r="CR4" s="561"/>
      <c r="CS4" s="549"/>
      <c r="CT4" s="549"/>
      <c r="CU4" s="561"/>
      <c r="CW4" s="748"/>
      <c r="CX4" s="749"/>
      <c r="CY4" s="748"/>
      <c r="CZ4" s="748"/>
      <c r="DA4" s="541"/>
    </row>
    <row r="5" spans="1:146" x14ac:dyDescent="0.2">
      <c r="A5" s="556"/>
      <c r="B5" s="561" t="s">
        <v>319</v>
      </c>
      <c r="C5" s="556"/>
      <c r="D5" s="569"/>
      <c r="E5" s="569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70"/>
      <c r="S5" s="570"/>
      <c r="T5" s="556"/>
      <c r="U5" s="556"/>
      <c r="V5" s="571"/>
      <c r="W5" s="572"/>
      <c r="X5" s="572"/>
      <c r="Y5" s="573"/>
      <c r="Z5" s="572"/>
      <c r="AA5" s="572"/>
      <c r="AB5" s="572"/>
      <c r="AC5" s="572"/>
      <c r="AD5" s="556"/>
      <c r="AE5" s="556"/>
      <c r="AF5" s="556"/>
      <c r="AG5" s="556"/>
      <c r="AH5" s="556"/>
      <c r="AI5" s="556"/>
      <c r="AJ5" s="556"/>
      <c r="AK5" s="556"/>
      <c r="AL5" s="556"/>
      <c r="AM5" s="556"/>
      <c r="AN5" s="556"/>
      <c r="AO5" s="556"/>
      <c r="AP5" s="574"/>
      <c r="AQ5" s="556"/>
      <c r="AR5" s="556"/>
      <c r="AS5" s="556"/>
      <c r="AT5" s="556"/>
      <c r="AU5" s="556"/>
      <c r="AV5" s="556"/>
      <c r="AW5" s="556"/>
      <c r="AX5" s="572"/>
      <c r="AY5" s="573"/>
      <c r="AZ5" s="572"/>
      <c r="BA5" s="572"/>
      <c r="BB5" s="94"/>
      <c r="BQ5" s="94"/>
      <c r="BR5" s="95"/>
      <c r="BS5" s="94"/>
      <c r="BT5" s="94"/>
      <c r="BU5" s="94"/>
      <c r="CE5" s="569"/>
      <c r="CF5" s="569"/>
      <c r="CG5" s="556"/>
      <c r="CH5" s="556"/>
      <c r="CI5" s="556"/>
      <c r="CJ5" s="556"/>
      <c r="CK5" s="556"/>
      <c r="CL5" s="556"/>
      <c r="CM5" s="556"/>
      <c r="CN5" s="556"/>
      <c r="CO5" s="556"/>
      <c r="CP5" s="556"/>
      <c r="CQ5" s="556"/>
      <c r="CR5" s="556"/>
      <c r="CS5" s="570"/>
      <c r="CT5" s="570"/>
      <c r="CU5" s="556"/>
      <c r="CW5" s="748"/>
      <c r="CX5" s="749"/>
      <c r="CY5" s="748"/>
      <c r="CZ5" s="748"/>
      <c r="DA5" s="541"/>
    </row>
    <row r="6" spans="1:146" x14ac:dyDescent="0.2">
      <c r="A6" s="556"/>
      <c r="B6" s="556" t="s">
        <v>1272</v>
      </c>
      <c r="C6" s="556"/>
      <c r="D6" s="569"/>
      <c r="E6" s="569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70"/>
      <c r="S6" s="570"/>
      <c r="T6" s="556"/>
      <c r="U6" s="556"/>
      <c r="V6" s="571"/>
      <c r="W6" s="572"/>
      <c r="X6" s="572"/>
      <c r="Y6" s="573"/>
      <c r="Z6" s="572"/>
      <c r="AA6" s="572"/>
      <c r="AB6" s="572"/>
      <c r="AC6" s="572"/>
      <c r="AD6" s="556"/>
      <c r="AE6" s="556"/>
      <c r="AF6" s="556"/>
      <c r="AG6" s="556"/>
      <c r="AH6" s="556"/>
      <c r="AI6" s="556"/>
      <c r="AJ6" s="556"/>
      <c r="AK6" s="556"/>
      <c r="AL6" s="556"/>
      <c r="AM6" s="556"/>
      <c r="AN6" s="556"/>
      <c r="AO6" s="556"/>
      <c r="AP6" s="574"/>
      <c r="AQ6" s="556"/>
      <c r="AR6" s="556"/>
      <c r="AS6" s="556"/>
      <c r="AT6" s="556"/>
      <c r="AU6" s="556"/>
      <c r="AV6" s="556"/>
      <c r="AW6" s="556"/>
      <c r="AX6" s="572"/>
      <c r="AY6" s="573"/>
      <c r="AZ6" s="572"/>
      <c r="BA6" s="572"/>
      <c r="BB6" s="94"/>
      <c r="BQ6" s="94"/>
      <c r="BR6" s="95"/>
      <c r="BS6" s="94"/>
      <c r="BT6" s="94"/>
      <c r="BU6" s="94"/>
      <c r="CE6" s="569"/>
      <c r="CF6" s="569"/>
      <c r="CG6" s="556"/>
      <c r="CH6" s="556"/>
      <c r="CI6" s="556"/>
      <c r="CJ6" s="556"/>
      <c r="CK6" s="556"/>
      <c r="CL6" s="556"/>
      <c r="CM6" s="556"/>
      <c r="CN6" s="556"/>
      <c r="CO6" s="556"/>
      <c r="CP6" s="556"/>
      <c r="CQ6" s="556"/>
      <c r="CR6" s="556"/>
      <c r="CS6" s="570"/>
      <c r="CT6" s="570"/>
      <c r="CU6" s="556"/>
      <c r="CW6" s="748"/>
      <c r="CX6" s="749"/>
      <c r="CY6" s="748"/>
      <c r="CZ6" s="748"/>
      <c r="DA6" s="541"/>
    </row>
    <row r="7" spans="1:146" x14ac:dyDescent="0.2">
      <c r="A7" s="556"/>
      <c r="B7" s="556"/>
      <c r="C7" s="556"/>
      <c r="D7" s="569"/>
      <c r="E7" s="569"/>
      <c r="F7" s="556"/>
      <c r="G7" s="556"/>
      <c r="H7" s="556"/>
      <c r="I7" s="556"/>
      <c r="J7" s="556"/>
      <c r="K7" s="556"/>
      <c r="L7" s="556"/>
      <c r="M7" s="556"/>
      <c r="N7" s="556"/>
      <c r="O7" s="556"/>
      <c r="P7" s="556"/>
      <c r="Q7" s="556"/>
      <c r="R7" s="570"/>
      <c r="S7" s="570"/>
      <c r="T7" s="556"/>
      <c r="U7" s="556"/>
      <c r="V7" s="571"/>
      <c r="W7" s="572"/>
      <c r="X7" s="572"/>
      <c r="Y7" s="573"/>
      <c r="Z7" s="572"/>
      <c r="AA7" s="572"/>
      <c r="AB7" s="572"/>
      <c r="AC7" s="572"/>
      <c r="AD7" s="556"/>
      <c r="AE7" s="556"/>
      <c r="AF7" s="556"/>
      <c r="AG7" s="556"/>
      <c r="AH7" s="556"/>
      <c r="AI7" s="556"/>
      <c r="AJ7" s="556"/>
      <c r="AK7" s="556"/>
      <c r="AL7" s="556"/>
      <c r="AM7" s="556"/>
      <c r="AN7" s="556"/>
      <c r="AO7" s="556"/>
      <c r="AP7" s="574"/>
      <c r="AQ7" s="556"/>
      <c r="AR7" s="556"/>
      <c r="AS7" s="556"/>
      <c r="AT7" s="556"/>
      <c r="AU7" s="556"/>
      <c r="AV7" s="556"/>
      <c r="AW7" s="556"/>
      <c r="AX7" s="572"/>
      <c r="AY7" s="573"/>
      <c r="AZ7" s="572"/>
      <c r="BA7" s="572"/>
      <c r="BB7" s="94"/>
      <c r="BQ7" s="94"/>
      <c r="BR7" s="95"/>
      <c r="BS7" s="94"/>
      <c r="BT7" s="94"/>
      <c r="BU7" s="94"/>
      <c r="CE7" s="569"/>
      <c r="CF7" s="569"/>
      <c r="CG7" s="556"/>
      <c r="CH7" s="556"/>
      <c r="CI7" s="556"/>
      <c r="CJ7" s="556"/>
      <c r="CK7" s="556"/>
      <c r="CL7" s="556"/>
      <c r="CM7" s="556"/>
      <c r="CN7" s="556"/>
      <c r="CO7" s="556"/>
      <c r="CP7" s="556"/>
      <c r="CQ7" s="556"/>
      <c r="CR7" s="556"/>
      <c r="CS7" s="570"/>
      <c r="CT7" s="570"/>
      <c r="CU7" s="556"/>
      <c r="CW7" s="748"/>
      <c r="CX7" s="749"/>
      <c r="CY7" s="748"/>
      <c r="CZ7" s="748"/>
      <c r="DA7" s="541"/>
    </row>
    <row r="8" spans="1:146" s="16" customFormat="1" x14ac:dyDescent="0.2">
      <c r="D8" s="38"/>
      <c r="E8" s="38"/>
      <c r="R8" s="37"/>
      <c r="S8" s="37"/>
      <c r="T8" s="35"/>
      <c r="U8" s="35"/>
      <c r="V8" s="103"/>
      <c r="W8" s="39"/>
      <c r="X8" s="39"/>
      <c r="Y8" s="76"/>
      <c r="Z8" s="39"/>
      <c r="AA8" s="39"/>
      <c r="AB8" s="39"/>
      <c r="AC8" s="39"/>
      <c r="AP8" s="68"/>
      <c r="AX8" s="39"/>
      <c r="AY8" s="76"/>
      <c r="AZ8" s="39"/>
      <c r="BA8" s="39"/>
      <c r="BB8" s="39"/>
      <c r="BJ8" s="444"/>
      <c r="BK8" s="444"/>
      <c r="BQ8" s="39"/>
      <c r="BR8" s="76"/>
      <c r="BS8" s="39"/>
      <c r="BT8" s="39"/>
      <c r="BU8" s="39"/>
      <c r="CC8" s="444"/>
      <c r="CD8" s="444"/>
      <c r="CE8" s="38"/>
      <c r="CF8" s="38"/>
      <c r="CS8" s="37"/>
      <c r="CT8" s="37"/>
      <c r="CU8" s="35"/>
      <c r="CW8" s="39"/>
      <c r="CX8" s="76"/>
      <c r="CY8" s="39"/>
      <c r="CZ8" s="39"/>
      <c r="DA8" s="39"/>
      <c r="DI8" s="444"/>
      <c r="DJ8" s="444"/>
    </row>
    <row r="9" spans="1:146" s="16" customFormat="1" ht="20.25" customHeight="1" x14ac:dyDescent="0.2">
      <c r="D9" s="38"/>
      <c r="E9" s="38"/>
      <c r="R9" s="37"/>
      <c r="S9" s="37"/>
      <c r="T9" s="35"/>
      <c r="U9" s="35"/>
      <c r="V9" s="103"/>
      <c r="W9" s="39"/>
      <c r="X9" s="39"/>
      <c r="Y9" s="76"/>
      <c r="Z9" s="39"/>
      <c r="AA9" s="39"/>
      <c r="AB9" s="39"/>
      <c r="AC9" s="39"/>
      <c r="AP9" s="68"/>
      <c r="AX9" s="39"/>
      <c r="AY9" s="76"/>
      <c r="AZ9" s="39"/>
      <c r="BA9" s="39"/>
      <c r="BB9" s="39"/>
      <c r="BJ9" s="444"/>
      <c r="BK9" s="444"/>
      <c r="BQ9" s="39"/>
      <c r="BR9" s="76"/>
      <c r="BS9" s="39"/>
      <c r="BT9" s="39"/>
      <c r="BU9" s="39"/>
      <c r="CC9" s="444"/>
      <c r="CD9" s="444"/>
      <c r="CE9" s="38"/>
      <c r="CF9" s="38"/>
      <c r="CS9" s="37"/>
      <c r="CT9" s="37"/>
      <c r="CU9" s="35"/>
      <c r="CW9" s="39"/>
      <c r="CX9" s="76"/>
      <c r="CY9" s="39"/>
      <c r="CZ9" s="39"/>
      <c r="DA9" s="39"/>
      <c r="DI9" s="444"/>
      <c r="DJ9" s="444"/>
    </row>
    <row r="10" spans="1:146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1275" t="s">
        <v>450</v>
      </c>
      <c r="V10" s="1275"/>
      <c r="W10" s="1275"/>
      <c r="X10" s="1275"/>
      <c r="Y10" s="1275"/>
      <c r="Z10" s="1275"/>
      <c r="AA10" s="1275"/>
      <c r="AB10" s="1275"/>
      <c r="AC10" s="1275"/>
      <c r="AD10" s="1275"/>
      <c r="AE10" s="1275"/>
      <c r="AF10" s="1275"/>
      <c r="AG10" s="1275"/>
      <c r="AH10" s="1275"/>
      <c r="AI10" s="1275"/>
      <c r="AJ10" s="1275"/>
      <c r="AK10" s="1275"/>
      <c r="AL10" s="1275"/>
      <c r="AM10" s="1275"/>
      <c r="AN10" s="1275"/>
      <c r="AO10" s="1275"/>
      <c r="AP10" s="1275"/>
      <c r="AQ10" s="1275"/>
      <c r="AR10" s="1275"/>
      <c r="AS10" s="1275"/>
      <c r="AT10" s="1275"/>
      <c r="AU10" s="1275"/>
      <c r="AV10" s="1275"/>
      <c r="AW10" s="1275"/>
      <c r="AX10" s="1275"/>
      <c r="AY10" s="1275"/>
      <c r="AZ10" s="1275"/>
      <c r="BL10" s="443"/>
      <c r="BM10" s="443"/>
      <c r="BN10" s="443"/>
      <c r="BO10" s="443"/>
      <c r="BP10" s="443"/>
      <c r="BQ10" s="443"/>
      <c r="BR10" s="443"/>
      <c r="BS10" s="443"/>
      <c r="CE10" s="1258" t="s">
        <v>532</v>
      </c>
      <c r="CF10" s="1258"/>
      <c r="CG10" s="1258"/>
      <c r="CH10" s="1258"/>
      <c r="CI10" s="1258"/>
      <c r="CJ10" s="1258"/>
      <c r="CK10" s="1258"/>
      <c r="CL10" s="1258"/>
      <c r="CM10" s="1258"/>
      <c r="CN10" s="1258"/>
      <c r="CO10" s="1258"/>
      <c r="CP10" s="1258"/>
      <c r="CQ10" s="1258"/>
      <c r="CR10" s="191"/>
      <c r="CS10" s="1259" t="s">
        <v>448</v>
      </c>
      <c r="CT10" s="1259"/>
      <c r="CU10" s="1259"/>
      <c r="CX10"/>
    </row>
    <row r="11" spans="1:146" ht="54" customHeight="1" x14ac:dyDescent="0.25">
      <c r="A11" s="1261" t="s">
        <v>57</v>
      </c>
      <c r="B11" s="1261" t="s">
        <v>0</v>
      </c>
      <c r="C11" s="190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526</v>
      </c>
      <c r="J11" s="1254" t="s">
        <v>525</v>
      </c>
      <c r="K11" s="1254" t="s">
        <v>534</v>
      </c>
      <c r="L11" s="1254" t="s">
        <v>493</v>
      </c>
      <c r="M11" s="1254" t="s">
        <v>535</v>
      </c>
      <c r="N11" s="189" t="s">
        <v>529</v>
      </c>
      <c r="O11" s="1254" t="s">
        <v>492</v>
      </c>
      <c r="P11" s="192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1245" t="s">
        <v>447</v>
      </c>
      <c r="V11" s="1268" t="s">
        <v>452</v>
      </c>
      <c r="W11" s="1245" t="s">
        <v>439</v>
      </c>
      <c r="X11" s="158" t="s">
        <v>15</v>
      </c>
      <c r="Y11" s="159" t="s">
        <v>15</v>
      </c>
      <c r="Z11" s="158" t="s">
        <v>16</v>
      </c>
      <c r="AA11" s="1245" t="s">
        <v>527</v>
      </c>
      <c r="AB11" s="1245" t="s">
        <v>536</v>
      </c>
      <c r="AC11" s="158" t="s">
        <v>3</v>
      </c>
      <c r="AD11" s="158" t="s">
        <v>4</v>
      </c>
      <c r="AE11" s="158" t="s">
        <v>5</v>
      </c>
      <c r="AF11" s="158" t="s">
        <v>6</v>
      </c>
      <c r="AG11" s="158" t="s">
        <v>7</v>
      </c>
      <c r="AH11" s="158" t="s">
        <v>8</v>
      </c>
      <c r="AI11" s="158" t="s">
        <v>9</v>
      </c>
      <c r="AJ11" s="158" t="s">
        <v>10</v>
      </c>
      <c r="AK11" s="158" t="s">
        <v>11</v>
      </c>
      <c r="AL11" s="158" t="s">
        <v>12</v>
      </c>
      <c r="AM11" s="158" t="s">
        <v>13</v>
      </c>
      <c r="AN11" s="158" t="s">
        <v>14</v>
      </c>
      <c r="AO11" s="196" t="s">
        <v>531</v>
      </c>
      <c r="AP11" s="160" t="s">
        <v>63</v>
      </c>
      <c r="AQ11" s="1245" t="s">
        <v>976</v>
      </c>
      <c r="AR11" s="1245" t="s">
        <v>536</v>
      </c>
      <c r="AS11" s="158" t="s">
        <v>3</v>
      </c>
      <c r="AT11" s="158" t="s">
        <v>4</v>
      </c>
      <c r="AU11" s="158" t="s">
        <v>5</v>
      </c>
      <c r="AV11" s="158" t="s">
        <v>6</v>
      </c>
      <c r="AW11" s="158" t="s">
        <v>7</v>
      </c>
      <c r="AX11" s="158" t="s">
        <v>15</v>
      </c>
      <c r="AY11" s="159" t="s">
        <v>15</v>
      </c>
      <c r="AZ11" s="158" t="s">
        <v>16</v>
      </c>
      <c r="BA11" s="1245" t="s">
        <v>1059</v>
      </c>
      <c r="BB11" s="1245" t="s">
        <v>536</v>
      </c>
      <c r="BC11" s="158" t="s">
        <v>8</v>
      </c>
      <c r="BD11" s="158" t="s">
        <v>9</v>
      </c>
      <c r="BE11" s="158" t="s">
        <v>10</v>
      </c>
      <c r="BF11" s="158" t="s">
        <v>11</v>
      </c>
      <c r="BG11" s="158" t="s">
        <v>12</v>
      </c>
      <c r="BH11" s="158" t="s">
        <v>13</v>
      </c>
      <c r="BI11" s="158" t="s">
        <v>14</v>
      </c>
      <c r="BJ11" s="445" t="s">
        <v>989</v>
      </c>
      <c r="BK11" s="446" t="s">
        <v>63</v>
      </c>
      <c r="BL11" s="158" t="s">
        <v>3</v>
      </c>
      <c r="BM11" s="158" t="s">
        <v>4</v>
      </c>
      <c r="BN11" s="158" t="s">
        <v>5</v>
      </c>
      <c r="BO11" s="158" t="s">
        <v>6</v>
      </c>
      <c r="BP11" s="158" t="s">
        <v>7</v>
      </c>
      <c r="BQ11" s="158" t="s">
        <v>15</v>
      </c>
      <c r="BR11" s="159" t="s">
        <v>15</v>
      </c>
      <c r="BS11" s="158" t="s">
        <v>16</v>
      </c>
      <c r="BT11" s="1245" t="s">
        <v>1004</v>
      </c>
      <c r="BU11" s="1245" t="s">
        <v>536</v>
      </c>
      <c r="BV11" s="158" t="s">
        <v>8</v>
      </c>
      <c r="BW11" s="158" t="s">
        <v>9</v>
      </c>
      <c r="BX11" s="158" t="s">
        <v>10</v>
      </c>
      <c r="BY11" s="158" t="s">
        <v>11</v>
      </c>
      <c r="BZ11" s="158" t="s">
        <v>12</v>
      </c>
      <c r="CA11" s="158" t="s">
        <v>13</v>
      </c>
      <c r="CB11" s="158" t="s">
        <v>14</v>
      </c>
      <c r="CC11" s="445" t="s">
        <v>1058</v>
      </c>
      <c r="CD11" s="446" t="s">
        <v>63</v>
      </c>
      <c r="CE11" s="166" t="s">
        <v>306</v>
      </c>
      <c r="CF11" s="1263" t="s">
        <v>55</v>
      </c>
      <c r="CG11" s="1254" t="s">
        <v>564</v>
      </c>
      <c r="CH11" s="1254" t="s">
        <v>446</v>
      </c>
      <c r="CI11" s="1254" t="s">
        <v>533</v>
      </c>
      <c r="CJ11" s="1254" t="s">
        <v>1126</v>
      </c>
      <c r="CK11" s="1254" t="s">
        <v>1127</v>
      </c>
      <c r="CL11" s="1254" t="s">
        <v>534</v>
      </c>
      <c r="CM11" s="1254" t="s">
        <v>493</v>
      </c>
      <c r="CN11" s="1254" t="s">
        <v>1148</v>
      </c>
      <c r="CO11" s="721" t="s">
        <v>529</v>
      </c>
      <c r="CP11" s="1254" t="s">
        <v>492</v>
      </c>
      <c r="CQ11" s="722" t="s">
        <v>530</v>
      </c>
      <c r="CR11" s="1256" t="s">
        <v>528</v>
      </c>
      <c r="CS11" s="1250" t="s">
        <v>437</v>
      </c>
      <c r="CT11" s="1250" t="s">
        <v>56</v>
      </c>
      <c r="CU11" s="1252" t="s">
        <v>449</v>
      </c>
      <c r="CV11" s="1273" t="s">
        <v>1139</v>
      </c>
      <c r="CW11" s="158" t="s">
        <v>15</v>
      </c>
      <c r="CX11" s="159" t="s">
        <v>15</v>
      </c>
      <c r="CY11" s="158" t="s">
        <v>16</v>
      </c>
      <c r="CZ11" s="1245" t="s">
        <v>1124</v>
      </c>
      <c r="DA11" s="1245" t="s">
        <v>536</v>
      </c>
      <c r="DB11" s="158" t="s">
        <v>8</v>
      </c>
      <c r="DC11" s="158" t="s">
        <v>9</v>
      </c>
      <c r="DD11" s="158" t="s">
        <v>10</v>
      </c>
      <c r="DE11" s="158" t="s">
        <v>11</v>
      </c>
      <c r="DF11" s="158" t="s">
        <v>12</v>
      </c>
      <c r="DG11" s="158" t="s">
        <v>13</v>
      </c>
      <c r="DH11" s="158" t="s">
        <v>14</v>
      </c>
      <c r="DI11" s="445" t="s">
        <v>1058</v>
      </c>
      <c r="DJ11" s="741" t="s">
        <v>63</v>
      </c>
      <c r="DK11" s="158" t="s">
        <v>3</v>
      </c>
      <c r="DL11" s="158" t="s">
        <v>4</v>
      </c>
      <c r="DM11" s="158" t="s">
        <v>5</v>
      </c>
      <c r="DN11" s="158" t="s">
        <v>6</v>
      </c>
      <c r="DO11" s="158" t="s">
        <v>7</v>
      </c>
      <c r="DP11" s="1247" t="s">
        <v>1252</v>
      </c>
      <c r="DQ11" s="1247" t="s">
        <v>1253</v>
      </c>
      <c r="DR11" s="158" t="s">
        <v>15</v>
      </c>
      <c r="DS11" s="159" t="s">
        <v>15</v>
      </c>
      <c r="DT11" s="158" t="s">
        <v>16</v>
      </c>
      <c r="DU11" s="1245" t="s">
        <v>1262</v>
      </c>
      <c r="DV11" s="1245" t="s">
        <v>536</v>
      </c>
      <c r="DW11" s="158" t="s">
        <v>8</v>
      </c>
      <c r="DX11" s="158" t="s">
        <v>9</v>
      </c>
      <c r="DY11" s="158" t="s">
        <v>10</v>
      </c>
      <c r="DZ11" s="158" t="s">
        <v>11</v>
      </c>
      <c r="EA11" s="158" t="s">
        <v>12</v>
      </c>
      <c r="EB11" s="158" t="s">
        <v>13</v>
      </c>
      <c r="EC11" s="158" t="s">
        <v>14</v>
      </c>
      <c r="ED11" s="158" t="s">
        <v>3</v>
      </c>
      <c r="EE11" s="158" t="s">
        <v>4</v>
      </c>
      <c r="EF11" s="158" t="s">
        <v>5</v>
      </c>
      <c r="EG11" s="158" t="s">
        <v>6</v>
      </c>
      <c r="EH11" s="158" t="s">
        <v>7</v>
      </c>
      <c r="EI11" s="158" t="s">
        <v>8</v>
      </c>
      <c r="EJ11" s="158" t="s">
        <v>9</v>
      </c>
      <c r="EK11" s="158" t="s">
        <v>10</v>
      </c>
      <c r="EL11" s="1243" t="s">
        <v>11</v>
      </c>
      <c r="EM11" s="1244" t="s">
        <v>12</v>
      </c>
      <c r="EN11" s="1242" t="s">
        <v>13</v>
      </c>
      <c r="EO11" s="1247" t="s">
        <v>1274</v>
      </c>
      <c r="EP11" s="1247" t="s">
        <v>1263</v>
      </c>
    </row>
    <row r="12" spans="1:146" ht="32.25" customHeight="1" x14ac:dyDescent="0.25">
      <c r="A12" s="1262"/>
      <c r="B12" s="1262"/>
      <c r="C12" s="161" t="s">
        <v>319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1267"/>
      <c r="V12" s="1269">
        <v>41639</v>
      </c>
      <c r="W12" s="1246"/>
      <c r="X12" s="162" t="s">
        <v>20</v>
      </c>
      <c r="Y12" s="163" t="s">
        <v>21</v>
      </c>
      <c r="Z12" s="162" t="s">
        <v>22</v>
      </c>
      <c r="AA12" s="1246"/>
      <c r="AB12" s="1246"/>
      <c r="AC12" s="162">
        <v>2015</v>
      </c>
      <c r="AD12" s="162">
        <v>2015</v>
      </c>
      <c r="AE12" s="162">
        <v>2015</v>
      </c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 t="s">
        <v>64</v>
      </c>
      <c r="AQ12" s="1246"/>
      <c r="AR12" s="1246"/>
      <c r="AS12" s="162">
        <v>2016</v>
      </c>
      <c r="AT12" s="162">
        <v>2016</v>
      </c>
      <c r="AU12" s="162">
        <v>2016</v>
      </c>
      <c r="AV12" s="162">
        <v>2016</v>
      </c>
      <c r="AW12" s="162">
        <v>2016</v>
      </c>
      <c r="AX12" s="162" t="s">
        <v>20</v>
      </c>
      <c r="AY12" s="163" t="s">
        <v>21</v>
      </c>
      <c r="AZ12" s="162" t="s">
        <v>22</v>
      </c>
      <c r="BA12" s="1246"/>
      <c r="BB12" s="1246"/>
      <c r="BC12" s="162">
        <v>2016</v>
      </c>
      <c r="BD12" s="162">
        <v>2016</v>
      </c>
      <c r="BE12" s="162">
        <v>2016</v>
      </c>
      <c r="BF12" s="162">
        <v>2016</v>
      </c>
      <c r="BG12" s="162">
        <v>2016</v>
      </c>
      <c r="BH12" s="162">
        <v>2016</v>
      </c>
      <c r="BI12" s="162">
        <v>2016</v>
      </c>
      <c r="BJ12" s="447">
        <v>2016</v>
      </c>
      <c r="BK12" s="447" t="s">
        <v>64</v>
      </c>
      <c r="BL12" s="162">
        <v>2017</v>
      </c>
      <c r="BM12" s="162">
        <v>2017</v>
      </c>
      <c r="BN12" s="162">
        <v>2017</v>
      </c>
      <c r="BO12" s="162">
        <v>2017</v>
      </c>
      <c r="BP12" s="162">
        <v>2017</v>
      </c>
      <c r="BQ12" s="162" t="s">
        <v>20</v>
      </c>
      <c r="BR12" s="163" t="s">
        <v>21</v>
      </c>
      <c r="BS12" s="162" t="s">
        <v>22</v>
      </c>
      <c r="BT12" s="1246"/>
      <c r="BU12" s="1246"/>
      <c r="BV12" s="162">
        <v>2017</v>
      </c>
      <c r="BW12" s="162">
        <v>2017</v>
      </c>
      <c r="BX12" s="162">
        <v>2017</v>
      </c>
      <c r="BY12" s="162">
        <v>2017</v>
      </c>
      <c r="BZ12" s="162">
        <v>2017</v>
      </c>
      <c r="CA12" s="162">
        <v>2017</v>
      </c>
      <c r="CB12" s="162">
        <v>2017</v>
      </c>
      <c r="CC12" s="577">
        <v>2017</v>
      </c>
      <c r="CD12" s="447" t="s">
        <v>64</v>
      </c>
      <c r="CE12" s="167"/>
      <c r="CF12" s="1264"/>
      <c r="CG12" s="1255"/>
      <c r="CH12" s="1255"/>
      <c r="CI12" s="1255"/>
      <c r="CJ12" s="1255"/>
      <c r="CK12" s="1255"/>
      <c r="CL12" s="1255"/>
      <c r="CM12" s="1255"/>
      <c r="CN12" s="1255"/>
      <c r="CO12" s="194">
        <v>42369</v>
      </c>
      <c r="CP12" s="1255"/>
      <c r="CQ12" s="193">
        <v>43281</v>
      </c>
      <c r="CR12" s="1257"/>
      <c r="CS12" s="1251" t="s">
        <v>18</v>
      </c>
      <c r="CT12" s="1251" t="s">
        <v>18</v>
      </c>
      <c r="CU12" s="1253"/>
      <c r="CV12" s="1274"/>
      <c r="CW12" s="162" t="s">
        <v>20</v>
      </c>
      <c r="CX12" s="163" t="s">
        <v>21</v>
      </c>
      <c r="CY12" s="162" t="s">
        <v>22</v>
      </c>
      <c r="CZ12" s="1246"/>
      <c r="DA12" s="1246"/>
      <c r="DB12" s="162">
        <v>2017</v>
      </c>
      <c r="DC12" s="162">
        <v>2017</v>
      </c>
      <c r="DD12" s="162">
        <v>2017</v>
      </c>
      <c r="DE12" s="162">
        <v>2017</v>
      </c>
      <c r="DF12" s="162">
        <v>2017</v>
      </c>
      <c r="DG12" s="162">
        <v>2017</v>
      </c>
      <c r="DH12" s="162">
        <v>2017</v>
      </c>
      <c r="DI12" s="577">
        <v>2017</v>
      </c>
      <c r="DJ12" s="447" t="s">
        <v>64</v>
      </c>
      <c r="DK12" s="162">
        <v>2018</v>
      </c>
      <c r="DL12" s="162">
        <v>2018</v>
      </c>
      <c r="DM12" s="162">
        <v>2018</v>
      </c>
      <c r="DN12" s="162">
        <v>2018</v>
      </c>
      <c r="DO12" s="162">
        <v>2018</v>
      </c>
      <c r="DP12" s="1248"/>
      <c r="DQ12" s="1248"/>
      <c r="DR12" s="162" t="s">
        <v>20</v>
      </c>
      <c r="DS12" s="163" t="s">
        <v>21</v>
      </c>
      <c r="DT12" s="162" t="s">
        <v>22</v>
      </c>
      <c r="DU12" s="1246"/>
      <c r="DV12" s="1246"/>
      <c r="DW12" s="162">
        <v>2018</v>
      </c>
      <c r="DX12" s="162">
        <v>2018</v>
      </c>
      <c r="DY12" s="162">
        <v>2018</v>
      </c>
      <c r="DZ12" s="162">
        <v>2018</v>
      </c>
      <c r="EA12" s="162">
        <v>2018</v>
      </c>
      <c r="EB12" s="162">
        <v>2018</v>
      </c>
      <c r="EC12" s="162">
        <v>2018</v>
      </c>
      <c r="ED12" s="162">
        <v>2019</v>
      </c>
      <c r="EE12" s="162">
        <v>2019</v>
      </c>
      <c r="EF12" s="162">
        <v>2019</v>
      </c>
      <c r="EG12" s="162">
        <v>2019</v>
      </c>
      <c r="EH12" s="162">
        <v>2019</v>
      </c>
      <c r="EI12" s="162">
        <v>2019</v>
      </c>
      <c r="EJ12" s="162">
        <v>2019</v>
      </c>
      <c r="EK12" s="162">
        <v>2019</v>
      </c>
      <c r="EL12" s="162">
        <v>2019</v>
      </c>
      <c r="EM12" s="162">
        <v>2019</v>
      </c>
      <c r="EN12" s="162">
        <v>2019</v>
      </c>
      <c r="EO12" s="1248"/>
      <c r="EP12" s="1248"/>
    </row>
    <row r="13" spans="1:146" s="16" customFormat="1" ht="15.75" customHeight="1" x14ac:dyDescent="0.2">
      <c r="A13" s="120" t="s">
        <v>65</v>
      </c>
      <c r="B13" s="26"/>
      <c r="C13" s="26"/>
      <c r="D13" s="27"/>
      <c r="E13" s="25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20"/>
      <c r="S13" s="20"/>
      <c r="T13" s="14"/>
      <c r="U13" s="14"/>
      <c r="V13" s="108"/>
      <c r="W13" s="66"/>
      <c r="X13" s="66"/>
      <c r="Y13" s="81"/>
      <c r="Z13" s="66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73"/>
      <c r="AQ13" s="55"/>
      <c r="AR13" s="55"/>
      <c r="AS13" s="55"/>
      <c r="AT13" s="55"/>
      <c r="AU13" s="55"/>
      <c r="AV13" s="55"/>
      <c r="AW13" s="55"/>
      <c r="AX13" s="66"/>
      <c r="AY13" s="81"/>
      <c r="AZ13" s="66"/>
      <c r="BA13" s="65"/>
      <c r="BB13" s="6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66"/>
      <c r="BR13" s="81"/>
      <c r="BS13" s="66"/>
      <c r="BT13" s="65"/>
      <c r="BU13" s="65"/>
      <c r="BV13" s="55"/>
      <c r="BW13" s="55"/>
      <c r="BX13" s="55"/>
      <c r="BY13" s="55"/>
      <c r="BZ13" s="55"/>
      <c r="CA13" s="55"/>
      <c r="CB13" s="55"/>
      <c r="CC13" s="55"/>
      <c r="CD13" s="55"/>
      <c r="CE13" s="27"/>
      <c r="CF13" s="25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20"/>
      <c r="CT13" s="20"/>
      <c r="CU13" s="14"/>
      <c r="CV13" s="32"/>
      <c r="CW13" s="66"/>
      <c r="CX13" s="81"/>
      <c r="CY13" s="66"/>
      <c r="CZ13" s="65"/>
      <c r="DA13" s="6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16"/>
      <c r="DR13" s="516"/>
      <c r="DS13" s="516"/>
      <c r="DT13" s="516"/>
      <c r="DU13" s="516"/>
      <c r="DV13" s="516"/>
      <c r="DW13" s="516"/>
      <c r="DX13" s="516"/>
      <c r="DY13" s="516"/>
      <c r="DZ13" s="516"/>
      <c r="EA13" s="516"/>
      <c r="EB13" s="516"/>
      <c r="EC13" s="516"/>
      <c r="ED13" s="516"/>
      <c r="EE13" s="516"/>
      <c r="EF13" s="516"/>
      <c r="EG13" s="516"/>
      <c r="EH13" s="516"/>
      <c r="EI13" s="516"/>
      <c r="EJ13" s="516"/>
      <c r="EK13" s="516"/>
      <c r="EL13" s="516"/>
      <c r="EM13" s="516"/>
      <c r="EN13" s="516"/>
      <c r="EO13" s="516"/>
      <c r="EP13" s="516"/>
    </row>
    <row r="14" spans="1:146" s="16" customFormat="1" ht="15.75" customHeight="1" x14ac:dyDescent="0.2">
      <c r="A14" s="120" t="s">
        <v>510</v>
      </c>
      <c r="B14" s="9"/>
      <c r="C14" s="9"/>
      <c r="D14" s="4"/>
      <c r="E14" s="25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20"/>
      <c r="S14" s="20"/>
      <c r="T14" s="14"/>
      <c r="U14" s="14"/>
      <c r="V14" s="108"/>
      <c r="W14" s="66"/>
      <c r="X14" s="66"/>
      <c r="Y14" s="112"/>
      <c r="Z14" s="66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73"/>
      <c r="AQ14" s="55"/>
      <c r="AR14" s="55"/>
      <c r="AS14" s="55"/>
      <c r="AT14" s="55"/>
      <c r="AU14" s="55"/>
      <c r="AV14" s="55"/>
      <c r="AW14" s="55"/>
      <c r="AX14" s="66"/>
      <c r="AY14" s="112"/>
      <c r="AZ14" s="66"/>
      <c r="BA14" s="65"/>
      <c r="BB14" s="6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66"/>
      <c r="BR14" s="112"/>
      <c r="BS14" s="66"/>
      <c r="BT14" s="65"/>
      <c r="BU14" s="65"/>
      <c r="BV14" s="55"/>
      <c r="BW14" s="55"/>
      <c r="BX14" s="55"/>
      <c r="BY14" s="55"/>
      <c r="BZ14" s="55"/>
      <c r="CA14" s="55"/>
      <c r="CB14" s="55"/>
      <c r="CC14" s="55"/>
      <c r="CD14" s="55"/>
      <c r="CE14" s="4"/>
      <c r="CF14" s="25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20"/>
      <c r="CT14" s="20"/>
      <c r="CU14" s="14"/>
      <c r="CV14" s="32"/>
      <c r="CW14" s="66"/>
      <c r="CX14" s="488"/>
      <c r="CY14" s="66"/>
      <c r="CZ14" s="65"/>
      <c r="DA14" s="6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16"/>
      <c r="DR14" s="516"/>
      <c r="DS14" s="516"/>
      <c r="DT14" s="516"/>
      <c r="DU14" s="516"/>
      <c r="DV14" s="516"/>
      <c r="DW14" s="516"/>
      <c r="DX14" s="516"/>
      <c r="DY14" s="516"/>
      <c r="DZ14" s="516"/>
      <c r="EA14" s="516"/>
      <c r="EB14" s="516"/>
      <c r="EC14" s="516"/>
      <c r="ED14" s="516"/>
      <c r="EE14" s="516"/>
      <c r="EF14" s="516"/>
      <c r="EG14" s="516"/>
      <c r="EH14" s="516"/>
      <c r="EI14" s="516"/>
      <c r="EJ14" s="516"/>
      <c r="EK14" s="516"/>
      <c r="EL14" s="516"/>
      <c r="EM14" s="516"/>
      <c r="EN14" s="516"/>
      <c r="EO14" s="516"/>
      <c r="EP14" s="1126"/>
    </row>
    <row r="15" spans="1:146" s="16" customFormat="1" ht="15.75" customHeight="1" x14ac:dyDescent="0.2">
      <c r="A15" s="100" t="s">
        <v>117</v>
      </c>
      <c r="B15" s="100" t="s">
        <v>538</v>
      </c>
      <c r="C15" s="45" t="s">
        <v>509</v>
      </c>
      <c r="D15" s="58">
        <v>3</v>
      </c>
      <c r="E15" s="49">
        <v>0.33329999999999999</v>
      </c>
      <c r="F15" s="46">
        <v>42185</v>
      </c>
      <c r="G15" s="48">
        <v>36</v>
      </c>
      <c r="H15" s="145">
        <f>100/G15</f>
        <v>2.7777777777777777</v>
      </c>
      <c r="I15" s="165">
        <f>H15*J15</f>
        <v>113.88888888888889</v>
      </c>
      <c r="J15" s="48">
        <f>(YEAR(F15)-YEAR(S15))*12+MONTH(F15)-MONTH(S15)</f>
        <v>41</v>
      </c>
      <c r="K15" s="165">
        <f>L15*H15</f>
        <v>0</v>
      </c>
      <c r="L15" s="48">
        <v>0</v>
      </c>
      <c r="M15" s="165">
        <f>N15*H15</f>
        <v>0</v>
      </c>
      <c r="N15" s="48">
        <v>0</v>
      </c>
      <c r="O15" s="165">
        <f>P15*H15</f>
        <v>0</v>
      </c>
      <c r="P15" s="48">
        <f>L15-N15</f>
        <v>0</v>
      </c>
      <c r="Q15" s="46">
        <v>42428</v>
      </c>
      <c r="R15" s="46" t="s">
        <v>445</v>
      </c>
      <c r="S15" s="46">
        <v>40909</v>
      </c>
      <c r="T15" s="47">
        <v>4500</v>
      </c>
      <c r="U15" s="47">
        <v>1</v>
      </c>
      <c r="V15" s="106">
        <v>0</v>
      </c>
      <c r="W15" s="165">
        <v>0</v>
      </c>
      <c r="X15" s="57">
        <v>115.958</v>
      </c>
      <c r="Y15" s="80">
        <v>104.28400000000001</v>
      </c>
      <c r="Z15" s="57">
        <f>X15/Y15</f>
        <v>1.1119443059337961</v>
      </c>
      <c r="AA15" s="55">
        <v>0</v>
      </c>
      <c r="AB15" s="55">
        <v>0</v>
      </c>
      <c r="AC15" s="55"/>
      <c r="AD15" s="55"/>
      <c r="AE15" s="55"/>
      <c r="AF15" s="55"/>
      <c r="AG15" s="55"/>
      <c r="AH15" s="55">
        <v>0</v>
      </c>
      <c r="AI15" s="55">
        <v>0</v>
      </c>
      <c r="AJ15" s="55"/>
      <c r="AK15" s="55"/>
      <c r="AL15" s="55"/>
      <c r="AM15" s="55"/>
      <c r="AN15" s="55"/>
      <c r="AO15" s="55">
        <f>SUM(AC15:AN15)</f>
        <v>0</v>
      </c>
      <c r="AP15" s="72">
        <f>U15-AO15</f>
        <v>1</v>
      </c>
      <c r="AQ15" s="55"/>
      <c r="AR15" s="55"/>
      <c r="AS15" s="55"/>
      <c r="AT15" s="55"/>
      <c r="AU15" s="55"/>
      <c r="AV15" s="55"/>
      <c r="AW15" s="55"/>
      <c r="AX15" s="57">
        <v>118.901</v>
      </c>
      <c r="AY15" s="80">
        <v>104.28400000000001</v>
      </c>
      <c r="AZ15" s="57">
        <f>AX15/AY15</f>
        <v>1.1401653177860458</v>
      </c>
      <c r="BA15" s="55">
        <v>0</v>
      </c>
      <c r="BB15" s="55">
        <v>0</v>
      </c>
      <c r="BC15" s="55"/>
      <c r="BD15" s="55"/>
      <c r="BE15" s="55"/>
      <c r="BF15" s="55"/>
      <c r="BG15" s="55"/>
      <c r="BH15" s="55"/>
      <c r="BI15" s="55"/>
      <c r="BJ15" s="55"/>
      <c r="BK15" s="448">
        <v>1</v>
      </c>
      <c r="BL15" s="55"/>
      <c r="BM15" s="55"/>
      <c r="BN15" s="55"/>
      <c r="BO15" s="55"/>
      <c r="BP15" s="55"/>
      <c r="BQ15" s="57">
        <v>118.901</v>
      </c>
      <c r="BR15" s="80">
        <v>104.28400000000001</v>
      </c>
      <c r="BS15" s="57">
        <f>BQ15/BR15</f>
        <v>1.1401653177860458</v>
      </c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448">
        <v>1</v>
      </c>
      <c r="CE15" s="58">
        <v>3</v>
      </c>
      <c r="CF15" s="49">
        <v>0.33329999999999999</v>
      </c>
      <c r="CG15" s="46">
        <v>43281</v>
      </c>
      <c r="CH15" s="48">
        <v>36</v>
      </c>
      <c r="CI15" s="145">
        <f>CU15/CH15/100</f>
        <v>1.25</v>
      </c>
      <c r="CJ15" s="165">
        <f>CI15*CK15</f>
        <v>96.25</v>
      </c>
      <c r="CK15" s="48">
        <f>(YEAR(CG15)-YEAR(CT15))*12+MONTH(CG15)-MONTH(CT15)</f>
        <v>77</v>
      </c>
      <c r="CL15" s="165">
        <f>CM15*CI15</f>
        <v>-51.25</v>
      </c>
      <c r="CM15" s="48">
        <f>CH15-CK15</f>
        <v>-41</v>
      </c>
      <c r="CN15" s="165">
        <f>CO15*CI15</f>
        <v>-51.25</v>
      </c>
      <c r="CO15" s="48">
        <f>CH15-CK15</f>
        <v>-41</v>
      </c>
      <c r="CP15" s="165">
        <f>CL15-CN15</f>
        <v>0</v>
      </c>
      <c r="CQ15" s="48">
        <f>CM15-CO15</f>
        <v>0</v>
      </c>
      <c r="CR15" s="462">
        <f>DATE(YEAR(CT15),MONTH(CT15)+CH15,DAY(CT15))</f>
        <v>42005</v>
      </c>
      <c r="CS15" s="46" t="s">
        <v>445</v>
      </c>
      <c r="CT15" s="46">
        <v>40909</v>
      </c>
      <c r="CU15" s="47">
        <v>4500</v>
      </c>
      <c r="CV15" s="725">
        <v>1</v>
      </c>
      <c r="CW15" s="57">
        <v>126.408</v>
      </c>
      <c r="CX15" s="80">
        <v>104.28400000000001</v>
      </c>
      <c r="CY15" s="57">
        <f>CW15/CX15</f>
        <v>1.2121514326262897</v>
      </c>
      <c r="CZ15" s="55">
        <v>0</v>
      </c>
      <c r="DA15" s="55">
        <v>0</v>
      </c>
      <c r="DB15" s="55">
        <v>0</v>
      </c>
      <c r="DC15" s="55">
        <v>0</v>
      </c>
      <c r="DD15" s="55">
        <v>0</v>
      </c>
      <c r="DE15" s="55">
        <v>0</v>
      </c>
      <c r="DF15" s="55">
        <v>0</v>
      </c>
      <c r="DG15" s="55">
        <v>0</v>
      </c>
      <c r="DH15" s="55">
        <v>0</v>
      </c>
      <c r="DI15" s="55">
        <f>SUM(DB15:DH15)</f>
        <v>0</v>
      </c>
      <c r="DJ15" s="448">
        <f>CV15-DI15</f>
        <v>1</v>
      </c>
      <c r="DK15" s="55">
        <v>0</v>
      </c>
      <c r="DL15" s="55">
        <v>0</v>
      </c>
      <c r="DM15" s="55">
        <v>0</v>
      </c>
      <c r="DN15" s="55">
        <v>0</v>
      </c>
      <c r="DO15" s="511"/>
      <c r="DP15" s="511">
        <f t="shared" ref="DP15:DP53" si="0">SUM(DK15:DO15)</f>
        <v>0</v>
      </c>
      <c r="DQ15" s="1126">
        <f>DJ15-DP15</f>
        <v>1</v>
      </c>
      <c r="DR15" s="514">
        <v>132.28200000000001</v>
      </c>
      <c r="DS15" s="515">
        <v>104.28400000000001</v>
      </c>
      <c r="DT15" s="514">
        <f>DR15/DS15</f>
        <v>1.2684783859460704</v>
      </c>
      <c r="DU15" s="516">
        <v>0</v>
      </c>
      <c r="DV15" s="516">
        <f>DU15*DT15</f>
        <v>0</v>
      </c>
      <c r="DW15" s="516">
        <v>0</v>
      </c>
      <c r="DX15" s="516">
        <v>0</v>
      </c>
      <c r="DY15" s="516"/>
      <c r="DZ15" s="516"/>
      <c r="EA15" s="516"/>
      <c r="EB15" s="516"/>
      <c r="EC15" s="516">
        <v>0</v>
      </c>
      <c r="ED15" s="516">
        <v>0</v>
      </c>
      <c r="EE15" s="516">
        <v>0</v>
      </c>
      <c r="EF15" s="516">
        <v>0</v>
      </c>
      <c r="EG15" s="516">
        <v>0</v>
      </c>
      <c r="EH15" s="516">
        <v>0</v>
      </c>
      <c r="EI15" s="516">
        <v>0</v>
      </c>
      <c r="EJ15" s="516">
        <v>0</v>
      </c>
      <c r="EK15" s="516">
        <v>0</v>
      </c>
      <c r="EL15" s="516">
        <v>0</v>
      </c>
      <c r="EM15" s="516">
        <v>0</v>
      </c>
      <c r="EN15" s="516">
        <v>0</v>
      </c>
      <c r="EO15" s="516">
        <f>SUM(DW15:EC15)</f>
        <v>0</v>
      </c>
      <c r="EP15" s="1126">
        <f>DQ15-EO15</f>
        <v>1</v>
      </c>
    </row>
    <row r="16" spans="1:146" s="16" customFormat="1" ht="15.75" customHeight="1" x14ac:dyDescent="0.2">
      <c r="A16" s="120" t="s">
        <v>65</v>
      </c>
      <c r="B16" s="120"/>
      <c r="C16" s="45"/>
      <c r="D16" s="27"/>
      <c r="E16" s="25"/>
      <c r="F16" s="46"/>
      <c r="G16" s="17"/>
      <c r="H16" s="145"/>
      <c r="I16" s="165"/>
      <c r="J16" s="48"/>
      <c r="K16" s="165"/>
      <c r="L16" s="48"/>
      <c r="M16" s="165"/>
      <c r="N16" s="48"/>
      <c r="O16" s="165"/>
      <c r="P16" s="48"/>
      <c r="Q16" s="48"/>
      <c r="R16" s="20"/>
      <c r="S16" s="20"/>
      <c r="T16" s="14"/>
      <c r="U16" s="14"/>
      <c r="V16" s="108"/>
      <c r="W16" s="66"/>
      <c r="X16" s="57"/>
      <c r="Y16" s="80"/>
      <c r="Z16" s="57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72"/>
      <c r="AQ16" s="55"/>
      <c r="AR16" s="55"/>
      <c r="AS16" s="55"/>
      <c r="AT16" s="55"/>
      <c r="AU16" s="55"/>
      <c r="AV16" s="55"/>
      <c r="AW16" s="55"/>
      <c r="AX16" s="57"/>
      <c r="AY16" s="80"/>
      <c r="AZ16" s="57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448"/>
      <c r="BL16" s="55"/>
      <c r="BM16" s="55"/>
      <c r="BN16" s="55"/>
      <c r="BO16" s="55"/>
      <c r="BP16" s="55"/>
      <c r="BQ16" s="57"/>
      <c r="BR16" s="80"/>
      <c r="BS16" s="57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448"/>
      <c r="CE16" s="27"/>
      <c r="CF16" s="25"/>
      <c r="CG16" s="46"/>
      <c r="CH16" s="17"/>
      <c r="CI16" s="145"/>
      <c r="CJ16" s="165"/>
      <c r="CK16" s="48"/>
      <c r="CL16" s="165"/>
      <c r="CM16" s="48"/>
      <c r="CN16" s="165"/>
      <c r="CO16" s="48"/>
      <c r="CP16" s="165"/>
      <c r="CQ16" s="48"/>
      <c r="CR16" s="48"/>
      <c r="CS16" s="20"/>
      <c r="CT16" s="20"/>
      <c r="CU16" s="14"/>
      <c r="CV16" s="725"/>
      <c r="CW16" s="57"/>
      <c r="CX16" s="80"/>
      <c r="CY16" s="57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448"/>
      <c r="DK16" s="55"/>
      <c r="DL16" s="55"/>
      <c r="DM16" s="55"/>
      <c r="DN16" s="55"/>
      <c r="DO16" s="511"/>
      <c r="DP16" s="511"/>
      <c r="DQ16" s="1126"/>
      <c r="DR16" s="514"/>
      <c r="DS16" s="515"/>
      <c r="DT16" s="514"/>
      <c r="DU16" s="516"/>
      <c r="DV16" s="516"/>
      <c r="DW16" s="516"/>
      <c r="DX16" s="516"/>
      <c r="DY16" s="516"/>
      <c r="DZ16" s="516"/>
      <c r="EA16" s="516"/>
      <c r="EB16" s="516"/>
      <c r="EC16" s="516"/>
      <c r="ED16" s="516"/>
      <c r="EE16" s="516"/>
      <c r="EF16" s="516"/>
      <c r="EG16" s="516"/>
      <c r="EH16" s="516"/>
      <c r="EI16" s="516"/>
      <c r="EJ16" s="516"/>
      <c r="EK16" s="516"/>
      <c r="EL16" s="516"/>
      <c r="EM16" s="516"/>
      <c r="EN16" s="516"/>
      <c r="EO16" s="516"/>
      <c r="EP16" s="1126"/>
    </row>
    <row r="17" spans="1:146" s="16" customFormat="1" ht="15.75" customHeight="1" x14ac:dyDescent="0.2">
      <c r="A17" s="120" t="s">
        <v>82</v>
      </c>
      <c r="B17" s="28"/>
      <c r="C17" s="45"/>
      <c r="D17" s="4"/>
      <c r="E17" s="25"/>
      <c r="F17" s="46"/>
      <c r="G17" s="17"/>
      <c r="H17" s="145"/>
      <c r="I17" s="165"/>
      <c r="J17" s="48"/>
      <c r="K17" s="165"/>
      <c r="L17" s="48"/>
      <c r="M17" s="165"/>
      <c r="N17" s="48"/>
      <c r="O17" s="165"/>
      <c r="P17" s="48"/>
      <c r="Q17" s="48"/>
      <c r="R17" s="20"/>
      <c r="S17" s="20"/>
      <c r="T17" s="14"/>
      <c r="U17" s="14"/>
      <c r="V17" s="108"/>
      <c r="W17" s="66"/>
      <c r="X17" s="57"/>
      <c r="Y17" s="80"/>
      <c r="Z17" s="57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72"/>
      <c r="AQ17" s="55"/>
      <c r="AR17" s="55"/>
      <c r="AS17" s="55"/>
      <c r="AT17" s="55"/>
      <c r="AU17" s="55"/>
      <c r="AV17" s="55"/>
      <c r="AW17" s="55"/>
      <c r="AX17" s="57"/>
      <c r="AY17" s="80"/>
      <c r="AZ17" s="57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448"/>
      <c r="BL17" s="55"/>
      <c r="BM17" s="55"/>
      <c r="BN17" s="55"/>
      <c r="BO17" s="55"/>
      <c r="BP17" s="55"/>
      <c r="BQ17" s="57"/>
      <c r="BR17" s="80"/>
      <c r="BS17" s="57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448"/>
      <c r="CE17" s="4"/>
      <c r="CF17" s="25"/>
      <c r="CG17" s="46"/>
      <c r="CH17" s="17"/>
      <c r="CI17" s="145"/>
      <c r="CJ17" s="165"/>
      <c r="CK17" s="48"/>
      <c r="CL17" s="165"/>
      <c r="CM17" s="48"/>
      <c r="CN17" s="165"/>
      <c r="CO17" s="48"/>
      <c r="CP17" s="165"/>
      <c r="CQ17" s="48"/>
      <c r="CR17" s="48"/>
      <c r="CS17" s="20"/>
      <c r="CT17" s="20"/>
      <c r="CU17" s="14"/>
      <c r="CV17" s="725"/>
      <c r="CW17" s="57"/>
      <c r="CX17" s="80"/>
      <c r="CY17" s="57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448"/>
      <c r="DK17" s="55"/>
      <c r="DL17" s="55"/>
      <c r="DM17" s="55"/>
      <c r="DN17" s="55"/>
      <c r="DO17" s="511"/>
      <c r="DP17" s="511"/>
      <c r="DQ17" s="1126"/>
      <c r="DR17" s="514"/>
      <c r="DS17" s="515"/>
      <c r="DT17" s="514"/>
      <c r="DU17" s="516"/>
      <c r="DV17" s="516"/>
      <c r="DW17" s="516"/>
      <c r="DX17" s="516"/>
      <c r="DY17" s="516"/>
      <c r="DZ17" s="516"/>
      <c r="EA17" s="516"/>
      <c r="EB17" s="516"/>
      <c r="EC17" s="516"/>
      <c r="ED17" s="516"/>
      <c r="EE17" s="516"/>
      <c r="EF17" s="516"/>
      <c r="EG17" s="516"/>
      <c r="EH17" s="516"/>
      <c r="EI17" s="516"/>
      <c r="EJ17" s="516"/>
      <c r="EK17" s="516"/>
      <c r="EL17" s="516"/>
      <c r="EM17" s="516"/>
      <c r="EN17" s="516"/>
      <c r="EO17" s="516"/>
      <c r="EP17" s="1126"/>
    </row>
    <row r="18" spans="1:146" s="16" customFormat="1" ht="15.75" customHeight="1" x14ac:dyDescent="0.2">
      <c r="A18" s="100" t="s">
        <v>118</v>
      </c>
      <c r="B18" s="100" t="s">
        <v>511</v>
      </c>
      <c r="C18" s="45" t="s">
        <v>509</v>
      </c>
      <c r="D18" s="58">
        <v>10</v>
      </c>
      <c r="E18" s="53">
        <v>0.1</v>
      </c>
      <c r="F18" s="46">
        <v>42185</v>
      </c>
      <c r="G18" s="48">
        <v>120</v>
      </c>
      <c r="H18" s="145">
        <f>100/G18</f>
        <v>0.83333333333333337</v>
      </c>
      <c r="I18" s="165">
        <f>H18*J18</f>
        <v>64.166666666666671</v>
      </c>
      <c r="J18" s="48">
        <f>(YEAR(F18)-YEAR(S18))*12+MONTH(F18)-MONTH(S18)</f>
        <v>77</v>
      </c>
      <c r="K18" s="165">
        <f>L18*H18</f>
        <v>35.833333333333336</v>
      </c>
      <c r="L18" s="48">
        <f>G18-J18</f>
        <v>43</v>
      </c>
      <c r="M18" s="165">
        <f>N18*H18</f>
        <v>5.8333333333333339</v>
      </c>
      <c r="N18" s="48">
        <v>7</v>
      </c>
      <c r="O18" s="165">
        <f>P18*H18</f>
        <v>30</v>
      </c>
      <c r="P18" s="48">
        <f>L18-N18</f>
        <v>36</v>
      </c>
      <c r="Q18" s="48"/>
      <c r="R18" s="48" t="s">
        <v>512</v>
      </c>
      <c r="S18" s="46">
        <v>39814</v>
      </c>
      <c r="T18" s="47">
        <v>1768.99</v>
      </c>
      <c r="U18" s="47">
        <v>633.91</v>
      </c>
      <c r="V18" s="106">
        <v>73.7</v>
      </c>
      <c r="W18" s="165">
        <v>0</v>
      </c>
      <c r="X18" s="57">
        <v>115.958</v>
      </c>
      <c r="Y18" s="80">
        <v>134.071</v>
      </c>
      <c r="Z18" s="57">
        <f>X18/Y18</f>
        <v>0.8648999410759971</v>
      </c>
      <c r="AA18" s="55">
        <f>U18*M18/100/K18*100/7</f>
        <v>14.74209302325581</v>
      </c>
      <c r="AB18" s="55">
        <f>AA18*Z18</f>
        <v>12.750435387150818</v>
      </c>
      <c r="AC18" s="55"/>
      <c r="AD18" s="55"/>
      <c r="AE18" s="55"/>
      <c r="AF18" s="55"/>
      <c r="AG18" s="55"/>
      <c r="AH18" s="55">
        <v>12.75</v>
      </c>
      <c r="AI18" s="55">
        <v>12.75</v>
      </c>
      <c r="AJ18" s="55">
        <v>12.75</v>
      </c>
      <c r="AK18" s="55">
        <v>12.75</v>
      </c>
      <c r="AL18" s="55">
        <v>12.75</v>
      </c>
      <c r="AM18" s="55">
        <v>12.75</v>
      </c>
      <c r="AN18" s="55">
        <v>12.75</v>
      </c>
      <c r="AO18" s="55">
        <f>SUM(AC18:AN18)</f>
        <v>89.25</v>
      </c>
      <c r="AP18" s="72">
        <f>U18-AO18</f>
        <v>544.66</v>
      </c>
      <c r="AQ18" s="55"/>
      <c r="AR18" s="55"/>
      <c r="AS18" s="55">
        <f>$AN18</f>
        <v>12.75</v>
      </c>
      <c r="AT18" s="55">
        <f t="shared" ref="AT18:AW19" si="1">$AN18</f>
        <v>12.75</v>
      </c>
      <c r="AU18" s="55">
        <f t="shared" si="1"/>
        <v>12.75</v>
      </c>
      <c r="AV18" s="55">
        <f t="shared" si="1"/>
        <v>12.75</v>
      </c>
      <c r="AW18" s="55">
        <f t="shared" si="1"/>
        <v>12.75</v>
      </c>
      <c r="AX18" s="57">
        <v>118.901</v>
      </c>
      <c r="AY18" s="80">
        <v>134.071</v>
      </c>
      <c r="AZ18" s="57">
        <f>AX18/AY18</f>
        <v>0.88685099685987279</v>
      </c>
      <c r="BA18" s="55">
        <f>T18/(D18*12)</f>
        <v>14.741583333333333</v>
      </c>
      <c r="BB18" s="55">
        <f>BA18*AZ18</f>
        <v>13.073587874459552</v>
      </c>
      <c r="BC18" s="55">
        <f t="shared" ref="BC18:BF19" si="2">$BB18</f>
        <v>13.073587874459552</v>
      </c>
      <c r="BD18" s="55">
        <f t="shared" si="2"/>
        <v>13.073587874459552</v>
      </c>
      <c r="BE18" s="55">
        <f t="shared" si="2"/>
        <v>13.073587874459552</v>
      </c>
      <c r="BF18" s="55">
        <f t="shared" si="2"/>
        <v>13.073587874459552</v>
      </c>
      <c r="BG18" s="55">
        <v>13.07</v>
      </c>
      <c r="BH18" s="55">
        <v>13.07</v>
      </c>
      <c r="BI18" s="55">
        <v>13.07</v>
      </c>
      <c r="BJ18" s="55">
        <f>SUM((AS18:AW18),(BC18:BI18))</f>
        <v>155.25435149783817</v>
      </c>
      <c r="BK18" s="448">
        <f>(AP18-BJ18)</f>
        <v>389.4056485021618</v>
      </c>
      <c r="BL18" s="55">
        <v>13.07</v>
      </c>
      <c r="BM18" s="55">
        <v>13.07</v>
      </c>
      <c r="BN18" s="55">
        <v>13.07</v>
      </c>
      <c r="BO18" s="55">
        <v>13.07</v>
      </c>
      <c r="BP18" s="55">
        <v>13.07</v>
      </c>
      <c r="BQ18" s="57">
        <v>118.901</v>
      </c>
      <c r="BR18" s="80">
        <v>134.071</v>
      </c>
      <c r="BS18" s="57">
        <f>BQ18/BR18</f>
        <v>0.88685099685987279</v>
      </c>
      <c r="BT18" s="55"/>
      <c r="BU18" s="55"/>
      <c r="BV18" s="55"/>
      <c r="BW18" s="55"/>
      <c r="BX18" s="55"/>
      <c r="BY18" s="55"/>
      <c r="BZ18" s="55"/>
      <c r="CA18" s="55"/>
      <c r="CB18" s="55"/>
      <c r="CC18" s="55">
        <f>SUM((BL18:BP18),(BV18:CB18))</f>
        <v>65.349999999999994</v>
      </c>
      <c r="CD18" s="448">
        <f>BK18-CC18</f>
        <v>324.05564850216183</v>
      </c>
      <c r="CE18" s="58">
        <v>10</v>
      </c>
      <c r="CF18" s="53">
        <v>0.1</v>
      </c>
      <c r="CG18" s="46">
        <v>43281</v>
      </c>
      <c r="CH18" s="48">
        <v>120</v>
      </c>
      <c r="CI18" s="145">
        <f>CU18/CH18/100</f>
        <v>0.14741583333333333</v>
      </c>
      <c r="CJ18" s="165">
        <f>CI18*CK18</f>
        <v>16.657989166666667</v>
      </c>
      <c r="CK18" s="48">
        <f>(YEAR(CG18)-YEAR(CT18))*12+MONTH(CG18)-MONTH(CT18)</f>
        <v>113</v>
      </c>
      <c r="CL18" s="165">
        <f>CM18*CI18</f>
        <v>1.0319108333333333</v>
      </c>
      <c r="CM18" s="48">
        <f>CH18-CK18</f>
        <v>7</v>
      </c>
      <c r="CN18" s="165">
        <f>CO18*CI18</f>
        <v>1.0319108333333333</v>
      </c>
      <c r="CO18" s="48">
        <f>CH18-CK18</f>
        <v>7</v>
      </c>
      <c r="CP18" s="165">
        <f>CQ18*CI18</f>
        <v>0</v>
      </c>
      <c r="CQ18" s="48">
        <f>CM18-CO18</f>
        <v>0</v>
      </c>
      <c r="CR18" s="462">
        <f>DATE(YEAR(CT18),MONTH(CT18)+CH18,DAY(CT18))</f>
        <v>43466</v>
      </c>
      <c r="CS18" s="48" t="s">
        <v>512</v>
      </c>
      <c r="CT18" s="46">
        <v>39814</v>
      </c>
      <c r="CU18" s="47">
        <v>1768.99</v>
      </c>
      <c r="CV18" s="725">
        <v>324.05564850216183</v>
      </c>
      <c r="CW18" s="57">
        <v>126.408</v>
      </c>
      <c r="CX18" s="80">
        <v>134.071</v>
      </c>
      <c r="CY18" s="57">
        <f>CW18/CX18</f>
        <v>0.94284371713495085</v>
      </c>
      <c r="CZ18" s="55">
        <f>CV18/CO18</f>
        <v>46.293664071737403</v>
      </c>
      <c r="DA18" s="55">
        <f>CZ18*CY18</f>
        <v>43.647690313193614</v>
      </c>
      <c r="DB18" s="55">
        <v>43.647690313193614</v>
      </c>
      <c r="DC18" s="55">
        <v>43.647690313193614</v>
      </c>
      <c r="DD18" s="55">
        <v>43.647690313193614</v>
      </c>
      <c r="DE18" s="55">
        <v>43.647690313193614</v>
      </c>
      <c r="DF18" s="55">
        <v>43.647690313193614</v>
      </c>
      <c r="DG18" s="55">
        <v>43.647690313193614</v>
      </c>
      <c r="DH18" s="55">
        <v>43.647690313193614</v>
      </c>
      <c r="DI18" s="55">
        <f>SUM(DB18:DH18)</f>
        <v>305.53383219235531</v>
      </c>
      <c r="DJ18" s="448">
        <f>CV18-DI18</f>
        <v>18.521816309806525</v>
      </c>
      <c r="DK18" s="55">
        <v>17.52</v>
      </c>
      <c r="DL18" s="55">
        <v>0</v>
      </c>
      <c r="DM18" s="55">
        <v>0</v>
      </c>
      <c r="DN18" s="55">
        <v>0</v>
      </c>
      <c r="DO18" s="511"/>
      <c r="DP18" s="511">
        <f t="shared" si="0"/>
        <v>17.52</v>
      </c>
      <c r="DQ18" s="1126">
        <f>DJ18-DP18</f>
        <v>1.0018163098065251</v>
      </c>
      <c r="DR18" s="514">
        <v>132.28200000000001</v>
      </c>
      <c r="DS18" s="515">
        <v>134.071</v>
      </c>
      <c r="DT18" s="514">
        <f>DR18/DS18</f>
        <v>0.98665632388808922</v>
      </c>
      <c r="DU18" s="516">
        <v>0</v>
      </c>
      <c r="DV18" s="516">
        <f>DU18*DT18</f>
        <v>0</v>
      </c>
      <c r="DW18" s="516">
        <v>0</v>
      </c>
      <c r="DX18" s="516">
        <v>0</v>
      </c>
      <c r="DY18" s="516"/>
      <c r="DZ18" s="516"/>
      <c r="EA18" s="516"/>
      <c r="EB18" s="516"/>
      <c r="EC18" s="516">
        <v>0</v>
      </c>
      <c r="ED18" s="516">
        <v>0</v>
      </c>
      <c r="EE18" s="516">
        <v>0</v>
      </c>
      <c r="EF18" s="516">
        <v>0</v>
      </c>
      <c r="EG18" s="516">
        <v>0</v>
      </c>
      <c r="EH18" s="516">
        <v>0</v>
      </c>
      <c r="EI18" s="516">
        <v>0</v>
      </c>
      <c r="EJ18" s="516">
        <v>0</v>
      </c>
      <c r="EK18" s="516">
        <v>0</v>
      </c>
      <c r="EL18" s="516">
        <v>0</v>
      </c>
      <c r="EM18" s="516">
        <v>0</v>
      </c>
      <c r="EN18" s="516">
        <v>0</v>
      </c>
      <c r="EO18" s="516">
        <f>SUM(DW18:EC18)</f>
        <v>0</v>
      </c>
      <c r="EP18" s="1126">
        <f>DQ18-EO18</f>
        <v>1.0018163098065251</v>
      </c>
    </row>
    <row r="19" spans="1:146" s="16" customFormat="1" ht="15.75" customHeight="1" x14ac:dyDescent="0.2">
      <c r="A19" s="100" t="s">
        <v>118</v>
      </c>
      <c r="B19" s="100" t="s">
        <v>34</v>
      </c>
      <c r="C19" s="45" t="s">
        <v>509</v>
      </c>
      <c r="D19" s="58">
        <v>10</v>
      </c>
      <c r="E19" s="53">
        <v>0.1</v>
      </c>
      <c r="F19" s="46">
        <v>42185</v>
      </c>
      <c r="G19" s="48">
        <v>120</v>
      </c>
      <c r="H19" s="145">
        <f>100/G19</f>
        <v>0.83333333333333337</v>
      </c>
      <c r="I19" s="165">
        <f>H19*J19</f>
        <v>34.166666666666671</v>
      </c>
      <c r="J19" s="48">
        <f>(YEAR(F19)-YEAR(S19))*12+MONTH(F19)-MONTH(S19)</f>
        <v>41</v>
      </c>
      <c r="K19" s="165">
        <f>L19*H19</f>
        <v>65.833333333333343</v>
      </c>
      <c r="L19" s="48">
        <f>G19-J19</f>
        <v>79</v>
      </c>
      <c r="M19" s="165">
        <f>N19*H19</f>
        <v>5.8333333333333339</v>
      </c>
      <c r="N19" s="48">
        <v>7</v>
      </c>
      <c r="O19" s="165">
        <f>P19*H19</f>
        <v>60</v>
      </c>
      <c r="P19" s="48">
        <f>L19-N19</f>
        <v>72</v>
      </c>
      <c r="Q19" s="48"/>
      <c r="R19" s="48" t="s">
        <v>445</v>
      </c>
      <c r="S19" s="46">
        <v>40909</v>
      </c>
      <c r="T19" s="47">
        <v>1250</v>
      </c>
      <c r="U19" s="47">
        <v>822.88</v>
      </c>
      <c r="V19" s="106">
        <v>52.1</v>
      </c>
      <c r="W19" s="165"/>
      <c r="X19" s="57">
        <v>115.958</v>
      </c>
      <c r="Y19" s="80">
        <v>104.28400000000001</v>
      </c>
      <c r="Z19" s="57">
        <f>X19/Y19</f>
        <v>1.1119443059337961</v>
      </c>
      <c r="AA19" s="55">
        <f>U19*M19/100/K19*100/7</f>
        <v>10.41620253164557</v>
      </c>
      <c r="AB19" s="55">
        <f>AA19*Z19</f>
        <v>11.582237094516485</v>
      </c>
      <c r="AC19" s="55"/>
      <c r="AD19" s="55"/>
      <c r="AE19" s="55"/>
      <c r="AF19" s="55"/>
      <c r="AG19" s="55"/>
      <c r="AH19" s="55">
        <v>11.58</v>
      </c>
      <c r="AI19" s="55">
        <v>11.58</v>
      </c>
      <c r="AJ19" s="55">
        <v>11.58</v>
      </c>
      <c r="AK19" s="55">
        <v>11.58</v>
      </c>
      <c r="AL19" s="55">
        <v>11.58</v>
      </c>
      <c r="AM19" s="55">
        <v>11.58</v>
      </c>
      <c r="AN19" s="55">
        <v>11.58</v>
      </c>
      <c r="AO19" s="55">
        <f>SUM(AC19:AN19)</f>
        <v>81.06</v>
      </c>
      <c r="AP19" s="72">
        <f>U19-AO19</f>
        <v>741.81999999999994</v>
      </c>
      <c r="AQ19" s="55"/>
      <c r="AR19" s="55"/>
      <c r="AS19" s="55">
        <f>$AN19</f>
        <v>11.58</v>
      </c>
      <c r="AT19" s="55">
        <f t="shared" si="1"/>
        <v>11.58</v>
      </c>
      <c r="AU19" s="55">
        <f t="shared" si="1"/>
        <v>11.58</v>
      </c>
      <c r="AV19" s="55">
        <f t="shared" si="1"/>
        <v>11.58</v>
      </c>
      <c r="AW19" s="55">
        <f t="shared" si="1"/>
        <v>11.58</v>
      </c>
      <c r="AX19" s="57">
        <v>118.901</v>
      </c>
      <c r="AY19" s="80">
        <v>104.28400000000001</v>
      </c>
      <c r="AZ19" s="57">
        <f>AX19/AY19</f>
        <v>1.1401653177860458</v>
      </c>
      <c r="BA19" s="55">
        <f t="shared" ref="BA19:BA53" si="3">T19/(D19*12)</f>
        <v>10.416666666666666</v>
      </c>
      <c r="BB19" s="55">
        <f>BA19*AZ19</f>
        <v>11.876722060271309</v>
      </c>
      <c r="BC19" s="55">
        <f t="shared" si="2"/>
        <v>11.876722060271309</v>
      </c>
      <c r="BD19" s="55">
        <f t="shared" si="2"/>
        <v>11.876722060271309</v>
      </c>
      <c r="BE19" s="55">
        <f t="shared" si="2"/>
        <v>11.876722060271309</v>
      </c>
      <c r="BF19" s="55">
        <f t="shared" si="2"/>
        <v>11.876722060271309</v>
      </c>
      <c r="BG19" s="55">
        <v>11.88</v>
      </c>
      <c r="BH19" s="55">
        <v>11.88</v>
      </c>
      <c r="BI19" s="55">
        <v>11.88</v>
      </c>
      <c r="BJ19" s="55">
        <f>SUM((AS19:AW19),(BC19:BI19))</f>
        <v>141.04688824108521</v>
      </c>
      <c r="BK19" s="448">
        <f>(AP19-BJ19)</f>
        <v>600.77311175891475</v>
      </c>
      <c r="BL19" s="55">
        <v>11.88</v>
      </c>
      <c r="BM19" s="55">
        <v>11.88</v>
      </c>
      <c r="BN19" s="55">
        <v>11.88</v>
      </c>
      <c r="BO19" s="55">
        <v>11.88</v>
      </c>
      <c r="BP19" s="55">
        <v>11.88</v>
      </c>
      <c r="BQ19" s="57">
        <v>118.901</v>
      </c>
      <c r="BR19" s="80">
        <v>104.28400000000001</v>
      </c>
      <c r="BS19" s="57">
        <f>BQ19/BR19</f>
        <v>1.1401653177860458</v>
      </c>
      <c r="BT19" s="55"/>
      <c r="BU19" s="55"/>
      <c r="BV19" s="55"/>
      <c r="BW19" s="55"/>
      <c r="BX19" s="55"/>
      <c r="BY19" s="55"/>
      <c r="BZ19" s="55"/>
      <c r="CA19" s="55"/>
      <c r="CB19" s="55"/>
      <c r="CC19" s="55">
        <f>SUM((BL19:BP19),(BV19:CB19))</f>
        <v>59.400000000000006</v>
      </c>
      <c r="CD19" s="448">
        <f>BK19-CC19</f>
        <v>541.37311175891477</v>
      </c>
      <c r="CE19" s="58">
        <v>10</v>
      </c>
      <c r="CF19" s="53">
        <v>0.1</v>
      </c>
      <c r="CG19" s="46">
        <v>43281</v>
      </c>
      <c r="CH19" s="48">
        <v>120</v>
      </c>
      <c r="CI19" s="145">
        <f>CU19/CH19/100</f>
        <v>0.10416666666666666</v>
      </c>
      <c r="CJ19" s="165">
        <f>CI19*CK19</f>
        <v>8.0208333333333321</v>
      </c>
      <c r="CK19" s="48">
        <f>(YEAR(CG19)-YEAR(CT19))*12+MONTH(CG19)-MONTH(CT19)</f>
        <v>77</v>
      </c>
      <c r="CL19" s="165">
        <f>CM19*CI19</f>
        <v>4.4791666666666661</v>
      </c>
      <c r="CM19" s="48">
        <f>CH19-CK19</f>
        <v>43</v>
      </c>
      <c r="CN19" s="165">
        <f>CO19*CI19</f>
        <v>4.4791666666666661</v>
      </c>
      <c r="CO19" s="48">
        <f>CH19-CK19</f>
        <v>43</v>
      </c>
      <c r="CP19" s="165">
        <f>CQ19*CI19</f>
        <v>0</v>
      </c>
      <c r="CQ19" s="48">
        <f>CM19-CO19</f>
        <v>0</v>
      </c>
      <c r="CR19" s="462">
        <f>DATE(YEAR(CT19),MONTH(CT19)+CH19,DAY(CT19))</f>
        <v>44562</v>
      </c>
      <c r="CS19" s="48" t="s">
        <v>445</v>
      </c>
      <c r="CT19" s="46">
        <v>40909</v>
      </c>
      <c r="CU19" s="47">
        <v>1250</v>
      </c>
      <c r="CV19" s="725">
        <v>541.37311175891477</v>
      </c>
      <c r="CW19" s="57">
        <v>126.408</v>
      </c>
      <c r="CX19" s="80">
        <v>104.28400000000001</v>
      </c>
      <c r="CY19" s="57">
        <f>CW19/CX19</f>
        <v>1.2121514326262897</v>
      </c>
      <c r="CZ19" s="55">
        <f>CV19/CO19</f>
        <v>12.590072366486391</v>
      </c>
      <c r="DA19" s="55">
        <f>CZ19*CY19</f>
        <v>15.26107425590514</v>
      </c>
      <c r="DB19" s="55">
        <v>93.746599000560138</v>
      </c>
      <c r="DC19" s="55">
        <v>93.746599000560138</v>
      </c>
      <c r="DD19" s="55">
        <v>93.746599000560138</v>
      </c>
      <c r="DE19" s="55">
        <v>93.746599000560138</v>
      </c>
      <c r="DF19" s="55">
        <v>93.746599000560138</v>
      </c>
      <c r="DG19" s="55">
        <v>71.64</v>
      </c>
      <c r="DH19" s="55">
        <v>0</v>
      </c>
      <c r="DI19" s="55">
        <f>SUM(DB19:DH19)</f>
        <v>540.37299500280074</v>
      </c>
      <c r="DJ19" s="448">
        <f>CV19-DI19</f>
        <v>1.0001167561140392</v>
      </c>
      <c r="DK19" s="55">
        <v>0</v>
      </c>
      <c r="DL19" s="55">
        <v>0</v>
      </c>
      <c r="DM19" s="55">
        <v>0</v>
      </c>
      <c r="DN19" s="55">
        <v>0</v>
      </c>
      <c r="DO19" s="511"/>
      <c r="DP19" s="511">
        <f t="shared" si="0"/>
        <v>0</v>
      </c>
      <c r="DQ19" s="1126">
        <f>DJ19-DP19</f>
        <v>1.0001167561140392</v>
      </c>
      <c r="DR19" s="514">
        <v>132.28200000000001</v>
      </c>
      <c r="DS19" s="515">
        <v>104.28400000000001</v>
      </c>
      <c r="DT19" s="514">
        <f>DR19/DS19</f>
        <v>1.2684783859460704</v>
      </c>
      <c r="DU19" s="516">
        <v>0</v>
      </c>
      <c r="DV19" s="516">
        <f>DU19*DT19</f>
        <v>0</v>
      </c>
      <c r="DW19" s="516">
        <v>0</v>
      </c>
      <c r="DX19" s="516">
        <v>0</v>
      </c>
      <c r="DY19" s="516"/>
      <c r="DZ19" s="516"/>
      <c r="EA19" s="516"/>
      <c r="EB19" s="516"/>
      <c r="EC19" s="516">
        <v>0</v>
      </c>
      <c r="ED19" s="516">
        <v>0</v>
      </c>
      <c r="EE19" s="516">
        <v>0</v>
      </c>
      <c r="EF19" s="516">
        <v>0</v>
      </c>
      <c r="EG19" s="516">
        <v>0</v>
      </c>
      <c r="EH19" s="516">
        <v>0</v>
      </c>
      <c r="EI19" s="516">
        <v>0</v>
      </c>
      <c r="EJ19" s="516">
        <v>0</v>
      </c>
      <c r="EK19" s="516">
        <v>0</v>
      </c>
      <c r="EL19" s="516">
        <v>0</v>
      </c>
      <c r="EM19" s="516">
        <v>0</v>
      </c>
      <c r="EN19" s="516">
        <v>0</v>
      </c>
      <c r="EO19" s="516">
        <f>SUM(DW19:EC19)</f>
        <v>0</v>
      </c>
      <c r="EP19" s="1126">
        <f>DQ19-EO19</f>
        <v>1.0001167561140392</v>
      </c>
    </row>
    <row r="20" spans="1:146" s="16" customFormat="1" ht="15.75" customHeight="1" x14ac:dyDescent="0.2">
      <c r="A20" s="100" t="s">
        <v>118</v>
      </c>
      <c r="B20" s="100" t="s">
        <v>513</v>
      </c>
      <c r="C20" s="45" t="s">
        <v>509</v>
      </c>
      <c r="D20" s="58">
        <v>10</v>
      </c>
      <c r="E20" s="53">
        <v>0.1</v>
      </c>
      <c r="F20" s="46">
        <v>42185</v>
      </c>
      <c r="G20" s="48">
        <v>120</v>
      </c>
      <c r="H20" s="145">
        <f>100/G20</f>
        <v>0.83333333333333337</v>
      </c>
      <c r="I20" s="165">
        <f>H20*J20</f>
        <v>109.16666666666667</v>
      </c>
      <c r="J20" s="48">
        <f>(YEAR(F20)-YEAR(S20))*12+MONTH(F20)-MONTH(S20)</f>
        <v>131</v>
      </c>
      <c r="K20" s="165">
        <f>L20*H20</f>
        <v>0</v>
      </c>
      <c r="L20" s="48">
        <v>0</v>
      </c>
      <c r="M20" s="165">
        <f>N20*H20</f>
        <v>0</v>
      </c>
      <c r="N20" s="48">
        <v>0</v>
      </c>
      <c r="O20" s="165">
        <f>P20*H20</f>
        <v>0</v>
      </c>
      <c r="P20" s="48">
        <f>L20-N20</f>
        <v>0</v>
      </c>
      <c r="Q20" s="48"/>
      <c r="R20" s="48" t="s">
        <v>514</v>
      </c>
      <c r="S20" s="46">
        <v>38187</v>
      </c>
      <c r="T20" s="47">
        <v>900</v>
      </c>
      <c r="U20" s="47">
        <v>52.5</v>
      </c>
      <c r="V20" s="106">
        <v>37.5</v>
      </c>
      <c r="W20" s="165"/>
      <c r="X20" s="57">
        <v>115.958</v>
      </c>
      <c r="Y20" s="80">
        <v>109.02200000000001</v>
      </c>
      <c r="Z20" s="57">
        <f>X20/Y20</f>
        <v>1.0636201867512978</v>
      </c>
      <c r="AA20" s="55">
        <f>U20/7</f>
        <v>7.5</v>
      </c>
      <c r="AB20" s="55">
        <f>AA20*Z20</f>
        <v>7.9771514006347335</v>
      </c>
      <c r="AC20" s="55"/>
      <c r="AD20" s="55"/>
      <c r="AE20" s="55"/>
      <c r="AF20" s="55"/>
      <c r="AG20" s="55"/>
      <c r="AH20" s="55">
        <v>7.98</v>
      </c>
      <c r="AI20" s="55">
        <v>7.98</v>
      </c>
      <c r="AJ20" s="55">
        <v>7.98</v>
      </c>
      <c r="AK20" s="55">
        <v>7.98</v>
      </c>
      <c r="AL20" s="55">
        <v>7.98</v>
      </c>
      <c r="AM20" s="55">
        <v>7.98</v>
      </c>
      <c r="AN20" s="55">
        <v>3.62</v>
      </c>
      <c r="AO20" s="55">
        <f>SUM(AC20:AN20)</f>
        <v>51.500000000000007</v>
      </c>
      <c r="AP20" s="72">
        <f>U20-AO20</f>
        <v>0.99999999999999289</v>
      </c>
      <c r="AQ20" s="55"/>
      <c r="AR20" s="55"/>
      <c r="AS20" s="55"/>
      <c r="AT20" s="55"/>
      <c r="AU20" s="55"/>
      <c r="AV20" s="55"/>
      <c r="AW20" s="55"/>
      <c r="AX20" s="57">
        <v>118.901</v>
      </c>
      <c r="AY20" s="80">
        <v>109.02200000000001</v>
      </c>
      <c r="AZ20" s="57">
        <f>AX20/AY20</f>
        <v>1.0906147383096989</v>
      </c>
      <c r="BA20" s="55">
        <f t="shared" si="3"/>
        <v>7.5</v>
      </c>
      <c r="BB20" s="55"/>
      <c r="BC20" s="55"/>
      <c r="BD20" s="55"/>
      <c r="BE20" s="55"/>
      <c r="BF20" s="55"/>
      <c r="BG20" s="55"/>
      <c r="BH20" s="55"/>
      <c r="BI20" s="55"/>
      <c r="BJ20" s="55"/>
      <c r="BK20" s="448">
        <f>(AP20-BJ20)</f>
        <v>0.99999999999999289</v>
      </c>
      <c r="BL20" s="55"/>
      <c r="BM20" s="55"/>
      <c r="BN20" s="55"/>
      <c r="BO20" s="55"/>
      <c r="BP20" s="55"/>
      <c r="BQ20" s="57">
        <v>118.901</v>
      </c>
      <c r="BR20" s="80">
        <v>109.02200000000001</v>
      </c>
      <c r="BS20" s="57">
        <f>BQ20/BR20</f>
        <v>1.0906147383096989</v>
      </c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448">
        <f>BK20-CC20</f>
        <v>0.99999999999999289</v>
      </c>
      <c r="CE20" s="58">
        <v>10</v>
      </c>
      <c r="CF20" s="53">
        <v>0.1</v>
      </c>
      <c r="CG20" s="46">
        <v>43281</v>
      </c>
      <c r="CH20" s="48">
        <v>120</v>
      </c>
      <c r="CI20" s="145">
        <f>CU20/CH20/100</f>
        <v>7.4999999999999997E-2</v>
      </c>
      <c r="CJ20" s="165">
        <f>CI20*CK20</f>
        <v>12.525</v>
      </c>
      <c r="CK20" s="48">
        <f>(YEAR(CG20)-YEAR(CT20))*12+MONTH(CG20)-MONTH(CT20)</f>
        <v>167</v>
      </c>
      <c r="CL20" s="165">
        <f>CM20*CI20</f>
        <v>-3.5249999999999999</v>
      </c>
      <c r="CM20" s="48">
        <f>CH20-CK20</f>
        <v>-47</v>
      </c>
      <c r="CN20" s="165">
        <f>CO20*CI20</f>
        <v>-3.5249999999999999</v>
      </c>
      <c r="CO20" s="48">
        <f>CH20-CK20</f>
        <v>-47</v>
      </c>
      <c r="CP20" s="165">
        <f>CQ20*CI20</f>
        <v>0</v>
      </c>
      <c r="CQ20" s="48">
        <f>CM20-CO20</f>
        <v>0</v>
      </c>
      <c r="CR20" s="462">
        <f>DATE(YEAR(CT20),MONTH(CT20)+CH20,DAY(CT20))</f>
        <v>41839</v>
      </c>
      <c r="CS20" s="48" t="s">
        <v>514</v>
      </c>
      <c r="CT20" s="46">
        <v>38187</v>
      </c>
      <c r="CU20" s="47">
        <v>900</v>
      </c>
      <c r="CV20" s="725">
        <v>0.99999999999999289</v>
      </c>
      <c r="CW20" s="57">
        <v>126.408</v>
      </c>
      <c r="CX20" s="80">
        <v>109.02200000000001</v>
      </c>
      <c r="CY20" s="57">
        <f>CW20/CX20</f>
        <v>1.1594724000660417</v>
      </c>
      <c r="CZ20" s="55">
        <f>CV20/CO20</f>
        <v>-2.1276595744680701E-2</v>
      </c>
      <c r="DA20" s="55"/>
      <c r="DB20" s="55"/>
      <c r="DC20" s="55"/>
      <c r="DD20" s="55"/>
      <c r="DE20" s="55"/>
      <c r="DF20" s="55"/>
      <c r="DG20" s="55"/>
      <c r="DH20" s="55"/>
      <c r="DI20" s="55">
        <f>SUM(DB20:DH20)</f>
        <v>0</v>
      </c>
      <c r="DJ20" s="448">
        <f>CV20-DI20</f>
        <v>0.99999999999999289</v>
      </c>
      <c r="DK20" s="55">
        <v>0</v>
      </c>
      <c r="DL20" s="55">
        <v>0</v>
      </c>
      <c r="DM20" s="55">
        <v>0</v>
      </c>
      <c r="DN20" s="55">
        <v>0</v>
      </c>
      <c r="DO20" s="511"/>
      <c r="DP20" s="511">
        <f t="shared" si="0"/>
        <v>0</v>
      </c>
      <c r="DQ20" s="1126">
        <f>DJ20-DP20</f>
        <v>0.99999999999999289</v>
      </c>
      <c r="DR20" s="514">
        <v>132.28200000000001</v>
      </c>
      <c r="DS20" s="515">
        <v>109.02200000000001</v>
      </c>
      <c r="DT20" s="514">
        <f>DR20/DS20</f>
        <v>1.2133514336555924</v>
      </c>
      <c r="DU20" s="516">
        <v>0</v>
      </c>
      <c r="DV20" s="516">
        <f>DU20*DT20</f>
        <v>0</v>
      </c>
      <c r="DW20" s="516">
        <v>0</v>
      </c>
      <c r="DX20" s="516">
        <v>0</v>
      </c>
      <c r="DY20" s="516"/>
      <c r="DZ20" s="516"/>
      <c r="EA20" s="516"/>
      <c r="EB20" s="516"/>
      <c r="EC20" s="516">
        <v>0</v>
      </c>
      <c r="ED20" s="516">
        <v>0</v>
      </c>
      <c r="EE20" s="516">
        <v>0</v>
      </c>
      <c r="EF20" s="516">
        <v>0</v>
      </c>
      <c r="EG20" s="516">
        <v>0</v>
      </c>
      <c r="EH20" s="516">
        <v>0</v>
      </c>
      <c r="EI20" s="516">
        <v>0</v>
      </c>
      <c r="EJ20" s="516">
        <v>0</v>
      </c>
      <c r="EK20" s="516">
        <v>0</v>
      </c>
      <c r="EL20" s="516">
        <v>0</v>
      </c>
      <c r="EM20" s="516">
        <v>0</v>
      </c>
      <c r="EN20" s="516">
        <v>0</v>
      </c>
      <c r="EO20" s="516">
        <f>SUM(DW20:EC20)</f>
        <v>0</v>
      </c>
      <c r="EP20" s="1126">
        <f>DQ20-EO20</f>
        <v>0.99999999999999289</v>
      </c>
    </row>
    <row r="21" spans="1:146" s="16" customFormat="1" ht="15.75" customHeight="1" x14ac:dyDescent="0.2">
      <c r="A21" s="100" t="s">
        <v>118</v>
      </c>
      <c r="B21" s="100" t="s">
        <v>515</v>
      </c>
      <c r="C21" s="45" t="s">
        <v>509</v>
      </c>
      <c r="D21" s="58">
        <v>10</v>
      </c>
      <c r="E21" s="53">
        <v>0.1</v>
      </c>
      <c r="F21" s="46">
        <v>42185</v>
      </c>
      <c r="G21" s="48">
        <v>120</v>
      </c>
      <c r="H21" s="145">
        <f>100/G21</f>
        <v>0.83333333333333337</v>
      </c>
      <c r="I21" s="165">
        <f>H21*J21</f>
        <v>86.666666666666671</v>
      </c>
      <c r="J21" s="48">
        <f>(YEAR(F21)-YEAR(S21))*12+MONTH(F21)-MONTH(S21)</f>
        <v>104</v>
      </c>
      <c r="K21" s="165">
        <f>L21*H21</f>
        <v>13.333333333333334</v>
      </c>
      <c r="L21" s="48">
        <f>G21-J21</f>
        <v>16</v>
      </c>
      <c r="M21" s="165">
        <f>N21*H21</f>
        <v>5.8333333333333339</v>
      </c>
      <c r="N21" s="48">
        <v>7</v>
      </c>
      <c r="O21" s="165">
        <f>P21*H21</f>
        <v>7.5</v>
      </c>
      <c r="P21" s="48">
        <f>L21-N21</f>
        <v>9</v>
      </c>
      <c r="Q21" s="48"/>
      <c r="R21" s="48" t="s">
        <v>516</v>
      </c>
      <c r="S21" s="46">
        <v>39020</v>
      </c>
      <c r="T21" s="47">
        <v>3200</v>
      </c>
      <c r="U21" s="47">
        <v>453.3</v>
      </c>
      <c r="V21" s="106">
        <v>133.35</v>
      </c>
      <c r="W21" s="165">
        <v>0</v>
      </c>
      <c r="X21" s="57">
        <v>115.958</v>
      </c>
      <c r="Y21" s="80">
        <v>119.691</v>
      </c>
      <c r="Z21" s="57">
        <f>X21/Y21</f>
        <v>0.96881135590813006</v>
      </c>
      <c r="AA21" s="55">
        <f>U21*M21/100/K21*100/7</f>
        <v>28.331250000000004</v>
      </c>
      <c r="AB21" s="55">
        <f>AA21*Z21</f>
        <v>27.447636727072215</v>
      </c>
      <c r="AC21" s="55"/>
      <c r="AD21" s="55"/>
      <c r="AE21" s="55"/>
      <c r="AF21" s="55"/>
      <c r="AG21" s="55"/>
      <c r="AH21" s="55">
        <v>27.45</v>
      </c>
      <c r="AI21" s="55">
        <v>27.45</v>
      </c>
      <c r="AJ21" s="55">
        <v>27.45</v>
      </c>
      <c r="AK21" s="55">
        <v>27.45</v>
      </c>
      <c r="AL21" s="55">
        <v>27.45</v>
      </c>
      <c r="AM21" s="55">
        <v>27.45</v>
      </c>
      <c r="AN21" s="55">
        <v>27.45</v>
      </c>
      <c r="AO21" s="55">
        <f>SUM(AC21:AN21)</f>
        <v>192.14999999999998</v>
      </c>
      <c r="AP21" s="72">
        <f>U21-AO21</f>
        <v>261.15000000000003</v>
      </c>
      <c r="AQ21" s="55"/>
      <c r="AR21" s="55"/>
      <c r="AS21" s="55">
        <f>$AN21</f>
        <v>27.45</v>
      </c>
      <c r="AT21" s="55">
        <f>$AN21</f>
        <v>27.45</v>
      </c>
      <c r="AU21" s="55">
        <f>$AN21</f>
        <v>27.45</v>
      </c>
      <c r="AV21" s="55">
        <f>$AN21</f>
        <v>27.45</v>
      </c>
      <c r="AW21" s="55">
        <f>$AN21</f>
        <v>27.45</v>
      </c>
      <c r="AX21" s="57">
        <v>118.901</v>
      </c>
      <c r="AY21" s="80">
        <v>119.691</v>
      </c>
      <c r="AZ21" s="57">
        <f>AX21/AY21</f>
        <v>0.99339967081902558</v>
      </c>
      <c r="BA21" s="55">
        <f t="shared" si="3"/>
        <v>26.666666666666668</v>
      </c>
      <c r="BB21" s="55">
        <f>BA21*AZ21</f>
        <v>26.49065788850735</v>
      </c>
      <c r="BC21" s="55">
        <f t="shared" ref="BC21:BF22" si="4">$BB21</f>
        <v>26.49065788850735</v>
      </c>
      <c r="BD21" s="55">
        <f t="shared" si="4"/>
        <v>26.49065788850735</v>
      </c>
      <c r="BE21" s="55">
        <f t="shared" si="4"/>
        <v>26.49065788850735</v>
      </c>
      <c r="BF21" s="55">
        <f t="shared" si="4"/>
        <v>26.49065788850735</v>
      </c>
      <c r="BG21" s="55">
        <v>16.940000000000001</v>
      </c>
      <c r="BH21" s="55"/>
      <c r="BI21" s="55"/>
      <c r="BJ21" s="55">
        <f t="shared" ref="BJ21:BJ29" si="5">SUM((AS21:AW21),(BC21:BI21))</f>
        <v>260.15263155402937</v>
      </c>
      <c r="BK21" s="448">
        <f>(AP21-BJ21)</f>
        <v>0.99736844597066465</v>
      </c>
      <c r="BL21" s="55"/>
      <c r="BM21" s="55"/>
      <c r="BN21" s="55"/>
      <c r="BO21" s="55"/>
      <c r="BP21" s="55"/>
      <c r="BQ21" s="57">
        <v>118.901</v>
      </c>
      <c r="BR21" s="80">
        <v>119.691</v>
      </c>
      <c r="BS21" s="57">
        <f>BQ21/BR21</f>
        <v>0.99339967081902558</v>
      </c>
      <c r="BT21" s="55"/>
      <c r="BU21" s="55"/>
      <c r="BV21" s="55"/>
      <c r="BW21" s="55"/>
      <c r="BX21" s="55"/>
      <c r="BY21" s="55"/>
      <c r="BZ21" s="55"/>
      <c r="CA21" s="55"/>
      <c r="CB21" s="55"/>
      <c r="CC21" s="55">
        <f>SUM((BL21:BP21),(BV21:CB21))</f>
        <v>0</v>
      </c>
      <c r="CD21" s="448">
        <f>BK21-CC21</f>
        <v>0.99736844597066465</v>
      </c>
      <c r="CE21" s="58">
        <v>10</v>
      </c>
      <c r="CF21" s="53">
        <v>0.1</v>
      </c>
      <c r="CG21" s="46">
        <v>43281</v>
      </c>
      <c r="CH21" s="48">
        <v>120</v>
      </c>
      <c r="CI21" s="145">
        <f>CU21/CH21/100</f>
        <v>0.26666666666666666</v>
      </c>
      <c r="CJ21" s="165">
        <f>CI21*CK21</f>
        <v>37.333333333333336</v>
      </c>
      <c r="CK21" s="48">
        <f>(YEAR(CG21)-YEAR(CT21))*12+MONTH(CG21)-MONTH(CT21)</f>
        <v>140</v>
      </c>
      <c r="CL21" s="165">
        <f>CM21*CI21</f>
        <v>-5.333333333333333</v>
      </c>
      <c r="CM21" s="48">
        <f>CH21-CK21</f>
        <v>-20</v>
      </c>
      <c r="CN21" s="165">
        <f>CO21*CI21</f>
        <v>-5.333333333333333</v>
      </c>
      <c r="CO21" s="48">
        <f>CH21-CK21</f>
        <v>-20</v>
      </c>
      <c r="CP21" s="165">
        <f>CQ21*CI21</f>
        <v>0</v>
      </c>
      <c r="CQ21" s="48">
        <f>CM21-CO21</f>
        <v>0</v>
      </c>
      <c r="CR21" s="462">
        <f>DATE(YEAR(CT21),MONTH(CT21)+CH21,DAY(CT21))</f>
        <v>42673</v>
      </c>
      <c r="CS21" s="48" t="s">
        <v>516</v>
      </c>
      <c r="CT21" s="46">
        <v>39020</v>
      </c>
      <c r="CU21" s="47">
        <v>3200</v>
      </c>
      <c r="CV21" s="725">
        <v>0.99736844597066465</v>
      </c>
      <c r="CW21" s="57">
        <v>126.408</v>
      </c>
      <c r="CX21" s="80">
        <v>119.691</v>
      </c>
      <c r="CY21" s="57">
        <f>CW21/CX21</f>
        <v>1.056119507732411</v>
      </c>
      <c r="CZ21" s="55">
        <f>CV21/CO21</f>
        <v>-4.9868422298533235E-2</v>
      </c>
      <c r="DA21" s="55">
        <f>CZ21*CY21</f>
        <v>-5.2667013609318913E-2</v>
      </c>
      <c r="DB21" s="55">
        <v>0.15047718174091118</v>
      </c>
      <c r="DC21" s="55">
        <v>0.15047718174091118</v>
      </c>
      <c r="DD21" s="55">
        <v>0</v>
      </c>
      <c r="DE21" s="55">
        <v>0</v>
      </c>
      <c r="DF21" s="55">
        <v>-0.3</v>
      </c>
      <c r="DG21" s="55"/>
      <c r="DH21" s="55"/>
      <c r="DI21" s="55">
        <f>SUM(DB21:DH21)</f>
        <v>9.5436348182237341E-4</v>
      </c>
      <c r="DJ21" s="448">
        <f>CV21-DI21</f>
        <v>0.99641408248884233</v>
      </c>
      <c r="DK21" s="55">
        <v>0</v>
      </c>
      <c r="DL21" s="55">
        <v>0</v>
      </c>
      <c r="DM21" s="55">
        <v>0</v>
      </c>
      <c r="DN21" s="55">
        <v>0</v>
      </c>
      <c r="DO21" s="511"/>
      <c r="DP21" s="511">
        <f t="shared" si="0"/>
        <v>0</v>
      </c>
      <c r="DQ21" s="1126">
        <f>DJ21-DP21</f>
        <v>0.99641408248884233</v>
      </c>
      <c r="DR21" s="514">
        <v>132.28200000000001</v>
      </c>
      <c r="DS21" s="515">
        <v>119.691</v>
      </c>
      <c r="DT21" s="514">
        <f>DR21/DS21</f>
        <v>1.1051958793894279</v>
      </c>
      <c r="DU21" s="516">
        <v>0</v>
      </c>
      <c r="DV21" s="516">
        <f>DU21*DT21</f>
        <v>0</v>
      </c>
      <c r="DW21" s="516">
        <v>0</v>
      </c>
      <c r="DX21" s="516">
        <v>0</v>
      </c>
      <c r="DY21" s="516"/>
      <c r="DZ21" s="516"/>
      <c r="EA21" s="516"/>
      <c r="EB21" s="516"/>
      <c r="EC21" s="516">
        <v>0</v>
      </c>
      <c r="ED21" s="516">
        <v>0</v>
      </c>
      <c r="EE21" s="516">
        <v>0</v>
      </c>
      <c r="EF21" s="516">
        <v>0</v>
      </c>
      <c r="EG21" s="516">
        <v>0</v>
      </c>
      <c r="EH21" s="516">
        <v>0</v>
      </c>
      <c r="EI21" s="516">
        <v>0</v>
      </c>
      <c r="EJ21" s="516">
        <v>0</v>
      </c>
      <c r="EK21" s="516">
        <v>0</v>
      </c>
      <c r="EL21" s="516">
        <v>0</v>
      </c>
      <c r="EM21" s="516">
        <v>0</v>
      </c>
      <c r="EN21" s="516">
        <v>0</v>
      </c>
      <c r="EO21" s="516">
        <f>SUM(DW21:EC21)</f>
        <v>0</v>
      </c>
      <c r="EP21" s="1126">
        <f>DQ21-EO21</f>
        <v>0.99641408248884233</v>
      </c>
    </row>
    <row r="22" spans="1:146" s="16" customFormat="1" ht="15.75" customHeight="1" x14ac:dyDescent="0.2">
      <c r="A22" s="9" t="s">
        <v>107</v>
      </c>
      <c r="B22" s="100" t="s">
        <v>517</v>
      </c>
      <c r="C22" s="45" t="s">
        <v>509</v>
      </c>
      <c r="D22" s="58">
        <v>10</v>
      </c>
      <c r="E22" s="53">
        <v>0.1</v>
      </c>
      <c r="F22" s="46">
        <v>42185</v>
      </c>
      <c r="G22" s="48">
        <v>120</v>
      </c>
      <c r="H22" s="145">
        <f>100/G22</f>
        <v>0.83333333333333337</v>
      </c>
      <c r="I22" s="165">
        <f>H22*J22</f>
        <v>34.166666666666671</v>
      </c>
      <c r="J22" s="48">
        <f>(YEAR(F22)-YEAR(S22))*12+MONTH(F22)-MONTH(S22)</f>
        <v>41</v>
      </c>
      <c r="K22" s="165">
        <f>L22*H22</f>
        <v>65.833333333333343</v>
      </c>
      <c r="L22" s="48">
        <f>G22-J22</f>
        <v>79</v>
      </c>
      <c r="M22" s="165">
        <f>N22*H22</f>
        <v>5.8333333333333339</v>
      </c>
      <c r="N22" s="48">
        <v>7</v>
      </c>
      <c r="O22" s="165">
        <f>P22*H22</f>
        <v>60</v>
      </c>
      <c r="P22" s="48">
        <f>L22-N22</f>
        <v>72</v>
      </c>
      <c r="Q22" s="48"/>
      <c r="R22" s="48" t="s">
        <v>445</v>
      </c>
      <c r="S22" s="46">
        <v>40909</v>
      </c>
      <c r="T22" s="47">
        <v>2099</v>
      </c>
      <c r="U22" s="47">
        <v>1381.86</v>
      </c>
      <c r="V22" s="106">
        <v>87.45</v>
      </c>
      <c r="W22" s="165"/>
      <c r="X22" s="57">
        <v>115.958</v>
      </c>
      <c r="Y22" s="80">
        <v>104.28400000000001</v>
      </c>
      <c r="Z22" s="57">
        <f>X22/Y22</f>
        <v>1.1119443059337961</v>
      </c>
      <c r="AA22" s="55">
        <f>U22*M22/100/K22*100/7</f>
        <v>17.491898734177216</v>
      </c>
      <c r="AB22" s="55">
        <f>AA22*Z22</f>
        <v>19.450017197438932</v>
      </c>
      <c r="AC22" s="55"/>
      <c r="AD22" s="55"/>
      <c r="AE22" s="55"/>
      <c r="AF22" s="55"/>
      <c r="AG22" s="55"/>
      <c r="AH22" s="55">
        <v>19.45</v>
      </c>
      <c r="AI22" s="55">
        <v>19.45</v>
      </c>
      <c r="AJ22" s="55">
        <v>19.45</v>
      </c>
      <c r="AK22" s="55">
        <v>19.45</v>
      </c>
      <c r="AL22" s="55">
        <v>19.45</v>
      </c>
      <c r="AM22" s="55">
        <v>19.45</v>
      </c>
      <c r="AN22" s="55">
        <v>19.45</v>
      </c>
      <c r="AO22" s="55">
        <f>SUM(AC22:AN22)</f>
        <v>136.15</v>
      </c>
      <c r="AP22" s="72">
        <f>U22-AO22</f>
        <v>1245.7099999999998</v>
      </c>
      <c r="AQ22" s="55"/>
      <c r="AR22" s="55"/>
      <c r="AS22" s="55">
        <f t="shared" ref="AS22:AW39" si="6">$AN22</f>
        <v>19.45</v>
      </c>
      <c r="AT22" s="55">
        <f t="shared" si="6"/>
        <v>19.45</v>
      </c>
      <c r="AU22" s="55">
        <f t="shared" si="6"/>
        <v>19.45</v>
      </c>
      <c r="AV22" s="55">
        <f t="shared" si="6"/>
        <v>19.45</v>
      </c>
      <c r="AW22" s="55">
        <f t="shared" si="6"/>
        <v>19.45</v>
      </c>
      <c r="AX22" s="57">
        <v>118.901</v>
      </c>
      <c r="AY22" s="80">
        <v>104.28400000000001</v>
      </c>
      <c r="AZ22" s="57">
        <f>AX22/AY22</f>
        <v>1.1401653177860458</v>
      </c>
      <c r="BA22" s="55">
        <f t="shared" si="3"/>
        <v>17.491666666666667</v>
      </c>
      <c r="BB22" s="55">
        <f>BA22*AZ22</f>
        <v>19.943391683607587</v>
      </c>
      <c r="BC22" s="55">
        <f t="shared" si="4"/>
        <v>19.943391683607587</v>
      </c>
      <c r="BD22" s="55">
        <f t="shared" si="4"/>
        <v>19.943391683607587</v>
      </c>
      <c r="BE22" s="55">
        <f t="shared" si="4"/>
        <v>19.943391683607587</v>
      </c>
      <c r="BF22" s="55">
        <f t="shared" si="4"/>
        <v>19.943391683607587</v>
      </c>
      <c r="BG22" s="55">
        <v>19.940000000000001</v>
      </c>
      <c r="BH22" s="55">
        <v>19.940000000000001</v>
      </c>
      <c r="BI22" s="55">
        <v>19.940000000000001</v>
      </c>
      <c r="BJ22" s="55">
        <f>SUM((AS22:AW22),(BC22:BI22))</f>
        <v>236.84356673443034</v>
      </c>
      <c r="BK22" s="448">
        <f>(AP22-BJ22)</f>
        <v>1008.8664332655694</v>
      </c>
      <c r="BL22" s="55">
        <v>19.940000000000001</v>
      </c>
      <c r="BM22" s="55">
        <v>19.940000000000001</v>
      </c>
      <c r="BN22" s="55">
        <v>19.940000000000001</v>
      </c>
      <c r="BO22" s="55">
        <v>19.940000000000001</v>
      </c>
      <c r="BP22" s="55">
        <v>19.940000000000001</v>
      </c>
      <c r="BQ22" s="57">
        <v>118.901</v>
      </c>
      <c r="BR22" s="80">
        <v>104.28400000000001</v>
      </c>
      <c r="BS22" s="57">
        <f>BQ22/BR22</f>
        <v>1.1401653177860458</v>
      </c>
      <c r="BT22" s="55"/>
      <c r="BU22" s="55"/>
      <c r="BV22" s="55"/>
      <c r="BW22" s="55"/>
      <c r="BX22" s="55"/>
      <c r="BY22" s="55"/>
      <c r="BZ22" s="55"/>
      <c r="CA22" s="55"/>
      <c r="CB22" s="55"/>
      <c r="CC22" s="55">
        <f>SUM((BL22:BP22),(BV22:CB22))</f>
        <v>99.7</v>
      </c>
      <c r="CD22" s="448">
        <f>BK22-CC22</f>
        <v>909.16643326556937</v>
      </c>
      <c r="CE22" s="58">
        <v>10</v>
      </c>
      <c r="CF22" s="53">
        <v>0.1</v>
      </c>
      <c r="CG22" s="46">
        <v>43281</v>
      </c>
      <c r="CH22" s="48">
        <v>120</v>
      </c>
      <c r="CI22" s="145">
        <f>CU22/CH22/100</f>
        <v>0.17491666666666666</v>
      </c>
      <c r="CJ22" s="165">
        <f>CI22*CK22</f>
        <v>13.468583333333333</v>
      </c>
      <c r="CK22" s="48">
        <f>(YEAR(CG22)-YEAR(CT22))*12+MONTH(CG22)-MONTH(CT22)</f>
        <v>77</v>
      </c>
      <c r="CL22" s="165">
        <f>CM22*CI22</f>
        <v>7.5214166666666662</v>
      </c>
      <c r="CM22" s="48">
        <f>CH22-CK22</f>
        <v>43</v>
      </c>
      <c r="CN22" s="165">
        <f>CO22*CI22</f>
        <v>7.5214166666666662</v>
      </c>
      <c r="CO22" s="48">
        <f>CH22-CK22</f>
        <v>43</v>
      </c>
      <c r="CP22" s="165">
        <f>CQ22*CI22</f>
        <v>0</v>
      </c>
      <c r="CQ22" s="48">
        <f>CM22-CO22</f>
        <v>0</v>
      </c>
      <c r="CR22" s="462">
        <f>DATE(YEAR(CT22),MONTH(CT22)+CH22,DAY(CT22))</f>
        <v>44562</v>
      </c>
      <c r="CS22" s="48" t="s">
        <v>445</v>
      </c>
      <c r="CT22" s="46">
        <v>40909</v>
      </c>
      <c r="CU22" s="47">
        <v>2099</v>
      </c>
      <c r="CV22" s="725">
        <v>909.16643326556937</v>
      </c>
      <c r="CW22" s="57">
        <v>126.408</v>
      </c>
      <c r="CX22" s="80">
        <v>104.28400000000001</v>
      </c>
      <c r="CY22" s="57">
        <f>CW22/CX22</f>
        <v>1.2121514326262897</v>
      </c>
      <c r="CZ22" s="55">
        <f>CV22/CO22</f>
        <v>21.143405424780681</v>
      </c>
      <c r="DA22" s="55">
        <f>CZ22*CY22</f>
        <v>25.629009176246367</v>
      </c>
      <c r="DB22" s="55">
        <v>157.43534208265626</v>
      </c>
      <c r="DC22" s="55">
        <v>157.43534208265626</v>
      </c>
      <c r="DD22" s="55">
        <v>157.43534208265626</v>
      </c>
      <c r="DE22" s="55">
        <v>157.43534208265626</v>
      </c>
      <c r="DF22" s="55">
        <v>157.43534208265626</v>
      </c>
      <c r="DG22" s="55">
        <v>120.99</v>
      </c>
      <c r="DH22" s="55">
        <v>0</v>
      </c>
      <c r="DI22" s="55">
        <f>SUM(DB22:DH22)</f>
        <v>908.16671041328129</v>
      </c>
      <c r="DJ22" s="448">
        <f>CV22-DI22</f>
        <v>0.99972285228807323</v>
      </c>
      <c r="DK22" s="55">
        <v>0</v>
      </c>
      <c r="DL22" s="55">
        <v>0</v>
      </c>
      <c r="DM22" s="55">
        <v>0</v>
      </c>
      <c r="DN22" s="55">
        <v>0</v>
      </c>
      <c r="DO22" s="511"/>
      <c r="DP22" s="511">
        <f t="shared" si="0"/>
        <v>0</v>
      </c>
      <c r="DQ22" s="1126">
        <f>DJ22-DP22</f>
        <v>0.99972285228807323</v>
      </c>
      <c r="DR22" s="514">
        <v>132.28200000000001</v>
      </c>
      <c r="DS22" s="515">
        <v>104.28400000000001</v>
      </c>
      <c r="DT22" s="514">
        <f>DR22/DS22</f>
        <v>1.2684783859460704</v>
      </c>
      <c r="DU22" s="516">
        <v>0</v>
      </c>
      <c r="DV22" s="516">
        <f>DU22*DT22</f>
        <v>0</v>
      </c>
      <c r="DW22" s="516">
        <v>0</v>
      </c>
      <c r="DX22" s="516">
        <v>0</v>
      </c>
      <c r="DY22" s="516"/>
      <c r="DZ22" s="516"/>
      <c r="EA22" s="516"/>
      <c r="EB22" s="516"/>
      <c r="EC22" s="516">
        <v>0</v>
      </c>
      <c r="ED22" s="516">
        <v>0</v>
      </c>
      <c r="EE22" s="516">
        <v>0</v>
      </c>
      <c r="EF22" s="516">
        <v>0</v>
      </c>
      <c r="EG22" s="516">
        <v>0</v>
      </c>
      <c r="EH22" s="516">
        <v>0</v>
      </c>
      <c r="EI22" s="516">
        <v>0</v>
      </c>
      <c r="EJ22" s="516">
        <v>0</v>
      </c>
      <c r="EK22" s="516">
        <v>0</v>
      </c>
      <c r="EL22" s="516">
        <v>0</v>
      </c>
      <c r="EM22" s="516">
        <v>0</v>
      </c>
      <c r="EN22" s="516">
        <v>0</v>
      </c>
      <c r="EO22" s="516">
        <f>SUM(DW22:EC22)</f>
        <v>0</v>
      </c>
      <c r="EP22" s="1126">
        <f>DQ22-EO22</f>
        <v>0.99972285228807323</v>
      </c>
    </row>
    <row r="23" spans="1:146" s="16" customFormat="1" ht="15.75" customHeight="1" x14ac:dyDescent="0.2">
      <c r="A23" s="120" t="s">
        <v>539</v>
      </c>
      <c r="B23" s="120"/>
      <c r="C23" s="45"/>
      <c r="D23" s="27"/>
      <c r="E23" s="25"/>
      <c r="F23" s="46"/>
      <c r="G23" s="17"/>
      <c r="H23" s="145"/>
      <c r="I23" s="165"/>
      <c r="J23" s="48"/>
      <c r="K23" s="165"/>
      <c r="L23" s="48"/>
      <c r="M23" s="165"/>
      <c r="N23" s="48"/>
      <c r="O23" s="165"/>
      <c r="P23" s="48"/>
      <c r="Q23" s="48"/>
      <c r="R23" s="17"/>
      <c r="S23" s="20"/>
      <c r="T23" s="14"/>
      <c r="U23" s="14"/>
      <c r="V23" s="108"/>
      <c r="W23" s="165"/>
      <c r="X23" s="57"/>
      <c r="Y23" s="83"/>
      <c r="Z23" s="57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72"/>
      <c r="AQ23" s="55"/>
      <c r="AR23" s="55"/>
      <c r="AS23" s="55">
        <f t="shared" si="6"/>
        <v>0</v>
      </c>
      <c r="AT23" s="55">
        <f t="shared" si="6"/>
        <v>0</v>
      </c>
      <c r="AU23" s="55">
        <f t="shared" si="6"/>
        <v>0</v>
      </c>
      <c r="AV23" s="55">
        <f t="shared" si="6"/>
        <v>0</v>
      </c>
      <c r="AW23" s="55">
        <f t="shared" si="6"/>
        <v>0</v>
      </c>
      <c r="AX23" s="57"/>
      <c r="AY23" s="83"/>
      <c r="AZ23" s="57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448"/>
      <c r="BL23" s="55"/>
      <c r="BM23" s="55"/>
      <c r="BN23" s="55"/>
      <c r="BO23" s="55"/>
      <c r="BP23" s="55"/>
      <c r="BQ23" s="57"/>
      <c r="BR23" s="83"/>
      <c r="BS23" s="57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448"/>
      <c r="CE23" s="27"/>
      <c r="CF23" s="25"/>
      <c r="CG23" s="46"/>
      <c r="CH23" s="17"/>
      <c r="CI23" s="145"/>
      <c r="CJ23" s="165"/>
      <c r="CK23" s="48"/>
      <c r="CL23" s="165"/>
      <c r="CM23" s="48"/>
      <c r="CN23" s="165"/>
      <c r="CO23" s="48"/>
      <c r="CP23" s="165"/>
      <c r="CQ23" s="48"/>
      <c r="CR23" s="48"/>
      <c r="CS23" s="17"/>
      <c r="CT23" s="20"/>
      <c r="CU23" s="14"/>
      <c r="CV23" s="725"/>
      <c r="CW23" s="57"/>
      <c r="CX23" s="83"/>
      <c r="CY23" s="57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448"/>
      <c r="DK23" s="55"/>
      <c r="DL23" s="55"/>
      <c r="DM23" s="55"/>
      <c r="DN23" s="55"/>
      <c r="DO23" s="511"/>
      <c r="DP23" s="511"/>
      <c r="DQ23" s="1126"/>
      <c r="DR23" s="514"/>
      <c r="DS23" s="515"/>
      <c r="DT23" s="514"/>
      <c r="DU23" s="516"/>
      <c r="DV23" s="516"/>
      <c r="DW23" s="516"/>
      <c r="DX23" s="516"/>
      <c r="DY23" s="516"/>
      <c r="DZ23" s="516"/>
      <c r="EA23" s="516"/>
      <c r="EB23" s="516"/>
      <c r="EC23" s="516"/>
      <c r="ED23" s="516"/>
      <c r="EE23" s="516"/>
      <c r="EF23" s="516"/>
      <c r="EG23" s="516"/>
      <c r="EH23" s="516"/>
      <c r="EI23" s="516"/>
      <c r="EJ23" s="516"/>
      <c r="EK23" s="516"/>
      <c r="EL23" s="516"/>
      <c r="EM23" s="516"/>
      <c r="EN23" s="516"/>
      <c r="EO23" s="516"/>
      <c r="EP23" s="1126"/>
    </row>
    <row r="24" spans="1:146" s="16" customFormat="1" ht="15.75" customHeight="1" x14ac:dyDescent="0.2">
      <c r="A24" s="120" t="s">
        <v>518</v>
      </c>
      <c r="B24" s="100"/>
      <c r="C24" s="45"/>
      <c r="D24" s="4"/>
      <c r="E24" s="25"/>
      <c r="F24" s="46"/>
      <c r="G24" s="17"/>
      <c r="H24" s="145"/>
      <c r="I24" s="165"/>
      <c r="J24" s="48"/>
      <c r="K24" s="165"/>
      <c r="L24" s="48"/>
      <c r="M24" s="165"/>
      <c r="N24" s="48"/>
      <c r="O24" s="165"/>
      <c r="P24" s="48"/>
      <c r="Q24" s="48"/>
      <c r="R24" s="17"/>
      <c r="S24" s="20"/>
      <c r="T24" s="14"/>
      <c r="U24" s="14"/>
      <c r="V24" s="108"/>
      <c r="W24" s="165"/>
      <c r="X24" s="57"/>
      <c r="Y24" s="80"/>
      <c r="Z24" s="57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72"/>
      <c r="AQ24" s="55"/>
      <c r="AR24" s="55"/>
      <c r="AS24" s="55">
        <f t="shared" si="6"/>
        <v>0</v>
      </c>
      <c r="AT24" s="55">
        <f t="shared" si="6"/>
        <v>0</v>
      </c>
      <c r="AU24" s="55">
        <f t="shared" si="6"/>
        <v>0</v>
      </c>
      <c r="AV24" s="55">
        <f t="shared" si="6"/>
        <v>0</v>
      </c>
      <c r="AW24" s="55">
        <f t="shared" si="6"/>
        <v>0</v>
      </c>
      <c r="AX24" s="57"/>
      <c r="AY24" s="80"/>
      <c r="AZ24" s="57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448"/>
      <c r="BL24" s="55"/>
      <c r="BM24" s="55"/>
      <c r="BN24" s="55"/>
      <c r="BO24" s="55"/>
      <c r="BP24" s="55"/>
      <c r="BQ24" s="57"/>
      <c r="BR24" s="80"/>
      <c r="BS24" s="57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448"/>
      <c r="CE24" s="4"/>
      <c r="CF24" s="25"/>
      <c r="CG24" s="46"/>
      <c r="CH24" s="17"/>
      <c r="CI24" s="145"/>
      <c r="CJ24" s="165"/>
      <c r="CK24" s="48"/>
      <c r="CL24" s="165"/>
      <c r="CM24" s="48"/>
      <c r="CN24" s="165"/>
      <c r="CO24" s="48"/>
      <c r="CP24" s="165"/>
      <c r="CQ24" s="48"/>
      <c r="CR24" s="48"/>
      <c r="CS24" s="17"/>
      <c r="CT24" s="20"/>
      <c r="CU24" s="14"/>
      <c r="CV24" s="725"/>
      <c r="CW24" s="57"/>
      <c r="CX24" s="80"/>
      <c r="CY24" s="57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448"/>
      <c r="DK24" s="55"/>
      <c r="DL24" s="55"/>
      <c r="DM24" s="55"/>
      <c r="DN24" s="55"/>
      <c r="DO24" s="511"/>
      <c r="DP24" s="511"/>
      <c r="DQ24" s="1126"/>
      <c r="DR24" s="514"/>
      <c r="DS24" s="515"/>
      <c r="DT24" s="514"/>
      <c r="DU24" s="516"/>
      <c r="DV24" s="516"/>
      <c r="DW24" s="516"/>
      <c r="DX24" s="516"/>
      <c r="DY24" s="516"/>
      <c r="DZ24" s="516"/>
      <c r="EA24" s="516"/>
      <c r="EB24" s="516"/>
      <c r="EC24" s="516"/>
      <c r="ED24" s="516"/>
      <c r="EE24" s="516"/>
      <c r="EF24" s="516"/>
      <c r="EG24" s="516"/>
      <c r="EH24" s="516"/>
      <c r="EI24" s="516"/>
      <c r="EJ24" s="516"/>
      <c r="EK24" s="516"/>
      <c r="EL24" s="516"/>
      <c r="EM24" s="516"/>
      <c r="EN24" s="516"/>
      <c r="EO24" s="516"/>
      <c r="EP24" s="1126"/>
    </row>
    <row r="25" spans="1:146" s="16" customFormat="1" ht="15.75" customHeight="1" x14ac:dyDescent="0.2">
      <c r="A25" s="100" t="s">
        <v>119</v>
      </c>
      <c r="B25" s="100" t="s">
        <v>519</v>
      </c>
      <c r="C25" s="45" t="s">
        <v>509</v>
      </c>
      <c r="D25" s="58">
        <v>10</v>
      </c>
      <c r="E25" s="53">
        <v>0.1</v>
      </c>
      <c r="F25" s="46">
        <v>42185</v>
      </c>
      <c r="G25" s="48">
        <v>120</v>
      </c>
      <c r="H25" s="145">
        <f>100/G25</f>
        <v>0.83333333333333337</v>
      </c>
      <c r="I25" s="165">
        <f>H25*J25</f>
        <v>64.166666666666671</v>
      </c>
      <c r="J25" s="48">
        <f>(YEAR(F25)-YEAR(S25))*12+MONTH(F25)-MONTH(S25)</f>
        <v>77</v>
      </c>
      <c r="K25" s="165">
        <f>L25*H25</f>
        <v>35.833333333333336</v>
      </c>
      <c r="L25" s="48">
        <f>G25-J25</f>
        <v>43</v>
      </c>
      <c r="M25" s="165">
        <f>N25*H25</f>
        <v>5.8333333333333339</v>
      </c>
      <c r="N25" s="48">
        <v>7</v>
      </c>
      <c r="O25" s="165">
        <f>P25*H25</f>
        <v>30</v>
      </c>
      <c r="P25" s="48">
        <f>L25-N25</f>
        <v>36</v>
      </c>
      <c r="Q25" s="48"/>
      <c r="R25" s="48" t="s">
        <v>445</v>
      </c>
      <c r="S25" s="46">
        <v>39814</v>
      </c>
      <c r="T25" s="47">
        <v>590</v>
      </c>
      <c r="U25" s="47">
        <v>211.38</v>
      </c>
      <c r="V25" s="106">
        <v>24.6</v>
      </c>
      <c r="W25" s="165"/>
      <c r="X25" s="57">
        <v>115.958</v>
      </c>
      <c r="Y25" s="80">
        <v>134.071</v>
      </c>
      <c r="Z25" s="57">
        <f>X25/Y25</f>
        <v>0.8648999410759971</v>
      </c>
      <c r="AA25" s="55">
        <f>U25*M25/100/K25*100/7</f>
        <v>4.9158139534883736</v>
      </c>
      <c r="AB25" s="55">
        <f>AA25*Z25</f>
        <v>4.2516871987126583</v>
      </c>
      <c r="AC25" s="55"/>
      <c r="AD25" s="55"/>
      <c r="AE25" s="55"/>
      <c r="AF25" s="55"/>
      <c r="AG25" s="55"/>
      <c r="AH25" s="55">
        <v>4.25</v>
      </c>
      <c r="AI25" s="55">
        <v>4.25</v>
      </c>
      <c r="AJ25" s="55">
        <v>4.25</v>
      </c>
      <c r="AK25" s="55">
        <v>4.25</v>
      </c>
      <c r="AL25" s="55">
        <v>4.25</v>
      </c>
      <c r="AM25" s="55">
        <v>4.25</v>
      </c>
      <c r="AN25" s="55">
        <v>4.25</v>
      </c>
      <c r="AO25" s="55">
        <f>SUM(AC25:AN25)</f>
        <v>29.75</v>
      </c>
      <c r="AP25" s="72">
        <f>U25-AO25</f>
        <v>181.63</v>
      </c>
      <c r="AQ25" s="55"/>
      <c r="AR25" s="55"/>
      <c r="AS25" s="55">
        <f t="shared" si="6"/>
        <v>4.25</v>
      </c>
      <c r="AT25" s="55">
        <f t="shared" si="6"/>
        <v>4.25</v>
      </c>
      <c r="AU25" s="55">
        <f t="shared" si="6"/>
        <v>4.25</v>
      </c>
      <c r="AV25" s="55">
        <f t="shared" si="6"/>
        <v>4.25</v>
      </c>
      <c r="AW25" s="55">
        <f t="shared" si="6"/>
        <v>4.25</v>
      </c>
      <c r="AX25" s="57">
        <v>118.901</v>
      </c>
      <c r="AY25" s="80">
        <v>134.071</v>
      </c>
      <c r="AZ25" s="57">
        <f>AX25/AY25</f>
        <v>0.88685099685987279</v>
      </c>
      <c r="BA25" s="55">
        <f t="shared" si="3"/>
        <v>4.916666666666667</v>
      </c>
      <c r="BB25" s="55">
        <f>BA25*AZ25</f>
        <v>4.3603507345610417</v>
      </c>
      <c r="BC25" s="55">
        <f>$BB25</f>
        <v>4.3603507345610417</v>
      </c>
      <c r="BD25" s="55">
        <f>$BB25</f>
        <v>4.3603507345610417</v>
      </c>
      <c r="BE25" s="55">
        <f>$BB25</f>
        <v>4.3603507345610417</v>
      </c>
      <c r="BF25" s="55">
        <f>$BB25</f>
        <v>4.3603507345610417</v>
      </c>
      <c r="BG25" s="55">
        <v>4.3600000000000003</v>
      </c>
      <c r="BH25" s="55">
        <v>4.3600000000000003</v>
      </c>
      <c r="BI25" s="55">
        <v>4.3600000000000003</v>
      </c>
      <c r="BJ25" s="55">
        <f t="shared" si="5"/>
        <v>51.771402938244165</v>
      </c>
      <c r="BK25" s="448">
        <f>(AP25-BJ25)</f>
        <v>129.85859706175583</v>
      </c>
      <c r="BL25" s="55">
        <v>4.3600000000000003</v>
      </c>
      <c r="BM25" s="55">
        <v>4.3600000000000003</v>
      </c>
      <c r="BN25" s="55">
        <v>4.3600000000000003</v>
      </c>
      <c r="BO25" s="55">
        <v>4.3600000000000003</v>
      </c>
      <c r="BP25" s="55">
        <v>4.3600000000000003</v>
      </c>
      <c r="BQ25" s="57">
        <v>118.901</v>
      </c>
      <c r="BR25" s="80">
        <v>134.071</v>
      </c>
      <c r="BS25" s="57">
        <f>BQ25/BR25</f>
        <v>0.88685099685987279</v>
      </c>
      <c r="BT25" s="55"/>
      <c r="BU25" s="55"/>
      <c r="BV25" s="55"/>
      <c r="BW25" s="55"/>
      <c r="BX25" s="55"/>
      <c r="BY25" s="55"/>
      <c r="BZ25" s="55"/>
      <c r="CA25" s="55"/>
      <c r="CB25" s="55"/>
      <c r="CC25" s="55">
        <f>SUM((BL25:BP25),(BV25:CB25))</f>
        <v>21.8</v>
      </c>
      <c r="CD25" s="448">
        <f>BK25-CC25</f>
        <v>108.05859706175583</v>
      </c>
      <c r="CE25" s="58">
        <v>10</v>
      </c>
      <c r="CF25" s="53">
        <v>0.1</v>
      </c>
      <c r="CG25" s="46">
        <v>43281</v>
      </c>
      <c r="CH25" s="48">
        <v>120</v>
      </c>
      <c r="CI25" s="145">
        <f>CU25/CH25/100</f>
        <v>4.9166666666666671E-2</v>
      </c>
      <c r="CJ25" s="165">
        <f>CI25*CK25</f>
        <v>5.5558333333333341</v>
      </c>
      <c r="CK25" s="48">
        <f>(YEAR(CG25)-YEAR(CT25))*12+MONTH(CG25)-MONTH(CT25)</f>
        <v>113</v>
      </c>
      <c r="CL25" s="165">
        <f>CM25*CI25</f>
        <v>0.34416666666666668</v>
      </c>
      <c r="CM25" s="48">
        <f>CH25-CK25</f>
        <v>7</v>
      </c>
      <c r="CN25" s="165">
        <f>CO25*CI25</f>
        <v>0.34416666666666668</v>
      </c>
      <c r="CO25" s="48">
        <f>CH25-CK25</f>
        <v>7</v>
      </c>
      <c r="CP25" s="165">
        <f>CQ25*CI25</f>
        <v>0</v>
      </c>
      <c r="CQ25" s="48">
        <f>CM25-CO25</f>
        <v>0</v>
      </c>
      <c r="CR25" s="462">
        <f>DATE(YEAR(CT25),MONTH(CT25)+CH25,DAY(CT25))</f>
        <v>43466</v>
      </c>
      <c r="CS25" s="48" t="s">
        <v>445</v>
      </c>
      <c r="CT25" s="46">
        <v>39814</v>
      </c>
      <c r="CU25" s="47">
        <v>590</v>
      </c>
      <c r="CV25" s="725">
        <v>108.05859706175583</v>
      </c>
      <c r="CW25" s="57">
        <v>126.408</v>
      </c>
      <c r="CX25" s="80">
        <v>134.071</v>
      </c>
      <c r="CY25" s="57">
        <f>CW25/CX25</f>
        <v>0.94284371713495085</v>
      </c>
      <c r="CZ25" s="55">
        <f>CV25/CO25</f>
        <v>15.436942437393691</v>
      </c>
      <c r="DA25" s="55">
        <f>CZ25*CY25</f>
        <v>14.554624188870536</v>
      </c>
      <c r="DB25" s="55">
        <v>14.554624188870536</v>
      </c>
      <c r="DC25" s="55">
        <v>14.554624188870536</v>
      </c>
      <c r="DD25" s="55">
        <v>14.554624188870536</v>
      </c>
      <c r="DE25" s="55">
        <v>14.554624188870536</v>
      </c>
      <c r="DF25" s="55">
        <v>14.554624188870536</v>
      </c>
      <c r="DG25" s="55">
        <v>14.554624188870536</v>
      </c>
      <c r="DH25" s="55">
        <v>14.554624188870536</v>
      </c>
      <c r="DI25" s="55">
        <f>SUM(DB25:DH25)</f>
        <v>101.88236932209375</v>
      </c>
      <c r="DJ25" s="448">
        <f>CV25-DI25</f>
        <v>6.1762277396620817</v>
      </c>
      <c r="DK25" s="55">
        <v>5.18</v>
      </c>
      <c r="DL25" s="55">
        <v>0</v>
      </c>
      <c r="DM25" s="55">
        <v>0</v>
      </c>
      <c r="DN25" s="55">
        <v>0</v>
      </c>
      <c r="DO25" s="511"/>
      <c r="DP25" s="511">
        <f t="shared" si="0"/>
        <v>5.18</v>
      </c>
      <c r="DQ25" s="1126">
        <f>DJ25-DP25</f>
        <v>0.996227739662082</v>
      </c>
      <c r="DR25" s="514">
        <v>132.28200000000001</v>
      </c>
      <c r="DS25" s="515">
        <v>134.071</v>
      </c>
      <c r="DT25" s="514">
        <f>DR25/DS25</f>
        <v>0.98665632388808922</v>
      </c>
      <c r="DU25" s="516">
        <v>0</v>
      </c>
      <c r="DV25" s="516">
        <f>DU25*DT25</f>
        <v>0</v>
      </c>
      <c r="DW25" s="516">
        <v>0</v>
      </c>
      <c r="DX25" s="516">
        <v>0</v>
      </c>
      <c r="DY25" s="516"/>
      <c r="DZ25" s="516"/>
      <c r="EA25" s="516"/>
      <c r="EB25" s="516"/>
      <c r="EC25" s="516">
        <v>0</v>
      </c>
      <c r="ED25" s="516">
        <v>0</v>
      </c>
      <c r="EE25" s="516">
        <v>0</v>
      </c>
      <c r="EF25" s="516">
        <v>0</v>
      </c>
      <c r="EG25" s="516">
        <v>0</v>
      </c>
      <c r="EH25" s="516">
        <v>0</v>
      </c>
      <c r="EI25" s="516">
        <v>0</v>
      </c>
      <c r="EJ25" s="516">
        <v>0</v>
      </c>
      <c r="EK25" s="516">
        <v>0</v>
      </c>
      <c r="EL25" s="516">
        <v>0</v>
      </c>
      <c r="EM25" s="516">
        <v>0</v>
      </c>
      <c r="EN25" s="516">
        <v>0</v>
      </c>
      <c r="EO25" s="516">
        <f>SUM(DW25:EC25)</f>
        <v>0</v>
      </c>
      <c r="EP25" s="1126">
        <f>DQ25-EO25</f>
        <v>0.996227739662082</v>
      </c>
    </row>
    <row r="26" spans="1:146" s="16" customFormat="1" ht="15.75" customHeight="1" x14ac:dyDescent="0.2">
      <c r="A26" s="120" t="s">
        <v>539</v>
      </c>
      <c r="B26" s="120"/>
      <c r="C26" s="45"/>
      <c r="D26" s="27"/>
      <c r="E26" s="25"/>
      <c r="F26" s="46"/>
      <c r="G26" s="17"/>
      <c r="H26" s="145"/>
      <c r="I26" s="48"/>
      <c r="J26" s="48"/>
      <c r="K26" s="48"/>
      <c r="L26" s="48"/>
      <c r="M26" s="48"/>
      <c r="N26" s="48"/>
      <c r="O26" s="48"/>
      <c r="P26" s="48"/>
      <c r="Q26" s="48"/>
      <c r="R26" s="17"/>
      <c r="S26" s="20"/>
      <c r="T26" s="14"/>
      <c r="U26" s="14"/>
      <c r="V26" s="108"/>
      <c r="W26" s="165"/>
      <c r="X26" s="57"/>
      <c r="Y26" s="80"/>
      <c r="Z26" s="57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72"/>
      <c r="AQ26" s="55"/>
      <c r="AR26" s="55"/>
      <c r="AS26" s="55">
        <f t="shared" si="6"/>
        <v>0</v>
      </c>
      <c r="AT26" s="55">
        <f t="shared" si="6"/>
        <v>0</v>
      </c>
      <c r="AU26" s="55">
        <f t="shared" si="6"/>
        <v>0</v>
      </c>
      <c r="AV26" s="55">
        <f t="shared" si="6"/>
        <v>0</v>
      </c>
      <c r="AW26" s="55">
        <f t="shared" si="6"/>
        <v>0</v>
      </c>
      <c r="AX26" s="57"/>
      <c r="AY26" s="80"/>
      <c r="AZ26" s="57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448"/>
      <c r="BL26" s="55"/>
      <c r="BM26" s="55"/>
      <c r="BN26" s="55"/>
      <c r="BO26" s="55"/>
      <c r="BP26" s="55"/>
      <c r="BQ26" s="57"/>
      <c r="BR26" s="80"/>
      <c r="BS26" s="57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448"/>
      <c r="CE26" s="27"/>
      <c r="CF26" s="25"/>
      <c r="CG26" s="46"/>
      <c r="CH26" s="17"/>
      <c r="CI26" s="145"/>
      <c r="CJ26" s="48"/>
      <c r="CK26" s="48"/>
      <c r="CL26" s="48"/>
      <c r="CM26" s="48"/>
      <c r="CN26" s="48"/>
      <c r="CO26" s="48"/>
      <c r="CP26" s="48"/>
      <c r="CQ26" s="48"/>
      <c r="CR26" s="48"/>
      <c r="CS26" s="17"/>
      <c r="CT26" s="20"/>
      <c r="CU26" s="14"/>
      <c r="CV26" s="725"/>
      <c r="CW26" s="57"/>
      <c r="CX26" s="80"/>
      <c r="CY26" s="57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448"/>
      <c r="DK26" s="55"/>
      <c r="DL26" s="55"/>
      <c r="DM26" s="55"/>
      <c r="DN26" s="55"/>
      <c r="DO26" s="511"/>
      <c r="DP26" s="511"/>
      <c r="DQ26" s="1126"/>
      <c r="DR26" s="514"/>
      <c r="DS26" s="515"/>
      <c r="DT26" s="514"/>
      <c r="DU26" s="516"/>
      <c r="DV26" s="516"/>
      <c r="DW26" s="516"/>
      <c r="DX26" s="516"/>
      <c r="DY26" s="516"/>
      <c r="DZ26" s="516"/>
      <c r="EA26" s="516"/>
      <c r="EB26" s="516"/>
      <c r="EC26" s="516"/>
      <c r="ED26" s="516"/>
      <c r="EE26" s="516"/>
      <c r="EF26" s="516"/>
      <c r="EG26" s="516"/>
      <c r="EH26" s="516"/>
      <c r="EI26" s="516"/>
      <c r="EJ26" s="516"/>
      <c r="EK26" s="516"/>
      <c r="EL26" s="516"/>
      <c r="EM26" s="516"/>
      <c r="EN26" s="516"/>
      <c r="EO26" s="516"/>
      <c r="EP26" s="1126"/>
    </row>
    <row r="27" spans="1:146" s="16" customFormat="1" ht="15.75" customHeight="1" x14ac:dyDescent="0.2">
      <c r="A27" s="120" t="s">
        <v>520</v>
      </c>
      <c r="B27" s="100"/>
      <c r="C27" s="45"/>
      <c r="D27" s="4"/>
      <c r="E27" s="25"/>
      <c r="F27" s="46"/>
      <c r="G27" s="17"/>
      <c r="H27" s="145"/>
      <c r="I27" s="165"/>
      <c r="J27" s="48"/>
      <c r="K27" s="165"/>
      <c r="L27" s="48"/>
      <c r="M27" s="165"/>
      <c r="N27" s="48"/>
      <c r="O27" s="165"/>
      <c r="P27" s="48"/>
      <c r="Q27" s="17"/>
      <c r="R27" s="17"/>
      <c r="S27" s="20"/>
      <c r="T27" s="14"/>
      <c r="U27" s="14"/>
      <c r="V27" s="108"/>
      <c r="W27" s="66"/>
      <c r="X27" s="57"/>
      <c r="Y27" s="80"/>
      <c r="Z27" s="57"/>
      <c r="AA27" s="55"/>
      <c r="AB27" s="55"/>
      <c r="AC27" s="6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72"/>
      <c r="AQ27" s="55"/>
      <c r="AR27" s="55"/>
      <c r="AS27" s="55">
        <f t="shared" si="6"/>
        <v>0</v>
      </c>
      <c r="AT27" s="55">
        <f t="shared" si="6"/>
        <v>0</v>
      </c>
      <c r="AU27" s="55">
        <f t="shared" si="6"/>
        <v>0</v>
      </c>
      <c r="AV27" s="55">
        <f t="shared" si="6"/>
        <v>0</v>
      </c>
      <c r="AW27" s="55">
        <f t="shared" si="6"/>
        <v>0</v>
      </c>
      <c r="AX27" s="57"/>
      <c r="AY27" s="80"/>
      <c r="AZ27" s="57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448"/>
      <c r="BL27" s="55"/>
      <c r="BM27" s="55"/>
      <c r="BN27" s="55"/>
      <c r="BO27" s="55"/>
      <c r="BP27" s="55"/>
      <c r="BQ27" s="57"/>
      <c r="BR27" s="80"/>
      <c r="BS27" s="57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448"/>
      <c r="CE27" s="4"/>
      <c r="CF27" s="25"/>
      <c r="CG27" s="46"/>
      <c r="CH27" s="17"/>
      <c r="CI27" s="145"/>
      <c r="CJ27" s="165"/>
      <c r="CK27" s="48"/>
      <c r="CL27" s="165"/>
      <c r="CM27" s="48"/>
      <c r="CN27" s="165"/>
      <c r="CO27" s="48"/>
      <c r="CP27" s="165"/>
      <c r="CQ27" s="48"/>
      <c r="CR27" s="17"/>
      <c r="CS27" s="17"/>
      <c r="CT27" s="20"/>
      <c r="CU27" s="14"/>
      <c r="CV27" s="725"/>
      <c r="CW27" s="57"/>
      <c r="CX27" s="80"/>
      <c r="CY27" s="57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448"/>
      <c r="DK27" s="55"/>
      <c r="DL27" s="55"/>
      <c r="DM27" s="55"/>
      <c r="DN27" s="55"/>
      <c r="DO27" s="511"/>
      <c r="DP27" s="511"/>
      <c r="DQ27" s="1126"/>
      <c r="DR27" s="514"/>
      <c r="DS27" s="515"/>
      <c r="DT27" s="514"/>
      <c r="DU27" s="516"/>
      <c r="DV27" s="516"/>
      <c r="DW27" s="516"/>
      <c r="DX27" s="516"/>
      <c r="DY27" s="516"/>
      <c r="DZ27" s="516"/>
      <c r="EA27" s="516"/>
      <c r="EB27" s="516"/>
      <c r="EC27" s="516"/>
      <c r="ED27" s="516"/>
      <c r="EE27" s="516"/>
      <c r="EF27" s="516"/>
      <c r="EG27" s="516"/>
      <c r="EH27" s="516"/>
      <c r="EI27" s="516"/>
      <c r="EJ27" s="516"/>
      <c r="EK27" s="516"/>
      <c r="EL27" s="516"/>
      <c r="EM27" s="516"/>
      <c r="EN27" s="516"/>
      <c r="EO27" s="516"/>
      <c r="EP27" s="1126"/>
    </row>
    <row r="28" spans="1:146" s="16" customFormat="1" ht="15.75" customHeight="1" x14ac:dyDescent="0.2">
      <c r="A28" s="100" t="s">
        <v>120</v>
      </c>
      <c r="B28" s="100" t="s">
        <v>521</v>
      </c>
      <c r="C28" s="45" t="s">
        <v>509</v>
      </c>
      <c r="D28" s="58">
        <v>10</v>
      </c>
      <c r="E28" s="53">
        <v>0.1</v>
      </c>
      <c r="F28" s="46">
        <v>42185</v>
      </c>
      <c r="G28" s="48">
        <v>120</v>
      </c>
      <c r="H28" s="145">
        <f>100/G28</f>
        <v>0.83333333333333337</v>
      </c>
      <c r="I28" s="165">
        <f>H28*J28</f>
        <v>64.166666666666671</v>
      </c>
      <c r="J28" s="48">
        <f>(YEAR(F28)-YEAR(S28))*12+MONTH(F28)-MONTH(S28)</f>
        <v>77</v>
      </c>
      <c r="K28" s="165">
        <f>L28*H28</f>
        <v>35.833333333333336</v>
      </c>
      <c r="L28" s="48">
        <f>G28-J28</f>
        <v>43</v>
      </c>
      <c r="M28" s="165">
        <f>N28*H28</f>
        <v>5.8333333333333339</v>
      </c>
      <c r="N28" s="48">
        <v>7</v>
      </c>
      <c r="O28" s="165">
        <f>P28*H28</f>
        <v>30</v>
      </c>
      <c r="P28" s="48">
        <f>L28-N28</f>
        <v>36</v>
      </c>
      <c r="Q28" s="48"/>
      <c r="R28" s="48" t="s">
        <v>445</v>
      </c>
      <c r="S28" s="46">
        <v>39814</v>
      </c>
      <c r="T28" s="47">
        <v>86.9</v>
      </c>
      <c r="U28" s="47">
        <v>31.19</v>
      </c>
      <c r="V28" s="106">
        <v>3.6</v>
      </c>
      <c r="W28" s="66"/>
      <c r="X28" s="57">
        <v>115.958</v>
      </c>
      <c r="Y28" s="80">
        <v>134.071</v>
      </c>
      <c r="Z28" s="57">
        <f>X28/Y28</f>
        <v>0.8648999410759971</v>
      </c>
      <c r="AA28" s="55">
        <f>U28*M28/100/K28*100/7</f>
        <v>0.72534883720930232</v>
      </c>
      <c r="AB28" s="55">
        <f>AA28*Z28</f>
        <v>0.6273541665618686</v>
      </c>
      <c r="AC28" s="55"/>
      <c r="AD28" s="55"/>
      <c r="AE28" s="55"/>
      <c r="AF28" s="55"/>
      <c r="AG28" s="55"/>
      <c r="AH28" s="55">
        <v>0.63</v>
      </c>
      <c r="AI28" s="55">
        <v>0.63</v>
      </c>
      <c r="AJ28" s="55">
        <v>0.63</v>
      </c>
      <c r="AK28" s="55">
        <v>0.63</v>
      </c>
      <c r="AL28" s="55">
        <v>0.63</v>
      </c>
      <c r="AM28" s="55">
        <v>0.63</v>
      </c>
      <c r="AN28" s="55">
        <v>0.63</v>
      </c>
      <c r="AO28" s="55">
        <f>SUM(AC28:AN28)</f>
        <v>4.41</v>
      </c>
      <c r="AP28" s="72">
        <f>U28-AO28</f>
        <v>26.78</v>
      </c>
      <c r="AQ28" s="55"/>
      <c r="AR28" s="55"/>
      <c r="AS28" s="55">
        <f t="shared" si="6"/>
        <v>0.63</v>
      </c>
      <c r="AT28" s="55">
        <f t="shared" si="6"/>
        <v>0.63</v>
      </c>
      <c r="AU28" s="55">
        <f t="shared" si="6"/>
        <v>0.63</v>
      </c>
      <c r="AV28" s="55">
        <f t="shared" si="6"/>
        <v>0.63</v>
      </c>
      <c r="AW28" s="55">
        <f t="shared" si="6"/>
        <v>0.63</v>
      </c>
      <c r="AX28" s="57">
        <v>118.901</v>
      </c>
      <c r="AY28" s="80">
        <v>134.071</v>
      </c>
      <c r="AZ28" s="57">
        <f>AX28/AY28</f>
        <v>0.88685099685987279</v>
      </c>
      <c r="BA28" s="55">
        <f t="shared" si="3"/>
        <v>0.72416666666666674</v>
      </c>
      <c r="BB28" s="55">
        <f>BA28*AZ28</f>
        <v>0.64222793022602465</v>
      </c>
      <c r="BC28" s="55">
        <f t="shared" ref="BC28:BF29" si="7">$BB28</f>
        <v>0.64222793022602465</v>
      </c>
      <c r="BD28" s="55">
        <f t="shared" si="7"/>
        <v>0.64222793022602465</v>
      </c>
      <c r="BE28" s="55">
        <f t="shared" si="7"/>
        <v>0.64222793022602465</v>
      </c>
      <c r="BF28" s="55">
        <f t="shared" si="7"/>
        <v>0.64222793022602465</v>
      </c>
      <c r="BG28" s="55">
        <v>0.64</v>
      </c>
      <c r="BH28" s="55">
        <v>0.64</v>
      </c>
      <c r="BI28" s="55">
        <v>0.64</v>
      </c>
      <c r="BJ28" s="55">
        <f t="shared" si="5"/>
        <v>7.6389117209040966</v>
      </c>
      <c r="BK28" s="448">
        <f>(AP28-BJ28)</f>
        <v>19.141088279095904</v>
      </c>
      <c r="BL28" s="55">
        <v>0.64</v>
      </c>
      <c r="BM28" s="55">
        <v>0.64</v>
      </c>
      <c r="BN28" s="55">
        <v>0.64</v>
      </c>
      <c r="BO28" s="55">
        <v>0.64</v>
      </c>
      <c r="BP28" s="55">
        <v>0.64</v>
      </c>
      <c r="BQ28" s="57">
        <v>118.901</v>
      </c>
      <c r="BR28" s="80">
        <v>134.071</v>
      </c>
      <c r="BS28" s="57">
        <f>BQ28/BR28</f>
        <v>0.88685099685987279</v>
      </c>
      <c r="BT28" s="55"/>
      <c r="BU28" s="55"/>
      <c r="BV28" s="55"/>
      <c r="BW28" s="55"/>
      <c r="BX28" s="55"/>
      <c r="BY28" s="55"/>
      <c r="BZ28" s="55"/>
      <c r="CA28" s="55"/>
      <c r="CB28" s="55"/>
      <c r="CC28" s="55">
        <f>SUM((BL28:BP28),(BV28:CB28))</f>
        <v>3.2</v>
      </c>
      <c r="CD28" s="448">
        <f>BK28-CC28</f>
        <v>15.941088279095904</v>
      </c>
      <c r="CE28" s="58">
        <v>10</v>
      </c>
      <c r="CF28" s="53">
        <v>0.1</v>
      </c>
      <c r="CG28" s="46">
        <v>43281</v>
      </c>
      <c r="CH28" s="48">
        <v>120</v>
      </c>
      <c r="CI28" s="145">
        <f>CU28/CH28/100</f>
        <v>7.2416666666666671E-3</v>
      </c>
      <c r="CJ28" s="165">
        <f>CI28*CK28</f>
        <v>0.81830833333333342</v>
      </c>
      <c r="CK28" s="48">
        <f>(YEAR(CG28)-YEAR(CT28))*12+MONTH(CG28)-MONTH(CT28)</f>
        <v>113</v>
      </c>
      <c r="CL28" s="165">
        <f>CM28*CI28</f>
        <v>5.069166666666667E-2</v>
      </c>
      <c r="CM28" s="48">
        <f>CH28-CK28</f>
        <v>7</v>
      </c>
      <c r="CN28" s="165">
        <f>CO28*CI28</f>
        <v>5.069166666666667E-2</v>
      </c>
      <c r="CO28" s="48">
        <f>CH28-CK28</f>
        <v>7</v>
      </c>
      <c r="CP28" s="165">
        <f>CQ28*CI28</f>
        <v>0</v>
      </c>
      <c r="CQ28" s="48">
        <f>CM28-CO28</f>
        <v>0</v>
      </c>
      <c r="CR28" s="462">
        <f>DATE(YEAR(CT28),MONTH(CT28)+CH28,DAY(CT28))</f>
        <v>43466</v>
      </c>
      <c r="CS28" s="48" t="s">
        <v>445</v>
      </c>
      <c r="CT28" s="46">
        <v>39814</v>
      </c>
      <c r="CU28" s="47">
        <v>86.9</v>
      </c>
      <c r="CV28" s="725">
        <v>15.941088279095904</v>
      </c>
      <c r="CW28" s="57">
        <v>126.408</v>
      </c>
      <c r="CX28" s="80">
        <v>134.071</v>
      </c>
      <c r="CY28" s="57">
        <f>CW28/CX28</f>
        <v>0.94284371713495085</v>
      </c>
      <c r="CZ28" s="55">
        <f>CV28/CO28</f>
        <v>2.2772983255851291</v>
      </c>
      <c r="DA28" s="55">
        <f>CZ28*CY28</f>
        <v>2.1471364183198829</v>
      </c>
      <c r="DB28" s="55">
        <v>2.1471364183198829</v>
      </c>
      <c r="DC28" s="55">
        <v>2.1471364183198829</v>
      </c>
      <c r="DD28" s="55">
        <v>2.1471364183198829</v>
      </c>
      <c r="DE28" s="55">
        <v>2.1471364183198829</v>
      </c>
      <c r="DF28" s="55">
        <v>2.1471364183198829</v>
      </c>
      <c r="DG28" s="55">
        <v>2.1471364183198829</v>
      </c>
      <c r="DH28" s="55">
        <v>2.15</v>
      </c>
      <c r="DI28" s="55">
        <f>SUM(DB28:DH28)</f>
        <v>15.032818509919299</v>
      </c>
      <c r="DJ28" s="448">
        <f>CV28-DI28</f>
        <v>0.90826976917660573</v>
      </c>
      <c r="DK28" s="55">
        <v>0</v>
      </c>
      <c r="DL28" s="55">
        <v>0</v>
      </c>
      <c r="DM28" s="55">
        <v>-0.09</v>
      </c>
      <c r="DN28" s="55">
        <v>0</v>
      </c>
      <c r="DO28" s="511"/>
      <c r="DP28" s="511">
        <f t="shared" si="0"/>
        <v>-0.09</v>
      </c>
      <c r="DQ28" s="1126">
        <f>DJ28-DP28</f>
        <v>0.9982697691766057</v>
      </c>
      <c r="DR28" s="514">
        <v>132.28200000000001</v>
      </c>
      <c r="DS28" s="515">
        <v>134.071</v>
      </c>
      <c r="DT28" s="514">
        <f>DR28/DS28</f>
        <v>0.98665632388808922</v>
      </c>
      <c r="DU28" s="516">
        <v>0</v>
      </c>
      <c r="DV28" s="516">
        <f>DU28*DT28</f>
        <v>0</v>
      </c>
      <c r="DW28" s="516">
        <v>0</v>
      </c>
      <c r="DX28" s="516">
        <v>0</v>
      </c>
      <c r="DY28" s="516"/>
      <c r="DZ28" s="516"/>
      <c r="EA28" s="516"/>
      <c r="EB28" s="516"/>
      <c r="EC28" s="516">
        <v>0</v>
      </c>
      <c r="ED28" s="516">
        <v>0</v>
      </c>
      <c r="EE28" s="516">
        <v>0</v>
      </c>
      <c r="EF28" s="516">
        <v>0</v>
      </c>
      <c r="EG28" s="516">
        <v>0</v>
      </c>
      <c r="EH28" s="516">
        <v>0</v>
      </c>
      <c r="EI28" s="516">
        <v>0</v>
      </c>
      <c r="EJ28" s="516">
        <v>0</v>
      </c>
      <c r="EK28" s="516">
        <v>0</v>
      </c>
      <c r="EL28" s="516">
        <v>0</v>
      </c>
      <c r="EM28" s="516">
        <v>0</v>
      </c>
      <c r="EN28" s="516">
        <v>0</v>
      </c>
      <c r="EO28" s="516">
        <f>SUM(DW28:EC28)</f>
        <v>0</v>
      </c>
      <c r="EP28" s="1126">
        <f>DQ28-EO28</f>
        <v>0.9982697691766057</v>
      </c>
    </row>
    <row r="29" spans="1:146" s="16" customFormat="1" ht="15.75" customHeight="1" x14ac:dyDescent="0.2">
      <c r="A29" s="100" t="s">
        <v>120</v>
      </c>
      <c r="B29" s="100" t="s">
        <v>522</v>
      </c>
      <c r="C29" s="45" t="s">
        <v>509</v>
      </c>
      <c r="D29" s="58">
        <v>10</v>
      </c>
      <c r="E29" s="53">
        <v>0.1</v>
      </c>
      <c r="F29" s="46">
        <v>42185</v>
      </c>
      <c r="G29" s="48">
        <v>120</v>
      </c>
      <c r="H29" s="145">
        <f>100/G29</f>
        <v>0.83333333333333337</v>
      </c>
      <c r="I29" s="165">
        <f>H29*J29</f>
        <v>64.166666666666671</v>
      </c>
      <c r="J29" s="48">
        <f>(YEAR(F29)-YEAR(S29))*12+MONTH(F29)-MONTH(S29)</f>
        <v>77</v>
      </c>
      <c r="K29" s="165">
        <f>L29*H29</f>
        <v>35.833333333333336</v>
      </c>
      <c r="L29" s="48">
        <f>G29-J29</f>
        <v>43</v>
      </c>
      <c r="M29" s="165">
        <f>N29*H29</f>
        <v>5.8333333333333339</v>
      </c>
      <c r="N29" s="48">
        <v>7</v>
      </c>
      <c r="O29" s="165">
        <f>P29*H29</f>
        <v>30</v>
      </c>
      <c r="P29" s="48">
        <f>L29-N29</f>
        <v>36</v>
      </c>
      <c r="Q29" s="48"/>
      <c r="R29" s="48" t="s">
        <v>445</v>
      </c>
      <c r="S29" s="46">
        <v>39814</v>
      </c>
      <c r="T29" s="47">
        <v>300</v>
      </c>
      <c r="U29" s="47">
        <v>107.5</v>
      </c>
      <c r="V29" s="106">
        <v>12.5</v>
      </c>
      <c r="W29" s="165"/>
      <c r="X29" s="57">
        <v>115.958</v>
      </c>
      <c r="Y29" s="80">
        <v>134.071</v>
      </c>
      <c r="Z29" s="57">
        <f>X29/Y29</f>
        <v>0.8648999410759971</v>
      </c>
      <c r="AA29" s="55">
        <f>U29*M29/100/K29*100/7</f>
        <v>2.5</v>
      </c>
      <c r="AB29" s="55">
        <f>AA29*Z29</f>
        <v>2.1622498526899929</v>
      </c>
      <c r="AC29" s="55"/>
      <c r="AD29" s="55"/>
      <c r="AE29" s="55"/>
      <c r="AF29" s="55"/>
      <c r="AG29" s="55"/>
      <c r="AH29" s="55">
        <v>2.16</v>
      </c>
      <c r="AI29" s="55">
        <v>2.16</v>
      </c>
      <c r="AJ29" s="55">
        <v>2.16</v>
      </c>
      <c r="AK29" s="55">
        <v>2.16</v>
      </c>
      <c r="AL29" s="55">
        <v>2.16</v>
      </c>
      <c r="AM29" s="55">
        <v>2.16</v>
      </c>
      <c r="AN29" s="55">
        <v>2.16</v>
      </c>
      <c r="AO29" s="55">
        <f>SUM(AC29:AN29)</f>
        <v>15.120000000000001</v>
      </c>
      <c r="AP29" s="72">
        <f>U29-AO29</f>
        <v>92.38</v>
      </c>
      <c r="AQ29" s="55"/>
      <c r="AR29" s="55"/>
      <c r="AS29" s="55">
        <f t="shared" si="6"/>
        <v>2.16</v>
      </c>
      <c r="AT29" s="55">
        <f t="shared" si="6"/>
        <v>2.16</v>
      </c>
      <c r="AU29" s="55">
        <f t="shared" si="6"/>
        <v>2.16</v>
      </c>
      <c r="AV29" s="55">
        <f t="shared" si="6"/>
        <v>2.16</v>
      </c>
      <c r="AW29" s="55">
        <f t="shared" si="6"/>
        <v>2.16</v>
      </c>
      <c r="AX29" s="57">
        <v>118.901</v>
      </c>
      <c r="AY29" s="80">
        <v>134.071</v>
      </c>
      <c r="AZ29" s="57">
        <f>AX29/AY29</f>
        <v>0.88685099685987279</v>
      </c>
      <c r="BA29" s="55">
        <f t="shared" si="3"/>
        <v>2.5</v>
      </c>
      <c r="BB29" s="55">
        <f>BA29*AZ29</f>
        <v>2.217127492149682</v>
      </c>
      <c r="BC29" s="55">
        <f t="shared" si="7"/>
        <v>2.217127492149682</v>
      </c>
      <c r="BD29" s="55">
        <f t="shared" si="7"/>
        <v>2.217127492149682</v>
      </c>
      <c r="BE29" s="55">
        <f t="shared" si="7"/>
        <v>2.217127492149682</v>
      </c>
      <c r="BF29" s="55">
        <f t="shared" si="7"/>
        <v>2.217127492149682</v>
      </c>
      <c r="BG29" s="55">
        <v>2.2200000000000002</v>
      </c>
      <c r="BH29" s="55">
        <v>2.2200000000000002</v>
      </c>
      <c r="BI29" s="55">
        <v>2.2200000000000002</v>
      </c>
      <c r="BJ29" s="55">
        <f t="shared" si="5"/>
        <v>26.328509968598727</v>
      </c>
      <c r="BK29" s="448">
        <f>(AP29-BJ29)</f>
        <v>66.051490031401272</v>
      </c>
      <c r="BL29" s="55">
        <v>2.2200000000000002</v>
      </c>
      <c r="BM29" s="55">
        <v>2.2200000000000002</v>
      </c>
      <c r="BN29" s="55">
        <v>2.2200000000000002</v>
      </c>
      <c r="BO29" s="55">
        <v>2.2200000000000002</v>
      </c>
      <c r="BP29" s="55">
        <v>2.2200000000000002</v>
      </c>
      <c r="BQ29" s="57">
        <v>118.901</v>
      </c>
      <c r="BR29" s="80">
        <v>134.071</v>
      </c>
      <c r="BS29" s="57">
        <f>BQ29/BR29</f>
        <v>0.88685099685987279</v>
      </c>
      <c r="BT29" s="55"/>
      <c r="BU29" s="55"/>
      <c r="BV29" s="55"/>
      <c r="BW29" s="55"/>
      <c r="BX29" s="55"/>
      <c r="BY29" s="55"/>
      <c r="BZ29" s="55"/>
      <c r="CA29" s="55"/>
      <c r="CB29" s="55"/>
      <c r="CC29" s="55">
        <f>SUM((BL29:BP29),(BV29:CB29))</f>
        <v>11.100000000000001</v>
      </c>
      <c r="CD29" s="448">
        <f>BK29-CC29</f>
        <v>54.951490031401271</v>
      </c>
      <c r="CE29" s="58">
        <v>10</v>
      </c>
      <c r="CF29" s="53">
        <v>0.1</v>
      </c>
      <c r="CG29" s="46">
        <v>43281</v>
      </c>
      <c r="CH29" s="48">
        <v>120</v>
      </c>
      <c r="CI29" s="145">
        <f>CU29/CH29/100</f>
        <v>2.5000000000000001E-2</v>
      </c>
      <c r="CJ29" s="165">
        <f>CI29*CK29</f>
        <v>2.8250000000000002</v>
      </c>
      <c r="CK29" s="48">
        <f>(YEAR(CG29)-YEAR(CT29))*12+MONTH(CG29)-MONTH(CT29)</f>
        <v>113</v>
      </c>
      <c r="CL29" s="165">
        <f>CM29*CI29</f>
        <v>0.17500000000000002</v>
      </c>
      <c r="CM29" s="48">
        <f>CH29-CK29</f>
        <v>7</v>
      </c>
      <c r="CN29" s="165">
        <f>CO29*CI29</f>
        <v>0.17500000000000002</v>
      </c>
      <c r="CO29" s="48">
        <f>CH29-CK29</f>
        <v>7</v>
      </c>
      <c r="CP29" s="165">
        <f>CQ29*CI29</f>
        <v>0</v>
      </c>
      <c r="CQ29" s="48">
        <f>CM29-CO29</f>
        <v>0</v>
      </c>
      <c r="CR29" s="462">
        <f>DATE(YEAR(CT29),MONTH(CT29)+CH29,DAY(CT29))</f>
        <v>43466</v>
      </c>
      <c r="CS29" s="48" t="s">
        <v>445</v>
      </c>
      <c r="CT29" s="46">
        <v>39814</v>
      </c>
      <c r="CU29" s="47">
        <v>300</v>
      </c>
      <c r="CV29" s="725">
        <v>54.951490031401271</v>
      </c>
      <c r="CW29" s="57">
        <v>126.408</v>
      </c>
      <c r="CX29" s="80">
        <v>134.071</v>
      </c>
      <c r="CY29" s="57">
        <f>CW29/CX29</f>
        <v>0.94284371713495085</v>
      </c>
      <c r="CZ29" s="55">
        <f>CV29/CO29</f>
        <v>7.8502128616287532</v>
      </c>
      <c r="DA29" s="55">
        <f>CZ29*CY29</f>
        <v>7.4015238747586531</v>
      </c>
      <c r="DB29" s="55">
        <v>7.4015238747586531</v>
      </c>
      <c r="DC29" s="55">
        <v>7.4015238747586531</v>
      </c>
      <c r="DD29" s="55">
        <v>7.4015238747586531</v>
      </c>
      <c r="DE29" s="55">
        <v>7.4015238747586531</v>
      </c>
      <c r="DF29" s="55">
        <v>7.4015238747586531</v>
      </c>
      <c r="DG29" s="55">
        <v>7.4015238747586531</v>
      </c>
      <c r="DH29" s="55">
        <v>7.4015238747586531</v>
      </c>
      <c r="DI29" s="55">
        <f>SUM(DB29:DH29)</f>
        <v>51.810667123310573</v>
      </c>
      <c r="DJ29" s="448">
        <f>CV29-DI29</f>
        <v>3.1408229080906978</v>
      </c>
      <c r="DK29" s="55">
        <v>2.14</v>
      </c>
      <c r="DL29" s="55">
        <v>0</v>
      </c>
      <c r="DM29" s="55">
        <v>0</v>
      </c>
      <c r="DN29" s="55">
        <v>0</v>
      </c>
      <c r="DO29" s="511"/>
      <c r="DP29" s="511">
        <f t="shared" si="0"/>
        <v>2.14</v>
      </c>
      <c r="DQ29" s="1126">
        <f>DJ29-DP29</f>
        <v>1.0008229080906976</v>
      </c>
      <c r="DR29" s="514">
        <v>132.28200000000001</v>
      </c>
      <c r="DS29" s="515">
        <v>134.071</v>
      </c>
      <c r="DT29" s="514">
        <f>DR29/DS29</f>
        <v>0.98665632388808922</v>
      </c>
      <c r="DU29" s="516">
        <v>0</v>
      </c>
      <c r="DV29" s="516">
        <f>DU29*DT29</f>
        <v>0</v>
      </c>
      <c r="DW29" s="516">
        <v>0</v>
      </c>
      <c r="DX29" s="516">
        <v>0</v>
      </c>
      <c r="DY29" s="516"/>
      <c r="DZ29" s="516"/>
      <c r="EA29" s="516"/>
      <c r="EB29" s="516"/>
      <c r="EC29" s="516">
        <v>0</v>
      </c>
      <c r="ED29" s="516">
        <v>0</v>
      </c>
      <c r="EE29" s="516">
        <v>0</v>
      </c>
      <c r="EF29" s="516">
        <v>0</v>
      </c>
      <c r="EG29" s="516">
        <v>0</v>
      </c>
      <c r="EH29" s="516">
        <v>0</v>
      </c>
      <c r="EI29" s="516">
        <v>0</v>
      </c>
      <c r="EJ29" s="516">
        <v>0</v>
      </c>
      <c r="EK29" s="516">
        <v>0</v>
      </c>
      <c r="EL29" s="516">
        <v>0</v>
      </c>
      <c r="EM29" s="516">
        <v>0</v>
      </c>
      <c r="EN29" s="516">
        <v>0</v>
      </c>
      <c r="EO29" s="516">
        <f>SUM(DW29:EC29)</f>
        <v>0</v>
      </c>
      <c r="EP29" s="1126">
        <f>DQ29-EO29</f>
        <v>1.0008229080906976</v>
      </c>
    </row>
    <row r="30" spans="1:146" s="16" customFormat="1" ht="15.75" customHeight="1" x14ac:dyDescent="0.2">
      <c r="A30" s="120" t="s">
        <v>539</v>
      </c>
      <c r="B30" s="120"/>
      <c r="C30" s="45"/>
      <c r="D30" s="27"/>
      <c r="E30" s="25"/>
      <c r="F30" s="46"/>
      <c r="G30" s="17"/>
      <c r="H30" s="145"/>
      <c r="I30" s="165"/>
      <c r="J30" s="48"/>
      <c r="K30" s="165"/>
      <c r="L30" s="48"/>
      <c r="M30" s="165"/>
      <c r="N30" s="48"/>
      <c r="O30" s="165"/>
      <c r="P30" s="48"/>
      <c r="Q30" s="17"/>
      <c r="R30" s="17"/>
      <c r="S30" s="20"/>
      <c r="T30" s="14"/>
      <c r="U30" s="14"/>
      <c r="V30" s="108"/>
      <c r="W30" s="66"/>
      <c r="X30" s="57"/>
      <c r="Y30" s="80"/>
      <c r="Z30" s="57"/>
      <c r="AA30" s="55"/>
      <c r="AB30" s="55"/>
      <c r="AC30" s="6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72"/>
      <c r="AQ30" s="55"/>
      <c r="AR30" s="55"/>
      <c r="AS30" s="55">
        <f t="shared" si="6"/>
        <v>0</v>
      </c>
      <c r="AT30" s="55">
        <f t="shared" si="6"/>
        <v>0</v>
      </c>
      <c r="AU30" s="55">
        <f t="shared" si="6"/>
        <v>0</v>
      </c>
      <c r="AV30" s="55">
        <f t="shared" si="6"/>
        <v>0</v>
      </c>
      <c r="AW30" s="55">
        <f t="shared" si="6"/>
        <v>0</v>
      </c>
      <c r="AX30" s="57"/>
      <c r="AY30" s="80"/>
      <c r="AZ30" s="57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448"/>
      <c r="BL30" s="55"/>
      <c r="BM30" s="55"/>
      <c r="BN30" s="55"/>
      <c r="BO30" s="55"/>
      <c r="BP30" s="55"/>
      <c r="BQ30" s="57"/>
      <c r="BR30" s="80"/>
      <c r="BS30" s="57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448"/>
      <c r="CE30" s="27"/>
      <c r="CF30" s="25"/>
      <c r="CG30" s="46"/>
      <c r="CH30" s="17"/>
      <c r="CI30" s="145"/>
      <c r="CJ30" s="165"/>
      <c r="CK30" s="48"/>
      <c r="CL30" s="165"/>
      <c r="CM30" s="48"/>
      <c r="CN30" s="165"/>
      <c r="CO30" s="48"/>
      <c r="CP30" s="165"/>
      <c r="CQ30" s="48"/>
      <c r="CR30" s="17"/>
      <c r="CS30" s="17"/>
      <c r="CT30" s="20"/>
      <c r="CU30" s="14"/>
      <c r="CV30" s="725"/>
      <c r="CW30" s="57"/>
      <c r="CX30" s="80"/>
      <c r="CY30" s="57"/>
      <c r="CZ30" s="55"/>
      <c r="DA30" s="55"/>
      <c r="DB30" s="55"/>
      <c r="DC30" s="55"/>
      <c r="DD30" s="55"/>
      <c r="DE30" s="55"/>
      <c r="DF30" s="55"/>
      <c r="DG30" s="55"/>
      <c r="DH30" s="55"/>
      <c r="DI30" s="55"/>
      <c r="DJ30" s="448"/>
      <c r="DK30" s="55"/>
      <c r="DL30" s="55"/>
      <c r="DM30" s="55"/>
      <c r="DN30" s="55"/>
      <c r="DO30" s="511"/>
      <c r="DP30" s="511"/>
      <c r="DQ30" s="1126"/>
      <c r="DR30" s="514"/>
      <c r="DS30" s="515"/>
      <c r="DT30" s="514"/>
      <c r="DU30" s="516"/>
      <c r="DV30" s="516"/>
      <c r="DW30" s="516"/>
      <c r="DX30" s="516"/>
      <c r="DY30" s="516"/>
      <c r="DZ30" s="516"/>
      <c r="EA30" s="516"/>
      <c r="EB30" s="516"/>
      <c r="EC30" s="516"/>
      <c r="ED30" s="516"/>
      <c r="EE30" s="516"/>
      <c r="EF30" s="516"/>
      <c r="EG30" s="516"/>
      <c r="EH30" s="516"/>
      <c r="EI30" s="516"/>
      <c r="EJ30" s="516"/>
      <c r="EK30" s="516"/>
      <c r="EL30" s="516"/>
      <c r="EM30" s="516"/>
      <c r="EN30" s="516"/>
      <c r="EO30" s="516"/>
      <c r="EP30" s="1126"/>
    </row>
    <row r="31" spans="1:146" s="16" customFormat="1" ht="15.75" customHeight="1" x14ac:dyDescent="0.2">
      <c r="A31" s="120" t="s">
        <v>83</v>
      </c>
      <c r="B31" s="100"/>
      <c r="C31" s="45"/>
      <c r="D31" s="4"/>
      <c r="E31" s="25"/>
      <c r="F31" s="46"/>
      <c r="G31" s="17"/>
      <c r="H31" s="145"/>
      <c r="I31" s="165"/>
      <c r="J31" s="48"/>
      <c r="K31" s="165"/>
      <c r="L31" s="48"/>
      <c r="M31" s="165"/>
      <c r="N31" s="48"/>
      <c r="O31" s="165"/>
      <c r="P31" s="48"/>
      <c r="Q31" s="48"/>
      <c r="R31" s="17"/>
      <c r="S31" s="20"/>
      <c r="T31" s="14"/>
      <c r="U31" s="14"/>
      <c r="V31" s="108"/>
      <c r="W31" s="66"/>
      <c r="X31" s="66"/>
      <c r="Y31" s="80"/>
      <c r="Z31" s="66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72"/>
      <c r="AQ31" s="55"/>
      <c r="AR31" s="55"/>
      <c r="AS31" s="55">
        <f t="shared" si="6"/>
        <v>0</v>
      </c>
      <c r="AT31" s="55">
        <f t="shared" si="6"/>
        <v>0</v>
      </c>
      <c r="AU31" s="55">
        <f t="shared" si="6"/>
        <v>0</v>
      </c>
      <c r="AV31" s="55">
        <f t="shared" si="6"/>
        <v>0</v>
      </c>
      <c r="AW31" s="55">
        <f t="shared" si="6"/>
        <v>0</v>
      </c>
      <c r="AX31" s="66"/>
      <c r="AY31" s="80"/>
      <c r="AZ31" s="66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448"/>
      <c r="BL31" s="55"/>
      <c r="BM31" s="55"/>
      <c r="BN31" s="55"/>
      <c r="BO31" s="55"/>
      <c r="BP31" s="55"/>
      <c r="BQ31" s="66"/>
      <c r="BR31" s="80"/>
      <c r="BS31" s="66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448"/>
      <c r="CE31" s="4"/>
      <c r="CF31" s="25"/>
      <c r="CG31" s="46"/>
      <c r="CH31" s="17"/>
      <c r="CI31" s="145"/>
      <c r="CJ31" s="165"/>
      <c r="CK31" s="48"/>
      <c r="CL31" s="165"/>
      <c r="CM31" s="48"/>
      <c r="CN31" s="165"/>
      <c r="CO31" s="48"/>
      <c r="CP31" s="165"/>
      <c r="CQ31" s="48"/>
      <c r="CR31" s="48"/>
      <c r="CS31" s="17"/>
      <c r="CT31" s="20"/>
      <c r="CU31" s="14"/>
      <c r="CV31" s="725"/>
      <c r="CW31" s="66"/>
      <c r="CX31" s="80"/>
      <c r="CY31" s="66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448"/>
      <c r="DK31" s="55"/>
      <c r="DL31" s="55"/>
      <c r="DM31" s="55"/>
      <c r="DN31" s="55"/>
      <c r="DO31" s="511"/>
      <c r="DP31" s="511"/>
      <c r="DQ31" s="1126"/>
      <c r="DR31" s="514"/>
      <c r="DS31" s="515"/>
      <c r="DT31" s="514"/>
      <c r="DU31" s="516"/>
      <c r="DV31" s="516"/>
      <c r="DW31" s="516"/>
      <c r="DX31" s="516"/>
      <c r="DY31" s="516"/>
      <c r="DZ31" s="516"/>
      <c r="EA31" s="516"/>
      <c r="EB31" s="516"/>
      <c r="EC31" s="516"/>
      <c r="ED31" s="516"/>
      <c r="EE31" s="516"/>
      <c r="EF31" s="516"/>
      <c r="EG31" s="516"/>
      <c r="EH31" s="516"/>
      <c r="EI31" s="516"/>
      <c r="EJ31" s="516"/>
      <c r="EK31" s="516"/>
      <c r="EL31" s="516"/>
      <c r="EM31" s="516"/>
      <c r="EN31" s="516"/>
      <c r="EO31" s="516"/>
      <c r="EP31" s="1126"/>
    </row>
    <row r="32" spans="1:146" s="16" customFormat="1" ht="15.75" customHeight="1" x14ac:dyDescent="0.2">
      <c r="A32" s="176" t="s">
        <v>121</v>
      </c>
      <c r="B32" s="176" t="s">
        <v>523</v>
      </c>
      <c r="C32" s="177" t="s">
        <v>509</v>
      </c>
      <c r="D32" s="178">
        <v>10</v>
      </c>
      <c r="E32" s="179">
        <v>0.1</v>
      </c>
      <c r="F32" s="46">
        <v>42185</v>
      </c>
      <c r="G32" s="180">
        <v>120</v>
      </c>
      <c r="H32" s="145">
        <f>100/G32</f>
        <v>0.83333333333333337</v>
      </c>
      <c r="I32" s="165">
        <f>H32*J32</f>
        <v>104.16666666666667</v>
      </c>
      <c r="J32" s="48">
        <f>(YEAR(F32)-YEAR(S32))*12+MONTH(F32)-MONTH(S32)</f>
        <v>125</v>
      </c>
      <c r="K32" s="165">
        <f>L32*H32</f>
        <v>0</v>
      </c>
      <c r="L32" s="48">
        <v>0</v>
      </c>
      <c r="M32" s="165">
        <f>N32*H32</f>
        <v>0</v>
      </c>
      <c r="N32" s="48">
        <v>0</v>
      </c>
      <c r="O32" s="165">
        <f>P32*H32</f>
        <v>0</v>
      </c>
      <c r="P32" s="48">
        <f>L32-N32</f>
        <v>0</v>
      </c>
      <c r="Q32" s="48"/>
      <c r="R32" s="183" t="s">
        <v>445</v>
      </c>
      <c r="S32" s="181">
        <v>38353</v>
      </c>
      <c r="T32" s="182">
        <v>853</v>
      </c>
      <c r="U32" s="182">
        <v>1</v>
      </c>
      <c r="V32" s="184">
        <v>0</v>
      </c>
      <c r="W32" s="165"/>
      <c r="X32" s="57">
        <v>115.958</v>
      </c>
      <c r="Y32" s="80">
        <v>112.554</v>
      </c>
      <c r="Z32" s="57">
        <f>X32/Y32</f>
        <v>1.0302432610124916</v>
      </c>
      <c r="AA32" s="55">
        <v>0</v>
      </c>
      <c r="AB32" s="55">
        <v>0</v>
      </c>
      <c r="AC32" s="55"/>
      <c r="AD32" s="55"/>
      <c r="AE32" s="55"/>
      <c r="AF32" s="55"/>
      <c r="AG32" s="55"/>
      <c r="AH32" s="55">
        <v>0</v>
      </c>
      <c r="AI32" s="55">
        <v>0</v>
      </c>
      <c r="AJ32" s="55">
        <v>0</v>
      </c>
      <c r="AK32" s="55">
        <v>0</v>
      </c>
      <c r="AL32" s="55">
        <v>0</v>
      </c>
      <c r="AM32" s="55">
        <v>0</v>
      </c>
      <c r="AN32" s="55">
        <v>0</v>
      </c>
      <c r="AO32" s="55">
        <f>SUM(AC32:AN32)</f>
        <v>0</v>
      </c>
      <c r="AP32" s="72">
        <f>U32-AO32</f>
        <v>1</v>
      </c>
      <c r="AQ32" s="55"/>
      <c r="AR32" s="55"/>
      <c r="AS32" s="55">
        <f t="shared" si="6"/>
        <v>0</v>
      </c>
      <c r="AT32" s="55">
        <f t="shared" si="6"/>
        <v>0</v>
      </c>
      <c r="AU32" s="55">
        <f t="shared" si="6"/>
        <v>0</v>
      </c>
      <c r="AV32" s="55">
        <f t="shared" si="6"/>
        <v>0</v>
      </c>
      <c r="AW32" s="55">
        <f t="shared" si="6"/>
        <v>0</v>
      </c>
      <c r="AX32" s="57">
        <v>118.901</v>
      </c>
      <c r="AY32" s="80">
        <v>112.554</v>
      </c>
      <c r="AZ32" s="57">
        <f>AX32/AY32</f>
        <v>1.0563907102368639</v>
      </c>
      <c r="BA32" s="55">
        <f t="shared" si="3"/>
        <v>7.1083333333333334</v>
      </c>
      <c r="BB32" s="55"/>
      <c r="BC32" s="55"/>
      <c r="BD32" s="55"/>
      <c r="BE32" s="55"/>
      <c r="BF32" s="55"/>
      <c r="BG32" s="55"/>
      <c r="BH32" s="55"/>
      <c r="BI32" s="55"/>
      <c r="BJ32" s="55"/>
      <c r="BK32" s="448">
        <f>(AP32-BJ32)</f>
        <v>1</v>
      </c>
      <c r="BL32" s="55"/>
      <c r="BM32" s="55"/>
      <c r="BN32" s="55"/>
      <c r="BO32" s="55"/>
      <c r="BP32" s="55"/>
      <c r="BQ32" s="57">
        <v>118.901</v>
      </c>
      <c r="BR32" s="80">
        <v>112.554</v>
      </c>
      <c r="BS32" s="57">
        <f>BQ32/BR32</f>
        <v>1.0563907102368639</v>
      </c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448">
        <f>BK32-CC32</f>
        <v>1</v>
      </c>
      <c r="CE32" s="178">
        <v>10</v>
      </c>
      <c r="CF32" s="179">
        <v>0.1</v>
      </c>
      <c r="CG32" s="46">
        <v>43281</v>
      </c>
      <c r="CH32" s="180">
        <v>120</v>
      </c>
      <c r="CI32" s="145">
        <f>CU32/CH32/100</f>
        <v>7.1083333333333332E-2</v>
      </c>
      <c r="CJ32" s="165">
        <f>CI32*CK32</f>
        <v>11.444416666666667</v>
      </c>
      <c r="CK32" s="48">
        <f>(YEAR(CG32)-YEAR(CT32))*12+MONTH(CG32)-MONTH(CT32)</f>
        <v>161</v>
      </c>
      <c r="CL32" s="165">
        <f>CM32*CI32</f>
        <v>-2.9144166666666664</v>
      </c>
      <c r="CM32" s="48">
        <f>CH32-CK32</f>
        <v>-41</v>
      </c>
      <c r="CN32" s="165">
        <f>CO32*CI32</f>
        <v>-2.9144166666666664</v>
      </c>
      <c r="CO32" s="48">
        <f>CH32-CK32</f>
        <v>-41</v>
      </c>
      <c r="CP32" s="165">
        <f>CQ32*CI32</f>
        <v>0</v>
      </c>
      <c r="CQ32" s="48">
        <f>CM32-CO32</f>
        <v>0</v>
      </c>
      <c r="CR32" s="462">
        <f>DATE(YEAR(CT32),MONTH(CT32)+CH32,DAY(CT32))</f>
        <v>42005</v>
      </c>
      <c r="CS32" s="183" t="s">
        <v>445</v>
      </c>
      <c r="CT32" s="181">
        <v>38353</v>
      </c>
      <c r="CU32" s="182">
        <v>853</v>
      </c>
      <c r="CV32" s="725">
        <v>1</v>
      </c>
      <c r="CW32" s="57">
        <v>126.408</v>
      </c>
      <c r="CX32" s="80">
        <v>112.554</v>
      </c>
      <c r="CY32" s="57">
        <f>CW32/CX32</f>
        <v>1.1230875846260462</v>
      </c>
      <c r="CZ32" s="55">
        <f>CV32/CO32</f>
        <v>-2.4390243902439025E-2</v>
      </c>
      <c r="DA32" s="55"/>
      <c r="DB32" s="55"/>
      <c r="DC32" s="55"/>
      <c r="DD32" s="55"/>
      <c r="DE32" s="55"/>
      <c r="DF32" s="55"/>
      <c r="DG32" s="55"/>
      <c r="DH32" s="55"/>
      <c r="DI32" s="55">
        <f>SUM(DB32:DH32)</f>
        <v>0</v>
      </c>
      <c r="DJ32" s="448">
        <f>CV32-DI32</f>
        <v>1</v>
      </c>
      <c r="DK32" s="55">
        <v>0</v>
      </c>
      <c r="DL32" s="55">
        <v>0</v>
      </c>
      <c r="DM32" s="55">
        <v>0</v>
      </c>
      <c r="DN32" s="55">
        <v>0</v>
      </c>
      <c r="DO32" s="511"/>
      <c r="DP32" s="511">
        <f t="shared" si="0"/>
        <v>0</v>
      </c>
      <c r="DQ32" s="1126">
        <f>DJ32-DP32</f>
        <v>1</v>
      </c>
      <c r="DR32" s="514">
        <v>132.28200000000001</v>
      </c>
      <c r="DS32" s="515">
        <v>112.554</v>
      </c>
      <c r="DT32" s="514">
        <f>DR32/DS32</f>
        <v>1.17527586758356</v>
      </c>
      <c r="DU32" s="516">
        <v>0</v>
      </c>
      <c r="DV32" s="516">
        <f>DU32*DT32</f>
        <v>0</v>
      </c>
      <c r="DW32" s="516">
        <v>0</v>
      </c>
      <c r="DX32" s="516">
        <v>0</v>
      </c>
      <c r="DY32" s="516"/>
      <c r="DZ32" s="516"/>
      <c r="EA32" s="516"/>
      <c r="EB32" s="516"/>
      <c r="EC32" s="516">
        <v>0</v>
      </c>
      <c r="ED32" s="516">
        <v>0</v>
      </c>
      <c r="EE32" s="516">
        <v>0</v>
      </c>
      <c r="EF32" s="516">
        <v>0</v>
      </c>
      <c r="EG32" s="516">
        <v>0</v>
      </c>
      <c r="EH32" s="516">
        <v>0</v>
      </c>
      <c r="EI32" s="516">
        <v>0</v>
      </c>
      <c r="EJ32" s="516">
        <v>0</v>
      </c>
      <c r="EK32" s="516">
        <v>0</v>
      </c>
      <c r="EL32" s="516">
        <v>0</v>
      </c>
      <c r="EM32" s="516">
        <v>0</v>
      </c>
      <c r="EN32" s="516">
        <v>0</v>
      </c>
      <c r="EO32" s="516">
        <f>SUM(DW32:EC32)</f>
        <v>0</v>
      </c>
      <c r="EP32" s="1126">
        <f>DQ32-EO32</f>
        <v>1</v>
      </c>
    </row>
    <row r="33" spans="1:146" s="16" customFormat="1" ht="15.75" customHeight="1" x14ac:dyDescent="0.2">
      <c r="A33" s="176" t="s">
        <v>121</v>
      </c>
      <c r="B33" s="176" t="s">
        <v>523</v>
      </c>
      <c r="C33" s="177" t="s">
        <v>509</v>
      </c>
      <c r="D33" s="178">
        <v>10</v>
      </c>
      <c r="E33" s="179">
        <v>0.1</v>
      </c>
      <c r="F33" s="46">
        <v>42185</v>
      </c>
      <c r="G33" s="180">
        <v>120</v>
      </c>
      <c r="H33" s="145">
        <f>100/G33</f>
        <v>0.83333333333333337</v>
      </c>
      <c r="I33" s="165">
        <f>H33*J33</f>
        <v>104.16666666666667</v>
      </c>
      <c r="J33" s="48">
        <f>(YEAR(F33)-YEAR(S33))*12+MONTH(F33)-MONTH(S33)</f>
        <v>125</v>
      </c>
      <c r="K33" s="165">
        <f>L33*H33</f>
        <v>0</v>
      </c>
      <c r="L33" s="48">
        <v>0</v>
      </c>
      <c r="M33" s="165">
        <f>N33*H33</f>
        <v>0</v>
      </c>
      <c r="N33" s="48">
        <v>0</v>
      </c>
      <c r="O33" s="165">
        <f>P33*H33</f>
        <v>0</v>
      </c>
      <c r="P33" s="48">
        <f>L33-N33</f>
        <v>0</v>
      </c>
      <c r="Q33" s="48"/>
      <c r="R33" s="183" t="s">
        <v>445</v>
      </c>
      <c r="S33" s="181">
        <v>38353</v>
      </c>
      <c r="T33" s="182">
        <v>989</v>
      </c>
      <c r="U33" s="182">
        <v>1</v>
      </c>
      <c r="V33" s="184">
        <v>0</v>
      </c>
      <c r="W33" s="66"/>
      <c r="X33" s="57">
        <v>115.958</v>
      </c>
      <c r="Y33" s="80">
        <v>112.554</v>
      </c>
      <c r="Z33" s="57">
        <f>X33/Y33</f>
        <v>1.0302432610124916</v>
      </c>
      <c r="AA33" s="55">
        <v>0</v>
      </c>
      <c r="AB33" s="55">
        <v>0</v>
      </c>
      <c r="AC33" s="55"/>
      <c r="AD33" s="55"/>
      <c r="AE33" s="55"/>
      <c r="AF33" s="55"/>
      <c r="AG33" s="55"/>
      <c r="AH33" s="55">
        <v>0</v>
      </c>
      <c r="AI33" s="55">
        <v>0</v>
      </c>
      <c r="AJ33" s="55">
        <v>0</v>
      </c>
      <c r="AK33" s="55">
        <v>0</v>
      </c>
      <c r="AL33" s="55">
        <v>0</v>
      </c>
      <c r="AM33" s="55">
        <v>0</v>
      </c>
      <c r="AN33" s="55">
        <v>0</v>
      </c>
      <c r="AO33" s="55">
        <f>SUM(AC33:AN33)</f>
        <v>0</v>
      </c>
      <c r="AP33" s="72">
        <f>U33-AO33</f>
        <v>1</v>
      </c>
      <c r="AQ33" s="55"/>
      <c r="AR33" s="55"/>
      <c r="AS33" s="55">
        <f t="shared" si="6"/>
        <v>0</v>
      </c>
      <c r="AT33" s="55">
        <f t="shared" si="6"/>
        <v>0</v>
      </c>
      <c r="AU33" s="55">
        <f t="shared" si="6"/>
        <v>0</v>
      </c>
      <c r="AV33" s="55">
        <f t="shared" si="6"/>
        <v>0</v>
      </c>
      <c r="AW33" s="55">
        <f t="shared" si="6"/>
        <v>0</v>
      </c>
      <c r="AX33" s="57">
        <v>118.901</v>
      </c>
      <c r="AY33" s="80">
        <v>112.554</v>
      </c>
      <c r="AZ33" s="57">
        <f>AX33/AY33</f>
        <v>1.0563907102368639</v>
      </c>
      <c r="BA33" s="55">
        <f t="shared" si="3"/>
        <v>8.2416666666666671</v>
      </c>
      <c r="BB33" s="55"/>
      <c r="BC33" s="55"/>
      <c r="BD33" s="55"/>
      <c r="BE33" s="55"/>
      <c r="BF33" s="55"/>
      <c r="BG33" s="55"/>
      <c r="BH33" s="55"/>
      <c r="BI33" s="55"/>
      <c r="BJ33" s="55"/>
      <c r="BK33" s="448">
        <f>(AP33-BJ33)</f>
        <v>1</v>
      </c>
      <c r="BL33" s="55"/>
      <c r="BM33" s="55"/>
      <c r="BN33" s="55"/>
      <c r="BO33" s="55"/>
      <c r="BP33" s="55"/>
      <c r="BQ33" s="57">
        <v>118.901</v>
      </c>
      <c r="BR33" s="80">
        <v>112.554</v>
      </c>
      <c r="BS33" s="57">
        <f>BQ33/BR33</f>
        <v>1.0563907102368639</v>
      </c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448">
        <f>BK33-CC33</f>
        <v>1</v>
      </c>
      <c r="CE33" s="178">
        <v>10</v>
      </c>
      <c r="CF33" s="179">
        <v>0.1</v>
      </c>
      <c r="CG33" s="46">
        <v>43281</v>
      </c>
      <c r="CH33" s="180">
        <v>120</v>
      </c>
      <c r="CI33" s="145">
        <f>CU33/CH33/100</f>
        <v>8.2416666666666666E-2</v>
      </c>
      <c r="CJ33" s="165">
        <f>CI33*CK33</f>
        <v>13.269083333333333</v>
      </c>
      <c r="CK33" s="48">
        <f>(YEAR(CG33)-YEAR(CT33))*12+MONTH(CG33)-MONTH(CT33)</f>
        <v>161</v>
      </c>
      <c r="CL33" s="165">
        <f>CM33*CI33</f>
        <v>-3.3790833333333334</v>
      </c>
      <c r="CM33" s="48">
        <f>CH33-CK33</f>
        <v>-41</v>
      </c>
      <c r="CN33" s="165">
        <f>CO33*CI33</f>
        <v>-3.3790833333333334</v>
      </c>
      <c r="CO33" s="48">
        <f>CH33-CK33</f>
        <v>-41</v>
      </c>
      <c r="CP33" s="165">
        <f>CQ33*CI33</f>
        <v>0</v>
      </c>
      <c r="CQ33" s="48">
        <f>CM33-CO33</f>
        <v>0</v>
      </c>
      <c r="CR33" s="462">
        <f>DATE(YEAR(CT33),MONTH(CT33)+CH33,DAY(CT33))</f>
        <v>42005</v>
      </c>
      <c r="CS33" s="183" t="s">
        <v>445</v>
      </c>
      <c r="CT33" s="181">
        <v>38353</v>
      </c>
      <c r="CU33" s="182">
        <v>989</v>
      </c>
      <c r="CV33" s="725">
        <v>1</v>
      </c>
      <c r="CW33" s="57">
        <v>126.408</v>
      </c>
      <c r="CX33" s="80">
        <v>112.554</v>
      </c>
      <c r="CY33" s="57">
        <f>CW33/CX33</f>
        <v>1.1230875846260462</v>
      </c>
      <c r="CZ33" s="55">
        <f>CV33/CO33</f>
        <v>-2.4390243902439025E-2</v>
      </c>
      <c r="DA33" s="55"/>
      <c r="DB33" s="55"/>
      <c r="DC33" s="55"/>
      <c r="DD33" s="55"/>
      <c r="DE33" s="55"/>
      <c r="DF33" s="55"/>
      <c r="DG33" s="55"/>
      <c r="DH33" s="55"/>
      <c r="DI33" s="55">
        <f>SUM(DB33:DH33)</f>
        <v>0</v>
      </c>
      <c r="DJ33" s="448">
        <f>CV33-DI33</f>
        <v>1</v>
      </c>
      <c r="DK33" s="55">
        <v>0</v>
      </c>
      <c r="DL33" s="55">
        <v>0</v>
      </c>
      <c r="DM33" s="55">
        <v>0</v>
      </c>
      <c r="DN33" s="55">
        <v>0</v>
      </c>
      <c r="DO33" s="511"/>
      <c r="DP33" s="511">
        <f t="shared" si="0"/>
        <v>0</v>
      </c>
      <c r="DQ33" s="1126">
        <f>DJ33-DP33</f>
        <v>1</v>
      </c>
      <c r="DR33" s="514">
        <v>132.28200000000001</v>
      </c>
      <c r="DS33" s="515">
        <v>112.554</v>
      </c>
      <c r="DT33" s="514">
        <f>DR33/DS33</f>
        <v>1.17527586758356</v>
      </c>
      <c r="DU33" s="516">
        <v>0</v>
      </c>
      <c r="DV33" s="516">
        <f>DU33*DT33</f>
        <v>0</v>
      </c>
      <c r="DW33" s="516">
        <v>0</v>
      </c>
      <c r="DX33" s="516">
        <v>0</v>
      </c>
      <c r="DY33" s="516"/>
      <c r="DZ33" s="516"/>
      <c r="EA33" s="516"/>
      <c r="EB33" s="516"/>
      <c r="EC33" s="516">
        <v>0</v>
      </c>
      <c r="ED33" s="516">
        <v>0</v>
      </c>
      <c r="EE33" s="516">
        <v>0</v>
      </c>
      <c r="EF33" s="516">
        <v>0</v>
      </c>
      <c r="EG33" s="516">
        <v>0</v>
      </c>
      <c r="EH33" s="516">
        <v>0</v>
      </c>
      <c r="EI33" s="516">
        <v>0</v>
      </c>
      <c r="EJ33" s="516">
        <v>0</v>
      </c>
      <c r="EK33" s="516">
        <v>0</v>
      </c>
      <c r="EL33" s="516">
        <v>0</v>
      </c>
      <c r="EM33" s="516">
        <v>0</v>
      </c>
      <c r="EN33" s="516">
        <v>0</v>
      </c>
      <c r="EO33" s="516">
        <f>SUM(DW33:EC33)</f>
        <v>0</v>
      </c>
      <c r="EP33" s="1126">
        <f>DQ33-EO33</f>
        <v>1</v>
      </c>
    </row>
    <row r="34" spans="1:146" s="16" customFormat="1" ht="15.75" customHeight="1" x14ac:dyDescent="0.2">
      <c r="A34" s="100" t="s">
        <v>121</v>
      </c>
      <c r="B34" s="100" t="s">
        <v>710</v>
      </c>
      <c r="C34" s="45" t="s">
        <v>509</v>
      </c>
      <c r="D34" s="58">
        <v>10</v>
      </c>
      <c r="E34" s="53">
        <v>0.1</v>
      </c>
      <c r="F34" s="46">
        <v>42334</v>
      </c>
      <c r="G34" s="48">
        <v>120</v>
      </c>
      <c r="H34" s="145">
        <f>100/G34</f>
        <v>0.83333333333333337</v>
      </c>
      <c r="I34" s="165">
        <f>H34*J34</f>
        <v>0</v>
      </c>
      <c r="J34" s="48">
        <f>(YEAR(F34)-YEAR(S34))*12+MONTH(F34)-MONTH(S34)</f>
        <v>0</v>
      </c>
      <c r="K34" s="165">
        <f>L34*H34</f>
        <v>100</v>
      </c>
      <c r="L34" s="48">
        <f>G34-J34</f>
        <v>120</v>
      </c>
      <c r="M34" s="165">
        <f>N34*H34</f>
        <v>0.83333333333333337</v>
      </c>
      <c r="N34" s="48">
        <v>1</v>
      </c>
      <c r="O34" s="165">
        <f>P34*H34</f>
        <v>99.166666666666671</v>
      </c>
      <c r="P34" s="48">
        <f>L34-N34</f>
        <v>119</v>
      </c>
      <c r="Q34" s="48">
        <f>M34-O34</f>
        <v>-98.333333333333343</v>
      </c>
      <c r="R34" s="48">
        <v>291</v>
      </c>
      <c r="S34" s="46">
        <v>42334</v>
      </c>
      <c r="T34" s="47">
        <f>1049*3</f>
        <v>3147</v>
      </c>
      <c r="U34" s="57">
        <v>0</v>
      </c>
      <c r="V34" s="55">
        <v>0</v>
      </c>
      <c r="W34" s="55">
        <v>118.051</v>
      </c>
      <c r="X34" s="57">
        <v>115.958</v>
      </c>
      <c r="Y34" s="55">
        <v>118.051</v>
      </c>
      <c r="Z34" s="57">
        <f>X34/Y34</f>
        <v>0.98227037466857536</v>
      </c>
      <c r="AA34" s="55">
        <f>H34*T34/100</f>
        <v>26.225000000000001</v>
      </c>
      <c r="AB34" s="55">
        <f>AA34*Z34</f>
        <v>25.760040575683391</v>
      </c>
      <c r="AC34" s="55"/>
      <c r="AD34" s="55"/>
      <c r="AE34" s="55"/>
      <c r="AF34" s="55"/>
      <c r="AG34" s="55"/>
      <c r="AH34" s="55"/>
      <c r="AI34" s="55"/>
      <c r="AJ34" s="55"/>
      <c r="AK34" s="72"/>
      <c r="AL34" s="72"/>
      <c r="AM34" s="72"/>
      <c r="AN34" s="72">
        <f>AB34</f>
        <v>25.760040575683391</v>
      </c>
      <c r="AO34" s="72">
        <f>AN34</f>
        <v>25.760040575683391</v>
      </c>
      <c r="AP34" s="72">
        <f>T34-AO34</f>
        <v>3121.2399594243166</v>
      </c>
      <c r="AQ34" s="55"/>
      <c r="AR34" s="55"/>
      <c r="AS34" s="55">
        <f t="shared" si="6"/>
        <v>25.760040575683391</v>
      </c>
      <c r="AT34" s="55">
        <f t="shared" si="6"/>
        <v>25.760040575683391</v>
      </c>
      <c r="AU34" s="55">
        <f t="shared" si="6"/>
        <v>25.760040575683391</v>
      </c>
      <c r="AV34" s="55">
        <f t="shared" si="6"/>
        <v>25.760040575683391</v>
      </c>
      <c r="AW34" s="55">
        <f t="shared" si="6"/>
        <v>25.760040575683391</v>
      </c>
      <c r="AX34" s="57">
        <v>118.901</v>
      </c>
      <c r="AY34" s="55">
        <v>118.051</v>
      </c>
      <c r="AZ34" s="57">
        <f>AX34/AY34</f>
        <v>1.0072002778460156</v>
      </c>
      <c r="BA34" s="55">
        <f t="shared" si="3"/>
        <v>26.225000000000001</v>
      </c>
      <c r="BB34" s="55">
        <f>BA34*AZ34</f>
        <v>26.413827286511761</v>
      </c>
      <c r="BC34" s="55">
        <f t="shared" ref="BC34:BF35" si="8">$BB34</f>
        <v>26.413827286511761</v>
      </c>
      <c r="BD34" s="55">
        <f t="shared" si="8"/>
        <v>26.413827286511761</v>
      </c>
      <c r="BE34" s="55">
        <f t="shared" si="8"/>
        <v>26.413827286511761</v>
      </c>
      <c r="BF34" s="55">
        <f t="shared" si="8"/>
        <v>26.413827286511761</v>
      </c>
      <c r="BG34" s="55">
        <v>26.41</v>
      </c>
      <c r="BH34" s="55">
        <v>26.41</v>
      </c>
      <c r="BI34" s="55">
        <v>26.41</v>
      </c>
      <c r="BJ34" s="55">
        <f>SUM((AS34:AW34),(BC34:BI34))</f>
        <v>313.68551202446412</v>
      </c>
      <c r="BK34" s="448">
        <f>(AP34-BJ34)</f>
        <v>2807.5544473998525</v>
      </c>
      <c r="BL34" s="55">
        <v>26.41</v>
      </c>
      <c r="BM34" s="55">
        <v>26.41</v>
      </c>
      <c r="BN34" s="55">
        <v>26.41</v>
      </c>
      <c r="BO34" s="55">
        <v>26.41</v>
      </c>
      <c r="BP34" s="55">
        <v>26.41</v>
      </c>
      <c r="BQ34" s="57">
        <v>118.901</v>
      </c>
      <c r="BR34" s="55">
        <v>118.051</v>
      </c>
      <c r="BS34" s="57">
        <f>BQ34/BR34</f>
        <v>1.0072002778460156</v>
      </c>
      <c r="BT34" s="55"/>
      <c r="BU34" s="55"/>
      <c r="BV34" s="55"/>
      <c r="BW34" s="55"/>
      <c r="BX34" s="55"/>
      <c r="BY34" s="55"/>
      <c r="BZ34" s="55"/>
      <c r="CA34" s="55"/>
      <c r="CB34" s="55"/>
      <c r="CC34" s="55">
        <f>SUM((BL34:BP34),(BV34:CB34))</f>
        <v>132.05000000000001</v>
      </c>
      <c r="CD34" s="448">
        <f>BK34-CC34</f>
        <v>2675.5044473998523</v>
      </c>
      <c r="CE34" s="58">
        <v>10</v>
      </c>
      <c r="CF34" s="53">
        <v>0.1</v>
      </c>
      <c r="CG34" s="46">
        <v>43281</v>
      </c>
      <c r="CH34" s="48">
        <v>120</v>
      </c>
      <c r="CI34" s="145">
        <f>CU34/CH34/100</f>
        <v>0.26225000000000004</v>
      </c>
      <c r="CJ34" s="165">
        <f>CI34*CK34</f>
        <v>8.1297500000000014</v>
      </c>
      <c r="CK34" s="48">
        <f>(YEAR(CG34)-YEAR(CT34))*12+MONTH(CG34)-MONTH(CT34)</f>
        <v>31</v>
      </c>
      <c r="CL34" s="165">
        <f>CM34*CI34</f>
        <v>23.340250000000005</v>
      </c>
      <c r="CM34" s="48">
        <f>CH34-CK34</f>
        <v>89</v>
      </c>
      <c r="CN34" s="165">
        <f>CO34*CI34</f>
        <v>23.340250000000005</v>
      </c>
      <c r="CO34" s="48">
        <f>CH34-CK34</f>
        <v>89</v>
      </c>
      <c r="CP34" s="165">
        <f>CQ34*CI34</f>
        <v>0</v>
      </c>
      <c r="CQ34" s="48">
        <f>CM34-CO34</f>
        <v>0</v>
      </c>
      <c r="CR34" s="462">
        <f>DATE(YEAR(CT34),MONTH(CT34)+CH34,DAY(CT34))</f>
        <v>45987</v>
      </c>
      <c r="CS34" s="48">
        <v>291</v>
      </c>
      <c r="CT34" s="46">
        <v>42334</v>
      </c>
      <c r="CU34" s="47">
        <f>1049*3</f>
        <v>3147</v>
      </c>
      <c r="CV34" s="725">
        <v>2675.5044473998523</v>
      </c>
      <c r="CW34" s="57">
        <v>126.408</v>
      </c>
      <c r="CX34" s="55">
        <v>118.051</v>
      </c>
      <c r="CY34" s="57">
        <f>CW34/CX34</f>
        <v>1.0707914375990037</v>
      </c>
      <c r="CZ34" s="55">
        <f>CV34/CO34</f>
        <v>30.061847723593846</v>
      </c>
      <c r="DA34" s="55">
        <f>CZ34*CY34</f>
        <v>32.18996914082939</v>
      </c>
      <c r="DB34" s="55">
        <v>409.27246479054514</v>
      </c>
      <c r="DC34" s="55">
        <v>409.27246479054514</v>
      </c>
      <c r="DD34" s="55">
        <v>409.27246479054514</v>
      </c>
      <c r="DE34" s="55">
        <v>409.27246479054514</v>
      </c>
      <c r="DF34" s="55">
        <v>409.27246479054514</v>
      </c>
      <c r="DG34" s="55">
        <v>409.27246479054514</v>
      </c>
      <c r="DH34" s="55">
        <v>218.87</v>
      </c>
      <c r="DI34" s="55">
        <f>SUM(DB34:DH34)</f>
        <v>2674.5047887432706</v>
      </c>
      <c r="DJ34" s="448">
        <f>CV34-DI34</f>
        <v>0.99965865658168696</v>
      </c>
      <c r="DK34" s="55">
        <v>0</v>
      </c>
      <c r="DL34" s="55">
        <v>0</v>
      </c>
      <c r="DM34" s="55">
        <v>0</v>
      </c>
      <c r="DN34" s="55">
        <v>0</v>
      </c>
      <c r="DO34" s="511"/>
      <c r="DP34" s="511">
        <f t="shared" si="0"/>
        <v>0</v>
      </c>
      <c r="DQ34" s="1126">
        <f>DJ34-DP34</f>
        <v>0.99965865658168696</v>
      </c>
      <c r="DR34" s="514">
        <v>132.28200000000001</v>
      </c>
      <c r="DS34" s="516">
        <v>118.051</v>
      </c>
      <c r="DT34" s="514">
        <f>DR34/DS34</f>
        <v>1.1205495929725289</v>
      </c>
      <c r="DU34" s="516">
        <v>0</v>
      </c>
      <c r="DV34" s="516">
        <f>DU34*DT34</f>
        <v>0</v>
      </c>
      <c r="DW34" s="516">
        <v>0</v>
      </c>
      <c r="DX34" s="516">
        <v>0</v>
      </c>
      <c r="DY34" s="516"/>
      <c r="DZ34" s="516"/>
      <c r="EA34" s="516"/>
      <c r="EB34" s="516"/>
      <c r="EC34" s="516">
        <v>0</v>
      </c>
      <c r="ED34" s="516">
        <v>0</v>
      </c>
      <c r="EE34" s="516">
        <v>0</v>
      </c>
      <c r="EF34" s="516">
        <v>0</v>
      </c>
      <c r="EG34" s="516">
        <v>0</v>
      </c>
      <c r="EH34" s="516">
        <v>0</v>
      </c>
      <c r="EI34" s="516">
        <v>0</v>
      </c>
      <c r="EJ34" s="516">
        <v>0</v>
      </c>
      <c r="EK34" s="516">
        <v>0</v>
      </c>
      <c r="EL34" s="516">
        <v>0</v>
      </c>
      <c r="EM34" s="516">
        <v>0</v>
      </c>
      <c r="EN34" s="516">
        <v>0</v>
      </c>
      <c r="EO34" s="516">
        <f>SUM(DW34:EC34)</f>
        <v>0</v>
      </c>
      <c r="EP34" s="1126">
        <f>DQ34-EO34</f>
        <v>0.99965865658168696</v>
      </c>
    </row>
    <row r="35" spans="1:146" s="16" customFormat="1" ht="15.75" customHeight="1" x14ac:dyDescent="0.2">
      <c r="A35" s="100" t="s">
        <v>121</v>
      </c>
      <c r="B35" s="100" t="s">
        <v>524</v>
      </c>
      <c r="C35" s="45" t="s">
        <v>509</v>
      </c>
      <c r="D35" s="58">
        <v>10</v>
      </c>
      <c r="E35" s="53">
        <v>0.1</v>
      </c>
      <c r="F35" s="46">
        <v>42185</v>
      </c>
      <c r="G35" s="48">
        <v>120</v>
      </c>
      <c r="H35" s="145">
        <f>100/G35</f>
        <v>0.83333333333333337</v>
      </c>
      <c r="I35" s="165">
        <f>H35*J35</f>
        <v>64.166666666666671</v>
      </c>
      <c r="J35" s="48">
        <f>(YEAR(F35)-YEAR(S35))*12+MONTH(F35)-MONTH(S35)</f>
        <v>77</v>
      </c>
      <c r="K35" s="165">
        <f>L35*H35</f>
        <v>35.833333333333336</v>
      </c>
      <c r="L35" s="48">
        <f>G35-J35</f>
        <v>43</v>
      </c>
      <c r="M35" s="165">
        <f>N35*H35</f>
        <v>5.8333333333333339</v>
      </c>
      <c r="N35" s="48">
        <v>7</v>
      </c>
      <c r="O35" s="165">
        <f>P35*H35</f>
        <v>30</v>
      </c>
      <c r="P35" s="48">
        <f>L35-N35</f>
        <v>36</v>
      </c>
      <c r="Q35" s="48"/>
      <c r="R35" s="48" t="s">
        <v>445</v>
      </c>
      <c r="S35" s="46">
        <v>39814</v>
      </c>
      <c r="T35" s="47">
        <v>989</v>
      </c>
      <c r="U35" s="47">
        <v>354.41</v>
      </c>
      <c r="V35" s="184">
        <v>41.2</v>
      </c>
      <c r="W35" s="66"/>
      <c r="X35" s="57">
        <v>115.958</v>
      </c>
      <c r="Y35" s="80">
        <v>134.071</v>
      </c>
      <c r="Z35" s="57">
        <f>X35/Y35</f>
        <v>0.8648999410759971</v>
      </c>
      <c r="AA35" s="55">
        <f>U35*M35/100/K35*100/7</f>
        <v>8.2420930232558138</v>
      </c>
      <c r="AB35" s="55">
        <f>AA35*Z35</f>
        <v>7.1285857701568398</v>
      </c>
      <c r="AC35" s="55"/>
      <c r="AD35" s="55"/>
      <c r="AE35" s="55"/>
      <c r="AF35" s="55"/>
      <c r="AG35" s="55"/>
      <c r="AH35" s="55">
        <v>7.13</v>
      </c>
      <c r="AI35" s="55">
        <v>7.13</v>
      </c>
      <c r="AJ35" s="55">
        <v>7.13</v>
      </c>
      <c r="AK35" s="55">
        <v>7.13</v>
      </c>
      <c r="AL35" s="55">
        <v>7.13</v>
      </c>
      <c r="AM35" s="55">
        <v>7.13</v>
      </c>
      <c r="AN35" s="55">
        <v>7.13</v>
      </c>
      <c r="AO35" s="55">
        <f>SUM(AC35:AN35)</f>
        <v>49.910000000000004</v>
      </c>
      <c r="AP35" s="72">
        <f>U35-AO35</f>
        <v>304.5</v>
      </c>
      <c r="AQ35" s="55"/>
      <c r="AR35" s="55"/>
      <c r="AS35" s="55">
        <f t="shared" si="6"/>
        <v>7.13</v>
      </c>
      <c r="AT35" s="55">
        <f t="shared" si="6"/>
        <v>7.13</v>
      </c>
      <c r="AU35" s="55">
        <f t="shared" si="6"/>
        <v>7.13</v>
      </c>
      <c r="AV35" s="55">
        <f t="shared" si="6"/>
        <v>7.13</v>
      </c>
      <c r="AW35" s="55">
        <f t="shared" si="6"/>
        <v>7.13</v>
      </c>
      <c r="AX35" s="57">
        <v>118.901</v>
      </c>
      <c r="AY35" s="80">
        <v>134.071</v>
      </c>
      <c r="AZ35" s="57">
        <f>AX35/AY35</f>
        <v>0.88685099685987279</v>
      </c>
      <c r="BA35" s="55">
        <f t="shared" si="3"/>
        <v>8.2416666666666671</v>
      </c>
      <c r="BB35" s="55">
        <f>BA35*AZ35</f>
        <v>7.3091302991201186</v>
      </c>
      <c r="BC35" s="55">
        <f t="shared" si="8"/>
        <v>7.3091302991201186</v>
      </c>
      <c r="BD35" s="55">
        <f t="shared" si="8"/>
        <v>7.3091302991201186</v>
      </c>
      <c r="BE35" s="55">
        <f t="shared" si="8"/>
        <v>7.3091302991201186</v>
      </c>
      <c r="BF35" s="55">
        <f t="shared" si="8"/>
        <v>7.3091302991201186</v>
      </c>
      <c r="BG35" s="55">
        <v>7.31</v>
      </c>
      <c r="BH35" s="55">
        <v>7.31</v>
      </c>
      <c r="BI35" s="55">
        <v>7.31</v>
      </c>
      <c r="BJ35" s="55">
        <f>SUM((AS35:AW35),(BC35:BI35))</f>
        <v>86.81652119648048</v>
      </c>
      <c r="BK35" s="448">
        <f>(AP35-BJ35)</f>
        <v>217.68347880351951</v>
      </c>
      <c r="BL35" s="55">
        <v>7.31</v>
      </c>
      <c r="BM35" s="55">
        <v>7.31</v>
      </c>
      <c r="BN35" s="55">
        <v>7.31</v>
      </c>
      <c r="BO35" s="55">
        <v>7.31</v>
      </c>
      <c r="BP35" s="55">
        <v>7.31</v>
      </c>
      <c r="BQ35" s="57">
        <v>118.901</v>
      </c>
      <c r="BR35" s="80">
        <v>134.071</v>
      </c>
      <c r="BS35" s="57">
        <f>BQ35/BR35</f>
        <v>0.88685099685987279</v>
      </c>
      <c r="BT35" s="55"/>
      <c r="BU35" s="55"/>
      <c r="BV35" s="55"/>
      <c r="BW35" s="55"/>
      <c r="BX35" s="55"/>
      <c r="BY35" s="55"/>
      <c r="BZ35" s="55"/>
      <c r="CA35" s="55"/>
      <c r="CB35" s="55"/>
      <c r="CC35" s="55">
        <f>SUM((BL35:BP35),(BV35:CB35))</f>
        <v>36.549999999999997</v>
      </c>
      <c r="CD35" s="448">
        <f>BK35-CC35</f>
        <v>181.13347880351949</v>
      </c>
      <c r="CE35" s="58">
        <v>10</v>
      </c>
      <c r="CF35" s="53">
        <v>0.1</v>
      </c>
      <c r="CG35" s="46">
        <v>43281</v>
      </c>
      <c r="CH35" s="48">
        <v>120</v>
      </c>
      <c r="CI35" s="145">
        <f>CU35/CH35/100</f>
        <v>8.2416666666666666E-2</v>
      </c>
      <c r="CJ35" s="165">
        <f>CI35*CK35</f>
        <v>9.3130833333333332</v>
      </c>
      <c r="CK35" s="48">
        <f>(YEAR(CG35)-YEAR(CT35))*12+MONTH(CG35)-MONTH(CT35)</f>
        <v>113</v>
      </c>
      <c r="CL35" s="165">
        <f>CM35*CI35</f>
        <v>0.57691666666666663</v>
      </c>
      <c r="CM35" s="48">
        <f>CH35-CK35</f>
        <v>7</v>
      </c>
      <c r="CN35" s="165">
        <f>CO35*CI35</f>
        <v>0.57691666666666663</v>
      </c>
      <c r="CO35" s="48">
        <f>CH35-CK35</f>
        <v>7</v>
      </c>
      <c r="CP35" s="165">
        <f>CQ35*CI35</f>
        <v>0</v>
      </c>
      <c r="CQ35" s="48">
        <f>CM35-CO35</f>
        <v>0</v>
      </c>
      <c r="CR35" s="462">
        <f>DATE(YEAR(CT35),MONTH(CT35)+CH35,DAY(CT35))</f>
        <v>43466</v>
      </c>
      <c r="CS35" s="48" t="s">
        <v>445</v>
      </c>
      <c r="CT35" s="46">
        <v>39814</v>
      </c>
      <c r="CU35" s="47">
        <v>989</v>
      </c>
      <c r="CV35" s="725">
        <v>181.13347880351949</v>
      </c>
      <c r="CW35" s="57">
        <v>126.408</v>
      </c>
      <c r="CX35" s="80">
        <v>134.071</v>
      </c>
      <c r="CY35" s="57">
        <f>CW35/CX35</f>
        <v>0.94284371713495085</v>
      </c>
      <c r="CZ35" s="55">
        <f>CV35/CO35</f>
        <v>25.876211257645643</v>
      </c>
      <c r="DA35" s="55">
        <f>CZ35*CY35</f>
        <v>24.39722320752788</v>
      </c>
      <c r="DB35" s="55">
        <v>24.39722320752788</v>
      </c>
      <c r="DC35" s="55">
        <v>24.39722320752788</v>
      </c>
      <c r="DD35" s="55">
        <v>24.39722320752788</v>
      </c>
      <c r="DE35" s="55">
        <v>24.39722320752788</v>
      </c>
      <c r="DF35" s="55">
        <v>24.39722320752788</v>
      </c>
      <c r="DG35" s="55">
        <v>24.39722320752788</v>
      </c>
      <c r="DH35" s="55">
        <v>24.39722320752788</v>
      </c>
      <c r="DI35" s="55">
        <f>SUM(DB35:DH35)</f>
        <v>170.78056245269514</v>
      </c>
      <c r="DJ35" s="448">
        <f>CV35-DI35</f>
        <v>10.352916350824358</v>
      </c>
      <c r="DK35" s="55">
        <v>9.35</v>
      </c>
      <c r="DL35" s="55">
        <v>9.35</v>
      </c>
      <c r="DM35" s="55">
        <v>-9.35</v>
      </c>
      <c r="DN35" s="55">
        <v>0</v>
      </c>
      <c r="DO35" s="511"/>
      <c r="DP35" s="511">
        <f t="shared" si="0"/>
        <v>9.35</v>
      </c>
      <c r="DQ35" s="1126">
        <v>1</v>
      </c>
      <c r="DR35" s="514">
        <v>132.28200000000001</v>
      </c>
      <c r="DS35" s="515">
        <v>134.071</v>
      </c>
      <c r="DT35" s="514">
        <f>DR35/DS35</f>
        <v>0.98665632388808922</v>
      </c>
      <c r="DU35" s="516">
        <v>0</v>
      </c>
      <c r="DV35" s="516">
        <f>DU35*DT35</f>
        <v>0</v>
      </c>
      <c r="DW35" s="516">
        <v>0</v>
      </c>
      <c r="DX35" s="516">
        <v>0</v>
      </c>
      <c r="DY35" s="516"/>
      <c r="DZ35" s="516"/>
      <c r="EA35" s="516"/>
      <c r="EB35" s="516"/>
      <c r="EC35" s="516">
        <v>0</v>
      </c>
      <c r="ED35" s="516">
        <v>0</v>
      </c>
      <c r="EE35" s="516">
        <v>0</v>
      </c>
      <c r="EF35" s="516">
        <v>0</v>
      </c>
      <c r="EG35" s="516">
        <v>0</v>
      </c>
      <c r="EH35" s="516">
        <v>0</v>
      </c>
      <c r="EI35" s="516">
        <v>0</v>
      </c>
      <c r="EJ35" s="516">
        <v>0</v>
      </c>
      <c r="EK35" s="516">
        <v>0</v>
      </c>
      <c r="EL35" s="516">
        <v>0</v>
      </c>
      <c r="EM35" s="516">
        <v>0</v>
      </c>
      <c r="EN35" s="516">
        <v>0</v>
      </c>
      <c r="EO35" s="516">
        <f>SUM(DW35:EC35)</f>
        <v>0</v>
      </c>
      <c r="EP35" s="1126">
        <f>DQ35-EO35</f>
        <v>1</v>
      </c>
    </row>
    <row r="36" spans="1:146" s="16" customFormat="1" ht="15.75" customHeight="1" x14ac:dyDescent="0.2">
      <c r="A36" s="120" t="s">
        <v>1100</v>
      </c>
      <c r="B36" s="26"/>
      <c r="C36" s="26"/>
      <c r="D36" s="27"/>
      <c r="E36" s="25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20"/>
      <c r="S36" s="20"/>
      <c r="T36" s="14"/>
      <c r="U36" s="14"/>
      <c r="V36" s="108"/>
      <c r="W36" s="66"/>
      <c r="X36" s="66"/>
      <c r="Y36" s="81"/>
      <c r="Z36" s="66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73"/>
      <c r="AQ36" s="55"/>
      <c r="AR36" s="55"/>
      <c r="AS36" s="55">
        <f t="shared" si="6"/>
        <v>0</v>
      </c>
      <c r="AT36" s="55">
        <f t="shared" si="6"/>
        <v>0</v>
      </c>
      <c r="AU36" s="55">
        <f t="shared" si="6"/>
        <v>0</v>
      </c>
      <c r="AV36" s="55">
        <f t="shared" si="6"/>
        <v>0</v>
      </c>
      <c r="AW36" s="55">
        <f t="shared" si="6"/>
        <v>0</v>
      </c>
      <c r="AX36" s="66"/>
      <c r="AY36" s="81"/>
      <c r="AZ36" s="66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448"/>
      <c r="BL36" s="55"/>
      <c r="BM36" s="55"/>
      <c r="BN36" s="55"/>
      <c r="BO36" s="55"/>
      <c r="BP36" s="55"/>
      <c r="BQ36" s="66"/>
      <c r="BR36" s="81"/>
      <c r="BS36" s="66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448"/>
      <c r="CE36" s="27"/>
      <c r="CF36" s="25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20"/>
      <c r="CT36" s="20"/>
      <c r="CU36" s="14"/>
      <c r="CV36" s="725"/>
      <c r="CW36" s="66"/>
      <c r="CX36" s="82"/>
      <c r="CY36" s="66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448"/>
      <c r="DK36" s="55"/>
      <c r="DL36" s="55"/>
      <c r="DM36" s="55"/>
      <c r="DN36" s="55"/>
      <c r="DO36" s="511"/>
      <c r="DP36" s="511"/>
      <c r="DQ36" s="1126"/>
      <c r="DR36" s="514"/>
      <c r="DS36" s="515"/>
      <c r="DT36" s="514"/>
      <c r="DU36" s="516"/>
      <c r="DV36" s="516"/>
      <c r="DW36" s="516"/>
      <c r="DX36" s="516"/>
      <c r="DY36" s="516"/>
      <c r="DZ36" s="516"/>
      <c r="EA36" s="516"/>
      <c r="EB36" s="516"/>
      <c r="EC36" s="516"/>
      <c r="ED36" s="516"/>
      <c r="EE36" s="516"/>
      <c r="EF36" s="516"/>
      <c r="EG36" s="516"/>
      <c r="EH36" s="516"/>
      <c r="EI36" s="516"/>
      <c r="EJ36" s="516"/>
      <c r="EK36" s="516"/>
      <c r="EL36" s="516"/>
      <c r="EM36" s="516"/>
      <c r="EN36" s="516"/>
      <c r="EO36" s="516"/>
      <c r="EP36" s="1126"/>
    </row>
    <row r="37" spans="1:146" s="16" customFormat="1" ht="15.75" customHeight="1" x14ac:dyDescent="0.2">
      <c r="A37" s="120" t="s">
        <v>97</v>
      </c>
      <c r="B37" s="100"/>
      <c r="C37" s="45"/>
      <c r="D37" s="4"/>
      <c r="E37" s="25"/>
      <c r="F37" s="46"/>
      <c r="G37" s="17"/>
      <c r="H37" s="145"/>
      <c r="I37" s="165"/>
      <c r="J37" s="48"/>
      <c r="K37" s="165"/>
      <c r="L37" s="48"/>
      <c r="M37" s="165"/>
      <c r="N37" s="48"/>
      <c r="O37" s="165"/>
      <c r="P37" s="48"/>
      <c r="Q37" s="48"/>
      <c r="R37" s="17"/>
      <c r="S37" s="20"/>
      <c r="T37" s="14"/>
      <c r="U37" s="14"/>
      <c r="V37" s="108"/>
      <c r="W37" s="66"/>
      <c r="X37" s="66"/>
      <c r="Y37" s="80"/>
      <c r="Z37" s="66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72"/>
      <c r="AQ37" s="55"/>
      <c r="AR37" s="55"/>
      <c r="AS37" s="55">
        <f t="shared" si="6"/>
        <v>0</v>
      </c>
      <c r="AT37" s="55">
        <f t="shared" si="6"/>
        <v>0</v>
      </c>
      <c r="AU37" s="55">
        <f t="shared" si="6"/>
        <v>0</v>
      </c>
      <c r="AV37" s="55">
        <f t="shared" si="6"/>
        <v>0</v>
      </c>
      <c r="AW37" s="55">
        <f t="shared" si="6"/>
        <v>0</v>
      </c>
      <c r="AX37" s="66"/>
      <c r="AY37" s="80"/>
      <c r="AZ37" s="66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448"/>
      <c r="BL37" s="55"/>
      <c r="BM37" s="55"/>
      <c r="BN37" s="55"/>
      <c r="BO37" s="55"/>
      <c r="BP37" s="55"/>
      <c r="BQ37" s="66"/>
      <c r="BR37" s="80"/>
      <c r="BS37" s="66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448"/>
      <c r="CE37" s="4"/>
      <c r="CF37" s="25"/>
      <c r="CG37" s="46"/>
      <c r="CH37" s="17"/>
      <c r="CI37" s="145"/>
      <c r="CJ37" s="165"/>
      <c r="CK37" s="48"/>
      <c r="CL37" s="165"/>
      <c r="CM37" s="48"/>
      <c r="CN37" s="165"/>
      <c r="CO37" s="48"/>
      <c r="CP37" s="165"/>
      <c r="CQ37" s="48"/>
      <c r="CR37" s="48"/>
      <c r="CS37" s="17"/>
      <c r="CT37" s="20"/>
      <c r="CU37" s="14"/>
      <c r="CV37" s="725"/>
      <c r="CW37" s="66"/>
      <c r="CX37" s="80"/>
      <c r="CY37" s="66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448"/>
      <c r="DK37" s="55"/>
      <c r="DL37" s="55"/>
      <c r="DM37" s="55"/>
      <c r="DN37" s="55"/>
      <c r="DO37" s="511"/>
      <c r="DP37" s="511"/>
      <c r="DQ37" s="1126"/>
      <c r="DR37" s="514"/>
      <c r="DS37" s="515"/>
      <c r="DT37" s="514"/>
      <c r="DU37" s="516"/>
      <c r="DV37" s="516"/>
      <c r="DW37" s="516"/>
      <c r="DX37" s="516"/>
      <c r="DY37" s="516"/>
      <c r="DZ37" s="516"/>
      <c r="EA37" s="516"/>
      <c r="EB37" s="516"/>
      <c r="EC37" s="516"/>
      <c r="ED37" s="516"/>
      <c r="EE37" s="516"/>
      <c r="EF37" s="516"/>
      <c r="EG37" s="516"/>
      <c r="EH37" s="516"/>
      <c r="EI37" s="516"/>
      <c r="EJ37" s="516"/>
      <c r="EK37" s="516"/>
      <c r="EL37" s="516"/>
      <c r="EM37" s="516"/>
      <c r="EN37" s="516"/>
      <c r="EO37" s="516"/>
      <c r="EP37" s="1126"/>
    </row>
    <row r="38" spans="1:146" s="16" customFormat="1" ht="15.75" customHeight="1" x14ac:dyDescent="0.2">
      <c r="A38" s="100" t="s">
        <v>122</v>
      </c>
      <c r="B38" s="100" t="s">
        <v>540</v>
      </c>
      <c r="C38" s="45" t="s">
        <v>509</v>
      </c>
      <c r="D38" s="58">
        <v>10</v>
      </c>
      <c r="E38" s="25">
        <v>0.1</v>
      </c>
      <c r="F38" s="46">
        <v>42185</v>
      </c>
      <c r="G38" s="58">
        <v>120</v>
      </c>
      <c r="H38" s="145">
        <f>100/G38</f>
        <v>0.83333333333333337</v>
      </c>
      <c r="I38" s="165">
        <f>H38*J38</f>
        <v>64.166666666666671</v>
      </c>
      <c r="J38" s="48">
        <f>(YEAR(F38)-YEAR(S38))*12+MONTH(F38)-MONTH(S38)</f>
        <v>77</v>
      </c>
      <c r="K38" s="165">
        <f>L38*H38</f>
        <v>35.833333333333336</v>
      </c>
      <c r="L38" s="48">
        <f>G38-J38</f>
        <v>43</v>
      </c>
      <c r="M38" s="165">
        <f>N38*H38</f>
        <v>5.8333333333333339</v>
      </c>
      <c r="N38" s="48">
        <v>7</v>
      </c>
      <c r="O38" s="165">
        <f>P38*H38</f>
        <v>30</v>
      </c>
      <c r="P38" s="48">
        <f>L38-N38</f>
        <v>36</v>
      </c>
      <c r="Q38" s="48"/>
      <c r="R38" s="125" t="s">
        <v>445</v>
      </c>
      <c r="S38" s="119">
        <v>39814</v>
      </c>
      <c r="T38" s="134">
        <v>300</v>
      </c>
      <c r="U38" s="14">
        <v>107.5</v>
      </c>
      <c r="V38" s="106">
        <v>12.5</v>
      </c>
      <c r="W38" s="66"/>
      <c r="X38" s="57">
        <v>115.958</v>
      </c>
      <c r="Y38" s="80">
        <v>134.071</v>
      </c>
      <c r="Z38" s="57">
        <f>X38/Y38</f>
        <v>0.8648999410759971</v>
      </c>
      <c r="AA38" s="55">
        <f>U38*M38/100/K38*100/7</f>
        <v>2.5</v>
      </c>
      <c r="AB38" s="55">
        <f>AA38*Z38</f>
        <v>2.1622498526899929</v>
      </c>
      <c r="AC38" s="55"/>
      <c r="AD38" s="55"/>
      <c r="AE38" s="55"/>
      <c r="AF38" s="55"/>
      <c r="AG38" s="55"/>
      <c r="AH38" s="55">
        <v>2.16</v>
      </c>
      <c r="AI38" s="55">
        <v>2.16</v>
      </c>
      <c r="AJ38" s="55">
        <v>2.16</v>
      </c>
      <c r="AK38" s="55">
        <v>2.16</v>
      </c>
      <c r="AL38" s="55">
        <v>2.16</v>
      </c>
      <c r="AM38" s="55">
        <v>2.16</v>
      </c>
      <c r="AN38" s="55">
        <v>2.16</v>
      </c>
      <c r="AO38" s="55">
        <f>SUM(AC38:AN38)</f>
        <v>15.120000000000001</v>
      </c>
      <c r="AP38" s="72">
        <f>U38-AO38</f>
        <v>92.38</v>
      </c>
      <c r="AQ38" s="55"/>
      <c r="AR38" s="55"/>
      <c r="AS38" s="55">
        <f t="shared" si="6"/>
        <v>2.16</v>
      </c>
      <c r="AT38" s="55">
        <f t="shared" si="6"/>
        <v>2.16</v>
      </c>
      <c r="AU38" s="55">
        <f t="shared" si="6"/>
        <v>2.16</v>
      </c>
      <c r="AV38" s="55">
        <f t="shared" si="6"/>
        <v>2.16</v>
      </c>
      <c r="AW38" s="55">
        <f t="shared" si="6"/>
        <v>2.16</v>
      </c>
      <c r="AX38" s="57">
        <v>118.901</v>
      </c>
      <c r="AY38" s="80">
        <v>134.071</v>
      </c>
      <c r="AZ38" s="57">
        <f>AX38/AY38</f>
        <v>0.88685099685987279</v>
      </c>
      <c r="BA38" s="55">
        <f t="shared" si="3"/>
        <v>2.5</v>
      </c>
      <c r="BB38" s="55">
        <f>BA38*AZ38</f>
        <v>2.217127492149682</v>
      </c>
      <c r="BC38" s="55">
        <f>$BB38</f>
        <v>2.217127492149682</v>
      </c>
      <c r="BD38" s="55">
        <f>$BB38</f>
        <v>2.217127492149682</v>
      </c>
      <c r="BE38" s="55">
        <f>$BB38</f>
        <v>2.217127492149682</v>
      </c>
      <c r="BF38" s="55">
        <f>$BB38</f>
        <v>2.217127492149682</v>
      </c>
      <c r="BG38" s="55">
        <v>2.2200000000000002</v>
      </c>
      <c r="BH38" s="55">
        <v>2.2200000000000002</v>
      </c>
      <c r="BI38" s="55">
        <v>2.2200000000000002</v>
      </c>
      <c r="BJ38" s="55">
        <f>SUM((AS38:AW38),(BC38:BI38))</f>
        <v>26.328509968598727</v>
      </c>
      <c r="BK38" s="448">
        <f>(AP38-BJ38)</f>
        <v>66.051490031401272</v>
      </c>
      <c r="BL38" s="55">
        <v>2.2200000000000002</v>
      </c>
      <c r="BM38" s="55">
        <v>2.2200000000000002</v>
      </c>
      <c r="BN38" s="55">
        <v>2.2200000000000002</v>
      </c>
      <c r="BO38" s="55">
        <v>2.2200000000000002</v>
      </c>
      <c r="BP38" s="55">
        <v>2.2200000000000002</v>
      </c>
      <c r="BQ38" s="57">
        <v>118.901</v>
      </c>
      <c r="BR38" s="80">
        <v>134.071</v>
      </c>
      <c r="BS38" s="57">
        <f>BQ38/BR38</f>
        <v>0.88685099685987279</v>
      </c>
      <c r="BT38" s="55"/>
      <c r="BU38" s="55"/>
      <c r="BV38" s="55"/>
      <c r="BW38" s="55"/>
      <c r="BX38" s="55"/>
      <c r="BY38" s="55"/>
      <c r="BZ38" s="55"/>
      <c r="CA38" s="55"/>
      <c r="CB38" s="55"/>
      <c r="CC38" s="55">
        <f>SUM((BL38:BP38),(BV38:CB38))</f>
        <v>11.100000000000001</v>
      </c>
      <c r="CD38" s="448">
        <f>BK38-CC38</f>
        <v>54.951490031401271</v>
      </c>
      <c r="CE38" s="58">
        <v>10</v>
      </c>
      <c r="CF38" s="25">
        <v>0.1</v>
      </c>
      <c r="CG38" s="46">
        <v>43281</v>
      </c>
      <c r="CH38" s="58">
        <v>120</v>
      </c>
      <c r="CI38" s="145">
        <f>CU38/CH38/100</f>
        <v>2.5000000000000001E-2</v>
      </c>
      <c r="CJ38" s="165">
        <f>CI38*CK38</f>
        <v>2.8250000000000002</v>
      </c>
      <c r="CK38" s="48">
        <f>(YEAR(CG38)-YEAR(CT38))*12+MONTH(CG38)-MONTH(CT38)</f>
        <v>113</v>
      </c>
      <c r="CL38" s="165">
        <f>CM38*CI38</f>
        <v>0.17500000000000002</v>
      </c>
      <c r="CM38" s="48">
        <f>CH38-CK38</f>
        <v>7</v>
      </c>
      <c r="CN38" s="165">
        <f>CO38*CI38</f>
        <v>0.17500000000000002</v>
      </c>
      <c r="CO38" s="48">
        <f>CH38-CK38</f>
        <v>7</v>
      </c>
      <c r="CP38" s="165">
        <f>CQ38*CI38</f>
        <v>0</v>
      </c>
      <c r="CQ38" s="48">
        <f>CM38-CO38</f>
        <v>0</v>
      </c>
      <c r="CR38" s="462">
        <f>DATE(YEAR(CT38),MONTH(CT38)+CH38,DAY(CT38))</f>
        <v>43466</v>
      </c>
      <c r="CS38" s="125" t="s">
        <v>445</v>
      </c>
      <c r="CT38" s="119">
        <v>39814</v>
      </c>
      <c r="CU38" s="134">
        <v>300</v>
      </c>
      <c r="CV38" s="725">
        <v>54.951490031401271</v>
      </c>
      <c r="CW38" s="57">
        <v>126.408</v>
      </c>
      <c r="CX38" s="80">
        <v>134.071</v>
      </c>
      <c r="CY38" s="57">
        <f>CW38/CX38</f>
        <v>0.94284371713495085</v>
      </c>
      <c r="CZ38" s="55">
        <f>CV38/CO38</f>
        <v>7.8502128616287532</v>
      </c>
      <c r="DA38" s="55">
        <f>CZ38*CY38</f>
        <v>7.4015238747586531</v>
      </c>
      <c r="DB38" s="55">
        <v>7.4015238747586531</v>
      </c>
      <c r="DC38" s="55">
        <v>7.4015238747586531</v>
      </c>
      <c r="DD38" s="55">
        <v>7.4015238747586531</v>
      </c>
      <c r="DE38" s="55">
        <v>7.4015238747586531</v>
      </c>
      <c r="DF38" s="55">
        <v>7.4015238747586531</v>
      </c>
      <c r="DG38" s="55">
        <v>7.4015238747586531</v>
      </c>
      <c r="DH38" s="55">
        <v>7.4015238747586531</v>
      </c>
      <c r="DI38" s="55">
        <f>SUM(DB38:DH38)</f>
        <v>51.810667123310573</v>
      </c>
      <c r="DJ38" s="448">
        <f>CV38-DI38</f>
        <v>3.1408229080906978</v>
      </c>
      <c r="DK38" s="55">
        <v>2.14</v>
      </c>
      <c r="DL38" s="55">
        <v>0</v>
      </c>
      <c r="DM38" s="55">
        <v>0</v>
      </c>
      <c r="DN38" s="55">
        <v>0</v>
      </c>
      <c r="DO38" s="511"/>
      <c r="DP38" s="511">
        <f t="shared" si="0"/>
        <v>2.14</v>
      </c>
      <c r="DQ38" s="1126">
        <f>DJ38-DP38</f>
        <v>1.0008229080906976</v>
      </c>
      <c r="DR38" s="514">
        <v>132.28200000000001</v>
      </c>
      <c r="DS38" s="515">
        <v>134.071</v>
      </c>
      <c r="DT38" s="514">
        <f>DR38/DS38</f>
        <v>0.98665632388808922</v>
      </c>
      <c r="DU38" s="516">
        <v>0</v>
      </c>
      <c r="DV38" s="516">
        <f>DU38*DT38</f>
        <v>0</v>
      </c>
      <c r="DW38" s="516">
        <v>0</v>
      </c>
      <c r="DX38" s="516">
        <v>0</v>
      </c>
      <c r="DY38" s="516"/>
      <c r="DZ38" s="516"/>
      <c r="EA38" s="516"/>
      <c r="EB38" s="516"/>
      <c r="EC38" s="516">
        <v>0</v>
      </c>
      <c r="ED38" s="516">
        <v>0</v>
      </c>
      <c r="EE38" s="516">
        <v>0</v>
      </c>
      <c r="EF38" s="516">
        <v>0</v>
      </c>
      <c r="EG38" s="516">
        <v>0</v>
      </c>
      <c r="EH38" s="516">
        <v>0</v>
      </c>
      <c r="EI38" s="516">
        <v>0</v>
      </c>
      <c r="EJ38" s="516">
        <v>0</v>
      </c>
      <c r="EK38" s="516">
        <v>0</v>
      </c>
      <c r="EL38" s="516">
        <v>0</v>
      </c>
      <c r="EM38" s="516">
        <v>0</v>
      </c>
      <c r="EN38" s="516">
        <v>0</v>
      </c>
      <c r="EO38" s="516">
        <f>SUM(DW38:EC38)</f>
        <v>0</v>
      </c>
      <c r="EP38" s="1126">
        <f>DQ38-EO38</f>
        <v>1.0008229080906976</v>
      </c>
    </row>
    <row r="39" spans="1:146" s="16" customFormat="1" ht="15.75" customHeight="1" x14ac:dyDescent="0.2">
      <c r="A39" s="120" t="s">
        <v>539</v>
      </c>
      <c r="B39" s="26"/>
      <c r="C39" s="26"/>
      <c r="D39" s="27"/>
      <c r="E39" s="25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20"/>
      <c r="S39" s="20"/>
      <c r="T39" s="14"/>
      <c r="U39" s="14"/>
      <c r="V39" s="108"/>
      <c r="W39" s="66"/>
      <c r="X39" s="66"/>
      <c r="Y39" s="81"/>
      <c r="Z39" s="66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73"/>
      <c r="AQ39" s="55"/>
      <c r="AR39" s="55"/>
      <c r="AS39" s="55">
        <f t="shared" si="6"/>
        <v>0</v>
      </c>
      <c r="AT39" s="55">
        <f t="shared" si="6"/>
        <v>0</v>
      </c>
      <c r="AU39" s="55">
        <f t="shared" si="6"/>
        <v>0</v>
      </c>
      <c r="AV39" s="55">
        <f t="shared" si="6"/>
        <v>0</v>
      </c>
      <c r="AW39" s="55">
        <f t="shared" si="6"/>
        <v>0</v>
      </c>
      <c r="AX39" s="66"/>
      <c r="AY39" s="81"/>
      <c r="AZ39" s="66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448"/>
      <c r="BL39" s="55"/>
      <c r="BM39" s="55"/>
      <c r="BN39" s="55"/>
      <c r="BO39" s="55"/>
      <c r="BP39" s="55"/>
      <c r="BQ39" s="66"/>
      <c r="BR39" s="81"/>
      <c r="BS39" s="66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448"/>
      <c r="CE39" s="27"/>
      <c r="CF39" s="25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20"/>
      <c r="CT39" s="20"/>
      <c r="CU39" s="14"/>
      <c r="CV39" s="725"/>
      <c r="CW39" s="66"/>
      <c r="CX39" s="82"/>
      <c r="CY39" s="66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448"/>
      <c r="DK39" s="55"/>
      <c r="DL39" s="55"/>
      <c r="DM39" s="55"/>
      <c r="DN39" s="55"/>
      <c r="DO39" s="511"/>
      <c r="DP39" s="511"/>
      <c r="DQ39" s="1126"/>
      <c r="DR39" s="514"/>
      <c r="DS39" s="515"/>
      <c r="DT39" s="514"/>
      <c r="DU39" s="516"/>
      <c r="DV39" s="516"/>
      <c r="DW39" s="516"/>
      <c r="DX39" s="516"/>
      <c r="DY39" s="516"/>
      <c r="DZ39" s="516"/>
      <c r="EA39" s="516"/>
      <c r="EB39" s="516"/>
      <c r="EC39" s="516"/>
      <c r="ED39" s="516"/>
      <c r="EE39" s="516"/>
      <c r="EF39" s="516"/>
      <c r="EG39" s="516"/>
      <c r="EH39" s="516"/>
      <c r="EI39" s="516"/>
      <c r="EJ39" s="516"/>
      <c r="EK39" s="516"/>
      <c r="EL39" s="516"/>
      <c r="EM39" s="516"/>
      <c r="EN39" s="516"/>
      <c r="EO39" s="516"/>
      <c r="EP39" s="1126"/>
    </row>
    <row r="40" spans="1:146" s="16" customFormat="1" ht="15.75" customHeight="1" x14ac:dyDescent="0.2">
      <c r="A40" s="120" t="s">
        <v>456</v>
      </c>
      <c r="B40" s="100"/>
      <c r="C40" s="45"/>
      <c r="D40" s="4"/>
      <c r="E40" s="25"/>
      <c r="F40" s="46"/>
      <c r="G40" s="17"/>
      <c r="H40" s="145"/>
      <c r="I40" s="165"/>
      <c r="J40" s="48"/>
      <c r="K40" s="165"/>
      <c r="L40" s="48"/>
      <c r="M40" s="165"/>
      <c r="N40" s="48"/>
      <c r="O40" s="165"/>
      <c r="P40" s="48"/>
      <c r="Q40" s="48"/>
      <c r="R40" s="17"/>
      <c r="S40" s="20"/>
      <c r="T40" s="14"/>
      <c r="U40" s="14"/>
      <c r="V40" s="108"/>
      <c r="W40" s="66"/>
      <c r="X40" s="66"/>
      <c r="Y40" s="80"/>
      <c r="Z40" s="66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72"/>
      <c r="AQ40" s="55"/>
      <c r="AR40" s="55"/>
      <c r="AS40" s="55"/>
      <c r="AT40" s="55"/>
      <c r="AU40" s="55"/>
      <c r="AV40" s="55"/>
      <c r="AW40" s="55"/>
      <c r="AX40" s="66"/>
      <c r="AY40" s="80"/>
      <c r="AZ40" s="66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448"/>
      <c r="BL40" s="55"/>
      <c r="BM40" s="55"/>
      <c r="BN40" s="55"/>
      <c r="BO40" s="55"/>
      <c r="BP40" s="55"/>
      <c r="BQ40" s="66"/>
      <c r="BR40" s="80"/>
      <c r="BS40" s="66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448"/>
      <c r="CE40" s="4"/>
      <c r="CF40" s="25"/>
      <c r="CG40" s="46"/>
      <c r="CH40" s="17"/>
      <c r="CI40" s="145"/>
      <c r="CJ40" s="165"/>
      <c r="CK40" s="48"/>
      <c r="CL40" s="165"/>
      <c r="CM40" s="48"/>
      <c r="CN40" s="165"/>
      <c r="CO40" s="48"/>
      <c r="CP40" s="165"/>
      <c r="CQ40" s="48"/>
      <c r="CR40" s="48"/>
      <c r="CS40" s="17"/>
      <c r="CT40" s="20"/>
      <c r="CU40" s="14"/>
      <c r="CV40" s="725"/>
      <c r="CW40" s="66"/>
      <c r="CX40" s="80"/>
      <c r="CY40" s="66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448"/>
      <c r="DK40" s="55"/>
      <c r="DL40" s="55"/>
      <c r="DM40" s="55"/>
      <c r="DN40" s="55"/>
      <c r="DO40" s="511"/>
      <c r="DP40" s="511"/>
      <c r="DQ40" s="1126"/>
      <c r="DR40" s="514"/>
      <c r="DS40" s="515"/>
      <c r="DT40" s="514"/>
      <c r="DU40" s="516"/>
      <c r="DV40" s="516"/>
      <c r="DW40" s="516"/>
      <c r="DX40" s="516"/>
      <c r="DY40" s="516"/>
      <c r="DZ40" s="516"/>
      <c r="EA40" s="516"/>
      <c r="EB40" s="516"/>
      <c r="EC40" s="516"/>
      <c r="ED40" s="516"/>
      <c r="EE40" s="516"/>
      <c r="EF40" s="516"/>
      <c r="EG40" s="516"/>
      <c r="EH40" s="516"/>
      <c r="EI40" s="516"/>
      <c r="EJ40" s="516"/>
      <c r="EK40" s="516"/>
      <c r="EL40" s="516"/>
      <c r="EM40" s="516"/>
      <c r="EN40" s="516"/>
      <c r="EO40" s="516"/>
      <c r="EP40" s="1126"/>
    </row>
    <row r="41" spans="1:146" s="16" customFormat="1" ht="15.75" customHeight="1" x14ac:dyDescent="0.2">
      <c r="A41" s="100" t="s">
        <v>123</v>
      </c>
      <c r="B41" s="100" t="s">
        <v>727</v>
      </c>
      <c r="C41" s="45" t="s">
        <v>509</v>
      </c>
      <c r="D41" s="58">
        <v>10</v>
      </c>
      <c r="E41" s="130">
        <v>0.1</v>
      </c>
      <c r="F41" s="46">
        <v>42349</v>
      </c>
      <c r="G41" s="58">
        <v>119</v>
      </c>
      <c r="H41" s="145">
        <f>100/G41</f>
        <v>0.84033613445378152</v>
      </c>
      <c r="I41" s="165">
        <f>H41*J41</f>
        <v>0</v>
      </c>
      <c r="J41" s="48">
        <f>(YEAR(F41)-YEAR(S41))*12+MONTH(F41)-MONTH(S41)</f>
        <v>0</v>
      </c>
      <c r="K41" s="165">
        <f>L41*H41</f>
        <v>100</v>
      </c>
      <c r="L41" s="48">
        <f>G41-J41</f>
        <v>119</v>
      </c>
      <c r="M41" s="165">
        <f>N41*H41</f>
        <v>5.0420168067226889</v>
      </c>
      <c r="N41" s="48">
        <v>6</v>
      </c>
      <c r="O41" s="165">
        <f>P41*H41</f>
        <v>94.957983193277315</v>
      </c>
      <c r="P41" s="48">
        <f>L41-N41</f>
        <v>113</v>
      </c>
      <c r="Q41" s="48"/>
      <c r="R41" s="125" t="s">
        <v>728</v>
      </c>
      <c r="S41" s="46">
        <v>42349</v>
      </c>
      <c r="T41" s="134">
        <v>336</v>
      </c>
      <c r="U41" s="134">
        <v>0</v>
      </c>
      <c r="V41" s="106">
        <v>0</v>
      </c>
      <c r="W41" s="66"/>
      <c r="X41" s="57">
        <v>115.958</v>
      </c>
      <c r="Y41" s="80">
        <v>118.532</v>
      </c>
      <c r="Z41" s="57">
        <f>X41/Y41</f>
        <v>0.97828434515573859</v>
      </c>
      <c r="AA41" s="55">
        <f>H41*T41/100</f>
        <v>2.8235294117647061</v>
      </c>
      <c r="AB41" s="55">
        <f>AA41*Z41</f>
        <v>2.7622146216162031</v>
      </c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72">
        <f>T41</f>
        <v>336</v>
      </c>
      <c r="AQ41" s="55"/>
      <c r="AR41" s="55"/>
      <c r="AS41" s="55">
        <f>2.76</f>
        <v>2.76</v>
      </c>
      <c r="AT41" s="55">
        <f>2.76</f>
        <v>2.76</v>
      </c>
      <c r="AU41" s="55">
        <f>2.76</f>
        <v>2.76</v>
      </c>
      <c r="AV41" s="55">
        <f>2.76</f>
        <v>2.76</v>
      </c>
      <c r="AW41" s="55">
        <f>2.76</f>
        <v>2.76</v>
      </c>
      <c r="AX41" s="57">
        <v>118.901</v>
      </c>
      <c r="AY41" s="80">
        <v>118.532</v>
      </c>
      <c r="AZ41" s="57">
        <f>AX41/AY41</f>
        <v>1.0031130833867647</v>
      </c>
      <c r="BA41" s="55">
        <f t="shared" si="3"/>
        <v>2.8</v>
      </c>
      <c r="BB41" s="55">
        <f>BA41*AZ41</f>
        <v>2.8087166334829412</v>
      </c>
      <c r="BC41" s="55">
        <f t="shared" ref="BC41:BF43" si="9">$BB41</f>
        <v>2.8087166334829412</v>
      </c>
      <c r="BD41" s="55">
        <f t="shared" si="9"/>
        <v>2.8087166334829412</v>
      </c>
      <c r="BE41" s="55">
        <f t="shared" si="9"/>
        <v>2.8087166334829412</v>
      </c>
      <c r="BF41" s="55">
        <f t="shared" si="9"/>
        <v>2.8087166334829412</v>
      </c>
      <c r="BG41" s="55">
        <v>2.81</v>
      </c>
      <c r="BH41" s="55">
        <v>2.81</v>
      </c>
      <c r="BI41" s="55">
        <v>2.81</v>
      </c>
      <c r="BJ41" s="55">
        <f>SUM((AS41:AW41),(BC41:BI41))</f>
        <v>33.464866533931762</v>
      </c>
      <c r="BK41" s="448">
        <f>(AP41-BJ41)</f>
        <v>302.53513346606826</v>
      </c>
      <c r="BL41" s="55">
        <v>2.81</v>
      </c>
      <c r="BM41" s="55">
        <v>2.81</v>
      </c>
      <c r="BN41" s="55">
        <v>2.81</v>
      </c>
      <c r="BO41" s="55">
        <v>2.81</v>
      </c>
      <c r="BP41" s="55">
        <v>2.81</v>
      </c>
      <c r="BQ41" s="57">
        <v>118.901</v>
      </c>
      <c r="BR41" s="80">
        <v>118.532</v>
      </c>
      <c r="BS41" s="57">
        <f>BQ41/BR41</f>
        <v>1.0031130833867647</v>
      </c>
      <c r="BT41" s="55"/>
      <c r="BU41" s="55"/>
      <c r="BV41" s="55"/>
      <c r="BW41" s="55"/>
      <c r="BX41" s="55"/>
      <c r="BY41" s="55"/>
      <c r="BZ41" s="55"/>
      <c r="CA41" s="55"/>
      <c r="CB41" s="55"/>
      <c r="CC41" s="55">
        <f>SUM((BL41:BP41),(BV41:CB41))</f>
        <v>14.05</v>
      </c>
      <c r="CD41" s="448">
        <f>BK41-CC41</f>
        <v>288.48513346606825</v>
      </c>
      <c r="CE41" s="58">
        <v>10</v>
      </c>
      <c r="CF41" s="130">
        <v>0.1</v>
      </c>
      <c r="CG41" s="46">
        <v>43281</v>
      </c>
      <c r="CH41" s="58">
        <v>119</v>
      </c>
      <c r="CI41" s="145">
        <f>CU41/CH41/100</f>
        <v>2.823529411764706E-2</v>
      </c>
      <c r="CJ41" s="165">
        <f>CI41*CK41</f>
        <v>0.84705882352941175</v>
      </c>
      <c r="CK41" s="48">
        <f>(YEAR(CG41)-YEAR(CT41))*12+MONTH(CG41)-MONTH(CT41)</f>
        <v>30</v>
      </c>
      <c r="CL41" s="165">
        <f>CM41*CI41</f>
        <v>2.5129411764705885</v>
      </c>
      <c r="CM41" s="48">
        <f>CH41-CK41</f>
        <v>89</v>
      </c>
      <c r="CN41" s="165">
        <f>CO41*CI41</f>
        <v>2.5129411764705885</v>
      </c>
      <c r="CO41" s="48">
        <f>CH41-CK41</f>
        <v>89</v>
      </c>
      <c r="CP41" s="165">
        <f>CQ41*CI41</f>
        <v>0</v>
      </c>
      <c r="CQ41" s="48">
        <f>CM41-CO41</f>
        <v>0</v>
      </c>
      <c r="CR41" s="462">
        <f>DATE(YEAR(CT41),MONTH(CT41)+CH41,DAY(CT41))</f>
        <v>45972</v>
      </c>
      <c r="CS41" s="125" t="s">
        <v>728</v>
      </c>
      <c r="CT41" s="46">
        <v>42349</v>
      </c>
      <c r="CU41" s="134">
        <v>336</v>
      </c>
      <c r="CV41" s="725">
        <v>288.48513346606825</v>
      </c>
      <c r="CW41" s="57">
        <v>126.408</v>
      </c>
      <c r="CX41" s="80">
        <v>118.532</v>
      </c>
      <c r="CY41" s="57">
        <f>CW41/CX41</f>
        <v>1.0664461917456889</v>
      </c>
      <c r="CZ41" s="55">
        <f>CV41/CO41</f>
        <v>3.2414059940007669</v>
      </c>
      <c r="DA41" s="55">
        <f>CZ41*CY41</f>
        <v>3.456785078203767</v>
      </c>
      <c r="DB41" s="55">
        <v>43.950553137162181</v>
      </c>
      <c r="DC41" s="55">
        <v>43.950553137162181</v>
      </c>
      <c r="DD41" s="55">
        <v>43.950553137162181</v>
      </c>
      <c r="DE41" s="55">
        <v>43.950553137162181</v>
      </c>
      <c r="DF41" s="55">
        <v>43.950553137162181</v>
      </c>
      <c r="DG41" s="55">
        <v>43.950553137162181</v>
      </c>
      <c r="DH41" s="55">
        <v>23.78</v>
      </c>
      <c r="DI41" s="55">
        <f>SUM(DB41:DH41)</f>
        <v>287.48331882297305</v>
      </c>
      <c r="DJ41" s="448">
        <f>CV41-DI41</f>
        <v>1.0018146430952015</v>
      </c>
      <c r="DK41" s="55">
        <v>0</v>
      </c>
      <c r="DL41" s="55">
        <v>0</v>
      </c>
      <c r="DM41" s="55">
        <v>0</v>
      </c>
      <c r="DN41" s="55">
        <v>0</v>
      </c>
      <c r="DO41" s="511"/>
      <c r="DP41" s="511">
        <f t="shared" si="0"/>
        <v>0</v>
      </c>
      <c r="DQ41" s="1126">
        <f>DJ41-DP41</f>
        <v>1.0018146430952015</v>
      </c>
      <c r="DR41" s="514">
        <v>132.28200000000001</v>
      </c>
      <c r="DS41" s="515">
        <v>118.532</v>
      </c>
      <c r="DT41" s="514">
        <f>DR41/DS41</f>
        <v>1.1160024297236191</v>
      </c>
      <c r="DU41" s="516">
        <v>0</v>
      </c>
      <c r="DV41" s="516">
        <f>DU41*DT41</f>
        <v>0</v>
      </c>
      <c r="DW41" s="516">
        <v>0</v>
      </c>
      <c r="DX41" s="516">
        <v>0</v>
      </c>
      <c r="DY41" s="516"/>
      <c r="DZ41" s="516"/>
      <c r="EA41" s="516"/>
      <c r="EB41" s="516"/>
      <c r="EC41" s="516">
        <v>0</v>
      </c>
      <c r="ED41" s="516">
        <v>0</v>
      </c>
      <c r="EE41" s="516">
        <v>0</v>
      </c>
      <c r="EF41" s="516">
        <v>0</v>
      </c>
      <c r="EG41" s="516">
        <v>0</v>
      </c>
      <c r="EH41" s="516">
        <v>0</v>
      </c>
      <c r="EI41" s="516">
        <v>0</v>
      </c>
      <c r="EJ41" s="516">
        <v>0</v>
      </c>
      <c r="EK41" s="516">
        <v>0</v>
      </c>
      <c r="EL41" s="516">
        <v>0</v>
      </c>
      <c r="EM41" s="516">
        <v>0</v>
      </c>
      <c r="EN41" s="516">
        <v>0</v>
      </c>
      <c r="EO41" s="516">
        <f>SUM(DW41:EN41)</f>
        <v>0</v>
      </c>
      <c r="EP41" s="1126">
        <f>DQ41-EO41</f>
        <v>1.0018146430952015</v>
      </c>
    </row>
    <row r="42" spans="1:146" s="16" customFormat="1" ht="15.75" customHeight="1" x14ac:dyDescent="0.2">
      <c r="A42" s="100" t="s">
        <v>123</v>
      </c>
      <c r="B42" s="100" t="s">
        <v>541</v>
      </c>
      <c r="C42" s="45" t="s">
        <v>509</v>
      </c>
      <c r="D42" s="58">
        <v>10</v>
      </c>
      <c r="E42" s="25">
        <v>0.1</v>
      </c>
      <c r="F42" s="46">
        <v>42185</v>
      </c>
      <c r="G42" s="58">
        <v>120</v>
      </c>
      <c r="H42" s="145">
        <f>100/G42</f>
        <v>0.83333333333333337</v>
      </c>
      <c r="I42" s="165">
        <f>H42*J42</f>
        <v>84.166666666666671</v>
      </c>
      <c r="J42" s="48">
        <f>(YEAR(F42)-YEAR(S42))*12+MONTH(F42)-MONTH(S42)</f>
        <v>101</v>
      </c>
      <c r="K42" s="165">
        <f>L42*H42</f>
        <v>15.833333333333334</v>
      </c>
      <c r="L42" s="48">
        <f>G42-J42</f>
        <v>19</v>
      </c>
      <c r="M42" s="165">
        <f>N42*H42</f>
        <v>5.8333333333333339</v>
      </c>
      <c r="N42" s="48">
        <v>7</v>
      </c>
      <c r="O42" s="165">
        <f>P42*H42</f>
        <v>10</v>
      </c>
      <c r="P42" s="48">
        <f>L42-N42</f>
        <v>12</v>
      </c>
      <c r="Q42" s="48"/>
      <c r="R42" s="125" t="s">
        <v>445</v>
      </c>
      <c r="S42" s="119">
        <v>39083</v>
      </c>
      <c r="T42" s="134">
        <v>570</v>
      </c>
      <c r="U42" s="14">
        <v>90.25</v>
      </c>
      <c r="V42" s="106">
        <v>23.75</v>
      </c>
      <c r="W42" s="66"/>
      <c r="X42" s="57">
        <v>115.958</v>
      </c>
      <c r="Y42" s="80">
        <v>121.64</v>
      </c>
      <c r="Z42" s="57">
        <f>X42/Y42</f>
        <v>0.95328839197632353</v>
      </c>
      <c r="AA42" s="55">
        <f>U42*M42/100/K42*100/7</f>
        <v>4.75</v>
      </c>
      <c r="AB42" s="55">
        <f>AA42*Z42</f>
        <v>4.5281198618875367</v>
      </c>
      <c r="AC42" s="55"/>
      <c r="AD42" s="55"/>
      <c r="AE42" s="55"/>
      <c r="AF42" s="55"/>
      <c r="AG42" s="55"/>
      <c r="AH42" s="55">
        <v>4.53</v>
      </c>
      <c r="AI42" s="55">
        <v>4.53</v>
      </c>
      <c r="AJ42" s="55">
        <v>4.53</v>
      </c>
      <c r="AK42" s="55">
        <v>4.53</v>
      </c>
      <c r="AL42" s="55">
        <v>4.53</v>
      </c>
      <c r="AM42" s="55">
        <v>4.53</v>
      </c>
      <c r="AN42" s="55">
        <v>4.53</v>
      </c>
      <c r="AO42" s="55">
        <f>SUM(AC42:AN42)</f>
        <v>31.710000000000004</v>
      </c>
      <c r="AP42" s="72">
        <f>U42-AO42</f>
        <v>58.539999999999992</v>
      </c>
      <c r="AQ42" s="55"/>
      <c r="AR42" s="55"/>
      <c r="AS42" s="55">
        <f t="shared" ref="AS42:AW50" si="10">$AN42</f>
        <v>4.53</v>
      </c>
      <c r="AT42" s="55">
        <f t="shared" si="10"/>
        <v>4.53</v>
      </c>
      <c r="AU42" s="55">
        <f t="shared" si="10"/>
        <v>4.53</v>
      </c>
      <c r="AV42" s="55">
        <f t="shared" si="10"/>
        <v>4.53</v>
      </c>
      <c r="AW42" s="55">
        <f t="shared" si="10"/>
        <v>4.53</v>
      </c>
      <c r="AX42" s="57">
        <v>118.901</v>
      </c>
      <c r="AY42" s="80">
        <v>121.64</v>
      </c>
      <c r="AZ42" s="57">
        <f>AX42/AY42</f>
        <v>0.97748273594212431</v>
      </c>
      <c r="BA42" s="55">
        <f>T42/(D42*12)</f>
        <v>4.75</v>
      </c>
      <c r="BB42" s="55">
        <f>BA42*AZ42</f>
        <v>4.6430429957250903</v>
      </c>
      <c r="BC42" s="55">
        <f t="shared" si="9"/>
        <v>4.6430429957250903</v>
      </c>
      <c r="BD42" s="55">
        <f t="shared" si="9"/>
        <v>4.6430429957250903</v>
      </c>
      <c r="BE42" s="55">
        <f t="shared" si="9"/>
        <v>4.6430429957250903</v>
      </c>
      <c r="BF42" s="55">
        <f t="shared" si="9"/>
        <v>4.6430429957250903</v>
      </c>
      <c r="BG42" s="55">
        <v>4.6399999999999997</v>
      </c>
      <c r="BH42" s="55">
        <v>4.6399999999999997</v>
      </c>
      <c r="BI42" s="55">
        <v>4.6399999999999997</v>
      </c>
      <c r="BJ42" s="55">
        <f>SUM((AS42:AW42),(BC42:BI42))</f>
        <v>55.142171982900365</v>
      </c>
      <c r="BK42" s="448">
        <f>(AP42-BJ42)</f>
        <v>3.3978280170996271</v>
      </c>
      <c r="BL42" s="55">
        <v>2.4</v>
      </c>
      <c r="BM42" s="55">
        <v>0</v>
      </c>
      <c r="BN42" s="55">
        <v>0</v>
      </c>
      <c r="BO42" s="55">
        <v>0</v>
      </c>
      <c r="BP42" s="55">
        <v>0</v>
      </c>
      <c r="BQ42" s="57">
        <v>118.901</v>
      </c>
      <c r="BR42" s="80">
        <v>121.64</v>
      </c>
      <c r="BS42" s="57">
        <f>BQ42/BR42</f>
        <v>0.97748273594212431</v>
      </c>
      <c r="BT42" s="55"/>
      <c r="BU42" s="55"/>
      <c r="BV42" s="55"/>
      <c r="BW42" s="55"/>
      <c r="BX42" s="55"/>
      <c r="BY42" s="55"/>
      <c r="BZ42" s="55"/>
      <c r="CA42" s="55"/>
      <c r="CB42" s="55"/>
      <c r="CC42" s="55">
        <f>SUM((BL42:BP42),(BV42:CB42))</f>
        <v>2.4</v>
      </c>
      <c r="CD42" s="448">
        <f>BK42-CC42</f>
        <v>0.99782801709962721</v>
      </c>
      <c r="CE42" s="58">
        <v>10</v>
      </c>
      <c r="CF42" s="25">
        <v>0.1</v>
      </c>
      <c r="CG42" s="46">
        <v>43281</v>
      </c>
      <c r="CH42" s="58">
        <v>120</v>
      </c>
      <c r="CI42" s="145">
        <f>CU42/CH42/100</f>
        <v>4.7500000000000001E-2</v>
      </c>
      <c r="CJ42" s="165">
        <f>CI42*CK42</f>
        <v>6.5075000000000003</v>
      </c>
      <c r="CK42" s="48">
        <f>(YEAR(CG42)-YEAR(CT42))*12+MONTH(CG42)-MONTH(CT42)</f>
        <v>137</v>
      </c>
      <c r="CL42" s="165">
        <f>CM42*CI42</f>
        <v>-0.8075</v>
      </c>
      <c r="CM42" s="48">
        <f>CH42-CK42</f>
        <v>-17</v>
      </c>
      <c r="CN42" s="165">
        <f>CO42*CI42</f>
        <v>-0.8075</v>
      </c>
      <c r="CO42" s="48">
        <f>CH42-CK42</f>
        <v>-17</v>
      </c>
      <c r="CP42" s="165">
        <f>CQ42*CI42</f>
        <v>0</v>
      </c>
      <c r="CQ42" s="48">
        <f>CM42-CO42</f>
        <v>0</v>
      </c>
      <c r="CR42" s="462">
        <f>DATE(YEAR(CT42),MONTH(CT42)+CH42,DAY(CT42))</f>
        <v>42736</v>
      </c>
      <c r="CS42" s="125" t="s">
        <v>445</v>
      </c>
      <c r="CT42" s="119">
        <v>39083</v>
      </c>
      <c r="CU42" s="134">
        <v>570</v>
      </c>
      <c r="CV42" s="725">
        <v>0.99782801709962721</v>
      </c>
      <c r="CW42" s="57">
        <v>126.408</v>
      </c>
      <c r="CX42" s="80">
        <v>121.64</v>
      </c>
      <c r="CY42" s="57">
        <f>CW42/CX42</f>
        <v>1.039197632357777</v>
      </c>
      <c r="CZ42" s="55">
        <f>CV42/CO42</f>
        <v>-5.869576571174278E-2</v>
      </c>
      <c r="DA42" s="55">
        <f>CZ42*CY42</f>
        <v>-6.0996500757069881E-2</v>
      </c>
      <c r="DB42" s="55">
        <v>0.14813435898145541</v>
      </c>
      <c r="DC42" s="55">
        <v>0.14813435898145541</v>
      </c>
      <c r="DD42" s="55">
        <v>0</v>
      </c>
      <c r="DE42" s="55">
        <v>0</v>
      </c>
      <c r="DF42" s="55">
        <v>-0.3</v>
      </c>
      <c r="DG42" s="55"/>
      <c r="DH42" s="55"/>
      <c r="DI42" s="55">
        <f>SUM(DB42:DH42)</f>
        <v>-3.7312820370891675E-3</v>
      </c>
      <c r="DJ42" s="448">
        <f>CV42-DI42</f>
        <v>1.0015592991367164</v>
      </c>
      <c r="DK42" s="55">
        <v>0</v>
      </c>
      <c r="DL42" s="55">
        <v>0</v>
      </c>
      <c r="DM42" s="55">
        <v>0</v>
      </c>
      <c r="DN42" s="55">
        <v>0</v>
      </c>
      <c r="DO42" s="511"/>
      <c r="DP42" s="511">
        <f t="shared" si="0"/>
        <v>0</v>
      </c>
      <c r="DQ42" s="1126">
        <f>DJ42-DP42</f>
        <v>1.0015592991367164</v>
      </c>
      <c r="DR42" s="514">
        <v>132.28200000000001</v>
      </c>
      <c r="DS42" s="515">
        <v>121.64</v>
      </c>
      <c r="DT42" s="514">
        <f>DR42/DS42</f>
        <v>1.0874876685300889</v>
      </c>
      <c r="DU42" s="516">
        <v>0</v>
      </c>
      <c r="DV42" s="516">
        <f>DU42*DT42</f>
        <v>0</v>
      </c>
      <c r="DW42" s="516">
        <v>0</v>
      </c>
      <c r="DX42" s="516">
        <v>0</v>
      </c>
      <c r="DY42" s="516"/>
      <c r="DZ42" s="516"/>
      <c r="EA42" s="516"/>
      <c r="EB42" s="516"/>
      <c r="EC42" s="516">
        <v>0</v>
      </c>
      <c r="ED42" s="516">
        <v>0</v>
      </c>
      <c r="EE42" s="516">
        <v>0</v>
      </c>
      <c r="EF42" s="516">
        <v>0</v>
      </c>
      <c r="EG42" s="516">
        <v>0</v>
      </c>
      <c r="EH42" s="516">
        <v>0</v>
      </c>
      <c r="EI42" s="516">
        <v>0</v>
      </c>
      <c r="EJ42" s="516">
        <v>0</v>
      </c>
      <c r="EK42" s="516">
        <v>0</v>
      </c>
      <c r="EL42" s="516">
        <v>0</v>
      </c>
      <c r="EM42" s="516">
        <v>0</v>
      </c>
      <c r="EN42" s="516">
        <v>0</v>
      </c>
      <c r="EO42" s="516">
        <f t="shared" ref="EO42:EO44" si="11">SUM(DW42:EN42)</f>
        <v>0</v>
      </c>
      <c r="EP42" s="1126">
        <f>DQ42-EO42</f>
        <v>1.0015592991367164</v>
      </c>
    </row>
    <row r="43" spans="1:146" s="16" customFormat="1" ht="15.75" customHeight="1" x14ac:dyDescent="0.2">
      <c r="A43" s="763" t="s">
        <v>123</v>
      </c>
      <c r="B43" s="763" t="s">
        <v>1163</v>
      </c>
      <c r="C43" s="45" t="s">
        <v>509</v>
      </c>
      <c r="D43" s="58">
        <v>10</v>
      </c>
      <c r="E43" s="25">
        <v>0.1</v>
      </c>
      <c r="F43" s="46">
        <v>42185</v>
      </c>
      <c r="G43" s="58">
        <v>120</v>
      </c>
      <c r="H43" s="145">
        <f>100/G43</f>
        <v>0.83333333333333337</v>
      </c>
      <c r="I43" s="165">
        <f>H43*J43</f>
        <v>84.166666666666671</v>
      </c>
      <c r="J43" s="48">
        <f>(YEAR(F43)-YEAR(S43))*12+MONTH(F43)-MONTH(S43)</f>
        <v>101</v>
      </c>
      <c r="K43" s="165">
        <f>L43*H43</f>
        <v>15.833333333333334</v>
      </c>
      <c r="L43" s="48">
        <f>G43-J43</f>
        <v>19</v>
      </c>
      <c r="M43" s="165">
        <f>N43*H43</f>
        <v>5.8333333333333339</v>
      </c>
      <c r="N43" s="48">
        <v>7</v>
      </c>
      <c r="O43" s="165">
        <f>P43*H43</f>
        <v>10</v>
      </c>
      <c r="P43" s="48">
        <f>L43-N43</f>
        <v>12</v>
      </c>
      <c r="Q43" s="48"/>
      <c r="R43" s="125" t="s">
        <v>445</v>
      </c>
      <c r="S43" s="119">
        <v>39083</v>
      </c>
      <c r="T43" s="134">
        <v>570</v>
      </c>
      <c r="U43" s="14">
        <v>90.25</v>
      </c>
      <c r="V43" s="106">
        <v>23.75</v>
      </c>
      <c r="W43" s="66"/>
      <c r="X43" s="57">
        <v>115.958</v>
      </c>
      <c r="Y43" s="80">
        <v>121.64</v>
      </c>
      <c r="Z43" s="57">
        <f>X43/Y43</f>
        <v>0.95328839197632353</v>
      </c>
      <c r="AA43" s="55">
        <f>U43*M43/100/K43*100/7</f>
        <v>4.75</v>
      </c>
      <c r="AB43" s="55">
        <f>AA43*Z43</f>
        <v>4.5281198618875367</v>
      </c>
      <c r="AC43" s="55"/>
      <c r="AD43" s="55"/>
      <c r="AE43" s="55"/>
      <c r="AF43" s="55"/>
      <c r="AG43" s="55"/>
      <c r="AH43" s="55">
        <v>4.53</v>
      </c>
      <c r="AI43" s="55">
        <v>4.53</v>
      </c>
      <c r="AJ43" s="55">
        <v>4.53</v>
      </c>
      <c r="AK43" s="55">
        <v>4.53</v>
      </c>
      <c r="AL43" s="55">
        <v>4.53</v>
      </c>
      <c r="AM43" s="55">
        <v>4.53</v>
      </c>
      <c r="AN43" s="55">
        <v>4.53</v>
      </c>
      <c r="AO43" s="55">
        <f>SUM(AC43:AN43)</f>
        <v>31.710000000000004</v>
      </c>
      <c r="AP43" s="72">
        <f>U43-AO43</f>
        <v>58.539999999999992</v>
      </c>
      <c r="AQ43" s="55"/>
      <c r="AR43" s="55"/>
      <c r="AS43" s="55">
        <f t="shared" si="10"/>
        <v>4.53</v>
      </c>
      <c r="AT43" s="55">
        <f t="shared" si="10"/>
        <v>4.53</v>
      </c>
      <c r="AU43" s="55">
        <f t="shared" si="10"/>
        <v>4.53</v>
      </c>
      <c r="AV43" s="55">
        <f t="shared" si="10"/>
        <v>4.53</v>
      </c>
      <c r="AW43" s="55">
        <f t="shared" si="10"/>
        <v>4.53</v>
      </c>
      <c r="AX43" s="57">
        <v>118.901</v>
      </c>
      <c r="AY43" s="80">
        <v>121.64</v>
      </c>
      <c r="AZ43" s="57">
        <f>AX43/AY43</f>
        <v>0.97748273594212431</v>
      </c>
      <c r="BA43" s="55">
        <f t="shared" si="3"/>
        <v>4.75</v>
      </c>
      <c r="BB43" s="55">
        <f>BA43*AZ43</f>
        <v>4.6430429957250903</v>
      </c>
      <c r="BC43" s="55">
        <f t="shared" si="9"/>
        <v>4.6430429957250903</v>
      </c>
      <c r="BD43" s="55">
        <f t="shared" si="9"/>
        <v>4.6430429957250903</v>
      </c>
      <c r="BE43" s="55">
        <f t="shared" si="9"/>
        <v>4.6430429957250903</v>
      </c>
      <c r="BF43" s="55">
        <f t="shared" si="9"/>
        <v>4.6430429957250903</v>
      </c>
      <c r="BG43" s="55">
        <v>4.6399999999999997</v>
      </c>
      <c r="BH43" s="55">
        <v>4.6399999999999997</v>
      </c>
      <c r="BI43" s="55">
        <v>4.6399999999999997</v>
      </c>
      <c r="BJ43" s="55">
        <f>SUM((AS43:AW43),(BC43:BI43))</f>
        <v>55.142171982900365</v>
      </c>
      <c r="BK43" s="448">
        <f>(AP43-BJ43)</f>
        <v>3.3978280170996271</v>
      </c>
      <c r="BL43" s="55">
        <v>2.4</v>
      </c>
      <c r="BM43" s="55">
        <v>0</v>
      </c>
      <c r="BN43" s="55">
        <v>0</v>
      </c>
      <c r="BO43" s="55">
        <v>0</v>
      </c>
      <c r="BP43" s="55">
        <v>0</v>
      </c>
      <c r="BQ43" s="57">
        <v>118.901</v>
      </c>
      <c r="BR43" s="80">
        <v>121.64</v>
      </c>
      <c r="BS43" s="57">
        <f>BQ43/BR43</f>
        <v>0.97748273594212431</v>
      </c>
      <c r="BT43" s="55"/>
      <c r="BU43" s="55"/>
      <c r="BV43" s="55"/>
      <c r="BW43" s="55"/>
      <c r="BX43" s="55"/>
      <c r="BY43" s="55"/>
      <c r="BZ43" s="55"/>
      <c r="CA43" s="55"/>
      <c r="CB43" s="55"/>
      <c r="CC43" s="55">
        <f>SUM((BL43:BP43),(BV43:CB43))</f>
        <v>2.4</v>
      </c>
      <c r="CD43" s="448">
        <f>BK43-CC43</f>
        <v>0.99782801709962721</v>
      </c>
      <c r="CE43" s="58">
        <v>10</v>
      </c>
      <c r="CF43" s="25">
        <v>0.1</v>
      </c>
      <c r="CG43" s="46">
        <v>43281</v>
      </c>
      <c r="CH43" s="58">
        <v>120</v>
      </c>
      <c r="CI43" s="145">
        <f>CU43/CH43/100</f>
        <v>0.33333333333333337</v>
      </c>
      <c r="CJ43" s="165">
        <f>CI43*CK43</f>
        <v>4.3333333333333339</v>
      </c>
      <c r="CK43" s="48">
        <f>(YEAR(CG43)-YEAR(CT43))*12+MONTH(CG43)-MONTH(CT43)</f>
        <v>13</v>
      </c>
      <c r="CL43" s="165">
        <f>CM43*CI43</f>
        <v>35.666666666666671</v>
      </c>
      <c r="CM43" s="48">
        <f>CH43-CK43</f>
        <v>107</v>
      </c>
      <c r="CN43" s="165">
        <f>CO43*CI43</f>
        <v>35.666666666666671</v>
      </c>
      <c r="CO43" s="48">
        <f>CH43-CK43</f>
        <v>107</v>
      </c>
      <c r="CP43" s="165">
        <f>CQ43*CI43</f>
        <v>0</v>
      </c>
      <c r="CQ43" s="48">
        <f>CM43-CO43</f>
        <v>0</v>
      </c>
      <c r="CR43" s="462">
        <f>DATE(YEAR(CT43),MONTH(CT43)+CH43,DAY(CT43))</f>
        <v>46529</v>
      </c>
      <c r="CS43" s="125" t="s">
        <v>1164</v>
      </c>
      <c r="CT43" s="119">
        <v>42877</v>
      </c>
      <c r="CU43" s="134">
        <v>4000</v>
      </c>
      <c r="CV43" s="725">
        <v>4000</v>
      </c>
      <c r="CW43" s="57">
        <v>126.408</v>
      </c>
      <c r="CX43" s="80">
        <v>126.09099999999999</v>
      </c>
      <c r="CY43" s="57">
        <f>CW43/CX43</f>
        <v>1.0025140573078175</v>
      </c>
      <c r="CZ43" s="55">
        <f>CV43/CH43</f>
        <v>33.333333333333336</v>
      </c>
      <c r="DA43" s="55">
        <f>CZ43*CY43</f>
        <v>33.417135243593918</v>
      </c>
      <c r="DB43" s="55">
        <v>0</v>
      </c>
      <c r="DC43" s="55">
        <v>0</v>
      </c>
      <c r="DD43" s="55">
        <v>0</v>
      </c>
      <c r="DE43" s="55">
        <v>133.32</v>
      </c>
      <c r="DF43" s="55">
        <v>133.32</v>
      </c>
      <c r="DG43" s="55">
        <v>133.32</v>
      </c>
      <c r="DH43" s="55">
        <v>133.32</v>
      </c>
      <c r="DI43" s="55">
        <f>SUM(DB43:DH43)</f>
        <v>533.28</v>
      </c>
      <c r="DJ43" s="448">
        <f>CV43-DI43</f>
        <v>3466.7200000000003</v>
      </c>
      <c r="DK43" s="55">
        <v>0</v>
      </c>
      <c r="DL43" s="55">
        <v>0</v>
      </c>
      <c r="DM43" s="55">
        <v>100.26</v>
      </c>
      <c r="DN43" s="55">
        <v>100.26</v>
      </c>
      <c r="DO43" s="55">
        <v>100.26</v>
      </c>
      <c r="DP43" s="511">
        <f t="shared" si="0"/>
        <v>300.78000000000003</v>
      </c>
      <c r="DQ43" s="1126">
        <f>DJ43-DP43</f>
        <v>3165.94</v>
      </c>
      <c r="DR43" s="514">
        <v>132.28200000000001</v>
      </c>
      <c r="DS43" s="515">
        <v>126.09099999999999</v>
      </c>
      <c r="DT43" s="514">
        <f>DR43/DS43</f>
        <v>1.0490994599138719</v>
      </c>
      <c r="DU43" s="516">
        <f>DQ43/CM43</f>
        <v>29.58822429906542</v>
      </c>
      <c r="DV43" s="516">
        <f>DU43*DT43</f>
        <v>31.040990131960033</v>
      </c>
      <c r="DW43" s="516">
        <v>31.04</v>
      </c>
      <c r="DX43" s="516">
        <v>31.04</v>
      </c>
      <c r="DY43" s="516">
        <v>31.04</v>
      </c>
      <c r="DZ43" s="516">
        <v>31.04</v>
      </c>
      <c r="EA43" s="516">
        <v>31.04</v>
      </c>
      <c r="EB43" s="516">
        <v>31.04</v>
      </c>
      <c r="EC43" s="516">
        <v>31.04</v>
      </c>
      <c r="ED43" s="516">
        <v>31.04</v>
      </c>
      <c r="EE43" s="516">
        <v>31.04</v>
      </c>
      <c r="EF43" s="516">
        <v>31.04</v>
      </c>
      <c r="EG43" s="516">
        <v>31.04</v>
      </c>
      <c r="EH43" s="516">
        <v>31.04</v>
      </c>
      <c r="EI43" s="516">
        <v>31.04</v>
      </c>
      <c r="EJ43" s="516">
        <v>31.04</v>
      </c>
      <c r="EK43" s="516">
        <v>31.04</v>
      </c>
      <c r="EL43" s="516">
        <v>31.04</v>
      </c>
      <c r="EM43" s="516">
        <v>31.04</v>
      </c>
      <c r="EN43" s="516">
        <v>31.04</v>
      </c>
      <c r="EO43" s="516">
        <f t="shared" si="11"/>
        <v>558.72</v>
      </c>
      <c r="EP43" s="1126">
        <f>DQ43-EO43</f>
        <v>2607.2200000000003</v>
      </c>
    </row>
    <row r="44" spans="1:146" s="16" customFormat="1" ht="15.75" customHeight="1" x14ac:dyDescent="0.2">
      <c r="A44" s="100" t="s">
        <v>123</v>
      </c>
      <c r="B44" s="100" t="s">
        <v>1176</v>
      </c>
      <c r="C44" s="45" t="s">
        <v>509</v>
      </c>
      <c r="D44" s="58"/>
      <c r="E44" s="25"/>
      <c r="F44" s="46"/>
      <c r="G44" s="58"/>
      <c r="H44" s="145"/>
      <c r="I44" s="165"/>
      <c r="J44" s="48"/>
      <c r="K44" s="165"/>
      <c r="L44" s="48"/>
      <c r="M44" s="165"/>
      <c r="N44" s="48"/>
      <c r="O44" s="165"/>
      <c r="P44" s="48"/>
      <c r="Q44" s="48"/>
      <c r="R44" s="125"/>
      <c r="S44" s="119"/>
      <c r="T44" s="134"/>
      <c r="U44" s="14"/>
      <c r="V44" s="106"/>
      <c r="W44" s="66"/>
      <c r="X44" s="57"/>
      <c r="Y44" s="80"/>
      <c r="Z44" s="57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72"/>
      <c r="AQ44" s="55"/>
      <c r="AR44" s="55"/>
      <c r="AS44" s="55"/>
      <c r="AT44" s="55"/>
      <c r="AU44" s="55"/>
      <c r="AV44" s="55"/>
      <c r="AW44" s="55"/>
      <c r="AX44" s="57"/>
      <c r="AY44" s="80"/>
      <c r="AZ44" s="57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448"/>
      <c r="BL44" s="55"/>
      <c r="BM44" s="55"/>
      <c r="BN44" s="55"/>
      <c r="BO44" s="55"/>
      <c r="BP44" s="55"/>
      <c r="BQ44" s="57"/>
      <c r="BR44" s="80"/>
      <c r="BS44" s="57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448"/>
      <c r="CE44" s="58">
        <v>10</v>
      </c>
      <c r="CF44" s="25">
        <v>0.1</v>
      </c>
      <c r="CG44" s="46">
        <v>43281</v>
      </c>
      <c r="CH44" s="58">
        <v>120</v>
      </c>
      <c r="CI44" s="145">
        <f>CU44/CH44/100</f>
        <v>0.1575</v>
      </c>
      <c r="CJ44" s="165">
        <f>CI44*CK44</f>
        <v>1.8900000000000001</v>
      </c>
      <c r="CK44" s="48">
        <f>(YEAR(CG44)-YEAR(CT44))*12+MONTH(CG44)-MONTH(CT44)</f>
        <v>12</v>
      </c>
      <c r="CL44" s="165">
        <f>CM44*CI44</f>
        <v>17.010000000000002</v>
      </c>
      <c r="CM44" s="48">
        <f>CH44-CK44</f>
        <v>108</v>
      </c>
      <c r="CN44" s="165">
        <f>CO44*CI44</f>
        <v>17.010000000000002</v>
      </c>
      <c r="CO44" s="48">
        <f>CH44-CK44</f>
        <v>108</v>
      </c>
      <c r="CP44" s="165">
        <f>CQ44*CI44</f>
        <v>0</v>
      </c>
      <c r="CQ44" s="48">
        <f>CM44-CO44</f>
        <v>0</v>
      </c>
      <c r="CR44" s="462">
        <f>DATE(YEAR(CT44),MONTH(CT44)+CH44,DAY(CT44))</f>
        <v>46553</v>
      </c>
      <c r="CS44" s="125" t="s">
        <v>1177</v>
      </c>
      <c r="CT44" s="119">
        <v>42901</v>
      </c>
      <c r="CU44" s="134">
        <v>1890</v>
      </c>
      <c r="CV44" s="725">
        <v>1890</v>
      </c>
      <c r="CW44" s="57">
        <v>126.408</v>
      </c>
      <c r="CX44" s="80">
        <v>126.408</v>
      </c>
      <c r="CY44" s="57">
        <f>CW44/CX44</f>
        <v>1</v>
      </c>
      <c r="CZ44" s="55">
        <f>CV44/CH44</f>
        <v>15.75</v>
      </c>
      <c r="DA44" s="55">
        <f>CZ44*CY44</f>
        <v>15.75</v>
      </c>
      <c r="DB44" s="55"/>
      <c r="DC44" s="55"/>
      <c r="DD44" s="55"/>
      <c r="DE44" s="55">
        <v>47.25</v>
      </c>
      <c r="DF44" s="55">
        <v>47.25</v>
      </c>
      <c r="DG44" s="55">
        <v>47.25</v>
      </c>
      <c r="DH44" s="55">
        <v>47.25</v>
      </c>
      <c r="DI44" s="55">
        <f>SUM(DB44:DH44)</f>
        <v>189</v>
      </c>
      <c r="DJ44" s="448">
        <f>CV44-DI44</f>
        <v>1701</v>
      </c>
      <c r="DK44" s="55">
        <v>47.25</v>
      </c>
      <c r="DL44" s="55">
        <v>47.25</v>
      </c>
      <c r="DM44" s="55">
        <v>47.25</v>
      </c>
      <c r="DN44" s="55">
        <v>47.25</v>
      </c>
      <c r="DO44" s="55">
        <v>47.25</v>
      </c>
      <c r="DP44" s="511">
        <f t="shared" si="0"/>
        <v>236.25</v>
      </c>
      <c r="DQ44" s="1126">
        <f>DJ44-DP44</f>
        <v>1464.75</v>
      </c>
      <c r="DR44" s="514">
        <v>132.28200000000001</v>
      </c>
      <c r="DS44" s="515">
        <v>126.408</v>
      </c>
      <c r="DT44" s="514">
        <f>DR44/DS44</f>
        <v>1.0464685779381053</v>
      </c>
      <c r="DU44" s="516">
        <f>DQ44/CM44</f>
        <v>13.5625</v>
      </c>
      <c r="DV44" s="516">
        <f>DU44*DT44</f>
        <v>14.192730088285554</v>
      </c>
      <c r="DW44" s="516">
        <v>14.19</v>
      </c>
      <c r="DX44" s="516">
        <v>14.19</v>
      </c>
      <c r="DY44" s="516">
        <v>14.19</v>
      </c>
      <c r="DZ44" s="516">
        <v>14.19</v>
      </c>
      <c r="EA44" s="516">
        <v>14.19</v>
      </c>
      <c r="EB44" s="516">
        <v>14.19</v>
      </c>
      <c r="EC44" s="516">
        <v>14.19</v>
      </c>
      <c r="ED44" s="516">
        <v>14.19</v>
      </c>
      <c r="EE44" s="516">
        <v>14.19</v>
      </c>
      <c r="EF44" s="516">
        <v>14.19</v>
      </c>
      <c r="EG44" s="516">
        <v>14.19</v>
      </c>
      <c r="EH44" s="516">
        <v>14.19</v>
      </c>
      <c r="EI44" s="516">
        <v>14.19</v>
      </c>
      <c r="EJ44" s="516">
        <v>14.19</v>
      </c>
      <c r="EK44" s="516">
        <v>14.19</v>
      </c>
      <c r="EL44" s="516">
        <v>14.19</v>
      </c>
      <c r="EM44" s="516">
        <v>14.19</v>
      </c>
      <c r="EN44" s="516">
        <v>14.19</v>
      </c>
      <c r="EO44" s="516">
        <f t="shared" si="11"/>
        <v>255.42</v>
      </c>
      <c r="EP44" s="1126">
        <f>DQ44-EO44</f>
        <v>1209.33</v>
      </c>
    </row>
    <row r="45" spans="1:146" s="16" customFormat="1" ht="15.75" customHeight="1" x14ac:dyDescent="0.2">
      <c r="A45" s="120" t="s">
        <v>542</v>
      </c>
      <c r="B45" s="26"/>
      <c r="C45" s="26"/>
      <c r="D45" s="27"/>
      <c r="E45" s="25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20"/>
      <c r="S45" s="20"/>
      <c r="T45" s="14"/>
      <c r="U45" s="14"/>
      <c r="V45" s="108"/>
      <c r="W45" s="66"/>
      <c r="X45" s="66"/>
      <c r="Y45" s="81"/>
      <c r="Z45" s="66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73"/>
      <c r="AQ45" s="55"/>
      <c r="AR45" s="55"/>
      <c r="AS45" s="55">
        <f t="shared" si="10"/>
        <v>0</v>
      </c>
      <c r="AT45" s="55">
        <f t="shared" si="10"/>
        <v>0</v>
      </c>
      <c r="AU45" s="55">
        <f t="shared" si="10"/>
        <v>0</v>
      </c>
      <c r="AV45" s="55">
        <f t="shared" si="10"/>
        <v>0</v>
      </c>
      <c r="AW45" s="55">
        <f t="shared" si="10"/>
        <v>0</v>
      </c>
      <c r="AX45" s="66"/>
      <c r="AY45" s="81"/>
      <c r="AZ45" s="66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448"/>
      <c r="BL45" s="55"/>
      <c r="BM45" s="55"/>
      <c r="BN45" s="55"/>
      <c r="BO45" s="55"/>
      <c r="BP45" s="55"/>
      <c r="BQ45" s="66"/>
      <c r="BR45" s="81"/>
      <c r="BS45" s="66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448"/>
      <c r="CE45" s="27"/>
      <c r="CF45" s="25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20"/>
      <c r="CT45" s="20"/>
      <c r="CU45" s="14"/>
      <c r="CV45" s="725"/>
      <c r="CW45" s="66"/>
      <c r="CX45" s="82"/>
      <c r="CY45" s="66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448"/>
      <c r="DK45" s="55"/>
      <c r="DL45" s="55"/>
      <c r="DM45" s="55"/>
      <c r="DN45" s="55"/>
      <c r="DO45" s="511"/>
      <c r="DP45" s="511"/>
      <c r="DQ45" s="1126"/>
      <c r="DR45" s="514"/>
      <c r="DS45" s="515"/>
      <c r="DT45" s="514"/>
      <c r="DU45" s="516"/>
      <c r="DV45" s="516"/>
      <c r="DW45" s="516"/>
      <c r="DX45" s="516"/>
      <c r="DY45" s="516"/>
      <c r="DZ45" s="516"/>
      <c r="EA45" s="516"/>
      <c r="EB45" s="516"/>
      <c r="EC45" s="516"/>
      <c r="ED45" s="516"/>
      <c r="EE45" s="516"/>
      <c r="EF45" s="516"/>
      <c r="EG45" s="516"/>
      <c r="EH45" s="516"/>
      <c r="EI45" s="516"/>
      <c r="EJ45" s="516"/>
      <c r="EK45" s="516"/>
      <c r="EL45" s="516"/>
      <c r="EM45" s="516"/>
      <c r="EN45" s="516"/>
      <c r="EO45" s="516"/>
      <c r="EP45" s="1126"/>
    </row>
    <row r="46" spans="1:146" s="16" customFormat="1" ht="15.75" customHeight="1" x14ac:dyDescent="0.2">
      <c r="A46" s="120" t="s">
        <v>543</v>
      </c>
      <c r="B46" s="100"/>
      <c r="C46" s="45"/>
      <c r="D46" s="4"/>
      <c r="E46" s="25"/>
      <c r="F46" s="46"/>
      <c r="G46" s="17"/>
      <c r="H46" s="145"/>
      <c r="I46" s="165"/>
      <c r="J46" s="48"/>
      <c r="K46" s="165"/>
      <c r="L46" s="48"/>
      <c r="M46" s="165"/>
      <c r="N46" s="48"/>
      <c r="O46" s="165"/>
      <c r="P46" s="48"/>
      <c r="Q46" s="48"/>
      <c r="R46" s="17"/>
      <c r="S46" s="20"/>
      <c r="T46" s="14"/>
      <c r="U46" s="14"/>
      <c r="V46" s="108"/>
      <c r="W46" s="66"/>
      <c r="X46" s="66"/>
      <c r="Y46" s="80"/>
      <c r="Z46" s="66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72"/>
      <c r="AQ46" s="55"/>
      <c r="AR46" s="55"/>
      <c r="AS46" s="55">
        <f t="shared" si="10"/>
        <v>0</v>
      </c>
      <c r="AT46" s="55">
        <f t="shared" si="10"/>
        <v>0</v>
      </c>
      <c r="AU46" s="55">
        <f t="shared" si="10"/>
        <v>0</v>
      </c>
      <c r="AV46" s="55">
        <f t="shared" si="10"/>
        <v>0</v>
      </c>
      <c r="AW46" s="55">
        <f t="shared" si="10"/>
        <v>0</v>
      </c>
      <c r="AX46" s="66"/>
      <c r="AY46" s="80"/>
      <c r="AZ46" s="66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448"/>
      <c r="BL46" s="55"/>
      <c r="BM46" s="55"/>
      <c r="BN46" s="55"/>
      <c r="BO46" s="55"/>
      <c r="BP46" s="55"/>
      <c r="BQ46" s="66"/>
      <c r="BR46" s="80"/>
      <c r="BS46" s="66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448"/>
      <c r="CE46" s="4"/>
      <c r="CF46" s="25"/>
      <c r="CG46" s="46"/>
      <c r="CH46" s="17"/>
      <c r="CI46" s="145"/>
      <c r="CJ46" s="165"/>
      <c r="CK46" s="48"/>
      <c r="CL46" s="165"/>
      <c r="CM46" s="48"/>
      <c r="CN46" s="165"/>
      <c r="CO46" s="48"/>
      <c r="CP46" s="165"/>
      <c r="CQ46" s="48"/>
      <c r="CR46" s="48"/>
      <c r="CS46" s="17"/>
      <c r="CT46" s="20"/>
      <c r="CU46" s="14"/>
      <c r="CV46" s="725"/>
      <c r="CW46" s="66"/>
      <c r="CX46" s="80"/>
      <c r="CY46" s="66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448"/>
      <c r="DK46" s="55"/>
      <c r="DL46" s="55"/>
      <c r="DM46" s="55"/>
      <c r="DN46" s="55"/>
      <c r="DO46" s="511"/>
      <c r="DP46" s="511"/>
      <c r="DQ46" s="1126"/>
      <c r="DR46" s="514"/>
      <c r="DS46" s="515"/>
      <c r="DT46" s="514"/>
      <c r="DU46" s="516"/>
      <c r="DV46" s="516"/>
      <c r="DW46" s="516"/>
      <c r="DX46" s="516"/>
      <c r="DY46" s="516"/>
      <c r="DZ46" s="516"/>
      <c r="EA46" s="516"/>
      <c r="EB46" s="516"/>
      <c r="EC46" s="516"/>
      <c r="ED46" s="516"/>
      <c r="EE46" s="516"/>
      <c r="EF46" s="516"/>
      <c r="EG46" s="516"/>
      <c r="EH46" s="516"/>
      <c r="EI46" s="516"/>
      <c r="EJ46" s="516"/>
      <c r="EK46" s="516"/>
      <c r="EL46" s="516"/>
      <c r="EM46" s="516"/>
      <c r="EN46" s="516"/>
      <c r="EO46" s="516"/>
      <c r="EP46" s="1126"/>
    </row>
    <row r="47" spans="1:146" s="16" customFormat="1" ht="15.75" customHeight="1" x14ac:dyDescent="0.2">
      <c r="A47" s="100" t="s">
        <v>127</v>
      </c>
      <c r="B47" s="100" t="s">
        <v>544</v>
      </c>
      <c r="C47" s="45" t="s">
        <v>509</v>
      </c>
      <c r="D47" s="58">
        <v>3</v>
      </c>
      <c r="E47" s="49">
        <v>0.33329999999999999</v>
      </c>
      <c r="F47" s="46">
        <v>42185</v>
      </c>
      <c r="G47" s="58">
        <v>36</v>
      </c>
      <c r="H47" s="145">
        <f>100/G47</f>
        <v>2.7777777777777777</v>
      </c>
      <c r="I47" s="165">
        <f>H47*J47</f>
        <v>47.222222222222221</v>
      </c>
      <c r="J47" s="48">
        <f>(YEAR(F47)-YEAR(S47))*12+MONTH(F47)-MONTH(S47)</f>
        <v>17</v>
      </c>
      <c r="K47" s="165">
        <f>L47*H47</f>
        <v>52.777777777777779</v>
      </c>
      <c r="L47" s="48">
        <f>G47-J47</f>
        <v>19</v>
      </c>
      <c r="M47" s="165">
        <f>N47*H47</f>
        <v>19.444444444444443</v>
      </c>
      <c r="N47" s="48">
        <v>7</v>
      </c>
      <c r="O47" s="165">
        <f>P47*H47</f>
        <v>33.333333333333329</v>
      </c>
      <c r="P47" s="48">
        <f>L47-N47</f>
        <v>12</v>
      </c>
      <c r="Q47" s="48"/>
      <c r="R47" s="125" t="s">
        <v>545</v>
      </c>
      <c r="S47" s="119">
        <v>41644</v>
      </c>
      <c r="T47" s="134">
        <v>1197</v>
      </c>
      <c r="U47" s="14">
        <v>631.77</v>
      </c>
      <c r="V47" s="106">
        <v>166.25</v>
      </c>
      <c r="W47" s="66"/>
      <c r="X47" s="57">
        <v>115.958</v>
      </c>
      <c r="Y47" s="80">
        <v>112.505</v>
      </c>
      <c r="Z47" s="57">
        <f>X47/Y47</f>
        <v>1.0306919692458114</v>
      </c>
      <c r="AA47" s="55">
        <f>U47*M47/100/K47*100/7</f>
        <v>33.251052631578943</v>
      </c>
      <c r="AB47" s="55">
        <f>AA47*Z47</f>
        <v>34.271592916338221</v>
      </c>
      <c r="AC47" s="55"/>
      <c r="AD47" s="55"/>
      <c r="AE47" s="55"/>
      <c r="AF47" s="55"/>
      <c r="AG47" s="55"/>
      <c r="AH47" s="55">
        <v>34.270000000000003</v>
      </c>
      <c r="AI47" s="55">
        <v>34.270000000000003</v>
      </c>
      <c r="AJ47" s="55">
        <v>34.270000000000003</v>
      </c>
      <c r="AK47" s="55">
        <v>34.270000000000003</v>
      </c>
      <c r="AL47" s="55">
        <v>34.270000000000003</v>
      </c>
      <c r="AM47" s="55">
        <v>34.270000000000003</v>
      </c>
      <c r="AN47" s="55">
        <v>34.270000000000003</v>
      </c>
      <c r="AO47" s="55">
        <f>SUM(AC47:AN47)</f>
        <v>239.89000000000004</v>
      </c>
      <c r="AP47" s="72">
        <f>U47-AO47</f>
        <v>391.87999999999994</v>
      </c>
      <c r="AQ47" s="55"/>
      <c r="AR47" s="55"/>
      <c r="AS47" s="55">
        <f t="shared" si="10"/>
        <v>34.270000000000003</v>
      </c>
      <c r="AT47" s="55">
        <f t="shared" si="10"/>
        <v>34.270000000000003</v>
      </c>
      <c r="AU47" s="55">
        <f t="shared" si="10"/>
        <v>34.270000000000003</v>
      </c>
      <c r="AV47" s="55">
        <f t="shared" si="10"/>
        <v>34.270000000000003</v>
      </c>
      <c r="AW47" s="55">
        <f t="shared" si="10"/>
        <v>34.270000000000003</v>
      </c>
      <c r="AX47" s="57">
        <v>118.901</v>
      </c>
      <c r="AY47" s="80">
        <v>112.505</v>
      </c>
      <c r="AZ47" s="57">
        <f>AX47/AY47</f>
        <v>1.0568508066308164</v>
      </c>
      <c r="BA47" s="55">
        <f t="shared" si="3"/>
        <v>33.25</v>
      </c>
      <c r="BB47" s="55">
        <f>BA47*AZ47</f>
        <v>35.140289320474643</v>
      </c>
      <c r="BC47" s="55">
        <f>$BB47</f>
        <v>35.140289320474643</v>
      </c>
      <c r="BD47" s="55">
        <f>$BB47</f>
        <v>35.140289320474643</v>
      </c>
      <c r="BE47" s="55">
        <f>$BB47</f>
        <v>35.140289320474643</v>
      </c>
      <c r="BF47" s="55">
        <f>$BB47</f>
        <v>35.140289320474643</v>
      </c>
      <c r="BG47" s="55">
        <v>35.14</v>
      </c>
      <c r="BH47" s="55">
        <v>35.14</v>
      </c>
      <c r="BI47" s="55">
        <v>35.14</v>
      </c>
      <c r="BJ47" s="55">
        <f>SUM((AS47:AW47),(BC47:BI47))</f>
        <v>417.33115728189858</v>
      </c>
      <c r="BK47" s="448">
        <v>1</v>
      </c>
      <c r="BL47" s="55">
        <v>0</v>
      </c>
      <c r="BM47" s="55">
        <v>0</v>
      </c>
      <c r="BN47" s="55">
        <v>0</v>
      </c>
      <c r="BO47" s="55">
        <v>0</v>
      </c>
      <c r="BP47" s="55">
        <v>0</v>
      </c>
      <c r="BQ47" s="57">
        <v>118.901</v>
      </c>
      <c r="BR47" s="80">
        <v>112.505</v>
      </c>
      <c r="BS47" s="57">
        <f>BQ47/BR47</f>
        <v>1.0568508066308164</v>
      </c>
      <c r="BT47" s="55"/>
      <c r="BU47" s="55"/>
      <c r="BV47" s="55"/>
      <c r="BW47" s="55"/>
      <c r="BX47" s="55"/>
      <c r="BY47" s="55"/>
      <c r="BZ47" s="55"/>
      <c r="CA47" s="55"/>
      <c r="CB47" s="55"/>
      <c r="CC47" s="55">
        <f>SUM((BL47:BP47),(BV47:CB47))</f>
        <v>0</v>
      </c>
      <c r="CD47" s="448">
        <f>BK47-CC47</f>
        <v>1</v>
      </c>
      <c r="CE47" s="58">
        <v>3</v>
      </c>
      <c r="CF47" s="49">
        <v>0.33329999999999999</v>
      </c>
      <c r="CG47" s="46">
        <v>43281</v>
      </c>
      <c r="CH47" s="58">
        <v>36</v>
      </c>
      <c r="CI47" s="145">
        <f>CU47/CH47/100</f>
        <v>0.33250000000000002</v>
      </c>
      <c r="CJ47" s="165">
        <f>CI47*CK47</f>
        <v>17.622500000000002</v>
      </c>
      <c r="CK47" s="48">
        <f>(YEAR(CG47)-YEAR(CT47))*12+MONTH(CG47)-MONTH(CT47)</f>
        <v>53</v>
      </c>
      <c r="CL47" s="165">
        <f>CM47*CI47</f>
        <v>-5.6524999999999999</v>
      </c>
      <c r="CM47" s="48">
        <f>CH47-CK47</f>
        <v>-17</v>
      </c>
      <c r="CN47" s="165">
        <f>CO47*CI47</f>
        <v>-5.6524999999999999</v>
      </c>
      <c r="CO47" s="48">
        <f>CH47-CK47</f>
        <v>-17</v>
      </c>
      <c r="CP47" s="165">
        <f>CQ47*CI47</f>
        <v>0</v>
      </c>
      <c r="CQ47" s="48">
        <f>CM47-CO47</f>
        <v>0</v>
      </c>
      <c r="CR47" s="462">
        <f>DATE(YEAR(CT47),MONTH(CT47)+CH47,DAY(CT47))</f>
        <v>42740</v>
      </c>
      <c r="CS47" s="125" t="s">
        <v>545</v>
      </c>
      <c r="CT47" s="119">
        <v>41644</v>
      </c>
      <c r="CU47" s="134">
        <v>1197</v>
      </c>
      <c r="CV47" s="725">
        <v>1</v>
      </c>
      <c r="CW47" s="57">
        <v>126.408</v>
      </c>
      <c r="CX47" s="80">
        <v>112.505</v>
      </c>
      <c r="CY47" s="57">
        <f>CW47/CX47</f>
        <v>1.1235767299231145</v>
      </c>
      <c r="CZ47" s="55">
        <f>CV47/CO47</f>
        <v>-5.8823529411764705E-2</v>
      </c>
      <c r="DA47" s="55">
        <f>CZ47*CY47</f>
        <v>-6.609274881900673E-2</v>
      </c>
      <c r="DB47" s="55">
        <v>0.16051096141758778</v>
      </c>
      <c r="DC47" s="55">
        <v>0.16051096141758778</v>
      </c>
      <c r="DD47" s="55">
        <v>0</v>
      </c>
      <c r="DE47" s="55">
        <f>CZ47*CY47</f>
        <v>-6.609274881900673E-2</v>
      </c>
      <c r="DF47" s="55">
        <v>-0.48</v>
      </c>
      <c r="DG47" s="55"/>
      <c r="DH47" s="55"/>
      <c r="DI47" s="55">
        <f>SUM(DB47:DH47)</f>
        <v>-0.22507082598383116</v>
      </c>
      <c r="DJ47" s="448">
        <f>CV47-DI47</f>
        <v>1.2250708259838312</v>
      </c>
      <c r="DK47" s="55">
        <v>0</v>
      </c>
      <c r="DL47" s="55">
        <v>0</v>
      </c>
      <c r="DM47" s="55">
        <v>0</v>
      </c>
      <c r="DN47" s="55">
        <v>0</v>
      </c>
      <c r="DO47" s="511"/>
      <c r="DP47" s="511">
        <f t="shared" si="0"/>
        <v>0</v>
      </c>
      <c r="DQ47" s="1126">
        <v>1</v>
      </c>
      <c r="DR47" s="514">
        <v>132.28200000000001</v>
      </c>
      <c r="DS47" s="515">
        <v>112.505</v>
      </c>
      <c r="DT47" s="514">
        <f>DR47/DS47</f>
        <v>1.1757877427669883</v>
      </c>
      <c r="DU47" s="516">
        <v>0</v>
      </c>
      <c r="DV47" s="516">
        <f>DU47*DT47</f>
        <v>0</v>
      </c>
      <c r="DW47" s="516">
        <v>0</v>
      </c>
      <c r="DX47" s="516">
        <v>0</v>
      </c>
      <c r="DY47" s="516"/>
      <c r="DZ47" s="516"/>
      <c r="EA47" s="516"/>
      <c r="EB47" s="516"/>
      <c r="EC47" s="516">
        <v>0</v>
      </c>
      <c r="ED47" s="516">
        <v>0</v>
      </c>
      <c r="EE47" s="516">
        <v>0</v>
      </c>
      <c r="EF47" s="516">
        <v>0</v>
      </c>
      <c r="EG47" s="516">
        <v>0</v>
      </c>
      <c r="EH47" s="516">
        <v>0</v>
      </c>
      <c r="EI47" s="516">
        <v>0</v>
      </c>
      <c r="EJ47" s="516">
        <v>0</v>
      </c>
      <c r="EK47" s="516">
        <v>0</v>
      </c>
      <c r="EL47" s="516">
        <v>0</v>
      </c>
      <c r="EM47" s="516">
        <v>0</v>
      </c>
      <c r="EN47" s="516">
        <v>0</v>
      </c>
      <c r="EO47" s="516">
        <f>SUM(DW47:EC47)</f>
        <v>0</v>
      </c>
      <c r="EP47" s="1126">
        <f>DQ47-EO47</f>
        <v>1</v>
      </c>
    </row>
    <row r="48" spans="1:146" s="16" customFormat="1" ht="15.75" customHeight="1" x14ac:dyDescent="0.2">
      <c r="A48" s="120" t="s">
        <v>703</v>
      </c>
      <c r="B48" s="26"/>
      <c r="C48" s="26"/>
      <c r="D48" s="27"/>
      <c r="E48" s="25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20"/>
      <c r="S48" s="20"/>
      <c r="T48" s="14"/>
      <c r="U48" s="14"/>
      <c r="V48" s="108"/>
      <c r="W48" s="66"/>
      <c r="X48" s="66"/>
      <c r="Y48" s="81"/>
      <c r="Z48" s="66"/>
      <c r="AA48" s="65"/>
      <c r="AB48" s="65"/>
      <c r="AC48" s="65"/>
      <c r="AD48" s="65"/>
      <c r="AE48" s="65"/>
      <c r="AF48" s="65"/>
      <c r="AG48" s="65"/>
      <c r="AH48" s="55"/>
      <c r="AI48" s="65"/>
      <c r="AJ48" s="65"/>
      <c r="AK48" s="65"/>
      <c r="AL48" s="65"/>
      <c r="AM48" s="65"/>
      <c r="AN48" s="65"/>
      <c r="AO48" s="65"/>
      <c r="AP48" s="73"/>
      <c r="AQ48" s="55"/>
      <c r="AR48" s="55"/>
      <c r="AS48" s="55">
        <f t="shared" si="10"/>
        <v>0</v>
      </c>
      <c r="AT48" s="55">
        <f t="shared" si="10"/>
        <v>0</v>
      </c>
      <c r="AU48" s="55">
        <f t="shared" si="10"/>
        <v>0</v>
      </c>
      <c r="AV48" s="55">
        <f t="shared" si="10"/>
        <v>0</v>
      </c>
      <c r="AW48" s="55">
        <f t="shared" si="10"/>
        <v>0</v>
      </c>
      <c r="AX48" s="66"/>
      <c r="AY48" s="81"/>
      <c r="AZ48" s="66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448"/>
      <c r="BL48" s="55"/>
      <c r="BM48" s="55"/>
      <c r="BN48" s="55"/>
      <c r="BO48" s="55"/>
      <c r="BP48" s="55"/>
      <c r="BQ48" s="66"/>
      <c r="BR48" s="81"/>
      <c r="BS48" s="66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448"/>
      <c r="CE48" s="27"/>
      <c r="CF48" s="25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20"/>
      <c r="CT48" s="20"/>
      <c r="CU48" s="14"/>
      <c r="CV48" s="725"/>
      <c r="CW48" s="66"/>
      <c r="CX48" s="82"/>
      <c r="CY48" s="66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448"/>
      <c r="DK48" s="55"/>
      <c r="DL48" s="55"/>
      <c r="DM48" s="55"/>
      <c r="DN48" s="55"/>
      <c r="DO48" s="511"/>
      <c r="DP48" s="511"/>
      <c r="DQ48" s="1126"/>
      <c r="DR48" s="514"/>
      <c r="DS48" s="515"/>
      <c r="DT48" s="514"/>
      <c r="DU48" s="516"/>
      <c r="DV48" s="516"/>
      <c r="DW48" s="516"/>
      <c r="DX48" s="516"/>
      <c r="DY48" s="516"/>
      <c r="DZ48" s="516"/>
      <c r="EA48" s="516"/>
      <c r="EB48" s="516"/>
      <c r="EC48" s="516"/>
      <c r="ED48" s="516"/>
      <c r="EE48" s="516"/>
      <c r="EF48" s="516"/>
      <c r="EG48" s="516"/>
      <c r="EH48" s="516"/>
      <c r="EI48" s="516"/>
      <c r="EJ48" s="516"/>
      <c r="EK48" s="516"/>
      <c r="EL48" s="516"/>
      <c r="EM48" s="516"/>
      <c r="EN48" s="516"/>
      <c r="EO48" s="516"/>
      <c r="EP48" s="1126"/>
    </row>
    <row r="49" spans="1:147" s="16" customFormat="1" ht="15.75" customHeight="1" x14ac:dyDescent="0.2">
      <c r="A49" s="120" t="s">
        <v>704</v>
      </c>
      <c r="B49" s="100"/>
      <c r="C49" s="45"/>
      <c r="D49" s="4"/>
      <c r="E49" s="25"/>
      <c r="F49" s="46"/>
      <c r="G49" s="17"/>
      <c r="H49" s="145"/>
      <c r="I49" s="165"/>
      <c r="J49" s="48"/>
      <c r="K49" s="165"/>
      <c r="L49" s="48"/>
      <c r="M49" s="165"/>
      <c r="N49" s="48"/>
      <c r="O49" s="165"/>
      <c r="P49" s="48"/>
      <c r="Q49" s="48"/>
      <c r="R49" s="17"/>
      <c r="S49" s="20"/>
      <c r="T49" s="14"/>
      <c r="U49" s="14"/>
      <c r="V49" s="108"/>
      <c r="W49" s="66"/>
      <c r="X49" s="66"/>
      <c r="Y49" s="80"/>
      <c r="Z49" s="66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72"/>
      <c r="AQ49" s="55"/>
      <c r="AR49" s="55"/>
      <c r="AS49" s="55">
        <f t="shared" si="10"/>
        <v>0</v>
      </c>
      <c r="AT49" s="55">
        <f t="shared" si="10"/>
        <v>0</v>
      </c>
      <c r="AU49" s="55">
        <f t="shared" si="10"/>
        <v>0</v>
      </c>
      <c r="AV49" s="55">
        <f t="shared" si="10"/>
        <v>0</v>
      </c>
      <c r="AW49" s="55">
        <f t="shared" si="10"/>
        <v>0</v>
      </c>
      <c r="AX49" s="66"/>
      <c r="AY49" s="80"/>
      <c r="AZ49" s="66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448"/>
      <c r="BL49" s="55"/>
      <c r="BM49" s="55"/>
      <c r="BN49" s="55"/>
      <c r="BO49" s="55"/>
      <c r="BP49" s="55"/>
      <c r="BQ49" s="66"/>
      <c r="BR49" s="80"/>
      <c r="BS49" s="66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448"/>
      <c r="CE49" s="4"/>
      <c r="CF49" s="25"/>
      <c r="CG49" s="46"/>
      <c r="CH49" s="17"/>
      <c r="CI49" s="145"/>
      <c r="CJ49" s="165"/>
      <c r="CK49" s="48"/>
      <c r="CL49" s="165"/>
      <c r="CM49" s="48"/>
      <c r="CN49" s="165"/>
      <c r="CO49" s="48"/>
      <c r="CP49" s="165"/>
      <c r="CQ49" s="48"/>
      <c r="CR49" s="48"/>
      <c r="CS49" s="17"/>
      <c r="CT49" s="20"/>
      <c r="CU49" s="14"/>
      <c r="CV49" s="725"/>
      <c r="CW49" s="66"/>
      <c r="CX49" s="80"/>
      <c r="CY49" s="66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448"/>
      <c r="DK49" s="55"/>
      <c r="DL49" s="55"/>
      <c r="DM49" s="55"/>
      <c r="DN49" s="55"/>
      <c r="DO49" s="511"/>
      <c r="DP49" s="511"/>
      <c r="DQ49" s="1126"/>
      <c r="DR49" s="514"/>
      <c r="DS49" s="515"/>
      <c r="DT49" s="514"/>
      <c r="DU49" s="516"/>
      <c r="DV49" s="516"/>
      <c r="DW49" s="516"/>
      <c r="DX49" s="516"/>
      <c r="DY49" s="516"/>
      <c r="DZ49" s="516"/>
      <c r="EA49" s="516"/>
      <c r="EB49" s="516"/>
      <c r="EC49" s="516"/>
      <c r="ED49" s="516"/>
      <c r="EE49" s="516"/>
      <c r="EF49" s="516"/>
      <c r="EG49" s="516"/>
      <c r="EH49" s="516"/>
      <c r="EI49" s="516"/>
      <c r="EJ49" s="516"/>
      <c r="EK49" s="516"/>
      <c r="EL49" s="516"/>
      <c r="EM49" s="516"/>
      <c r="EN49" s="516"/>
      <c r="EO49" s="516"/>
      <c r="EP49" s="1126"/>
    </row>
    <row r="50" spans="1:147" s="35" customFormat="1" ht="15.75" customHeight="1" x14ac:dyDescent="0.2">
      <c r="A50" s="100" t="s">
        <v>701</v>
      </c>
      <c r="B50" s="100" t="s">
        <v>702</v>
      </c>
      <c r="C50" s="100" t="s">
        <v>509</v>
      </c>
      <c r="D50" s="8">
        <v>10</v>
      </c>
      <c r="E50" s="130">
        <v>0.1</v>
      </c>
      <c r="F50" s="119">
        <v>42334</v>
      </c>
      <c r="G50" s="8">
        <v>120</v>
      </c>
      <c r="H50" s="146">
        <f>100/G50</f>
        <v>0.83333333333333337</v>
      </c>
      <c r="I50" s="1167">
        <f>H50*J50</f>
        <v>0</v>
      </c>
      <c r="J50" s="125">
        <f>(YEAR(F50)-YEAR(S50))*12+MONTH(F50)-MONTH(S50)</f>
        <v>0</v>
      </c>
      <c r="K50" s="1167">
        <f>L50*H50</f>
        <v>100</v>
      </c>
      <c r="L50" s="125">
        <f>G50-J50</f>
        <v>120</v>
      </c>
      <c r="M50" s="1167">
        <f>N50*H50</f>
        <v>0.83333333333333337</v>
      </c>
      <c r="N50" s="125">
        <v>1</v>
      </c>
      <c r="O50" s="1167">
        <f>P50*H50</f>
        <v>99.166666666666671</v>
      </c>
      <c r="P50" s="125">
        <f>L50-N50</f>
        <v>119</v>
      </c>
      <c r="Q50" s="125"/>
      <c r="R50" s="125" t="s">
        <v>445</v>
      </c>
      <c r="S50" s="119">
        <v>42334</v>
      </c>
      <c r="T50" s="134">
        <v>4199.3</v>
      </c>
      <c r="U50" s="134">
        <v>0</v>
      </c>
      <c r="V50" s="7">
        <v>23.75</v>
      </c>
      <c r="W50" s="64"/>
      <c r="X50" s="64">
        <v>115.958</v>
      </c>
      <c r="Y50" s="82">
        <v>121.64</v>
      </c>
      <c r="Z50" s="64">
        <f>X50/Y50</f>
        <v>0.95328839197632353</v>
      </c>
      <c r="AA50" s="62">
        <f>H50*T50/100</f>
        <v>34.994166666666672</v>
      </c>
      <c r="AB50" s="62">
        <f>AA50*Z50</f>
        <v>33.359532870218132</v>
      </c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>
        <f>33.36</f>
        <v>33.36</v>
      </c>
      <c r="AO50" s="62">
        <f>SUM(AC50:AN50)</f>
        <v>33.36</v>
      </c>
      <c r="AP50" s="1169">
        <f>T50-AO50</f>
        <v>4165.9400000000005</v>
      </c>
      <c r="AQ50" s="62"/>
      <c r="AR50" s="62"/>
      <c r="AS50" s="62">
        <f t="shared" si="10"/>
        <v>33.36</v>
      </c>
      <c r="AT50" s="62">
        <f t="shared" si="10"/>
        <v>33.36</v>
      </c>
      <c r="AU50" s="62">
        <f t="shared" si="10"/>
        <v>33.36</v>
      </c>
      <c r="AV50" s="62">
        <f t="shared" si="10"/>
        <v>33.36</v>
      </c>
      <c r="AW50" s="62">
        <f t="shared" si="10"/>
        <v>33.36</v>
      </c>
      <c r="AX50" s="64">
        <v>118.901</v>
      </c>
      <c r="AY50" s="82">
        <v>121.64</v>
      </c>
      <c r="AZ50" s="64">
        <f>AX50/AY50</f>
        <v>0.97748273594212431</v>
      </c>
      <c r="BA50" s="62">
        <f t="shared" si="3"/>
        <v>34.994166666666665</v>
      </c>
      <c r="BB50" s="62">
        <f>BA50*AZ50</f>
        <v>34.206193775348019</v>
      </c>
      <c r="BC50" s="62">
        <f>$BB50</f>
        <v>34.206193775348019</v>
      </c>
      <c r="BD50" s="62">
        <f>$BB50</f>
        <v>34.206193775348019</v>
      </c>
      <c r="BE50" s="62">
        <f>$BB50</f>
        <v>34.206193775348019</v>
      </c>
      <c r="BF50" s="62">
        <f>$BB50</f>
        <v>34.206193775348019</v>
      </c>
      <c r="BG50" s="62">
        <v>34.21</v>
      </c>
      <c r="BH50" s="62">
        <v>34.21</v>
      </c>
      <c r="BI50" s="62">
        <v>34.21</v>
      </c>
      <c r="BJ50" s="62">
        <f>SUM((AS50:AW50),(BC50:BI50))</f>
        <v>406.25477510139206</v>
      </c>
      <c r="BK50" s="927">
        <f>(AP50-BJ50)</f>
        <v>3759.6852248986083</v>
      </c>
      <c r="BL50" s="62">
        <v>34.21</v>
      </c>
      <c r="BM50" s="62">
        <v>34.21</v>
      </c>
      <c r="BN50" s="62">
        <v>34.21</v>
      </c>
      <c r="BO50" s="62">
        <v>34.21</v>
      </c>
      <c r="BP50" s="62">
        <v>34.21</v>
      </c>
      <c r="BQ50" s="64">
        <v>118.901</v>
      </c>
      <c r="BR50" s="82">
        <v>121.64</v>
      </c>
      <c r="BS50" s="64">
        <f>BQ50/BR50</f>
        <v>0.97748273594212431</v>
      </c>
      <c r="BT50" s="62"/>
      <c r="BU50" s="62"/>
      <c r="BV50" s="62"/>
      <c r="BW50" s="62"/>
      <c r="BX50" s="62"/>
      <c r="BY50" s="62"/>
      <c r="BZ50" s="62"/>
      <c r="CA50" s="62"/>
      <c r="CB50" s="62"/>
      <c r="CC50" s="62">
        <f>SUM((BL50:BP50),(BV50:CB50))</f>
        <v>171.05</v>
      </c>
      <c r="CD50" s="927">
        <f>BK50-CC50</f>
        <v>3588.6352248986082</v>
      </c>
      <c r="CE50" s="8">
        <v>10</v>
      </c>
      <c r="CF50" s="130">
        <v>0.1</v>
      </c>
      <c r="CG50" s="119">
        <v>43281</v>
      </c>
      <c r="CH50" s="8">
        <v>120</v>
      </c>
      <c r="CI50" s="146">
        <f>CU50/CH50/100</f>
        <v>0.34994166666666665</v>
      </c>
      <c r="CJ50" s="1167">
        <f>CI50*CK50</f>
        <v>10.848191666666667</v>
      </c>
      <c r="CK50" s="125">
        <f>(YEAR(CG50)-YEAR(CT50))*12+MONTH(CG50)-MONTH(CT50)</f>
        <v>31</v>
      </c>
      <c r="CL50" s="1167">
        <f>CM50*CI50</f>
        <v>31.144808333333334</v>
      </c>
      <c r="CM50" s="125">
        <f>CH50-CK50</f>
        <v>89</v>
      </c>
      <c r="CN50" s="1167">
        <f>CO50*CI50</f>
        <v>31.144808333333334</v>
      </c>
      <c r="CO50" s="125">
        <f>CH50-CK50</f>
        <v>89</v>
      </c>
      <c r="CP50" s="1167">
        <f>CQ50*CI50</f>
        <v>0</v>
      </c>
      <c r="CQ50" s="125">
        <f>CM50-CO50</f>
        <v>0</v>
      </c>
      <c r="CR50" s="367">
        <f>DATE(YEAR(CT50),MONTH(CT50)+CH50,DAY(CT50))</f>
        <v>45987</v>
      </c>
      <c r="CS50" s="125" t="s">
        <v>445</v>
      </c>
      <c r="CT50" s="119">
        <v>42334</v>
      </c>
      <c r="CU50" s="134">
        <v>4199.3</v>
      </c>
      <c r="CV50" s="960">
        <v>3588.6352248986082</v>
      </c>
      <c r="CW50" s="64">
        <v>126.408</v>
      </c>
      <c r="CX50" s="82">
        <v>121.64</v>
      </c>
      <c r="CY50" s="64">
        <f>CW50/CX50</f>
        <v>1.039197632357777</v>
      </c>
      <c r="CZ50" s="62">
        <f>CV50/CO50</f>
        <v>40.321744099984365</v>
      </c>
      <c r="DA50" s="62">
        <f>CZ50*CY50</f>
        <v>41.902261001239914</v>
      </c>
      <c r="DB50" s="62">
        <v>532.75731844433597</v>
      </c>
      <c r="DC50" s="62">
        <v>532.75731844433597</v>
      </c>
      <c r="DD50" s="62">
        <v>532.75731844433597</v>
      </c>
      <c r="DE50" s="62">
        <v>532.75731844433597</v>
      </c>
      <c r="DF50" s="62">
        <v>532.75731844433597</v>
      </c>
      <c r="DG50" s="62">
        <v>532.75731844433597</v>
      </c>
      <c r="DH50" s="62">
        <v>391.09</v>
      </c>
      <c r="DI50" s="62">
        <f>SUM(DB50:DH50)</f>
        <v>3587.6339106660157</v>
      </c>
      <c r="DJ50" s="927">
        <f>CV50-DI50</f>
        <v>1.0013142325924491</v>
      </c>
      <c r="DK50" s="62">
        <v>0</v>
      </c>
      <c r="DL50" s="62">
        <v>0</v>
      </c>
      <c r="DM50" s="62">
        <v>0</v>
      </c>
      <c r="DN50" s="62">
        <v>0</v>
      </c>
      <c r="DO50" s="510"/>
      <c r="DP50" s="510">
        <f t="shared" si="0"/>
        <v>0</v>
      </c>
      <c r="DQ50" s="1085">
        <f>DJ50-DP50</f>
        <v>1.0013142325924491</v>
      </c>
      <c r="DR50" s="1190">
        <v>132.28200000000001</v>
      </c>
      <c r="DS50" s="690">
        <v>121.64</v>
      </c>
      <c r="DT50" s="1190">
        <f>DR50/DS50</f>
        <v>1.0874876685300889</v>
      </c>
      <c r="DU50" s="538">
        <v>0</v>
      </c>
      <c r="DV50" s="538">
        <f>DU50*DT50</f>
        <v>0</v>
      </c>
      <c r="DW50" s="538">
        <v>0</v>
      </c>
      <c r="DX50" s="538">
        <v>0</v>
      </c>
      <c r="DY50" s="538"/>
      <c r="DZ50" s="538"/>
      <c r="EA50" s="538"/>
      <c r="EB50" s="538"/>
      <c r="EC50" s="538"/>
      <c r="ED50" s="538"/>
      <c r="EE50" s="538"/>
      <c r="EF50" s="538"/>
      <c r="EG50" s="538"/>
      <c r="EH50" s="538"/>
      <c r="EI50" s="538"/>
      <c r="EJ50" s="538"/>
      <c r="EK50" s="538"/>
      <c r="EL50" s="538"/>
      <c r="EM50" s="538"/>
      <c r="EN50" s="538"/>
      <c r="EO50" s="538">
        <f>SUM(DW50:EC50)</f>
        <v>0</v>
      </c>
      <c r="EP50" s="1085">
        <f>DQ50-EO50</f>
        <v>1.0013142325924491</v>
      </c>
    </row>
    <row r="51" spans="1:147" s="16" customFormat="1" ht="15.75" customHeight="1" x14ac:dyDescent="0.2">
      <c r="A51" s="368" t="s">
        <v>539</v>
      </c>
      <c r="B51" s="766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7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448"/>
      <c r="BL51" s="55"/>
      <c r="BM51" s="55"/>
      <c r="BN51" s="55"/>
      <c r="BO51" s="55"/>
      <c r="BP51" s="55"/>
      <c r="BQ51" s="55"/>
      <c r="BR51" s="55"/>
      <c r="BS51" s="57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448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725"/>
      <c r="CW51" s="55"/>
      <c r="CX51" s="55"/>
      <c r="CY51" s="57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448"/>
      <c r="DK51" s="55"/>
      <c r="DL51" s="55"/>
      <c r="DM51" s="55"/>
      <c r="DN51" s="55"/>
      <c r="DO51" s="511"/>
      <c r="DP51" s="511"/>
      <c r="DQ51" s="1126"/>
      <c r="DR51" s="514"/>
      <c r="DS51" s="516"/>
      <c r="DT51" s="514"/>
      <c r="DU51" s="516"/>
      <c r="DV51" s="516"/>
      <c r="DW51" s="516"/>
      <c r="DX51" s="516"/>
      <c r="DY51" s="516"/>
      <c r="DZ51" s="516"/>
      <c r="EA51" s="516"/>
      <c r="EB51" s="516"/>
      <c r="EC51" s="516"/>
      <c r="ED51" s="516"/>
      <c r="EE51" s="516"/>
      <c r="EF51" s="516"/>
      <c r="EG51" s="516"/>
      <c r="EH51" s="516"/>
      <c r="EI51" s="516"/>
      <c r="EJ51" s="516"/>
      <c r="EK51" s="516"/>
      <c r="EL51" s="516"/>
      <c r="EM51" s="516"/>
      <c r="EN51" s="516"/>
      <c r="EO51" s="516"/>
      <c r="EP51" s="1126"/>
    </row>
    <row r="52" spans="1:147" s="16" customFormat="1" ht="15.75" customHeight="1" x14ac:dyDescent="0.2">
      <c r="A52" s="368" t="s">
        <v>999</v>
      </c>
      <c r="B52" s="766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7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448"/>
      <c r="BL52" s="55"/>
      <c r="BM52" s="55"/>
      <c r="BN52" s="55"/>
      <c r="BO52" s="55"/>
      <c r="BP52" s="55"/>
      <c r="BQ52" s="55"/>
      <c r="BR52" s="55"/>
      <c r="BS52" s="57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448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725"/>
      <c r="CW52" s="55"/>
      <c r="CX52" s="55"/>
      <c r="CY52" s="57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986"/>
      <c r="DK52" s="55"/>
      <c r="DL52" s="55"/>
      <c r="DM52" s="55"/>
      <c r="DN52" s="55"/>
      <c r="DO52" s="511"/>
      <c r="DP52" s="511"/>
      <c r="DQ52" s="1126"/>
      <c r="DR52" s="514"/>
      <c r="DS52" s="516"/>
      <c r="DT52" s="514"/>
      <c r="DU52" s="516"/>
      <c r="DV52" s="516"/>
      <c r="DW52" s="516"/>
      <c r="DX52" s="516"/>
      <c r="DY52" s="516"/>
      <c r="DZ52" s="516"/>
      <c r="EA52" s="516"/>
      <c r="EB52" s="516"/>
      <c r="EC52" s="516"/>
      <c r="ED52" s="516"/>
      <c r="EE52" s="516"/>
      <c r="EF52" s="516"/>
      <c r="EG52" s="516"/>
      <c r="EH52" s="516"/>
      <c r="EI52" s="516"/>
      <c r="EJ52" s="516"/>
      <c r="EK52" s="516"/>
      <c r="EL52" s="516"/>
      <c r="EM52" s="516"/>
      <c r="EN52" s="516"/>
      <c r="EO52" s="516"/>
      <c r="EP52" s="1126"/>
    </row>
    <row r="53" spans="1:147" s="16" customFormat="1" ht="15.75" customHeight="1" x14ac:dyDescent="0.2">
      <c r="A53" s="55" t="s">
        <v>1003</v>
      </c>
      <c r="B53" s="55" t="s">
        <v>1001</v>
      </c>
      <c r="C53" s="45" t="s">
        <v>509</v>
      </c>
      <c r="D53" s="58">
        <v>10</v>
      </c>
      <c r="E53" s="49">
        <v>0.1</v>
      </c>
      <c r="F53" s="46">
        <v>42510</v>
      </c>
      <c r="G53" s="58">
        <v>120</v>
      </c>
      <c r="H53" s="145">
        <f>100/G53</f>
        <v>0.83333333333333337</v>
      </c>
      <c r="I53" s="165">
        <v>0</v>
      </c>
      <c r="J53" s="48">
        <v>0</v>
      </c>
      <c r="K53" s="165">
        <f>L53*H53</f>
        <v>100</v>
      </c>
      <c r="L53" s="48">
        <f>G53-J53</f>
        <v>120</v>
      </c>
      <c r="M53" s="165">
        <f>N53*H53</f>
        <v>0</v>
      </c>
      <c r="N53" s="48">
        <v>0</v>
      </c>
      <c r="O53" s="165">
        <f>P53*H53</f>
        <v>100</v>
      </c>
      <c r="P53" s="48">
        <f>L53-N53</f>
        <v>120</v>
      </c>
      <c r="Q53" s="48"/>
      <c r="R53" s="125">
        <v>339</v>
      </c>
      <c r="S53" s="119">
        <v>42510</v>
      </c>
      <c r="T53" s="134">
        <v>4659.99</v>
      </c>
      <c r="U53" s="14">
        <v>0</v>
      </c>
      <c r="V53" s="106">
        <v>0</v>
      </c>
      <c r="W53" s="66"/>
      <c r="X53" s="57">
        <v>0</v>
      </c>
      <c r="Y53" s="80">
        <v>0</v>
      </c>
      <c r="Z53" s="57">
        <v>0</v>
      </c>
      <c r="AA53" s="55">
        <v>0</v>
      </c>
      <c r="AB53" s="55">
        <f>AA53*Z53</f>
        <v>0</v>
      </c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>
        <v>0</v>
      </c>
      <c r="AO53" s="55">
        <f>SUM(AC53:AN53)</f>
        <v>0</v>
      </c>
      <c r="AP53" s="72">
        <f>T53-AO53</f>
        <v>4659.99</v>
      </c>
      <c r="AQ53" s="55"/>
      <c r="AR53" s="55"/>
      <c r="AS53" s="55"/>
      <c r="AT53" s="55"/>
      <c r="AU53" s="55"/>
      <c r="AV53" s="55"/>
      <c r="AW53" s="55"/>
      <c r="AX53" s="57">
        <v>118.901</v>
      </c>
      <c r="AY53" s="80">
        <v>118.77</v>
      </c>
      <c r="AZ53" s="57">
        <f>AX53/AY53</f>
        <v>1.0011029721310094</v>
      </c>
      <c r="BA53" s="55">
        <f t="shared" si="3"/>
        <v>38.83325</v>
      </c>
      <c r="BB53" s="55">
        <f>BA53*AZ53</f>
        <v>38.876081992506521</v>
      </c>
      <c r="BC53" s="55">
        <f>$BB53</f>
        <v>38.876081992506521</v>
      </c>
      <c r="BD53" s="55">
        <f>$BB53</f>
        <v>38.876081992506521</v>
      </c>
      <c r="BE53" s="55">
        <f>$BB53</f>
        <v>38.876081992506521</v>
      </c>
      <c r="BF53" s="55">
        <f>$BB53</f>
        <v>38.876081992506521</v>
      </c>
      <c r="BG53" s="55">
        <v>38.880000000000003</v>
      </c>
      <c r="BH53" s="55">
        <v>38.880000000000003</v>
      </c>
      <c r="BI53" s="55">
        <v>38.880000000000003</v>
      </c>
      <c r="BJ53" s="55">
        <f>SUM((AS53:AW53),(BC53:BI53))</f>
        <v>272.1443279700261</v>
      </c>
      <c r="BK53" s="448">
        <f>(AP53-BJ53)</f>
        <v>4387.8456720299737</v>
      </c>
      <c r="BL53" s="55">
        <v>38.880000000000003</v>
      </c>
      <c r="BM53" s="55">
        <v>38.880000000000003</v>
      </c>
      <c r="BN53" s="55">
        <v>38.880000000000003</v>
      </c>
      <c r="BO53" s="55">
        <v>38.880000000000003</v>
      </c>
      <c r="BP53" s="55">
        <v>38.880000000000003</v>
      </c>
      <c r="BQ53" s="57">
        <v>118.901</v>
      </c>
      <c r="BR53" s="80">
        <v>118.77</v>
      </c>
      <c r="BS53" s="57">
        <f>BQ53/BR53</f>
        <v>1.0011029721310094</v>
      </c>
      <c r="BT53" s="55"/>
      <c r="BU53" s="55"/>
      <c r="BV53" s="55"/>
      <c r="BW53" s="55"/>
      <c r="BX53" s="55"/>
      <c r="BY53" s="55"/>
      <c r="BZ53" s="55"/>
      <c r="CA53" s="55"/>
      <c r="CB53" s="55"/>
      <c r="CC53" s="55">
        <f>SUM((BL53:BP53),(BV53:CB53))</f>
        <v>194.4</v>
      </c>
      <c r="CD53" s="448">
        <f>BK53-CC53</f>
        <v>4193.445672029974</v>
      </c>
      <c r="CE53" s="58">
        <v>10</v>
      </c>
      <c r="CF53" s="49">
        <v>0.1</v>
      </c>
      <c r="CG53" s="46">
        <v>43281</v>
      </c>
      <c r="CH53" s="58">
        <v>120</v>
      </c>
      <c r="CI53" s="145">
        <f>CU53/CH53/100</f>
        <v>0.38833249999999997</v>
      </c>
      <c r="CJ53" s="165">
        <f>CI53*CK53</f>
        <v>9.7083124999999999</v>
      </c>
      <c r="CK53" s="48">
        <f>(YEAR(CG53)-YEAR(CT53))*12+MONTH(CG53)-MONTH(CT53)</f>
        <v>25</v>
      </c>
      <c r="CL53" s="165">
        <f>CM53*CI53</f>
        <v>36.8915875</v>
      </c>
      <c r="CM53" s="48">
        <f>CH53-CK53</f>
        <v>95</v>
      </c>
      <c r="CN53" s="165">
        <f>CO53*CI53</f>
        <v>36.8915875</v>
      </c>
      <c r="CO53" s="48">
        <f>CH53-CK53</f>
        <v>95</v>
      </c>
      <c r="CP53" s="165">
        <f>CQ53*CI53</f>
        <v>0</v>
      </c>
      <c r="CQ53" s="48">
        <f>CM53-CO53</f>
        <v>0</v>
      </c>
      <c r="CR53" s="46">
        <f>DATE(YEAR(CT53),MONTH(CT53)+CH53,DAY(CT53))</f>
        <v>46162</v>
      </c>
      <c r="CS53" s="125">
        <v>339</v>
      </c>
      <c r="CT53" s="119">
        <v>42510</v>
      </c>
      <c r="CU53" s="134">
        <v>4659.99</v>
      </c>
      <c r="CV53" s="725">
        <v>4193.445672029974</v>
      </c>
      <c r="CW53" s="57">
        <v>126.408</v>
      </c>
      <c r="CX53" s="80">
        <v>118.77</v>
      </c>
      <c r="CY53" s="57">
        <f>CW53/CX53</f>
        <v>1.0643091689820663</v>
      </c>
      <c r="CZ53" s="55">
        <f>CV53/CO53</f>
        <v>44.141533389789203</v>
      </c>
      <c r="DA53" s="55">
        <f>CZ53*CY53</f>
        <v>46.980238719680678</v>
      </c>
      <c r="DB53" s="55">
        <v>637.58895405280919</v>
      </c>
      <c r="DC53" s="55">
        <v>637.58895405280919</v>
      </c>
      <c r="DD53" s="55">
        <v>637.58895405280919</v>
      </c>
      <c r="DE53" s="55">
        <v>637.58895405280919</v>
      </c>
      <c r="DF53" s="55">
        <v>637.58895405280919</v>
      </c>
      <c r="DG53" s="55">
        <v>637.58895405280919</v>
      </c>
      <c r="DH53" s="55">
        <v>366.91</v>
      </c>
      <c r="DI53" s="55">
        <f>SUM(DB53:DH53)</f>
        <v>4192.443724316855</v>
      </c>
      <c r="DJ53" s="986">
        <f>CV53-DI53</f>
        <v>1.0019477131190797</v>
      </c>
      <c r="DK53" s="55">
        <v>0</v>
      </c>
      <c r="DL53" s="55">
        <v>0</v>
      </c>
      <c r="DM53" s="55">
        <v>0</v>
      </c>
      <c r="DN53" s="55">
        <v>0</v>
      </c>
      <c r="DO53" s="511"/>
      <c r="DP53" s="511">
        <f t="shared" si="0"/>
        <v>0</v>
      </c>
      <c r="DQ53" s="1126">
        <f>DJ53-DP53</f>
        <v>1.0019477131190797</v>
      </c>
      <c r="DR53" s="514">
        <v>132.28200000000001</v>
      </c>
      <c r="DS53" s="515">
        <v>118.77</v>
      </c>
      <c r="DT53" s="514">
        <f>DR53/DS53</f>
        <v>1.1137661025511494</v>
      </c>
      <c r="DU53" s="516">
        <v>0</v>
      </c>
      <c r="DV53" s="516">
        <f>DU53*DT53</f>
        <v>0</v>
      </c>
      <c r="DW53" s="516">
        <v>0</v>
      </c>
      <c r="DX53" s="516">
        <v>0</v>
      </c>
      <c r="DY53" s="516"/>
      <c r="DZ53" s="516"/>
      <c r="EA53" s="516"/>
      <c r="EB53" s="516"/>
      <c r="EC53" s="516">
        <v>0</v>
      </c>
      <c r="ED53" s="516">
        <v>0</v>
      </c>
      <c r="EE53" s="516">
        <v>0</v>
      </c>
      <c r="EF53" s="516">
        <v>0</v>
      </c>
      <c r="EG53" s="516">
        <v>0</v>
      </c>
      <c r="EH53" s="516">
        <v>0</v>
      </c>
      <c r="EI53" s="516">
        <v>0</v>
      </c>
      <c r="EJ53" s="516">
        <v>0</v>
      </c>
      <c r="EK53" s="516">
        <v>0</v>
      </c>
      <c r="EL53" s="516">
        <v>0</v>
      </c>
      <c r="EM53" s="516">
        <v>0</v>
      </c>
      <c r="EN53" s="516">
        <v>0</v>
      </c>
      <c r="EO53" s="516">
        <f>SUM(DW53:EC53)</f>
        <v>0</v>
      </c>
      <c r="EP53" s="1126">
        <f>DQ53-EO53</f>
        <v>1.0019477131190797</v>
      </c>
    </row>
    <row r="54" spans="1:147" ht="15.75" customHeight="1" x14ac:dyDescent="0.2">
      <c r="R54" s="175"/>
      <c r="V54" s="195"/>
      <c r="AB54" s="195"/>
      <c r="AH54" s="195"/>
      <c r="AI54" s="195"/>
      <c r="AJ54" s="195"/>
      <c r="AK54" s="195"/>
      <c r="AL54" s="195"/>
      <c r="AM54" s="195"/>
      <c r="AN54" s="195"/>
      <c r="AO54" s="195"/>
      <c r="AP54" s="195"/>
      <c r="AS54" s="13">
        <f>SUM(AS17:AS53)</f>
        <v>192.77004057568337</v>
      </c>
      <c r="AT54" s="13">
        <f>SUM(AT17:AT53)</f>
        <v>192.77004057568337</v>
      </c>
      <c r="AU54" s="13">
        <f>SUM(AU16:AU53)</f>
        <v>192.77004057568337</v>
      </c>
      <c r="AV54" s="13">
        <f>SUM(AV14:AV53)</f>
        <v>192.77004057568337</v>
      </c>
      <c r="AW54" s="13">
        <f>SUM(AW15:AW53)</f>
        <v>192.77004057568337</v>
      </c>
      <c r="BB54" s="195"/>
      <c r="BC54" s="290">
        <f>SUM(BC16:BC53)</f>
        <v>234.86151845482644</v>
      </c>
      <c r="BD54" s="290">
        <f>SUM(BD14:BD53)</f>
        <v>234.86151845482644</v>
      </c>
      <c r="BE54" s="290">
        <f>SUM(BE14:BE53)</f>
        <v>234.86151845482644</v>
      </c>
      <c r="BF54" s="290">
        <f>SUM(BF15:BF53)</f>
        <v>234.86151845482644</v>
      </c>
      <c r="BG54" s="290">
        <f>SUM(BG15:BG53)</f>
        <v>225.31</v>
      </c>
      <c r="BH54" s="290">
        <f>SUM(BH15:BH53)</f>
        <v>208.37</v>
      </c>
      <c r="BI54" s="13">
        <f>SUM(BI15:BI53)</f>
        <v>208.37</v>
      </c>
      <c r="BJ54" s="195">
        <f>SUM(BJ15:BJ53)</f>
        <v>2545.3462766977227</v>
      </c>
      <c r="BK54" s="13">
        <f>SUM(BK13:BK53)</f>
        <v>13768.24484000849</v>
      </c>
      <c r="BL54" s="13">
        <f>SUM(BL13:BL53)</f>
        <v>168.75</v>
      </c>
      <c r="BM54" s="13">
        <f>SUM(BM17:BM53)</f>
        <v>163.95</v>
      </c>
      <c r="BN54" s="13">
        <f>SUM(BN16:BN53)</f>
        <v>163.95</v>
      </c>
      <c r="BO54" s="13">
        <f>SUM(BO14:BO53)</f>
        <v>163.95</v>
      </c>
      <c r="BP54" s="13">
        <f>SUM(BP15:BP53)</f>
        <v>163.95</v>
      </c>
      <c r="BU54" s="195"/>
      <c r="BV54" s="290">
        <f>SUM(BV16:BV53)</f>
        <v>0</v>
      </c>
      <c r="BW54" s="290">
        <f>SUM(BW14:BW53)</f>
        <v>0</v>
      </c>
      <c r="BX54" s="290">
        <f>SUM(BX14:BX53)</f>
        <v>0</v>
      </c>
      <c r="BY54" s="290">
        <f>SUM(BY15:BY53)</f>
        <v>0</v>
      </c>
      <c r="BZ54" s="290">
        <f>SUM(BZ15:BZ53)</f>
        <v>0</v>
      </c>
      <c r="CA54" s="290">
        <f>SUM(CA15:CA53)</f>
        <v>0</v>
      </c>
      <c r="CB54" s="13">
        <f>SUM(CB15:CB53)</f>
        <v>0</v>
      </c>
      <c r="CC54" s="13">
        <f>SUM(CC13:CC53)</f>
        <v>824.55000000000007</v>
      </c>
      <c r="CD54" s="578">
        <f>SUM(CD13:CD53)</f>
        <v>12943.694840008495</v>
      </c>
      <c r="CS54" s="175"/>
      <c r="CV54" s="104">
        <f>SUM(CV14:CV53)</f>
        <v>18832.697011991393</v>
      </c>
      <c r="DA54" s="290">
        <f>SUM(DA16:DA53)</f>
        <v>313.95643822994305</v>
      </c>
      <c r="DB54" s="290">
        <f t="shared" ref="DB54:DK54" si="12">SUM(DB16:DB53)</f>
        <v>1974.7600758876381</v>
      </c>
      <c r="DC54" s="290">
        <f t="shared" si="12"/>
        <v>1974.7600758876381</v>
      </c>
      <c r="DD54" s="290">
        <f t="shared" si="12"/>
        <v>1974.3009533854981</v>
      </c>
      <c r="DE54" s="290">
        <f t="shared" si="12"/>
        <v>2154.8048606366792</v>
      </c>
      <c r="DF54" s="290">
        <f t="shared" si="12"/>
        <v>2153.7909533854981</v>
      </c>
      <c r="DG54" s="290">
        <f t="shared" si="12"/>
        <v>2096.3190123022819</v>
      </c>
      <c r="DH54" s="290">
        <f t="shared" si="12"/>
        <v>1280.7725854591092</v>
      </c>
      <c r="DI54" s="290">
        <f t="shared" si="12"/>
        <v>13609.508516944345</v>
      </c>
      <c r="DJ54" s="290">
        <f t="shared" si="12"/>
        <v>5222.1884950470512</v>
      </c>
      <c r="DK54" s="987">
        <f t="shared" si="12"/>
        <v>83.58</v>
      </c>
      <c r="DL54" s="987">
        <f>SUM(DL16:DL53)</f>
        <v>56.6</v>
      </c>
      <c r="DM54" s="1025">
        <f>SUM(DM16:DM53)</f>
        <v>138.07</v>
      </c>
      <c r="DN54" s="1025">
        <f>SUM(DN16:DN53)</f>
        <v>147.51</v>
      </c>
      <c r="DO54" s="1025">
        <f>SUM(DO16:DO53)</f>
        <v>147.51</v>
      </c>
      <c r="DP54" s="987">
        <f>SUM(DP16:DP53)</f>
        <v>573.27</v>
      </c>
      <c r="DQ54" s="1126">
        <f>SUM(DQ13:DQ53)</f>
        <v>4649.690507870243</v>
      </c>
      <c r="DR54" s="514"/>
      <c r="DS54" s="1131"/>
      <c r="DT54" s="514"/>
      <c r="DU54" s="516"/>
      <c r="DV54" s="516"/>
      <c r="DW54" s="516"/>
      <c r="DX54" s="516"/>
      <c r="DY54" s="516"/>
      <c r="DZ54" s="516"/>
      <c r="EA54" s="516"/>
      <c r="EB54" s="516"/>
      <c r="EC54" s="516"/>
      <c r="ED54" s="516"/>
      <c r="EE54" s="516"/>
      <c r="EF54" s="516"/>
      <c r="EG54" s="516"/>
      <c r="EH54" s="516"/>
      <c r="EI54" s="516"/>
      <c r="EJ54" s="516"/>
      <c r="EK54" s="516"/>
      <c r="EL54" s="516"/>
      <c r="EM54" s="516"/>
      <c r="EN54" s="516"/>
      <c r="EO54" s="516"/>
      <c r="EP54" s="1126"/>
    </row>
    <row r="55" spans="1:147" ht="15.75" customHeight="1" x14ac:dyDescent="0.2">
      <c r="R55" s="175"/>
      <c r="V55" s="195"/>
      <c r="AB55" s="195"/>
      <c r="AH55" s="195"/>
      <c r="AI55" s="195"/>
      <c r="AJ55" s="195"/>
      <c r="AK55" s="195"/>
      <c r="AL55" s="195"/>
      <c r="AM55" s="195"/>
      <c r="AN55" s="195"/>
      <c r="AO55" s="195"/>
      <c r="AP55" s="195"/>
      <c r="BB55" s="195"/>
      <c r="BK55" s="104">
        <f>BK54-BL54-BM54</f>
        <v>13435.54484000849</v>
      </c>
      <c r="BU55" s="195"/>
      <c r="CS55" s="175"/>
      <c r="DA55" s="195"/>
      <c r="DJ55" s="104">
        <f>CV54-DI54</f>
        <v>5223.1884950470485</v>
      </c>
      <c r="DL55" s="958"/>
      <c r="DM55" s="958"/>
      <c r="DN55" s="958"/>
      <c r="DO55" s="958"/>
      <c r="DP55" s="958"/>
      <c r="DQ55" s="1124"/>
      <c r="DR55" s="1127"/>
      <c r="DS55" s="1133"/>
      <c r="DT55" s="1127"/>
      <c r="DU55" s="1024"/>
      <c r="DV55" s="1024"/>
      <c r="DW55" s="1024">
        <f t="shared" ref="DW55:EB55" si="13">SUM(DW14:DW54)</f>
        <v>45.23</v>
      </c>
      <c r="DX55" s="1024">
        <f t="shared" si="13"/>
        <v>45.23</v>
      </c>
      <c r="DY55" s="1024">
        <f t="shared" si="13"/>
        <v>45.23</v>
      </c>
      <c r="DZ55" s="1024">
        <f t="shared" si="13"/>
        <v>45.23</v>
      </c>
      <c r="EA55" s="1024">
        <f t="shared" si="13"/>
        <v>45.23</v>
      </c>
      <c r="EB55" s="1024">
        <f t="shared" si="13"/>
        <v>45.23</v>
      </c>
      <c r="EC55" s="1024">
        <f t="shared" ref="EC55:EO55" si="14">SUM(EC14:EC54)</f>
        <v>45.23</v>
      </c>
      <c r="ED55" s="1024">
        <f t="shared" si="14"/>
        <v>45.23</v>
      </c>
      <c r="EE55" s="1024">
        <f t="shared" si="14"/>
        <v>45.23</v>
      </c>
      <c r="EF55" s="1024">
        <f t="shared" si="14"/>
        <v>45.23</v>
      </c>
      <c r="EG55" s="1024">
        <f t="shared" si="14"/>
        <v>45.23</v>
      </c>
      <c r="EH55" s="1024">
        <f t="shared" ref="EH55:EM55" si="15">SUM(EH14:EH54)</f>
        <v>45.23</v>
      </c>
      <c r="EI55" s="1024">
        <f t="shared" si="15"/>
        <v>45.23</v>
      </c>
      <c r="EJ55" s="1024">
        <f t="shared" si="15"/>
        <v>45.23</v>
      </c>
      <c r="EK55" s="1024">
        <f t="shared" si="15"/>
        <v>45.23</v>
      </c>
      <c r="EL55" s="1024">
        <f t="shared" si="15"/>
        <v>45.23</v>
      </c>
      <c r="EM55" s="1024">
        <f t="shared" si="15"/>
        <v>45.23</v>
      </c>
      <c r="EN55" s="1024">
        <f t="shared" si="14"/>
        <v>45.23</v>
      </c>
      <c r="EO55" s="1024">
        <f t="shared" si="14"/>
        <v>814.14</v>
      </c>
      <c r="EP55" s="1128">
        <f>SUM(EP13:EP54)</f>
        <v>3835.5505078702427</v>
      </c>
      <c r="EQ55" s="434"/>
    </row>
    <row r="56" spans="1:147" ht="15.75" customHeight="1" x14ac:dyDescent="0.2">
      <c r="R56" s="175"/>
      <c r="V56" s="195"/>
      <c r="AB56" s="195"/>
      <c r="AH56" s="195"/>
      <c r="AI56" s="195"/>
      <c r="AJ56" s="195"/>
      <c r="AK56" s="195"/>
      <c r="AL56" s="195"/>
      <c r="AM56" s="195"/>
      <c r="AN56" s="195"/>
      <c r="AO56" s="195"/>
      <c r="AP56" s="195"/>
      <c r="BB56" s="195"/>
      <c r="BU56" s="195"/>
      <c r="CS56" s="175"/>
      <c r="DA56" s="195"/>
      <c r="DL56" s="958"/>
      <c r="DM56" s="958"/>
      <c r="DN56" s="958"/>
      <c r="DO56" s="958"/>
      <c r="DP56" s="958"/>
      <c r="DQ56" s="1128"/>
      <c r="DR56" s="1127"/>
      <c r="DS56" s="1133"/>
      <c r="DT56" s="1127"/>
      <c r="DU56" s="1024"/>
      <c r="DV56" s="1024"/>
      <c r="DW56" s="1024"/>
      <c r="DX56" s="1024"/>
      <c r="DY56" s="1024"/>
      <c r="DZ56" s="1024"/>
      <c r="EA56" s="1024"/>
      <c r="EB56" s="1024"/>
      <c r="EC56" s="1024"/>
      <c r="ED56" s="1024"/>
      <c r="EE56" s="1024"/>
      <c r="EF56" s="1024"/>
      <c r="EG56" s="1024"/>
      <c r="EH56" s="1024"/>
      <c r="EI56" s="1024"/>
      <c r="EJ56" s="1024"/>
      <c r="EK56" s="1024"/>
      <c r="EL56" s="1024"/>
      <c r="EM56" s="1024"/>
      <c r="EN56" s="1024"/>
      <c r="EO56" s="1024"/>
      <c r="EP56" s="1128">
        <f>DQ54-EO55</f>
        <v>3835.5505078702431</v>
      </c>
      <c r="EQ56" s="434"/>
    </row>
    <row r="57" spans="1:147" s="104" customFormat="1" x14ac:dyDescent="0.2">
      <c r="A57" s="579"/>
      <c r="B57" s="16"/>
      <c r="C57" s="16"/>
      <c r="D57" s="38"/>
      <c r="E57" s="38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37"/>
      <c r="S57" s="37"/>
      <c r="T57" s="35"/>
      <c r="U57" s="35"/>
      <c r="V57" s="103"/>
      <c r="W57" s="16"/>
      <c r="X57" s="16"/>
      <c r="Y57" s="388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68"/>
      <c r="AQ57" s="103"/>
      <c r="AR57" s="103"/>
      <c r="AS57" s="103"/>
      <c r="AT57" s="103"/>
      <c r="AU57" s="103"/>
      <c r="AV57" s="103"/>
      <c r="AW57" s="103"/>
      <c r="AX57" s="16"/>
      <c r="AY57" s="388"/>
      <c r="AZ57" s="16"/>
      <c r="BA57" s="16"/>
      <c r="BB57" s="16"/>
      <c r="BC57" s="103"/>
      <c r="BD57" s="103"/>
      <c r="BE57" s="103"/>
      <c r="BF57" s="103"/>
      <c r="BG57" s="103"/>
      <c r="BH57" s="103"/>
      <c r="BI57" s="103"/>
      <c r="BJ57" s="444"/>
      <c r="BK57" s="444"/>
      <c r="BL57" s="103"/>
      <c r="BM57" s="103"/>
      <c r="BN57" s="103"/>
      <c r="BO57" s="103"/>
      <c r="BP57" s="103"/>
      <c r="BQ57" s="16"/>
      <c r="BR57" s="388"/>
      <c r="BS57" s="16"/>
      <c r="BT57" s="16"/>
      <c r="BU57" s="16"/>
      <c r="BV57" s="103"/>
      <c r="BW57" s="103"/>
      <c r="BX57" s="103"/>
      <c r="CC57" s="443"/>
      <c r="CD57" s="443"/>
      <c r="CE57" s="38"/>
      <c r="CF57" s="38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37"/>
      <c r="CT57" s="37"/>
      <c r="CU57" s="35"/>
      <c r="CW57" s="16"/>
      <c r="CX57" s="388"/>
      <c r="CY57" s="16"/>
      <c r="CZ57" s="16"/>
      <c r="DA57" s="16"/>
      <c r="DB57" s="103"/>
      <c r="DC57" s="103"/>
      <c r="DD57" s="103"/>
      <c r="DI57" s="443"/>
      <c r="DJ57" s="443"/>
      <c r="DL57" s="958"/>
      <c r="DM57" s="958"/>
      <c r="DN57" s="958"/>
      <c r="DO57" s="958"/>
      <c r="DP57" s="958"/>
      <c r="DQ57" s="961"/>
      <c r="DR57" s="959"/>
      <c r="DS57" s="963"/>
      <c r="DT57" s="959"/>
      <c r="DU57" s="958"/>
      <c r="DV57" s="958"/>
      <c r="DW57" s="958"/>
      <c r="DX57" s="958"/>
      <c r="DY57" s="958"/>
      <c r="DZ57" s="958"/>
      <c r="EA57" s="958"/>
      <c r="EB57" s="958"/>
      <c r="EC57" s="958"/>
      <c r="ED57" s="958"/>
      <c r="EE57" s="958"/>
      <c r="EF57" s="958"/>
      <c r="EG57" s="958"/>
      <c r="EH57" s="958"/>
      <c r="EI57" s="958"/>
      <c r="EJ57" s="958"/>
      <c r="EK57" s="958"/>
      <c r="EL57" s="958"/>
      <c r="EM57" s="958"/>
      <c r="EN57" s="958"/>
      <c r="EO57" s="958"/>
      <c r="EP57" s="962"/>
      <c r="EQ57" s="435"/>
    </row>
    <row r="58" spans="1:147" s="104" customFormat="1" x14ac:dyDescent="0.2">
      <c r="A58" s="10"/>
      <c r="B58" s="16"/>
      <c r="C58" s="16"/>
      <c r="D58" s="38"/>
      <c r="E58" s="38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37"/>
      <c r="S58" s="37"/>
      <c r="T58" s="35"/>
      <c r="U58" s="35"/>
      <c r="V58" s="103"/>
      <c r="W58" s="16"/>
      <c r="X58" s="16"/>
      <c r="Y58" s="388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68"/>
      <c r="AQ58" s="103"/>
      <c r="AR58" s="103"/>
      <c r="AS58" s="103"/>
      <c r="AT58" s="103"/>
      <c r="AU58" s="103"/>
      <c r="AV58" s="103"/>
      <c r="AW58" s="103"/>
      <c r="AX58" s="16"/>
      <c r="AY58" s="388"/>
      <c r="AZ58" s="16"/>
      <c r="BA58" s="16"/>
      <c r="BB58" s="16"/>
      <c r="BC58" s="103"/>
      <c r="BD58" s="103"/>
      <c r="BE58" s="103"/>
      <c r="BF58" s="103"/>
      <c r="BG58" s="103"/>
      <c r="BH58" s="103"/>
      <c r="BI58" s="103"/>
      <c r="BJ58" s="444"/>
      <c r="BK58" s="444"/>
      <c r="BL58" s="103"/>
      <c r="BM58" s="103"/>
      <c r="BN58" s="103"/>
      <c r="BO58" s="103"/>
      <c r="BP58" s="103"/>
      <c r="BQ58" s="16"/>
      <c r="BR58" s="388"/>
      <c r="BS58" s="16"/>
      <c r="BT58" s="16"/>
      <c r="BU58" s="16"/>
      <c r="BV58" s="103"/>
      <c r="BW58" s="103"/>
      <c r="BX58" s="103"/>
      <c r="CC58" s="443"/>
      <c r="CD58" s="443"/>
      <c r="CE58" s="38"/>
      <c r="CF58" s="38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37"/>
      <c r="CT58" s="37"/>
      <c r="CU58" s="35"/>
      <c r="CW58" s="16"/>
      <c r="CX58" s="388"/>
      <c r="CY58" s="16"/>
      <c r="CZ58" s="16"/>
      <c r="DA58" s="16"/>
      <c r="DB58" s="103"/>
      <c r="DC58" s="103"/>
      <c r="DD58" s="103"/>
      <c r="DI58" s="443"/>
      <c r="DJ58" s="443"/>
      <c r="DL58" s="958"/>
      <c r="DM58" s="958"/>
      <c r="DN58" s="958"/>
      <c r="DO58" s="958"/>
      <c r="DP58" s="958"/>
      <c r="DQ58" s="961"/>
      <c r="DR58" s="959"/>
      <c r="DS58" s="963"/>
      <c r="DT58" s="959"/>
      <c r="DU58" s="958"/>
      <c r="DV58" s="958"/>
      <c r="DW58" s="958"/>
      <c r="DX58" s="958"/>
      <c r="DY58" s="958"/>
      <c r="DZ58" s="958"/>
      <c r="EA58" s="958"/>
      <c r="EB58" s="958"/>
      <c r="EC58" s="958"/>
      <c r="ED58" s="958"/>
      <c r="EE58" s="958"/>
      <c r="EF58" s="958"/>
      <c r="EG58" s="958"/>
      <c r="EH58" s="958"/>
      <c r="EI58" s="958"/>
      <c r="EJ58" s="958"/>
      <c r="EK58" s="958"/>
      <c r="EL58" s="958"/>
      <c r="EM58" s="958"/>
      <c r="EN58" s="958"/>
      <c r="EO58" s="958"/>
      <c r="EP58" s="962"/>
      <c r="EQ58" s="435"/>
    </row>
    <row r="59" spans="1:147" ht="30.75" hidden="1" customHeight="1" x14ac:dyDescent="0.2">
      <c r="A59" s="1249" t="s">
        <v>462</v>
      </c>
      <c r="B59" s="1249"/>
      <c r="C59" s="1249"/>
      <c r="D59" s="1249"/>
      <c r="E59" s="1249"/>
      <c r="F59" s="1249"/>
      <c r="G59" s="1249"/>
      <c r="H59" s="1249"/>
      <c r="I59" s="1249"/>
      <c r="J59" s="1249"/>
      <c r="K59" s="1249"/>
      <c r="L59" s="1249"/>
      <c r="M59" s="1249"/>
      <c r="N59" s="1249"/>
      <c r="O59" s="1249"/>
      <c r="P59" s="1249"/>
      <c r="Q59" s="1249"/>
      <c r="R59" s="1249"/>
      <c r="S59" s="1249"/>
      <c r="T59" s="1249"/>
      <c r="U59" s="1249"/>
      <c r="V59" s="1249"/>
      <c r="W59" s="1249"/>
      <c r="X59" s="1249"/>
      <c r="Y59" s="580"/>
      <c r="Z59" s="387"/>
      <c r="AA59" s="387"/>
      <c r="AB59" s="387"/>
      <c r="AC59" s="387"/>
      <c r="AD59" s="387"/>
      <c r="AE59" s="387"/>
      <c r="AF59" s="387"/>
      <c r="AG59" s="387"/>
      <c r="AH59" s="387"/>
      <c r="AI59" s="387"/>
      <c r="AJ59" s="387"/>
      <c r="AK59" s="387"/>
      <c r="AL59" s="387"/>
      <c r="AM59" s="387"/>
      <c r="AN59" s="387"/>
      <c r="AO59" s="387"/>
      <c r="AP59" s="387"/>
      <c r="AQ59" s="16"/>
      <c r="AR59" s="16"/>
      <c r="AS59" s="16"/>
      <c r="AT59" s="16"/>
      <c r="AU59" s="16"/>
      <c r="AV59" s="16"/>
      <c r="AW59" s="16"/>
      <c r="AX59" s="16"/>
      <c r="AY59" s="580"/>
      <c r="AZ59" s="387"/>
      <c r="BA59" s="387"/>
      <c r="BB59" s="387"/>
      <c r="BC59" s="16"/>
      <c r="BD59" s="16"/>
      <c r="BE59" s="16"/>
      <c r="BF59" s="16"/>
      <c r="BG59" s="16"/>
      <c r="BH59" s="16"/>
      <c r="BI59" s="16"/>
      <c r="BJ59" s="444"/>
      <c r="BK59" s="444"/>
      <c r="BL59" s="16"/>
      <c r="BM59" s="16"/>
      <c r="BN59" s="16"/>
      <c r="BO59" s="16"/>
      <c r="BP59" s="16"/>
      <c r="BQ59" s="16"/>
      <c r="BR59" s="580"/>
      <c r="BS59" s="387"/>
      <c r="BT59" s="387"/>
      <c r="BU59" s="387"/>
      <c r="BV59" s="16"/>
      <c r="BW59" s="16"/>
      <c r="BX59" s="16"/>
      <c r="CE59"/>
      <c r="CF59"/>
      <c r="CS59"/>
      <c r="CT59"/>
      <c r="CU59"/>
      <c r="CW59" s="16"/>
      <c r="CX59" s="580"/>
      <c r="CY59" s="387"/>
      <c r="CZ59" s="387"/>
      <c r="DA59" s="387"/>
      <c r="DB59" s="16"/>
      <c r="DC59" s="16"/>
      <c r="DD59" s="16"/>
      <c r="DL59" s="958"/>
      <c r="DM59" s="958"/>
      <c r="DN59" s="958"/>
      <c r="DO59" s="958"/>
      <c r="DP59" s="958"/>
      <c r="DQ59" s="961"/>
      <c r="DR59" s="959"/>
      <c r="DS59" s="963"/>
      <c r="DT59" s="959"/>
      <c r="DU59" s="958"/>
      <c r="DV59" s="958"/>
      <c r="DW59" s="958"/>
      <c r="DX59" s="958"/>
      <c r="DY59" s="958"/>
      <c r="DZ59" s="958"/>
      <c r="EA59" s="958"/>
      <c r="EB59" s="958"/>
      <c r="EC59" s="958"/>
      <c r="ED59" s="958"/>
      <c r="EE59" s="958"/>
      <c r="EF59" s="958"/>
      <c r="EG59" s="958"/>
      <c r="EH59" s="958"/>
      <c r="EI59" s="958"/>
      <c r="EJ59" s="958"/>
      <c r="EK59" s="958"/>
      <c r="EL59" s="958"/>
      <c r="EM59" s="958"/>
      <c r="EN59" s="958"/>
      <c r="EO59" s="958"/>
      <c r="EP59" s="962"/>
      <c r="EQ59" s="434"/>
    </row>
    <row r="60" spans="1:147" hidden="1" x14ac:dyDescent="0.2">
      <c r="A60" s="1249"/>
      <c r="B60" s="1249"/>
      <c r="C60" s="1249"/>
      <c r="D60" s="1249"/>
      <c r="E60" s="1249"/>
      <c r="F60" s="1249"/>
      <c r="G60" s="1249"/>
      <c r="H60" s="1249"/>
      <c r="I60" s="1249"/>
      <c r="J60" s="1249"/>
      <c r="K60" s="1249"/>
      <c r="L60" s="1249"/>
      <c r="M60" s="1249"/>
      <c r="N60" s="1249"/>
      <c r="O60" s="1249"/>
      <c r="P60" s="1249"/>
      <c r="Q60" s="1249"/>
      <c r="R60" s="1249"/>
      <c r="S60" s="1249"/>
      <c r="T60" s="1249"/>
      <c r="U60" s="1249"/>
      <c r="V60" s="1249"/>
      <c r="W60" s="1249"/>
      <c r="X60" s="1249"/>
      <c r="Y60" s="388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68"/>
      <c r="AQ60" s="16"/>
      <c r="AR60" s="16"/>
      <c r="AS60" s="16"/>
      <c r="AT60" s="16"/>
      <c r="AU60" s="16"/>
      <c r="AV60" s="16"/>
      <c r="AW60" s="16"/>
      <c r="AX60" s="16"/>
      <c r="AY60" s="388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444"/>
      <c r="BK60" s="444"/>
      <c r="BL60" s="16"/>
      <c r="BM60" s="16"/>
      <c r="BN60" s="16"/>
      <c r="BO60" s="16"/>
      <c r="BP60" s="16"/>
      <c r="BQ60" s="16"/>
      <c r="BR60" s="388"/>
      <c r="BS60" s="16"/>
      <c r="BT60" s="16"/>
      <c r="BU60" s="16"/>
      <c r="BV60" s="16"/>
      <c r="BW60" s="16"/>
      <c r="BX60" s="16"/>
      <c r="CE60"/>
      <c r="CF60"/>
      <c r="CS60"/>
      <c r="CT60"/>
      <c r="CU60"/>
      <c r="CW60" s="16"/>
      <c r="CX60" s="388"/>
      <c r="CY60" s="16"/>
      <c r="CZ60" s="16"/>
      <c r="DA60" s="16"/>
      <c r="DB60" s="16"/>
      <c r="DC60" s="16"/>
      <c r="DD60" s="16"/>
      <c r="DL60" s="958"/>
      <c r="DM60" s="958"/>
      <c r="DN60" s="958"/>
      <c r="DO60" s="958"/>
      <c r="DP60" s="958"/>
      <c r="DQ60" s="961"/>
      <c r="DR60" s="959"/>
      <c r="DS60" s="963"/>
      <c r="DT60" s="959"/>
      <c r="DU60" s="958"/>
      <c r="DV60" s="958"/>
      <c r="DW60" s="958"/>
      <c r="DX60" s="958"/>
      <c r="DY60" s="958"/>
      <c r="DZ60" s="958"/>
      <c r="EA60" s="958"/>
      <c r="EB60" s="958"/>
      <c r="EC60" s="958"/>
      <c r="ED60" s="958"/>
      <c r="EE60" s="958"/>
      <c r="EF60" s="958"/>
      <c r="EG60" s="958"/>
      <c r="EH60" s="958"/>
      <c r="EI60" s="958"/>
      <c r="EJ60" s="958"/>
      <c r="EK60" s="958"/>
      <c r="EL60" s="958"/>
      <c r="EM60" s="958"/>
      <c r="EN60" s="958"/>
      <c r="EO60" s="958"/>
      <c r="EP60" s="962"/>
      <c r="EQ60" s="434"/>
    </row>
    <row r="61" spans="1:147" x14ac:dyDescent="0.2">
      <c r="A61" s="16"/>
      <c r="B61" s="16"/>
      <c r="C61" s="16"/>
      <c r="D61" s="38"/>
      <c r="E61" s="38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37"/>
      <c r="S61" s="37"/>
      <c r="T61" s="35"/>
      <c r="U61" s="35"/>
      <c r="V61" s="103"/>
      <c r="W61" s="16"/>
      <c r="X61" s="16"/>
      <c r="Y61" s="388"/>
      <c r="Z61" s="16"/>
      <c r="AA61" s="35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581" t="e">
        <f>SUM(#REF!-AN50-AN41-AN34)</f>
        <v>#REF!</v>
      </c>
      <c r="AO61" s="103"/>
      <c r="AP61" s="68"/>
      <c r="AQ61" s="16"/>
      <c r="AR61" s="16"/>
      <c r="AS61" s="16"/>
      <c r="AT61" s="16"/>
      <c r="AU61" s="16"/>
      <c r="AV61" s="16"/>
      <c r="AW61" s="16"/>
      <c r="AX61" s="16"/>
      <c r="AY61" s="388"/>
      <c r="AZ61" s="16"/>
      <c r="BA61" s="35"/>
      <c r="BB61" s="16"/>
      <c r="BC61" s="16"/>
      <c r="BD61" s="16"/>
      <c r="BE61" s="16"/>
      <c r="BF61" s="16"/>
      <c r="BG61" s="16"/>
      <c r="BH61" s="16"/>
      <c r="BI61" s="16"/>
      <c r="BJ61" s="444"/>
      <c r="BK61" s="444"/>
      <c r="BL61" s="16"/>
      <c r="BM61" s="16"/>
      <c r="BN61" s="16"/>
      <c r="BO61" s="16"/>
      <c r="BP61" s="16"/>
      <c r="BQ61" s="16"/>
      <c r="BR61" s="388"/>
      <c r="BS61" s="16"/>
      <c r="BT61" s="35"/>
      <c r="BU61" s="16"/>
      <c r="BV61" s="16"/>
      <c r="BW61" s="16"/>
      <c r="BX61" s="16"/>
      <c r="CE61" s="38"/>
      <c r="CF61" s="38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37"/>
      <c r="CT61" s="37"/>
      <c r="CU61" s="35"/>
      <c r="CW61" s="16"/>
      <c r="CX61" s="388"/>
      <c r="CY61" s="16"/>
      <c r="CZ61" s="35"/>
      <c r="DA61" s="16"/>
      <c r="DB61" s="16"/>
      <c r="DC61" s="16"/>
      <c r="DD61" s="16"/>
      <c r="DL61" s="958"/>
      <c r="DM61" s="958"/>
      <c r="DN61" s="958"/>
      <c r="DO61" s="958"/>
      <c r="DP61" s="958"/>
      <c r="DQ61" s="961"/>
      <c r="DR61" s="959"/>
      <c r="DS61" s="963"/>
      <c r="DT61" s="959"/>
      <c r="DU61" s="958"/>
      <c r="DV61" s="958"/>
      <c r="DW61" s="958"/>
      <c r="DX61" s="958"/>
      <c r="DY61" s="958"/>
      <c r="DZ61" s="958"/>
      <c r="EA61" s="958"/>
      <c r="EB61" s="958"/>
      <c r="EC61" s="958"/>
      <c r="ED61" s="958"/>
      <c r="EE61" s="958"/>
      <c r="EF61" s="958"/>
      <c r="EG61" s="958"/>
      <c r="EH61" s="958"/>
      <c r="EI61" s="958"/>
      <c r="EJ61" s="958"/>
      <c r="EK61" s="958"/>
      <c r="EL61" s="958"/>
      <c r="EM61" s="958"/>
      <c r="EN61" s="958"/>
      <c r="EO61" s="958"/>
      <c r="EP61" s="962"/>
      <c r="EQ61" s="434"/>
    </row>
    <row r="62" spans="1:147" ht="12.75" customHeight="1" x14ac:dyDescent="0.2">
      <c r="A62" s="16"/>
      <c r="B62" s="16"/>
      <c r="C62" s="16"/>
      <c r="D62" s="38"/>
      <c r="E62" s="38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37"/>
      <c r="S62" s="37"/>
      <c r="T62" s="35"/>
      <c r="U62" s="35"/>
      <c r="V62" s="1276"/>
      <c r="W62" s="1277"/>
      <c r="X62" s="1277"/>
      <c r="Y62" s="1277"/>
      <c r="Z62" s="1277"/>
      <c r="AA62" s="16"/>
      <c r="AB62" s="457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457" t="e">
        <f>SUM(AO50+AO41+AO34)+AN61</f>
        <v>#REF!</v>
      </c>
      <c r="AO62" s="16"/>
      <c r="AP62" s="68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457"/>
      <c r="BC62" s="16"/>
      <c r="BD62" s="16"/>
      <c r="BE62" s="16"/>
      <c r="BF62" s="16"/>
      <c r="BG62" s="16"/>
      <c r="BH62" s="16"/>
      <c r="BI62" s="16"/>
      <c r="BJ62" s="444"/>
      <c r="BK62" s="444"/>
      <c r="BL62" s="16"/>
      <c r="BM62" s="16"/>
      <c r="BN62" s="16"/>
      <c r="BO62" s="16"/>
      <c r="BP62" s="16"/>
      <c r="BQ62" s="16"/>
      <c r="BR62" s="16"/>
      <c r="BS62" s="16"/>
      <c r="BT62" s="16"/>
      <c r="BU62" s="457"/>
      <c r="BV62" s="16"/>
      <c r="BW62" s="16"/>
      <c r="BX62" s="16"/>
      <c r="CE62" s="38"/>
      <c r="CF62" s="38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37"/>
      <c r="CT62" s="37"/>
      <c r="CU62" s="35"/>
      <c r="CW62" s="16"/>
      <c r="CX62" s="16"/>
      <c r="CY62" s="16"/>
      <c r="CZ62" s="16"/>
      <c r="DA62" s="457"/>
      <c r="DB62" s="16"/>
      <c r="DC62" s="16"/>
      <c r="DD62" s="16"/>
      <c r="DL62" s="958"/>
      <c r="DM62" s="958"/>
      <c r="DN62" s="958"/>
      <c r="DO62" s="958"/>
      <c r="DP62" s="958"/>
      <c r="DQ62" s="961"/>
      <c r="DR62" s="959"/>
      <c r="DS62" s="963"/>
      <c r="DT62" s="959"/>
      <c r="DU62" s="958"/>
      <c r="DV62" s="958"/>
      <c r="DW62" s="958"/>
      <c r="DX62" s="958"/>
      <c r="DY62" s="958"/>
      <c r="DZ62" s="958"/>
      <c r="EA62" s="958"/>
      <c r="EB62" s="958"/>
      <c r="EC62" s="958"/>
      <c r="ED62" s="958"/>
      <c r="EE62" s="958"/>
      <c r="EF62" s="958"/>
      <c r="EG62" s="958"/>
      <c r="EH62" s="958"/>
      <c r="EI62" s="958"/>
      <c r="EJ62" s="958"/>
      <c r="EK62" s="958"/>
      <c r="EL62" s="958"/>
      <c r="EM62" s="958"/>
      <c r="EN62" s="958"/>
      <c r="EO62" s="958"/>
      <c r="EP62" s="962"/>
      <c r="EQ62" s="434"/>
    </row>
    <row r="63" spans="1:147" x14ac:dyDescent="0.2">
      <c r="A63" s="16"/>
      <c r="B63" s="16"/>
      <c r="C63" s="16"/>
      <c r="D63" s="38"/>
      <c r="E63" s="38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37"/>
      <c r="S63" s="37"/>
      <c r="T63" s="35"/>
      <c r="U63" s="35"/>
      <c r="V63" s="1277"/>
      <c r="W63" s="1277"/>
      <c r="X63" s="1277"/>
      <c r="Y63" s="1277"/>
      <c r="Z63" s="1277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68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444"/>
      <c r="BK63" s="444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CE63" s="38"/>
      <c r="CF63" s="38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37"/>
      <c r="CT63" s="37"/>
      <c r="CU63" s="35"/>
      <c r="CW63" s="16"/>
      <c r="CX63" s="16"/>
      <c r="CY63" s="16"/>
      <c r="CZ63" s="16"/>
      <c r="DA63" s="16"/>
      <c r="DB63" s="16"/>
      <c r="DC63" s="16"/>
      <c r="DD63" s="16"/>
      <c r="DL63" s="958"/>
      <c r="DM63" s="958"/>
      <c r="DN63" s="958"/>
      <c r="DO63" s="958"/>
      <c r="DP63" s="958"/>
      <c r="DQ63" s="961"/>
      <c r="DR63" s="959"/>
      <c r="DS63" s="963"/>
      <c r="DT63" s="959"/>
      <c r="DU63" s="958"/>
      <c r="DV63" s="958"/>
      <c r="DW63" s="958"/>
      <c r="DX63" s="958"/>
      <c r="DY63" s="958"/>
      <c r="DZ63" s="958"/>
      <c r="EA63" s="958"/>
      <c r="EB63" s="958"/>
      <c r="EC63" s="958"/>
      <c r="ED63" s="958"/>
      <c r="EE63" s="958"/>
      <c r="EF63" s="958"/>
      <c r="EG63" s="958"/>
      <c r="EH63" s="958"/>
      <c r="EI63" s="958"/>
      <c r="EJ63" s="958"/>
      <c r="EK63" s="958"/>
      <c r="EL63" s="958"/>
      <c r="EM63" s="958"/>
      <c r="EN63" s="958"/>
      <c r="EO63" s="958"/>
      <c r="EP63" s="962"/>
      <c r="EQ63" s="434"/>
    </row>
    <row r="64" spans="1:147" x14ac:dyDescent="0.2">
      <c r="A64" s="16"/>
      <c r="B64" s="16"/>
      <c r="C64" s="16"/>
      <c r="D64" s="38"/>
      <c r="E64" s="38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37"/>
      <c r="S64" s="37"/>
      <c r="T64" s="35"/>
      <c r="U64" s="35"/>
      <c r="V64" s="1277"/>
      <c r="W64" s="1277"/>
      <c r="X64" s="1277"/>
      <c r="Y64" s="1277"/>
      <c r="Z64" s="1277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68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444"/>
      <c r="BK64" s="444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CE64" s="38"/>
      <c r="CF64" s="38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37"/>
      <c r="CT64" s="37"/>
      <c r="CU64" s="35"/>
      <c r="CW64" s="16"/>
      <c r="CX64" s="16"/>
      <c r="CY64" s="16"/>
      <c r="CZ64" s="16"/>
      <c r="DA64" s="16"/>
      <c r="DB64" s="16"/>
      <c r="DC64" s="16"/>
      <c r="DD64" s="16"/>
      <c r="DL64" s="958"/>
      <c r="DM64" s="958"/>
      <c r="DN64" s="958"/>
      <c r="DO64" s="958"/>
      <c r="DP64" s="958"/>
      <c r="DQ64" s="961"/>
      <c r="DR64" s="959"/>
      <c r="DS64" s="963"/>
      <c r="DT64" s="959"/>
      <c r="DU64" s="958"/>
      <c r="DV64" s="958"/>
      <c r="DW64" s="958"/>
      <c r="DX64" s="958"/>
      <c r="DY64" s="958"/>
      <c r="DZ64" s="958"/>
      <c r="EA64" s="958"/>
      <c r="EB64" s="958"/>
      <c r="EC64" s="958"/>
      <c r="ED64" s="958"/>
      <c r="EE64" s="958"/>
      <c r="EF64" s="958"/>
      <c r="EG64" s="958"/>
      <c r="EH64" s="958"/>
      <c r="EI64" s="958"/>
      <c r="EJ64" s="958"/>
      <c r="EK64" s="958"/>
      <c r="EL64" s="958"/>
      <c r="EM64" s="958"/>
      <c r="EN64" s="958"/>
      <c r="EO64" s="958"/>
      <c r="EP64" s="962"/>
      <c r="EQ64" s="434"/>
    </row>
    <row r="65" spans="1:147" x14ac:dyDescent="0.2">
      <c r="A65" s="16"/>
      <c r="B65" s="16"/>
      <c r="C65" s="16"/>
      <c r="D65" s="38"/>
      <c r="E65" s="38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37"/>
      <c r="S65" s="37"/>
      <c r="T65" s="35"/>
      <c r="U65" s="35"/>
      <c r="V65" s="1277"/>
      <c r="W65" s="1277"/>
      <c r="X65" s="1277"/>
      <c r="Y65" s="1277"/>
      <c r="Z65" s="1277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68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444"/>
      <c r="BK65" s="444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CE65" s="38"/>
      <c r="CF65" s="38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37"/>
      <c r="CT65" s="37"/>
      <c r="CU65" s="35"/>
      <c r="CW65" s="16"/>
      <c r="CX65" s="16"/>
      <c r="CY65" s="16"/>
      <c r="CZ65" s="16"/>
      <c r="DA65" s="16"/>
      <c r="DB65" s="16"/>
      <c r="DC65" s="16"/>
      <c r="DD65" s="16"/>
      <c r="DL65" s="958"/>
      <c r="DM65" s="958"/>
      <c r="DN65" s="958"/>
      <c r="DO65" s="958"/>
      <c r="DP65" s="958"/>
      <c r="DQ65" s="961"/>
      <c r="DR65" s="959"/>
      <c r="DS65" s="963"/>
      <c r="DT65" s="959"/>
      <c r="DU65" s="958"/>
      <c r="DV65" s="958"/>
      <c r="DW65" s="958"/>
      <c r="DX65" s="958"/>
      <c r="DY65" s="958"/>
      <c r="DZ65" s="958"/>
      <c r="EA65" s="958"/>
      <c r="EB65" s="958"/>
      <c r="EC65" s="958"/>
      <c r="ED65" s="958"/>
      <c r="EE65" s="958"/>
      <c r="EF65" s="958"/>
      <c r="EG65" s="958"/>
      <c r="EH65" s="958"/>
      <c r="EI65" s="958"/>
      <c r="EJ65" s="958"/>
      <c r="EK65" s="958"/>
      <c r="EL65" s="958"/>
      <c r="EM65" s="958"/>
      <c r="EN65" s="958"/>
      <c r="EO65" s="958"/>
      <c r="EP65" s="962"/>
      <c r="EQ65" s="434"/>
    </row>
    <row r="66" spans="1:147" x14ac:dyDescent="0.2">
      <c r="DL66" s="958"/>
      <c r="DM66" s="958"/>
      <c r="DN66" s="958"/>
      <c r="DO66" s="958"/>
      <c r="DP66" s="958"/>
      <c r="DQ66" s="961"/>
      <c r="DR66" s="959"/>
      <c r="DS66" s="963"/>
      <c r="DT66" s="959"/>
      <c r="DU66" s="958"/>
      <c r="DV66" s="958"/>
      <c r="DW66" s="958"/>
      <c r="DX66" s="958"/>
      <c r="DY66" s="958"/>
      <c r="DZ66" s="958"/>
      <c r="EA66" s="958"/>
      <c r="EB66" s="958"/>
      <c r="EC66" s="958"/>
      <c r="ED66" s="958"/>
      <c r="EE66" s="958"/>
      <c r="EF66" s="958"/>
      <c r="EG66" s="958"/>
      <c r="EH66" s="958"/>
      <c r="EI66" s="958"/>
      <c r="EJ66" s="958"/>
      <c r="EK66" s="958"/>
      <c r="EL66" s="958"/>
      <c r="EM66" s="958"/>
      <c r="EN66" s="958"/>
      <c r="EO66" s="958"/>
      <c r="EP66" s="962"/>
      <c r="EQ66" s="434"/>
    </row>
    <row r="67" spans="1:147" x14ac:dyDescent="0.2">
      <c r="DL67" s="958"/>
      <c r="DM67" s="958"/>
      <c r="DN67" s="958"/>
      <c r="DO67" s="958"/>
      <c r="DP67" s="958"/>
      <c r="DQ67" s="961"/>
      <c r="DR67" s="959"/>
      <c r="DS67" s="963"/>
      <c r="DT67" s="959"/>
      <c r="DU67" s="958"/>
      <c r="DV67" s="958"/>
      <c r="DW67" s="958"/>
      <c r="DX67" s="958"/>
      <c r="DY67" s="958"/>
      <c r="DZ67" s="958"/>
      <c r="EA67" s="958"/>
      <c r="EB67" s="958"/>
      <c r="EC67" s="958"/>
      <c r="ED67" s="958"/>
      <c r="EE67" s="958"/>
      <c r="EF67" s="958"/>
      <c r="EG67" s="958"/>
      <c r="EH67" s="958"/>
      <c r="EI67" s="958"/>
      <c r="EJ67" s="958"/>
      <c r="EK67" s="958"/>
      <c r="EL67" s="958"/>
      <c r="EM67" s="958"/>
      <c r="EN67" s="958"/>
      <c r="EO67" s="958"/>
      <c r="EP67" s="962"/>
      <c r="EQ67" s="434"/>
    </row>
    <row r="68" spans="1:147" x14ac:dyDescent="0.2">
      <c r="DL68" s="958"/>
      <c r="DM68" s="958"/>
      <c r="DN68" s="958"/>
      <c r="DO68" s="958"/>
      <c r="DP68" s="958"/>
      <c r="DQ68" s="961"/>
      <c r="DR68" s="959"/>
      <c r="DS68" s="963"/>
      <c r="DT68" s="959"/>
      <c r="DU68" s="958"/>
      <c r="DV68" s="958"/>
      <c r="DW68" s="958"/>
      <c r="DX68" s="958"/>
      <c r="DY68" s="958"/>
      <c r="DZ68" s="958"/>
      <c r="EA68" s="958"/>
      <c r="EB68" s="958"/>
      <c r="EC68" s="958"/>
      <c r="ED68" s="958"/>
      <c r="EE68" s="958"/>
      <c r="EF68" s="958"/>
      <c r="EG68" s="958"/>
      <c r="EH68" s="958"/>
      <c r="EI68" s="958"/>
      <c r="EJ68" s="958"/>
      <c r="EK68" s="958"/>
      <c r="EL68" s="958"/>
      <c r="EM68" s="958"/>
      <c r="EN68" s="958"/>
      <c r="EO68" s="958"/>
      <c r="EP68" s="962"/>
      <c r="EQ68" s="434"/>
    </row>
    <row r="69" spans="1:147" x14ac:dyDescent="0.2">
      <c r="DL69" s="958"/>
      <c r="DM69" s="958"/>
      <c r="DN69" s="958"/>
      <c r="DO69" s="958"/>
      <c r="DP69" s="958"/>
      <c r="DQ69" s="961"/>
      <c r="DR69" s="959"/>
      <c r="DS69" s="963"/>
      <c r="DT69" s="959"/>
      <c r="DU69" s="958"/>
      <c r="DV69" s="958"/>
      <c r="DW69" s="958"/>
      <c r="DX69" s="958"/>
      <c r="DY69" s="958"/>
      <c r="DZ69" s="958"/>
      <c r="EA69" s="958"/>
      <c r="EB69" s="958"/>
      <c r="EC69" s="958"/>
      <c r="ED69" s="958"/>
      <c r="EE69" s="958"/>
      <c r="EF69" s="958"/>
      <c r="EG69" s="958"/>
      <c r="EH69" s="958"/>
      <c r="EI69" s="958"/>
      <c r="EJ69" s="958"/>
      <c r="EK69" s="958"/>
      <c r="EL69" s="958"/>
      <c r="EM69" s="958"/>
      <c r="EN69" s="958"/>
      <c r="EO69" s="958"/>
      <c r="EP69" s="962"/>
      <c r="EQ69" s="434"/>
    </row>
    <row r="70" spans="1:147" x14ac:dyDescent="0.2">
      <c r="DL70" s="958"/>
      <c r="DM70" s="958"/>
      <c r="DN70" s="958"/>
      <c r="DO70" s="958"/>
      <c r="DP70" s="958"/>
      <c r="DQ70" s="961"/>
      <c r="DR70" s="959"/>
      <c r="DS70" s="963"/>
      <c r="DT70" s="959"/>
      <c r="DU70" s="958"/>
      <c r="DV70" s="958"/>
      <c r="DW70" s="958"/>
      <c r="DX70" s="958"/>
      <c r="DY70" s="958"/>
      <c r="DZ70" s="958"/>
      <c r="EA70" s="958"/>
      <c r="EB70" s="958"/>
      <c r="EC70" s="958"/>
      <c r="ED70" s="958"/>
      <c r="EE70" s="958"/>
      <c r="EF70" s="958"/>
      <c r="EG70" s="958"/>
      <c r="EH70" s="958"/>
      <c r="EI70" s="958"/>
      <c r="EJ70" s="958"/>
      <c r="EK70" s="958"/>
      <c r="EL70" s="958"/>
      <c r="EM70" s="958"/>
      <c r="EN70" s="958"/>
      <c r="EO70" s="958"/>
      <c r="EP70" s="962"/>
      <c r="EQ70" s="434"/>
    </row>
    <row r="71" spans="1:147" x14ac:dyDescent="0.2">
      <c r="DL71" s="958"/>
      <c r="DM71" s="958"/>
      <c r="DN71" s="958"/>
      <c r="DO71" s="958"/>
      <c r="DP71" s="958"/>
      <c r="DQ71" s="961"/>
      <c r="DR71" s="959"/>
      <c r="DS71" s="963"/>
      <c r="DT71" s="959"/>
      <c r="DU71" s="958"/>
      <c r="DV71" s="958"/>
      <c r="DW71" s="958"/>
      <c r="DX71" s="958"/>
      <c r="DY71" s="958"/>
      <c r="DZ71" s="958"/>
      <c r="EA71" s="958"/>
      <c r="EB71" s="958"/>
      <c r="EC71" s="958"/>
      <c r="ED71" s="958"/>
      <c r="EE71" s="958"/>
      <c r="EF71" s="958"/>
      <c r="EG71" s="958"/>
      <c r="EH71" s="958"/>
      <c r="EI71" s="958"/>
      <c r="EJ71" s="958"/>
      <c r="EK71" s="958"/>
      <c r="EL71" s="958"/>
      <c r="EM71" s="958"/>
      <c r="EN71" s="958"/>
      <c r="EO71" s="958"/>
      <c r="EP71" s="962"/>
      <c r="EQ71" s="434"/>
    </row>
    <row r="72" spans="1:147" x14ac:dyDescent="0.2">
      <c r="DL72" s="958"/>
      <c r="DM72" s="958"/>
      <c r="DN72" s="958"/>
      <c r="DO72" s="958"/>
      <c r="DP72" s="958"/>
      <c r="DQ72" s="961"/>
      <c r="DR72" s="959"/>
      <c r="DS72" s="963"/>
      <c r="DT72" s="959"/>
      <c r="DU72" s="958"/>
      <c r="DV72" s="958"/>
      <c r="DW72" s="958"/>
      <c r="DX72" s="958"/>
      <c r="DY72" s="958"/>
      <c r="DZ72" s="958"/>
      <c r="EA72" s="958"/>
      <c r="EB72" s="958"/>
      <c r="EC72" s="958"/>
      <c r="ED72" s="958"/>
      <c r="EE72" s="958"/>
      <c r="EF72" s="958"/>
      <c r="EG72" s="958"/>
      <c r="EH72" s="958"/>
      <c r="EI72" s="958"/>
      <c r="EJ72" s="958"/>
      <c r="EK72" s="958"/>
      <c r="EL72" s="958"/>
      <c r="EM72" s="958"/>
      <c r="EN72" s="958"/>
      <c r="EO72" s="958"/>
      <c r="EP72" s="962"/>
      <c r="EQ72" s="434"/>
    </row>
    <row r="73" spans="1:147" x14ac:dyDescent="0.2">
      <c r="DL73" s="435"/>
      <c r="DM73" s="435"/>
      <c r="DN73" s="435"/>
      <c r="DO73" s="435"/>
      <c r="DP73" s="435"/>
      <c r="DQ73" s="435"/>
      <c r="DR73" s="435"/>
      <c r="DS73" s="435"/>
      <c r="DT73" s="435"/>
      <c r="DU73" s="435"/>
      <c r="DV73" s="434"/>
      <c r="DW73" s="434"/>
      <c r="DX73" s="434"/>
      <c r="DY73" s="434"/>
      <c r="DZ73" s="434"/>
      <c r="EA73" s="434"/>
      <c r="EB73" s="434"/>
      <c r="EC73" s="434"/>
      <c r="ED73" s="434"/>
      <c r="EE73" s="434"/>
      <c r="EF73" s="434"/>
      <c r="EG73" s="434"/>
      <c r="EH73" s="434"/>
      <c r="EI73" s="434"/>
      <c r="EJ73" s="434"/>
      <c r="EK73" s="434"/>
      <c r="EL73" s="434"/>
      <c r="EM73" s="434"/>
      <c r="EN73" s="434"/>
      <c r="EO73" s="434"/>
      <c r="EP73" s="434"/>
      <c r="EQ73" s="434"/>
    </row>
    <row r="74" spans="1:147" x14ac:dyDescent="0.2">
      <c r="DL74" s="435"/>
      <c r="DM74" s="435"/>
      <c r="DN74" s="435"/>
      <c r="DO74" s="435"/>
      <c r="DP74" s="435"/>
      <c r="DQ74" s="435"/>
      <c r="DR74" s="435"/>
      <c r="DS74" s="435"/>
      <c r="DT74" s="435"/>
      <c r="DU74" s="435"/>
      <c r="DV74" s="435"/>
      <c r="DW74" s="435"/>
      <c r="DX74" s="435"/>
      <c r="DY74" s="435"/>
      <c r="DZ74" s="435"/>
      <c r="EA74" s="435"/>
      <c r="EB74" s="435"/>
      <c r="EC74" s="435"/>
      <c r="ED74" s="435"/>
      <c r="EE74" s="435"/>
      <c r="EF74" s="435"/>
      <c r="EG74" s="435"/>
      <c r="EH74" s="435"/>
      <c r="EI74" s="435"/>
      <c r="EJ74" s="435"/>
      <c r="EK74" s="435"/>
      <c r="EL74" s="435"/>
      <c r="EM74" s="435"/>
      <c r="EN74" s="435"/>
      <c r="EO74" s="435"/>
      <c r="EP74" s="435"/>
      <c r="EQ74" s="434"/>
    </row>
    <row r="75" spans="1:147" x14ac:dyDescent="0.2">
      <c r="DL75" s="435"/>
      <c r="DM75" s="435"/>
      <c r="DN75" s="435"/>
      <c r="DO75" s="435"/>
      <c r="DP75" s="435"/>
      <c r="DQ75" s="435"/>
      <c r="DR75" s="435"/>
      <c r="DS75" s="435"/>
      <c r="DT75" s="435"/>
      <c r="DU75" s="435"/>
      <c r="DV75" s="435"/>
      <c r="DW75" s="435"/>
      <c r="DX75" s="435"/>
      <c r="DY75" s="435"/>
      <c r="DZ75" s="435"/>
      <c r="EA75" s="435"/>
      <c r="EB75" s="435"/>
      <c r="EC75" s="435"/>
      <c r="ED75" s="435"/>
      <c r="EE75" s="435"/>
      <c r="EF75" s="435"/>
      <c r="EG75" s="435"/>
      <c r="EH75" s="435"/>
      <c r="EI75" s="435"/>
      <c r="EJ75" s="435"/>
      <c r="EK75" s="435"/>
      <c r="EL75" s="435"/>
      <c r="EM75" s="435"/>
      <c r="EN75" s="435"/>
      <c r="EO75" s="435"/>
      <c r="EP75" s="435"/>
      <c r="EQ75" s="434"/>
    </row>
    <row r="76" spans="1:147" x14ac:dyDescent="0.2">
      <c r="DL76" s="434"/>
      <c r="DM76" s="434"/>
      <c r="DN76" s="434"/>
      <c r="DO76" s="434"/>
      <c r="DP76" s="434"/>
      <c r="DQ76" s="434"/>
      <c r="DR76" s="434"/>
      <c r="DS76" s="434"/>
      <c r="DT76" s="434"/>
      <c r="DU76" s="434"/>
      <c r="DV76" s="434"/>
      <c r="DW76" s="434"/>
      <c r="DX76" s="434"/>
      <c r="DY76" s="434"/>
      <c r="DZ76" s="434"/>
      <c r="EA76" s="434"/>
      <c r="EB76" s="434"/>
      <c r="EC76" s="434"/>
      <c r="ED76" s="434"/>
      <c r="EE76" s="434"/>
      <c r="EF76" s="434"/>
      <c r="EG76" s="434"/>
      <c r="EH76" s="434"/>
      <c r="EI76" s="434"/>
      <c r="EJ76" s="434"/>
      <c r="EK76" s="434"/>
      <c r="EL76" s="434"/>
      <c r="EM76" s="434"/>
      <c r="EN76" s="434"/>
      <c r="EO76" s="434"/>
      <c r="EP76" s="434"/>
      <c r="EQ76" s="434"/>
    </row>
    <row r="77" spans="1:147" x14ac:dyDescent="0.2">
      <c r="DL77" s="434"/>
      <c r="DM77" s="434"/>
      <c r="DN77" s="434"/>
      <c r="DO77" s="434"/>
      <c r="DP77" s="434"/>
      <c r="DQ77" s="434"/>
      <c r="DR77" s="434"/>
      <c r="DS77" s="434"/>
      <c r="DT77" s="434"/>
      <c r="DU77" s="434"/>
      <c r="DV77" s="434"/>
      <c r="DW77" s="434"/>
      <c r="DX77" s="434"/>
      <c r="DY77" s="434"/>
      <c r="DZ77" s="434"/>
      <c r="EA77" s="434"/>
      <c r="EB77" s="434"/>
      <c r="EC77" s="434"/>
      <c r="ED77" s="434"/>
      <c r="EE77" s="434"/>
      <c r="EF77" s="434"/>
      <c r="EG77" s="434"/>
      <c r="EH77" s="434"/>
      <c r="EI77" s="434"/>
      <c r="EJ77" s="434"/>
      <c r="EK77" s="434"/>
      <c r="EL77" s="434"/>
      <c r="EM77" s="434"/>
      <c r="EN77" s="434"/>
      <c r="EO77" s="434"/>
      <c r="EP77" s="434"/>
      <c r="EQ77" s="434"/>
    </row>
    <row r="78" spans="1:147" x14ac:dyDescent="0.2">
      <c r="DL78" s="434"/>
      <c r="DM78" s="434"/>
      <c r="DN78" s="434"/>
      <c r="DO78" s="434"/>
      <c r="DP78" s="434"/>
      <c r="DQ78" s="434"/>
      <c r="DR78" s="434"/>
      <c r="DS78" s="434"/>
      <c r="DT78" s="434"/>
      <c r="DU78" s="434"/>
      <c r="DV78" s="434"/>
      <c r="DW78" s="434"/>
      <c r="DX78" s="434"/>
      <c r="DY78" s="434"/>
      <c r="DZ78" s="434"/>
      <c r="EA78" s="434"/>
      <c r="EB78" s="434"/>
      <c r="EC78" s="434"/>
      <c r="ED78" s="434"/>
      <c r="EE78" s="434"/>
      <c r="EF78" s="434"/>
      <c r="EG78" s="434"/>
      <c r="EH78" s="434"/>
      <c r="EI78" s="434"/>
      <c r="EJ78" s="434"/>
      <c r="EK78" s="434"/>
      <c r="EL78" s="434"/>
      <c r="EM78" s="434"/>
      <c r="EN78" s="434"/>
      <c r="EO78" s="434"/>
      <c r="EP78" s="434"/>
      <c r="EQ78" s="434"/>
    </row>
    <row r="79" spans="1:147" x14ac:dyDescent="0.2">
      <c r="DL79" s="434"/>
      <c r="DM79" s="434"/>
      <c r="DN79" s="434"/>
      <c r="DO79" s="434"/>
      <c r="DP79" s="434"/>
      <c r="DQ79" s="434"/>
      <c r="DR79" s="434"/>
      <c r="DS79" s="434"/>
      <c r="DT79" s="434"/>
      <c r="DU79" s="434"/>
      <c r="DV79" s="434"/>
      <c r="DW79" s="434"/>
      <c r="DX79" s="434"/>
      <c r="DY79" s="434"/>
      <c r="DZ79" s="434"/>
      <c r="EA79" s="434"/>
      <c r="EB79" s="434"/>
      <c r="EC79" s="434"/>
      <c r="ED79" s="434"/>
      <c r="EE79" s="434"/>
      <c r="EF79" s="434"/>
      <c r="EG79" s="434"/>
      <c r="EH79" s="434"/>
      <c r="EI79" s="434"/>
      <c r="EJ79" s="434"/>
      <c r="EK79" s="434"/>
      <c r="EL79" s="434"/>
      <c r="EM79" s="434"/>
      <c r="EN79" s="434"/>
      <c r="EO79" s="434"/>
      <c r="EP79" s="434"/>
      <c r="EQ79" s="434"/>
    </row>
    <row r="80" spans="1:147" x14ac:dyDescent="0.2">
      <c r="DL80" s="434"/>
      <c r="DM80" s="434"/>
      <c r="DN80" s="434"/>
      <c r="DO80" s="434"/>
      <c r="DP80" s="434"/>
      <c r="DQ80" s="434"/>
      <c r="DR80" s="434"/>
      <c r="DS80" s="434"/>
      <c r="DT80" s="434"/>
      <c r="DU80" s="434"/>
      <c r="DV80" s="434"/>
      <c r="DW80" s="434"/>
      <c r="DX80" s="434"/>
      <c r="DY80" s="434"/>
      <c r="DZ80" s="434"/>
      <c r="EA80" s="434"/>
      <c r="EB80" s="434"/>
      <c r="EC80" s="434"/>
      <c r="ED80" s="434"/>
      <c r="EE80" s="434"/>
      <c r="EF80" s="434"/>
      <c r="EG80" s="434"/>
      <c r="EH80" s="434"/>
      <c r="EI80" s="434"/>
      <c r="EJ80" s="434"/>
      <c r="EK80" s="434"/>
      <c r="EL80" s="434"/>
      <c r="EM80" s="434"/>
      <c r="EN80" s="434"/>
      <c r="EO80" s="434"/>
      <c r="EP80" s="434"/>
      <c r="EQ80" s="434"/>
    </row>
    <row r="81" spans="115:147" x14ac:dyDescent="0.2">
      <c r="DL81" s="434"/>
      <c r="DM81" s="434"/>
      <c r="DN81" s="434"/>
      <c r="DO81" s="434"/>
      <c r="DP81" s="434"/>
      <c r="DQ81" s="434"/>
      <c r="DR81" s="434"/>
      <c r="DS81" s="434"/>
      <c r="DT81" s="434"/>
      <c r="DU81" s="434"/>
      <c r="DV81" s="434"/>
      <c r="DW81" s="434"/>
      <c r="DX81" s="434"/>
      <c r="DY81" s="434"/>
      <c r="DZ81" s="434"/>
      <c r="EA81" s="434"/>
      <c r="EB81" s="434"/>
      <c r="EC81" s="434"/>
      <c r="ED81" s="434"/>
      <c r="EE81" s="434"/>
      <c r="EF81" s="434"/>
      <c r="EG81" s="434"/>
      <c r="EH81" s="434"/>
      <c r="EI81" s="434"/>
      <c r="EJ81" s="434"/>
      <c r="EK81" s="434"/>
      <c r="EL81" s="434"/>
      <c r="EM81" s="434"/>
      <c r="EN81" s="434"/>
      <c r="EO81" s="434"/>
      <c r="EP81" s="434"/>
      <c r="EQ81" s="434"/>
    </row>
    <row r="82" spans="115:147" x14ac:dyDescent="0.2">
      <c r="DL82" s="434"/>
      <c r="DM82" s="434"/>
      <c r="DN82" s="434"/>
      <c r="DO82" s="434"/>
      <c r="DP82" s="434"/>
      <c r="DQ82" s="434"/>
      <c r="DR82" s="434"/>
      <c r="DS82" s="434"/>
      <c r="DT82" s="434"/>
      <c r="DU82" s="434"/>
      <c r="DV82" s="434"/>
      <c r="DW82" s="434"/>
      <c r="DX82" s="434"/>
      <c r="DY82" s="434"/>
      <c r="DZ82" s="434"/>
      <c r="EA82" s="434"/>
      <c r="EB82" s="434"/>
      <c r="EC82" s="434"/>
      <c r="ED82" s="434"/>
      <c r="EE82" s="434"/>
      <c r="EF82" s="434"/>
      <c r="EG82" s="434"/>
      <c r="EH82" s="434"/>
      <c r="EI82" s="434"/>
      <c r="EJ82" s="434"/>
      <c r="EK82" s="434"/>
      <c r="EL82" s="434"/>
      <c r="EM82" s="434"/>
      <c r="EN82" s="434"/>
      <c r="EO82" s="434"/>
      <c r="EP82" s="434"/>
      <c r="EQ82" s="434"/>
    </row>
    <row r="83" spans="115:147" x14ac:dyDescent="0.2">
      <c r="DL83" s="434"/>
      <c r="DM83" s="434"/>
      <c r="DN83" s="434"/>
      <c r="DO83" s="434"/>
      <c r="DP83" s="434"/>
      <c r="DQ83" s="434"/>
      <c r="DR83" s="434"/>
      <c r="DS83" s="434"/>
      <c r="DT83" s="434"/>
      <c r="DU83" s="434"/>
      <c r="DV83" s="434"/>
      <c r="DW83" s="434"/>
      <c r="DX83" s="434"/>
      <c r="DY83" s="434"/>
      <c r="DZ83" s="434"/>
      <c r="EA83" s="434"/>
      <c r="EB83" s="434"/>
      <c r="EC83" s="434"/>
      <c r="ED83" s="434"/>
      <c r="EE83" s="434"/>
      <c r="EF83" s="434"/>
      <c r="EG83" s="434"/>
      <c r="EH83" s="434"/>
      <c r="EI83" s="434"/>
      <c r="EJ83" s="434"/>
      <c r="EK83" s="434"/>
      <c r="EL83" s="434"/>
      <c r="EM83" s="434"/>
      <c r="EN83" s="434"/>
      <c r="EO83" s="434"/>
      <c r="EP83" s="434"/>
      <c r="EQ83" s="434"/>
    </row>
    <row r="84" spans="115:147" x14ac:dyDescent="0.2">
      <c r="DL84" s="434"/>
      <c r="DM84" s="434"/>
      <c r="DN84" s="434"/>
      <c r="DO84" s="434"/>
      <c r="DP84" s="434"/>
      <c r="DQ84" s="434"/>
      <c r="DR84" s="434"/>
      <c r="DS84" s="434"/>
      <c r="DT84" s="434"/>
      <c r="DU84" s="434"/>
      <c r="DV84" s="434"/>
      <c r="DW84" s="434"/>
      <c r="DX84" s="434"/>
      <c r="DY84" s="434"/>
      <c r="DZ84" s="434"/>
      <c r="EA84" s="434"/>
      <c r="EB84" s="434"/>
      <c r="EC84" s="434"/>
      <c r="ED84" s="434"/>
      <c r="EE84" s="434"/>
      <c r="EF84" s="434"/>
      <c r="EG84" s="434"/>
      <c r="EH84" s="434"/>
      <c r="EI84" s="434"/>
      <c r="EJ84" s="434"/>
      <c r="EK84" s="434"/>
      <c r="EL84" s="434"/>
      <c r="EM84" s="434"/>
      <c r="EN84" s="434"/>
      <c r="EO84" s="434"/>
      <c r="EP84" s="434"/>
      <c r="EQ84" s="434"/>
    </row>
    <row r="85" spans="115:147" x14ac:dyDescent="0.2">
      <c r="DL85" s="434"/>
      <c r="DM85" s="434"/>
      <c r="DN85" s="434"/>
      <c r="DO85" s="434"/>
      <c r="DP85" s="434"/>
      <c r="DQ85" s="434"/>
      <c r="DR85" s="434"/>
      <c r="DS85" s="434"/>
      <c r="DT85" s="434"/>
      <c r="DU85" s="434"/>
      <c r="DV85" s="434"/>
      <c r="DW85" s="434"/>
      <c r="DX85" s="434"/>
      <c r="DY85" s="434"/>
      <c r="DZ85" s="434"/>
      <c r="EA85" s="434"/>
      <c r="EB85" s="434"/>
      <c r="EC85" s="434"/>
      <c r="ED85" s="434"/>
      <c r="EE85" s="434"/>
      <c r="EF85" s="434"/>
      <c r="EG85" s="434"/>
      <c r="EH85" s="434"/>
      <c r="EI85" s="434"/>
      <c r="EJ85" s="434"/>
      <c r="EK85" s="434"/>
      <c r="EL85" s="434"/>
      <c r="EM85" s="434"/>
      <c r="EN85" s="434"/>
      <c r="EO85" s="434"/>
      <c r="EP85" s="434"/>
      <c r="EQ85" s="434"/>
    </row>
    <row r="86" spans="115:147" x14ac:dyDescent="0.2">
      <c r="DL86" s="434"/>
      <c r="DM86" s="434"/>
      <c r="DN86" s="434"/>
      <c r="DO86" s="434"/>
      <c r="DP86" s="434"/>
      <c r="DQ86" s="434"/>
      <c r="DR86" s="434"/>
      <c r="DS86" s="434"/>
      <c r="DT86" s="434"/>
      <c r="DU86" s="434"/>
      <c r="DV86" s="434"/>
      <c r="DW86" s="434"/>
      <c r="DX86" s="434"/>
      <c r="DY86" s="434"/>
      <c r="DZ86" s="434"/>
      <c r="EA86" s="434"/>
      <c r="EB86" s="434"/>
      <c r="EC86" s="434"/>
      <c r="ED86" s="434"/>
      <c r="EE86" s="434"/>
      <c r="EF86" s="434"/>
      <c r="EG86" s="434"/>
      <c r="EH86" s="434"/>
      <c r="EI86" s="434"/>
      <c r="EJ86" s="434"/>
      <c r="EK86" s="434"/>
      <c r="EL86" s="434"/>
      <c r="EM86" s="434"/>
      <c r="EN86" s="434"/>
      <c r="EO86" s="434"/>
      <c r="EP86" s="434"/>
      <c r="EQ86" s="434"/>
    </row>
    <row r="87" spans="115:147" x14ac:dyDescent="0.2">
      <c r="DL87" s="434"/>
      <c r="DM87" s="434"/>
      <c r="DN87" s="434"/>
      <c r="DO87" s="434"/>
      <c r="DP87" s="434"/>
      <c r="DQ87" s="434"/>
      <c r="DR87" s="434"/>
      <c r="DS87" s="434"/>
      <c r="DT87" s="434"/>
      <c r="DU87" s="434"/>
      <c r="DV87" s="434"/>
      <c r="DW87" s="434"/>
      <c r="DX87" s="434"/>
      <c r="DY87" s="434"/>
      <c r="DZ87" s="434"/>
      <c r="EA87" s="434"/>
      <c r="EB87" s="434"/>
      <c r="EC87" s="434"/>
      <c r="ED87" s="434"/>
      <c r="EE87" s="434"/>
      <c r="EF87" s="434"/>
      <c r="EG87" s="434"/>
      <c r="EH87" s="434"/>
      <c r="EI87" s="434"/>
      <c r="EJ87" s="434"/>
      <c r="EK87" s="434"/>
      <c r="EL87" s="434"/>
      <c r="EM87" s="434"/>
      <c r="EN87" s="434"/>
      <c r="EO87" s="434"/>
      <c r="EP87" s="434"/>
      <c r="EQ87" s="434"/>
    </row>
    <row r="88" spans="115:147" x14ac:dyDescent="0.2">
      <c r="DL88" s="434"/>
      <c r="DM88" s="434"/>
      <c r="DN88" s="434"/>
      <c r="DO88" s="434"/>
      <c r="DP88" s="434"/>
      <c r="DQ88" s="434"/>
      <c r="DR88" s="434"/>
      <c r="DS88" s="434"/>
      <c r="DT88" s="434"/>
      <c r="DU88" s="434"/>
      <c r="DV88" s="434"/>
      <c r="DW88" s="434"/>
      <c r="DX88" s="434"/>
      <c r="DY88" s="434"/>
      <c r="DZ88" s="434"/>
      <c r="EA88" s="434"/>
      <c r="EB88" s="434"/>
      <c r="EC88" s="434"/>
      <c r="ED88" s="434"/>
      <c r="EE88" s="434"/>
      <c r="EF88" s="434"/>
      <c r="EG88" s="434"/>
      <c r="EH88" s="434"/>
      <c r="EI88" s="434"/>
      <c r="EJ88" s="434"/>
      <c r="EK88" s="434"/>
      <c r="EL88" s="434"/>
      <c r="EM88" s="434"/>
      <c r="EN88" s="434"/>
      <c r="EO88" s="434"/>
      <c r="EP88" s="434"/>
      <c r="EQ88" s="434"/>
    </row>
    <row r="89" spans="115:147" x14ac:dyDescent="0.2">
      <c r="DL89" s="434"/>
      <c r="DM89" s="434"/>
      <c r="DN89" s="434"/>
      <c r="DO89" s="434"/>
      <c r="DP89" s="434"/>
      <c r="DQ89" s="434"/>
      <c r="DR89" s="434"/>
      <c r="DS89" s="434"/>
      <c r="DT89" s="434"/>
      <c r="DU89" s="434"/>
      <c r="DV89" s="434"/>
      <c r="DW89" s="434"/>
      <c r="DX89" s="434"/>
      <c r="DY89" s="434"/>
      <c r="DZ89" s="434"/>
      <c r="EA89" s="434"/>
      <c r="EB89" s="434"/>
      <c r="EC89" s="434"/>
      <c r="ED89" s="434"/>
      <c r="EE89" s="434"/>
      <c r="EF89" s="434"/>
      <c r="EG89" s="434"/>
      <c r="EH89" s="434"/>
      <c r="EI89" s="434"/>
      <c r="EJ89" s="434"/>
      <c r="EK89" s="434"/>
      <c r="EL89" s="434"/>
      <c r="EM89" s="434"/>
      <c r="EN89" s="434"/>
      <c r="EO89" s="434"/>
      <c r="EP89" s="434"/>
      <c r="EQ89" s="434"/>
    </row>
    <row r="90" spans="115:147" x14ac:dyDescent="0.2">
      <c r="DL90" s="434"/>
      <c r="DM90" s="434"/>
      <c r="DN90" s="434"/>
      <c r="DO90" s="434"/>
      <c r="DP90" s="434"/>
      <c r="DQ90" s="434"/>
      <c r="DR90" s="434"/>
      <c r="DS90" s="434"/>
      <c r="DT90" s="434"/>
      <c r="DU90" s="434"/>
      <c r="DV90" s="434"/>
      <c r="DW90" s="434"/>
      <c r="DX90" s="434"/>
      <c r="DY90" s="434"/>
      <c r="DZ90" s="434"/>
      <c r="EA90" s="434"/>
      <c r="EB90" s="434"/>
      <c r="EC90" s="434"/>
      <c r="ED90" s="434"/>
      <c r="EE90" s="434"/>
      <c r="EF90" s="434"/>
      <c r="EG90" s="434"/>
      <c r="EH90" s="434"/>
      <c r="EI90" s="434"/>
      <c r="EJ90" s="434"/>
      <c r="EK90" s="434"/>
      <c r="EL90" s="434"/>
      <c r="EM90" s="434"/>
      <c r="EN90" s="434"/>
      <c r="EO90" s="434"/>
      <c r="EP90" s="434"/>
      <c r="EQ90" s="434"/>
    </row>
    <row r="91" spans="115:147" x14ac:dyDescent="0.2">
      <c r="DL91" s="434"/>
      <c r="DM91" s="434"/>
      <c r="DN91" s="434"/>
      <c r="DO91" s="434"/>
      <c r="DP91" s="434"/>
      <c r="DQ91" s="434"/>
      <c r="DR91" s="434"/>
      <c r="DS91" s="434"/>
      <c r="DT91" s="434"/>
      <c r="DU91" s="434"/>
      <c r="DV91" s="434"/>
      <c r="DW91" s="434"/>
      <c r="DX91" s="434"/>
      <c r="DY91" s="434"/>
      <c r="DZ91" s="434"/>
      <c r="EA91" s="434"/>
      <c r="EB91" s="434"/>
      <c r="EC91" s="434"/>
      <c r="ED91" s="434"/>
      <c r="EE91" s="434"/>
      <c r="EF91" s="434"/>
      <c r="EG91" s="434"/>
      <c r="EH91" s="434"/>
      <c r="EI91" s="434"/>
      <c r="EJ91" s="434"/>
      <c r="EK91" s="434"/>
      <c r="EL91" s="434"/>
      <c r="EM91" s="434"/>
      <c r="EN91" s="434"/>
      <c r="EO91" s="434"/>
      <c r="EP91" s="434"/>
      <c r="EQ91" s="434"/>
    </row>
    <row r="92" spans="115:147" x14ac:dyDescent="0.2">
      <c r="DL92" s="434"/>
      <c r="DM92" s="434"/>
      <c r="DN92" s="434"/>
      <c r="DO92" s="434"/>
      <c r="DP92" s="434"/>
      <c r="DQ92" s="434"/>
      <c r="DR92" s="434"/>
      <c r="DS92" s="434"/>
      <c r="DT92" s="434"/>
      <c r="DU92" s="434"/>
      <c r="DV92" s="434"/>
      <c r="DW92" s="434"/>
      <c r="DX92" s="434"/>
      <c r="DY92" s="434"/>
      <c r="DZ92" s="434"/>
      <c r="EA92" s="434"/>
      <c r="EB92" s="434"/>
      <c r="EC92" s="434"/>
      <c r="ED92" s="434"/>
      <c r="EE92" s="434"/>
      <c r="EF92" s="434"/>
      <c r="EG92" s="434"/>
      <c r="EH92" s="434"/>
      <c r="EI92" s="434"/>
      <c r="EJ92" s="434"/>
      <c r="EK92" s="434"/>
      <c r="EL92" s="434"/>
      <c r="EM92" s="434"/>
      <c r="EN92" s="434"/>
      <c r="EO92" s="434"/>
      <c r="EP92" s="434"/>
      <c r="EQ92" s="434"/>
    </row>
    <row r="93" spans="115:147" x14ac:dyDescent="0.2">
      <c r="DL93" s="434"/>
      <c r="DM93" s="434"/>
      <c r="DN93" s="434"/>
      <c r="DO93" s="434"/>
      <c r="DP93" s="434"/>
      <c r="DQ93" s="434"/>
      <c r="DR93" s="434"/>
      <c r="DS93" s="434"/>
      <c r="DT93" s="434"/>
      <c r="DU93" s="434"/>
      <c r="DV93" s="434"/>
      <c r="DW93" s="434"/>
      <c r="DX93" s="434"/>
      <c r="DY93" s="434"/>
      <c r="DZ93" s="434"/>
      <c r="EA93" s="434"/>
      <c r="EB93" s="434"/>
      <c r="EC93" s="434"/>
      <c r="ED93" s="434"/>
      <c r="EE93" s="434"/>
      <c r="EF93" s="434"/>
      <c r="EG93" s="434"/>
      <c r="EH93" s="434"/>
      <c r="EI93" s="434"/>
      <c r="EJ93" s="434"/>
      <c r="EK93" s="434"/>
      <c r="EL93" s="434"/>
      <c r="EM93" s="434"/>
      <c r="EN93" s="434"/>
      <c r="EO93" s="434"/>
      <c r="EP93" s="434"/>
      <c r="EQ93" s="434"/>
    </row>
    <row r="94" spans="115:147" x14ac:dyDescent="0.2">
      <c r="DK94" s="434"/>
      <c r="DL94" s="434"/>
      <c r="DM94" s="434"/>
      <c r="DN94" s="434"/>
      <c r="DO94" s="434"/>
      <c r="DP94" s="434"/>
      <c r="DQ94" s="434"/>
      <c r="DR94" s="434"/>
      <c r="DS94" s="434"/>
      <c r="DT94" s="434"/>
      <c r="DU94" s="434"/>
      <c r="DV94" s="434"/>
      <c r="DW94" s="434"/>
      <c r="DX94" s="434"/>
      <c r="DY94" s="434"/>
      <c r="DZ94" s="434"/>
      <c r="EA94" s="434"/>
      <c r="EB94" s="434"/>
      <c r="EC94" s="434"/>
      <c r="ED94" s="434"/>
      <c r="EE94" s="434"/>
      <c r="EF94" s="434"/>
      <c r="EG94" s="434"/>
      <c r="EH94" s="434"/>
      <c r="EI94" s="434"/>
      <c r="EJ94" s="434"/>
      <c r="EK94" s="434"/>
      <c r="EL94" s="434"/>
      <c r="EM94" s="434"/>
      <c r="EN94" s="434"/>
      <c r="EO94" s="434"/>
      <c r="EP94" s="434"/>
      <c r="EQ94" s="434"/>
    </row>
    <row r="95" spans="115:147" x14ac:dyDescent="0.2">
      <c r="DK95" s="434"/>
      <c r="DL95" s="434"/>
      <c r="DM95" s="434"/>
      <c r="DN95" s="434"/>
      <c r="DO95" s="434"/>
      <c r="DP95" s="434"/>
      <c r="DQ95" s="434"/>
      <c r="DR95" s="434"/>
      <c r="DS95" s="434"/>
      <c r="DT95" s="434"/>
      <c r="DU95" s="434"/>
      <c r="DV95" s="434"/>
      <c r="DW95" s="434"/>
      <c r="DX95" s="434"/>
      <c r="DY95" s="434"/>
      <c r="DZ95" s="434"/>
      <c r="EA95" s="434"/>
      <c r="EB95" s="434"/>
      <c r="EC95" s="434"/>
      <c r="ED95" s="434"/>
      <c r="EE95" s="434"/>
      <c r="EF95" s="434"/>
      <c r="EG95" s="434"/>
      <c r="EH95" s="434"/>
      <c r="EI95" s="434"/>
      <c r="EJ95" s="434"/>
      <c r="EK95" s="434"/>
      <c r="EL95" s="434"/>
      <c r="EM95" s="434"/>
      <c r="EN95" s="434"/>
      <c r="EO95" s="434"/>
      <c r="EP95" s="434"/>
      <c r="EQ95" s="434"/>
    </row>
    <row r="96" spans="115:147" x14ac:dyDescent="0.2">
      <c r="DK96" s="434"/>
      <c r="DL96" s="434"/>
      <c r="DM96" s="434"/>
      <c r="DN96" s="434"/>
      <c r="DO96" s="434"/>
      <c r="DP96" s="434"/>
      <c r="DQ96" s="434"/>
      <c r="DR96" s="434"/>
      <c r="DS96" s="434"/>
      <c r="DT96" s="434"/>
      <c r="DU96" s="434"/>
      <c r="DV96" s="434"/>
      <c r="DW96" s="434"/>
      <c r="DX96" s="434"/>
      <c r="DY96" s="434"/>
      <c r="DZ96" s="434"/>
      <c r="EA96" s="434"/>
      <c r="EB96" s="434"/>
      <c r="EC96" s="434"/>
      <c r="ED96" s="434"/>
      <c r="EE96" s="434"/>
      <c r="EF96" s="434"/>
      <c r="EG96" s="434"/>
      <c r="EH96" s="434"/>
      <c r="EI96" s="434"/>
      <c r="EJ96" s="434"/>
      <c r="EK96" s="434"/>
      <c r="EL96" s="434"/>
      <c r="EM96" s="434"/>
      <c r="EN96" s="434"/>
      <c r="EO96" s="434"/>
      <c r="EP96" s="434"/>
      <c r="EQ96" s="434"/>
    </row>
    <row r="97" spans="115:147" x14ac:dyDescent="0.2">
      <c r="DK97" s="434"/>
      <c r="DL97" s="434"/>
      <c r="DM97" s="434"/>
      <c r="DN97" s="434"/>
      <c r="DO97" s="434"/>
      <c r="DP97" s="434"/>
      <c r="DQ97" s="434"/>
      <c r="DR97" s="434"/>
      <c r="DS97" s="434"/>
      <c r="DT97" s="434"/>
      <c r="DU97" s="434"/>
      <c r="DV97" s="434"/>
      <c r="DW97" s="434"/>
      <c r="DX97" s="434"/>
      <c r="DY97" s="434"/>
      <c r="DZ97" s="434"/>
      <c r="EA97" s="434"/>
      <c r="EB97" s="434"/>
      <c r="EC97" s="434"/>
      <c r="ED97" s="434"/>
      <c r="EE97" s="434"/>
      <c r="EF97" s="434"/>
      <c r="EG97" s="434"/>
      <c r="EH97" s="434"/>
      <c r="EI97" s="434"/>
      <c r="EJ97" s="434"/>
      <c r="EK97" s="434"/>
      <c r="EL97" s="434"/>
      <c r="EM97" s="434"/>
      <c r="EN97" s="434"/>
      <c r="EO97" s="434"/>
      <c r="EP97" s="434"/>
      <c r="EQ97" s="434"/>
    </row>
    <row r="98" spans="115:147" x14ac:dyDescent="0.2">
      <c r="DK98" s="434"/>
      <c r="DL98" s="434"/>
      <c r="DM98" s="434"/>
      <c r="DN98" s="434"/>
      <c r="DO98" s="434"/>
      <c r="DP98" s="434"/>
      <c r="DQ98" s="434"/>
      <c r="DR98" s="434"/>
      <c r="DS98" s="434"/>
      <c r="DT98" s="434"/>
      <c r="DU98" s="434"/>
      <c r="DV98" s="434"/>
      <c r="DW98" s="434"/>
      <c r="DX98" s="434"/>
      <c r="DY98" s="434"/>
      <c r="DZ98" s="434"/>
      <c r="EA98" s="434"/>
      <c r="EB98" s="434"/>
      <c r="EC98" s="434"/>
      <c r="ED98" s="434"/>
      <c r="EE98" s="434"/>
      <c r="EF98" s="434"/>
      <c r="EG98" s="434"/>
      <c r="EH98" s="434"/>
      <c r="EI98" s="434"/>
      <c r="EJ98" s="434"/>
      <c r="EK98" s="434"/>
      <c r="EL98" s="434"/>
      <c r="EM98" s="434"/>
      <c r="EN98" s="434"/>
      <c r="EO98" s="434"/>
      <c r="EP98" s="434"/>
      <c r="EQ98" s="434"/>
    </row>
    <row r="99" spans="115:147" x14ac:dyDescent="0.2">
      <c r="DK99" s="434"/>
      <c r="DL99" s="434"/>
      <c r="DM99" s="434"/>
      <c r="DN99" s="434"/>
      <c r="DO99" s="434"/>
      <c r="DP99" s="434"/>
      <c r="DQ99" s="434"/>
      <c r="DR99" s="434"/>
      <c r="DS99" s="434"/>
      <c r="DT99" s="434"/>
      <c r="DU99" s="434"/>
      <c r="DV99" s="434"/>
      <c r="DW99" s="434"/>
      <c r="DX99" s="434"/>
      <c r="DY99" s="434"/>
      <c r="DZ99" s="434"/>
      <c r="EA99" s="434"/>
      <c r="EB99" s="434"/>
      <c r="EC99" s="434"/>
      <c r="ED99" s="434"/>
      <c r="EE99" s="434"/>
      <c r="EF99" s="434"/>
      <c r="EG99" s="434"/>
      <c r="EH99" s="434"/>
      <c r="EI99" s="434"/>
      <c r="EJ99" s="434"/>
      <c r="EK99" s="434"/>
      <c r="EL99" s="434"/>
      <c r="EM99" s="434"/>
      <c r="EN99" s="434"/>
      <c r="EO99" s="434"/>
      <c r="EP99" s="434"/>
      <c r="EQ99" s="434"/>
    </row>
    <row r="100" spans="115:147" x14ac:dyDescent="0.2">
      <c r="DK100" s="434"/>
      <c r="DL100" s="434"/>
      <c r="DM100" s="434"/>
      <c r="DN100" s="434"/>
      <c r="DO100" s="434"/>
      <c r="DP100" s="434"/>
      <c r="DQ100" s="434"/>
      <c r="DR100" s="434"/>
      <c r="DS100" s="434"/>
      <c r="DT100" s="434"/>
      <c r="DU100" s="434"/>
      <c r="DV100" s="434"/>
      <c r="DW100" s="434"/>
      <c r="DX100" s="434"/>
      <c r="DY100" s="434"/>
      <c r="DZ100" s="434"/>
      <c r="EA100" s="434"/>
      <c r="EB100" s="434"/>
      <c r="EC100" s="434"/>
      <c r="ED100" s="434"/>
      <c r="EE100" s="434"/>
      <c r="EF100" s="434"/>
      <c r="EG100" s="434"/>
      <c r="EH100" s="434"/>
      <c r="EI100" s="434"/>
      <c r="EJ100" s="434"/>
      <c r="EK100" s="434"/>
      <c r="EL100" s="434"/>
      <c r="EM100" s="434"/>
      <c r="EN100" s="434"/>
      <c r="EO100" s="434"/>
      <c r="EP100" s="434"/>
      <c r="EQ100" s="434"/>
    </row>
    <row r="101" spans="115:147" x14ac:dyDescent="0.2">
      <c r="DK101" s="434"/>
      <c r="DL101" s="434"/>
      <c r="DM101" s="434"/>
      <c r="DN101" s="434"/>
      <c r="DO101" s="434"/>
      <c r="DP101" s="434"/>
      <c r="DQ101" s="434"/>
      <c r="DR101" s="434"/>
      <c r="DS101" s="434"/>
      <c r="DT101" s="434"/>
      <c r="DU101" s="434"/>
      <c r="DV101" s="434"/>
      <c r="DW101" s="434"/>
      <c r="DX101" s="434"/>
      <c r="DY101" s="434"/>
      <c r="DZ101" s="434"/>
      <c r="EA101" s="434"/>
      <c r="EB101" s="434"/>
      <c r="EC101" s="434"/>
      <c r="ED101" s="434"/>
      <c r="EE101" s="434"/>
      <c r="EF101" s="434"/>
      <c r="EG101" s="434"/>
      <c r="EH101" s="434"/>
      <c r="EI101" s="434"/>
      <c r="EJ101" s="434"/>
      <c r="EK101" s="434"/>
      <c r="EL101" s="434"/>
      <c r="EM101" s="434"/>
      <c r="EN101" s="434"/>
      <c r="EO101" s="434"/>
      <c r="EP101" s="434"/>
      <c r="EQ101" s="434"/>
    </row>
    <row r="102" spans="115:147" x14ac:dyDescent="0.2">
      <c r="DK102" s="434"/>
      <c r="DL102" s="434"/>
      <c r="DM102" s="434"/>
      <c r="DN102" s="434"/>
      <c r="DO102" s="434"/>
      <c r="DP102" s="434"/>
      <c r="DQ102" s="434"/>
      <c r="DR102" s="434"/>
      <c r="DS102" s="434"/>
      <c r="DT102" s="434"/>
      <c r="DU102" s="434"/>
      <c r="DV102" s="434"/>
      <c r="DW102" s="434"/>
      <c r="DX102" s="434"/>
      <c r="DY102" s="434"/>
      <c r="DZ102" s="434"/>
      <c r="EA102" s="434"/>
      <c r="EB102" s="434"/>
      <c r="EC102" s="434"/>
      <c r="ED102" s="434"/>
      <c r="EE102" s="434"/>
      <c r="EF102" s="434"/>
      <c r="EG102" s="434"/>
      <c r="EH102" s="434"/>
      <c r="EI102" s="434"/>
      <c r="EJ102" s="434"/>
      <c r="EK102" s="434"/>
      <c r="EL102" s="434"/>
      <c r="EM102" s="434"/>
      <c r="EN102" s="434"/>
      <c r="EO102" s="434"/>
      <c r="EP102" s="434"/>
      <c r="EQ102" s="434"/>
    </row>
    <row r="103" spans="115:147" x14ac:dyDescent="0.2">
      <c r="DK103" s="434"/>
      <c r="DL103" s="434"/>
      <c r="DM103" s="434"/>
      <c r="DN103" s="434"/>
      <c r="DO103" s="434"/>
      <c r="DP103" s="434"/>
      <c r="DQ103" s="434"/>
      <c r="DR103" s="434"/>
      <c r="DS103" s="434"/>
      <c r="DT103" s="434"/>
      <c r="DU103" s="434"/>
      <c r="DV103" s="434"/>
      <c r="DW103" s="434"/>
      <c r="DX103" s="434"/>
      <c r="DY103" s="434"/>
      <c r="DZ103" s="434"/>
      <c r="EA103" s="434"/>
      <c r="EB103" s="434"/>
      <c r="EC103" s="434"/>
      <c r="ED103" s="434"/>
      <c r="EE103" s="434"/>
      <c r="EF103" s="434"/>
      <c r="EG103" s="434"/>
      <c r="EH103" s="434"/>
      <c r="EI103" s="434"/>
      <c r="EJ103" s="434"/>
      <c r="EK103" s="434"/>
      <c r="EL103" s="434"/>
      <c r="EM103" s="434"/>
      <c r="EN103" s="434"/>
      <c r="EO103" s="434"/>
      <c r="EP103" s="434"/>
      <c r="EQ103" s="434"/>
    </row>
    <row r="104" spans="115:147" x14ac:dyDescent="0.2">
      <c r="DK104" s="434"/>
      <c r="DL104" s="434"/>
      <c r="DM104" s="434"/>
      <c r="DN104" s="434"/>
      <c r="DO104" s="434"/>
      <c r="DP104" s="434"/>
      <c r="DQ104" s="434"/>
      <c r="DR104" s="434"/>
      <c r="DS104" s="434"/>
      <c r="DT104" s="434"/>
      <c r="DU104" s="434"/>
      <c r="DV104" s="434"/>
      <c r="DW104" s="434"/>
      <c r="DX104" s="434"/>
      <c r="DY104" s="434"/>
      <c r="DZ104" s="434"/>
      <c r="EA104" s="434"/>
      <c r="EB104" s="434"/>
      <c r="EC104" s="434"/>
      <c r="ED104" s="434"/>
      <c r="EE104" s="434"/>
      <c r="EF104" s="434"/>
      <c r="EG104" s="434"/>
      <c r="EH104" s="434"/>
      <c r="EI104" s="434"/>
      <c r="EJ104" s="434"/>
      <c r="EK104" s="434"/>
      <c r="EL104" s="434"/>
      <c r="EM104" s="434"/>
      <c r="EN104" s="434"/>
      <c r="EO104" s="434"/>
      <c r="EP104" s="434"/>
      <c r="EQ104" s="434"/>
    </row>
    <row r="105" spans="115:147" x14ac:dyDescent="0.2">
      <c r="DK105" s="434"/>
      <c r="DL105" s="434"/>
      <c r="DM105" s="434"/>
      <c r="DN105" s="434"/>
      <c r="DO105" s="434"/>
      <c r="DP105" s="434"/>
      <c r="DQ105" s="434"/>
      <c r="DR105" s="434"/>
      <c r="DS105" s="434"/>
      <c r="DT105" s="434"/>
      <c r="DU105" s="434"/>
      <c r="DV105" s="434"/>
      <c r="DW105" s="434"/>
      <c r="DX105" s="434"/>
      <c r="DY105" s="434"/>
      <c r="DZ105" s="434"/>
      <c r="EA105" s="434"/>
      <c r="EB105" s="434"/>
      <c r="EC105" s="434"/>
      <c r="ED105" s="434"/>
      <c r="EE105" s="434"/>
      <c r="EF105" s="434"/>
      <c r="EG105" s="434"/>
      <c r="EH105" s="434"/>
      <c r="EI105" s="434"/>
      <c r="EJ105" s="434"/>
      <c r="EK105" s="434"/>
      <c r="EL105" s="434"/>
      <c r="EM105" s="434"/>
      <c r="EN105" s="434"/>
      <c r="EO105" s="434"/>
      <c r="EP105" s="434"/>
      <c r="EQ105" s="434"/>
    </row>
    <row r="106" spans="115:147" x14ac:dyDescent="0.2">
      <c r="DK106" s="434"/>
      <c r="DL106" s="434"/>
      <c r="DM106" s="434"/>
      <c r="DN106" s="434"/>
      <c r="DO106" s="434"/>
      <c r="DP106" s="434"/>
      <c r="DQ106" s="434"/>
      <c r="DR106" s="434"/>
      <c r="DS106" s="434"/>
      <c r="DT106" s="434"/>
      <c r="DU106" s="434"/>
      <c r="DV106" s="434"/>
      <c r="DW106" s="434"/>
      <c r="DX106" s="434"/>
      <c r="DY106" s="434"/>
      <c r="DZ106" s="434"/>
      <c r="EA106" s="434"/>
      <c r="EB106" s="434"/>
      <c r="EC106" s="434"/>
      <c r="ED106" s="434"/>
      <c r="EE106" s="434"/>
      <c r="EF106" s="434"/>
      <c r="EG106" s="434"/>
      <c r="EH106" s="434"/>
      <c r="EI106" s="434"/>
      <c r="EJ106" s="434"/>
      <c r="EK106" s="434"/>
      <c r="EL106" s="434"/>
      <c r="EM106" s="434"/>
      <c r="EN106" s="434"/>
      <c r="EO106" s="434"/>
      <c r="EP106" s="434"/>
      <c r="EQ106" s="434"/>
    </row>
    <row r="107" spans="115:147" x14ac:dyDescent="0.2">
      <c r="DK107" s="434"/>
      <c r="DL107" s="434"/>
      <c r="DM107" s="434"/>
      <c r="DN107" s="434"/>
      <c r="DO107" s="434"/>
      <c r="DP107" s="434"/>
      <c r="DQ107" s="434"/>
      <c r="DR107" s="434"/>
      <c r="DS107" s="434"/>
      <c r="DT107" s="434"/>
      <c r="DU107" s="434"/>
      <c r="DV107" s="434"/>
      <c r="DW107" s="434"/>
      <c r="DX107" s="434"/>
      <c r="DY107" s="434"/>
      <c r="DZ107" s="434"/>
      <c r="EA107" s="434"/>
      <c r="EB107" s="434"/>
      <c r="EC107" s="434"/>
      <c r="ED107" s="434"/>
      <c r="EE107" s="434"/>
      <c r="EF107" s="434"/>
      <c r="EG107" s="434"/>
      <c r="EH107" s="434"/>
      <c r="EI107" s="434"/>
      <c r="EJ107" s="434"/>
      <c r="EK107" s="434"/>
      <c r="EL107" s="434"/>
      <c r="EM107" s="434"/>
      <c r="EN107" s="434"/>
      <c r="EO107" s="434"/>
      <c r="EP107" s="434"/>
      <c r="EQ107" s="434"/>
    </row>
    <row r="108" spans="115:147" x14ac:dyDescent="0.2">
      <c r="DK108" s="434"/>
      <c r="DL108" s="434"/>
      <c r="DM108" s="434"/>
      <c r="DN108" s="434"/>
      <c r="DO108" s="434"/>
      <c r="DP108" s="434"/>
      <c r="DQ108" s="434"/>
      <c r="DR108" s="434"/>
      <c r="DS108" s="434"/>
      <c r="DT108" s="434"/>
      <c r="DU108" s="434"/>
      <c r="DV108" s="434"/>
      <c r="DW108" s="434"/>
      <c r="DX108" s="434"/>
      <c r="DY108" s="434"/>
      <c r="DZ108" s="434"/>
      <c r="EA108" s="434"/>
      <c r="EB108" s="434"/>
      <c r="EC108" s="434"/>
      <c r="ED108" s="434"/>
      <c r="EE108" s="434"/>
      <c r="EF108" s="434"/>
      <c r="EG108" s="434"/>
      <c r="EH108" s="434"/>
      <c r="EI108" s="434"/>
      <c r="EJ108" s="434"/>
      <c r="EK108" s="434"/>
      <c r="EL108" s="434"/>
      <c r="EM108" s="434"/>
      <c r="EN108" s="434"/>
      <c r="EO108" s="434"/>
      <c r="EP108" s="434"/>
      <c r="EQ108" s="434"/>
    </row>
    <row r="109" spans="115:147" x14ac:dyDescent="0.2">
      <c r="DK109" s="434"/>
      <c r="DL109" s="434"/>
      <c r="DM109" s="434"/>
      <c r="DN109" s="434"/>
      <c r="DO109" s="434"/>
      <c r="DP109" s="434"/>
      <c r="DQ109" s="434"/>
      <c r="DR109" s="434"/>
      <c r="DS109" s="434"/>
      <c r="DT109" s="434"/>
      <c r="DU109" s="434"/>
      <c r="DV109" s="434"/>
      <c r="DW109" s="434"/>
      <c r="DX109" s="434"/>
      <c r="DY109" s="434"/>
      <c r="DZ109" s="434"/>
      <c r="EA109" s="434"/>
      <c r="EB109" s="434"/>
      <c r="EC109" s="434"/>
      <c r="ED109" s="434"/>
      <c r="EE109" s="434"/>
      <c r="EF109" s="434"/>
      <c r="EG109" s="434"/>
      <c r="EH109" s="434"/>
      <c r="EI109" s="434"/>
      <c r="EJ109" s="434"/>
      <c r="EK109" s="434"/>
      <c r="EL109" s="434"/>
      <c r="EM109" s="434"/>
      <c r="EN109" s="434"/>
      <c r="EO109" s="434"/>
      <c r="EP109" s="434"/>
      <c r="EQ109" s="434"/>
    </row>
    <row r="110" spans="115:147" x14ac:dyDescent="0.2">
      <c r="DK110" s="434"/>
      <c r="DL110" s="434"/>
      <c r="DM110" s="434"/>
      <c r="DN110" s="434"/>
      <c r="DO110" s="434"/>
      <c r="DP110" s="434"/>
      <c r="DQ110" s="434"/>
      <c r="DR110" s="434"/>
      <c r="DS110" s="434"/>
      <c r="DT110" s="434"/>
      <c r="DU110" s="434"/>
      <c r="DV110" s="434"/>
      <c r="DW110" s="434"/>
      <c r="DX110" s="434"/>
      <c r="DY110" s="434"/>
      <c r="DZ110" s="434"/>
      <c r="EA110" s="434"/>
      <c r="EB110" s="434"/>
      <c r="EC110" s="434"/>
      <c r="ED110" s="434"/>
      <c r="EE110" s="434"/>
      <c r="EF110" s="434"/>
      <c r="EG110" s="434"/>
      <c r="EH110" s="434"/>
      <c r="EI110" s="434"/>
      <c r="EJ110" s="434"/>
      <c r="EK110" s="434"/>
      <c r="EL110" s="434"/>
      <c r="EM110" s="434"/>
      <c r="EN110" s="434"/>
      <c r="EO110" s="434"/>
      <c r="EP110" s="434"/>
      <c r="EQ110" s="434"/>
    </row>
    <row r="111" spans="115:147" x14ac:dyDescent="0.2">
      <c r="DK111" s="434"/>
      <c r="DL111" s="434"/>
      <c r="DM111" s="434"/>
      <c r="DN111" s="434"/>
      <c r="DO111" s="434"/>
      <c r="DP111" s="434"/>
      <c r="DQ111" s="434"/>
      <c r="DR111" s="434"/>
      <c r="DS111" s="434"/>
      <c r="DT111" s="434"/>
      <c r="DU111" s="434"/>
      <c r="DV111" s="434"/>
      <c r="DW111" s="434"/>
      <c r="DX111" s="434"/>
      <c r="DY111" s="434"/>
      <c r="DZ111" s="434"/>
      <c r="EA111" s="434"/>
      <c r="EB111" s="434"/>
      <c r="EC111" s="434"/>
      <c r="ED111" s="434"/>
      <c r="EE111" s="434"/>
      <c r="EF111" s="434"/>
      <c r="EG111" s="434"/>
      <c r="EH111" s="434"/>
      <c r="EI111" s="434"/>
      <c r="EJ111" s="434"/>
      <c r="EK111" s="434"/>
      <c r="EL111" s="434"/>
      <c r="EM111" s="434"/>
      <c r="EN111" s="434"/>
      <c r="EO111" s="434"/>
      <c r="EP111" s="434"/>
      <c r="EQ111" s="434"/>
    </row>
    <row r="112" spans="115:147" x14ac:dyDescent="0.2">
      <c r="DK112" s="434"/>
      <c r="DL112" s="434"/>
      <c r="DM112" s="434"/>
      <c r="DN112" s="434"/>
      <c r="DO112" s="434"/>
      <c r="DP112" s="434"/>
      <c r="DQ112" s="434"/>
      <c r="DR112" s="434"/>
      <c r="DS112" s="434"/>
      <c r="DT112" s="434"/>
      <c r="DU112" s="434"/>
      <c r="DV112" s="434"/>
      <c r="DW112" s="434"/>
      <c r="DX112" s="434"/>
      <c r="DY112" s="434"/>
      <c r="DZ112" s="434"/>
      <c r="EA112" s="434"/>
      <c r="EB112" s="434"/>
      <c r="EC112" s="434"/>
      <c r="ED112" s="434"/>
      <c r="EE112" s="434"/>
      <c r="EF112" s="434"/>
      <c r="EG112" s="434"/>
      <c r="EH112" s="434"/>
      <c r="EI112" s="434"/>
      <c r="EJ112" s="434"/>
      <c r="EK112" s="434"/>
      <c r="EL112" s="434"/>
      <c r="EM112" s="434"/>
      <c r="EN112" s="434"/>
      <c r="EO112" s="434"/>
      <c r="EP112" s="434"/>
      <c r="EQ112" s="434"/>
    </row>
    <row r="113" spans="115:147" x14ac:dyDescent="0.2">
      <c r="DK113" s="434"/>
      <c r="DL113" s="434"/>
      <c r="DM113" s="434"/>
      <c r="DN113" s="434"/>
      <c r="DO113" s="434"/>
      <c r="DP113" s="434"/>
      <c r="DQ113" s="434"/>
      <c r="DR113" s="434"/>
      <c r="DS113" s="434"/>
      <c r="DT113" s="434"/>
      <c r="DU113" s="434"/>
      <c r="DV113" s="434"/>
      <c r="DW113" s="434"/>
      <c r="DX113" s="434"/>
      <c r="DY113" s="434"/>
      <c r="DZ113" s="434"/>
      <c r="EA113" s="434"/>
      <c r="EB113" s="434"/>
      <c r="EC113" s="434"/>
      <c r="ED113" s="434"/>
      <c r="EE113" s="434"/>
      <c r="EF113" s="434"/>
      <c r="EG113" s="434"/>
      <c r="EH113" s="434"/>
      <c r="EI113" s="434"/>
      <c r="EJ113" s="434"/>
      <c r="EK113" s="434"/>
      <c r="EL113" s="434"/>
      <c r="EM113" s="434"/>
      <c r="EN113" s="434"/>
      <c r="EO113" s="434"/>
      <c r="EP113" s="434"/>
      <c r="EQ113" s="434"/>
    </row>
    <row r="114" spans="115:147" x14ac:dyDescent="0.2">
      <c r="DK114" s="434"/>
      <c r="DL114" s="434"/>
      <c r="DM114" s="434"/>
      <c r="DN114" s="434"/>
      <c r="DO114" s="434"/>
      <c r="DP114" s="434"/>
      <c r="DQ114" s="434"/>
      <c r="DR114" s="434"/>
      <c r="DS114" s="434"/>
      <c r="DT114" s="434"/>
      <c r="DU114" s="434"/>
      <c r="DV114" s="434"/>
      <c r="DW114" s="434"/>
      <c r="DX114" s="434"/>
      <c r="DY114" s="434"/>
      <c r="DZ114" s="434"/>
      <c r="EA114" s="434"/>
      <c r="EB114" s="434"/>
      <c r="EC114" s="434"/>
      <c r="ED114" s="434"/>
      <c r="EE114" s="434"/>
      <c r="EF114" s="434"/>
      <c r="EG114" s="434"/>
      <c r="EH114" s="434"/>
      <c r="EI114" s="434"/>
      <c r="EJ114" s="434"/>
      <c r="EK114" s="434"/>
      <c r="EL114" s="434"/>
      <c r="EM114" s="434"/>
      <c r="EN114" s="434"/>
      <c r="EO114" s="434"/>
      <c r="EP114" s="434"/>
      <c r="EQ114" s="434"/>
    </row>
    <row r="115" spans="115:147" x14ac:dyDescent="0.2">
      <c r="DK115" s="434"/>
      <c r="DL115" s="434"/>
      <c r="DM115" s="434"/>
      <c r="DN115" s="434"/>
      <c r="DO115" s="434"/>
      <c r="DP115" s="434"/>
      <c r="DQ115" s="434"/>
      <c r="DR115" s="434"/>
      <c r="DS115" s="434"/>
      <c r="DT115" s="434"/>
      <c r="DU115" s="434"/>
      <c r="DV115" s="434"/>
      <c r="DW115" s="434"/>
      <c r="DX115" s="434"/>
      <c r="DY115" s="434"/>
      <c r="DZ115" s="434"/>
      <c r="EA115" s="434"/>
      <c r="EB115" s="434"/>
      <c r="EC115" s="434"/>
      <c r="ED115" s="434"/>
      <c r="EE115" s="434"/>
      <c r="EF115" s="434"/>
      <c r="EG115" s="434"/>
      <c r="EH115" s="434"/>
      <c r="EI115" s="434"/>
      <c r="EJ115" s="434"/>
      <c r="EK115" s="434"/>
      <c r="EL115" s="434"/>
      <c r="EM115" s="434"/>
      <c r="EN115" s="434"/>
      <c r="EO115" s="434"/>
      <c r="EP115" s="434"/>
      <c r="EQ115" s="434"/>
    </row>
    <row r="116" spans="115:147" x14ac:dyDescent="0.2">
      <c r="DK116" s="434"/>
      <c r="DL116" s="434"/>
      <c r="DM116" s="434"/>
      <c r="DN116" s="434"/>
      <c r="DO116" s="434"/>
      <c r="DP116" s="434"/>
      <c r="DQ116" s="434"/>
      <c r="DR116" s="434"/>
      <c r="DS116" s="434"/>
      <c r="DT116" s="434"/>
      <c r="DU116" s="434"/>
      <c r="DV116" s="434"/>
      <c r="DW116" s="434"/>
      <c r="DX116" s="434"/>
      <c r="DY116" s="434"/>
      <c r="DZ116" s="434"/>
      <c r="EA116" s="434"/>
      <c r="EB116" s="434"/>
      <c r="EC116" s="434"/>
      <c r="ED116" s="434"/>
      <c r="EE116" s="434"/>
      <c r="EF116" s="434"/>
      <c r="EG116" s="434"/>
      <c r="EH116" s="434"/>
      <c r="EI116" s="434"/>
      <c r="EJ116" s="434"/>
      <c r="EK116" s="434"/>
      <c r="EL116" s="434"/>
      <c r="EM116" s="434"/>
      <c r="EN116" s="434"/>
      <c r="EO116" s="434"/>
      <c r="EP116" s="434"/>
      <c r="EQ116" s="434"/>
    </row>
    <row r="117" spans="115:147" x14ac:dyDescent="0.2">
      <c r="DK117" s="434"/>
      <c r="DL117" s="434"/>
      <c r="DM117" s="434"/>
      <c r="DN117" s="434"/>
      <c r="DO117" s="434"/>
      <c r="DP117" s="434"/>
      <c r="DQ117" s="434"/>
      <c r="DR117" s="434"/>
      <c r="DS117" s="434"/>
      <c r="DT117" s="434"/>
      <c r="DU117" s="434"/>
      <c r="DV117" s="434"/>
      <c r="DW117" s="434"/>
      <c r="DX117" s="434"/>
      <c r="DY117" s="434"/>
      <c r="DZ117" s="434"/>
      <c r="EA117" s="434"/>
      <c r="EB117" s="434"/>
      <c r="EC117" s="434"/>
      <c r="ED117" s="434"/>
      <c r="EE117" s="434"/>
      <c r="EF117" s="434"/>
      <c r="EG117" s="434"/>
      <c r="EH117" s="434"/>
      <c r="EI117" s="434"/>
      <c r="EJ117" s="434"/>
      <c r="EK117" s="434"/>
      <c r="EL117" s="434"/>
      <c r="EM117" s="434"/>
      <c r="EN117" s="434"/>
      <c r="EO117" s="434"/>
      <c r="EP117" s="434"/>
      <c r="EQ117" s="434"/>
    </row>
    <row r="118" spans="115:147" x14ac:dyDescent="0.2">
      <c r="DK118" s="434"/>
      <c r="DL118" s="434"/>
      <c r="DM118" s="434"/>
      <c r="DN118" s="434"/>
      <c r="DO118" s="434"/>
      <c r="DP118" s="434"/>
      <c r="DQ118" s="434"/>
      <c r="DR118" s="434"/>
      <c r="DS118" s="434"/>
      <c r="DT118" s="434"/>
      <c r="DU118" s="434"/>
      <c r="DV118" s="434"/>
      <c r="DW118" s="434"/>
      <c r="DX118" s="434"/>
      <c r="DY118" s="434"/>
      <c r="DZ118" s="434"/>
      <c r="EA118" s="434"/>
      <c r="EB118" s="434"/>
      <c r="EC118" s="434"/>
      <c r="ED118" s="434"/>
      <c r="EE118" s="434"/>
      <c r="EF118" s="434"/>
      <c r="EG118" s="434"/>
      <c r="EH118" s="434"/>
      <c r="EI118" s="434"/>
      <c r="EJ118" s="434"/>
      <c r="EK118" s="434"/>
      <c r="EL118" s="434"/>
      <c r="EM118" s="434"/>
      <c r="EN118" s="434"/>
      <c r="EO118" s="434"/>
      <c r="EP118" s="434"/>
      <c r="EQ118" s="434"/>
    </row>
    <row r="119" spans="115:147" x14ac:dyDescent="0.2">
      <c r="DK119" s="434"/>
      <c r="DL119" s="434"/>
      <c r="DM119" s="434"/>
      <c r="DN119" s="434"/>
      <c r="DO119" s="434"/>
      <c r="DP119" s="434"/>
      <c r="DQ119" s="434"/>
      <c r="DR119" s="434"/>
      <c r="DS119" s="434"/>
      <c r="DT119" s="434"/>
      <c r="DU119" s="434"/>
      <c r="DV119" s="434"/>
      <c r="DW119" s="434"/>
      <c r="DX119" s="434"/>
      <c r="DY119" s="434"/>
      <c r="DZ119" s="434"/>
      <c r="EA119" s="434"/>
      <c r="EB119" s="434"/>
      <c r="EC119" s="434"/>
      <c r="ED119" s="434"/>
      <c r="EE119" s="434"/>
      <c r="EF119" s="434"/>
      <c r="EG119" s="434"/>
      <c r="EH119" s="434"/>
      <c r="EI119" s="434"/>
      <c r="EJ119" s="434"/>
      <c r="EK119" s="434"/>
      <c r="EL119" s="434"/>
      <c r="EM119" s="434"/>
      <c r="EN119" s="434"/>
      <c r="EO119" s="434"/>
      <c r="EP119" s="434"/>
      <c r="EQ119" s="434"/>
    </row>
    <row r="120" spans="115:147" x14ac:dyDescent="0.2">
      <c r="DK120" s="434"/>
      <c r="DL120" s="434"/>
      <c r="DM120" s="434"/>
      <c r="DN120" s="434"/>
      <c r="DO120" s="434"/>
      <c r="DP120" s="434"/>
      <c r="DQ120" s="434"/>
      <c r="DR120" s="434"/>
      <c r="DS120" s="434"/>
      <c r="DT120" s="434"/>
      <c r="DU120" s="434"/>
      <c r="DV120" s="434"/>
      <c r="DW120" s="434"/>
      <c r="DX120" s="434"/>
      <c r="DY120" s="434"/>
      <c r="DZ120" s="434"/>
      <c r="EA120" s="434"/>
      <c r="EB120" s="434"/>
      <c r="EC120" s="434"/>
      <c r="ED120" s="434"/>
      <c r="EE120" s="434"/>
      <c r="EF120" s="434"/>
      <c r="EG120" s="434"/>
      <c r="EH120" s="434"/>
      <c r="EI120" s="434"/>
      <c r="EJ120" s="434"/>
      <c r="EK120" s="434"/>
      <c r="EL120" s="434"/>
      <c r="EM120" s="434"/>
      <c r="EN120" s="434"/>
      <c r="EO120" s="434"/>
      <c r="EP120" s="434"/>
      <c r="EQ120" s="434"/>
    </row>
    <row r="121" spans="115:147" x14ac:dyDescent="0.2">
      <c r="DK121" s="434"/>
      <c r="DL121" s="434"/>
      <c r="DM121" s="434"/>
      <c r="DN121" s="434"/>
      <c r="DO121" s="434"/>
      <c r="DP121" s="434"/>
      <c r="DQ121" s="434"/>
      <c r="DR121" s="434"/>
      <c r="DS121" s="434"/>
      <c r="DT121" s="434"/>
      <c r="DU121" s="434"/>
      <c r="DV121" s="434"/>
      <c r="DW121" s="434"/>
      <c r="DX121" s="434"/>
      <c r="DY121" s="434"/>
      <c r="DZ121" s="434"/>
      <c r="EA121" s="434"/>
      <c r="EB121" s="434"/>
      <c r="EC121" s="434"/>
      <c r="ED121" s="434"/>
      <c r="EE121" s="434"/>
      <c r="EF121" s="434"/>
      <c r="EG121" s="434"/>
      <c r="EH121" s="434"/>
      <c r="EI121" s="434"/>
      <c r="EJ121" s="434"/>
      <c r="EK121" s="434"/>
      <c r="EL121" s="434"/>
      <c r="EM121" s="434"/>
      <c r="EN121" s="434"/>
      <c r="EO121" s="434"/>
      <c r="EP121" s="434"/>
      <c r="EQ121" s="434"/>
    </row>
    <row r="122" spans="115:147" x14ac:dyDescent="0.2">
      <c r="DK122" s="434"/>
      <c r="DL122" s="434"/>
      <c r="DM122" s="434"/>
      <c r="DN122" s="434"/>
      <c r="DO122" s="434"/>
      <c r="DP122" s="434"/>
      <c r="DQ122" s="434"/>
      <c r="DR122" s="434"/>
      <c r="DS122" s="434"/>
      <c r="DT122" s="434"/>
      <c r="DU122" s="434"/>
      <c r="DV122" s="434"/>
      <c r="DW122" s="434"/>
      <c r="DX122" s="434"/>
      <c r="DY122" s="434"/>
      <c r="DZ122" s="434"/>
      <c r="EA122" s="434"/>
      <c r="EB122" s="434"/>
      <c r="EC122" s="434"/>
      <c r="ED122" s="434"/>
      <c r="EE122" s="434"/>
      <c r="EF122" s="434"/>
      <c r="EG122" s="434"/>
      <c r="EH122" s="434"/>
      <c r="EI122" s="434"/>
      <c r="EJ122" s="434"/>
      <c r="EK122" s="434"/>
      <c r="EL122" s="434"/>
      <c r="EM122" s="434"/>
      <c r="EN122" s="434"/>
      <c r="EO122" s="434"/>
      <c r="EP122" s="434"/>
      <c r="EQ122" s="434"/>
    </row>
    <row r="123" spans="115:147" x14ac:dyDescent="0.2">
      <c r="DK123" s="434"/>
      <c r="DL123" s="434"/>
      <c r="DM123" s="434"/>
      <c r="DN123" s="434"/>
      <c r="DO123" s="434"/>
      <c r="DP123" s="434"/>
      <c r="DQ123" s="434"/>
      <c r="DR123" s="434"/>
      <c r="DS123" s="434"/>
      <c r="DT123" s="434"/>
      <c r="DU123" s="434"/>
      <c r="DV123" s="434"/>
      <c r="DW123" s="434"/>
      <c r="DX123" s="434"/>
      <c r="DY123" s="434"/>
      <c r="DZ123" s="434"/>
      <c r="EA123" s="434"/>
      <c r="EB123" s="434"/>
      <c r="EC123" s="434"/>
      <c r="ED123" s="434"/>
      <c r="EE123" s="434"/>
      <c r="EF123" s="434"/>
      <c r="EG123" s="434"/>
      <c r="EH123" s="434"/>
      <c r="EI123" s="434"/>
      <c r="EJ123" s="434"/>
      <c r="EK123" s="434"/>
      <c r="EL123" s="434"/>
      <c r="EM123" s="434"/>
      <c r="EN123" s="434"/>
      <c r="EO123" s="434"/>
      <c r="EP123" s="434"/>
      <c r="EQ123" s="434"/>
    </row>
    <row r="124" spans="115:147" x14ac:dyDescent="0.2">
      <c r="DK124" s="434"/>
      <c r="DL124" s="434"/>
      <c r="DM124" s="434"/>
      <c r="DN124" s="434"/>
      <c r="DO124" s="434"/>
      <c r="DP124" s="434"/>
      <c r="DQ124" s="434"/>
      <c r="DR124" s="434"/>
      <c r="DS124" s="434"/>
      <c r="DT124" s="434"/>
      <c r="DU124" s="434"/>
      <c r="DV124" s="434"/>
      <c r="DW124" s="434"/>
      <c r="DX124" s="434"/>
      <c r="DY124" s="434"/>
      <c r="DZ124" s="434"/>
      <c r="EA124" s="434"/>
      <c r="EB124" s="434"/>
      <c r="EC124" s="434"/>
      <c r="ED124" s="434"/>
      <c r="EE124" s="434"/>
      <c r="EF124" s="434"/>
      <c r="EG124" s="434"/>
      <c r="EH124" s="434"/>
      <c r="EI124" s="434"/>
      <c r="EJ124" s="434"/>
      <c r="EK124" s="434"/>
      <c r="EL124" s="434"/>
      <c r="EM124" s="434"/>
      <c r="EN124" s="434"/>
      <c r="EO124" s="434"/>
      <c r="EP124" s="434"/>
      <c r="EQ124" s="434"/>
    </row>
    <row r="125" spans="115:147" x14ac:dyDescent="0.2">
      <c r="DK125" s="434"/>
      <c r="DL125" s="434"/>
      <c r="DM125" s="434"/>
      <c r="DN125" s="434"/>
      <c r="DO125" s="434"/>
      <c r="DP125" s="434"/>
      <c r="DQ125" s="434"/>
      <c r="DR125" s="434"/>
      <c r="DS125" s="434"/>
      <c r="DT125" s="434"/>
      <c r="DU125" s="434"/>
      <c r="DV125" s="434"/>
      <c r="DW125" s="434"/>
      <c r="DX125" s="434"/>
      <c r="DY125" s="434"/>
      <c r="DZ125" s="434"/>
      <c r="EA125" s="434"/>
      <c r="EB125" s="434"/>
      <c r="EC125" s="434"/>
      <c r="ED125" s="434"/>
      <c r="EE125" s="434"/>
      <c r="EF125" s="434"/>
      <c r="EG125" s="434"/>
      <c r="EH125" s="434"/>
      <c r="EI125" s="434"/>
      <c r="EJ125" s="434"/>
      <c r="EK125" s="434"/>
      <c r="EL125" s="434"/>
      <c r="EM125" s="434"/>
      <c r="EN125" s="434"/>
      <c r="EO125" s="434"/>
      <c r="EP125" s="434"/>
      <c r="EQ125" s="434"/>
    </row>
    <row r="126" spans="115:147" x14ac:dyDescent="0.2">
      <c r="DK126" s="434"/>
      <c r="DL126" s="434"/>
      <c r="DM126" s="434"/>
      <c r="DN126" s="434"/>
      <c r="DO126" s="434"/>
      <c r="DP126" s="434"/>
      <c r="DQ126" s="434"/>
      <c r="DR126" s="434"/>
      <c r="DS126" s="434"/>
      <c r="DT126" s="434"/>
      <c r="DU126" s="434"/>
      <c r="DV126" s="434"/>
      <c r="DW126" s="434"/>
      <c r="DX126" s="434"/>
      <c r="DY126" s="434"/>
      <c r="DZ126" s="434"/>
      <c r="EA126" s="434"/>
      <c r="EB126" s="434"/>
      <c r="EC126" s="434"/>
      <c r="ED126" s="434"/>
      <c r="EE126" s="434"/>
      <c r="EF126" s="434"/>
      <c r="EG126" s="434"/>
      <c r="EH126" s="434"/>
      <c r="EI126" s="434"/>
      <c r="EJ126" s="434"/>
      <c r="EK126" s="434"/>
      <c r="EL126" s="434"/>
      <c r="EM126" s="434"/>
      <c r="EN126" s="434"/>
      <c r="EO126" s="434"/>
      <c r="EP126" s="434"/>
      <c r="EQ126" s="434"/>
    </row>
    <row r="127" spans="115:147" x14ac:dyDescent="0.2">
      <c r="DK127" s="434"/>
      <c r="DL127" s="434"/>
      <c r="DM127" s="434"/>
      <c r="DN127" s="434"/>
      <c r="DO127" s="434"/>
      <c r="DP127" s="434"/>
      <c r="DQ127" s="434"/>
      <c r="DR127" s="434"/>
      <c r="DS127" s="434"/>
      <c r="DT127" s="434"/>
      <c r="DU127" s="434"/>
      <c r="DV127" s="434"/>
      <c r="DW127" s="434"/>
      <c r="DX127" s="434"/>
      <c r="DY127" s="434"/>
      <c r="DZ127" s="434"/>
      <c r="EA127" s="434"/>
      <c r="EB127" s="434"/>
      <c r="EC127" s="434"/>
      <c r="ED127" s="434"/>
      <c r="EE127" s="434"/>
      <c r="EF127" s="434"/>
      <c r="EG127" s="434"/>
      <c r="EH127" s="434"/>
      <c r="EI127" s="434"/>
      <c r="EJ127" s="434"/>
      <c r="EK127" s="434"/>
      <c r="EL127" s="434"/>
      <c r="EM127" s="434"/>
      <c r="EN127" s="434"/>
      <c r="EO127" s="434"/>
      <c r="EP127" s="434"/>
      <c r="EQ127" s="434"/>
    </row>
    <row r="128" spans="115:147" x14ac:dyDescent="0.2">
      <c r="DK128" s="434"/>
      <c r="DL128" s="434"/>
      <c r="DM128" s="434"/>
      <c r="DN128" s="434"/>
      <c r="DO128" s="434"/>
      <c r="DP128" s="434"/>
      <c r="DQ128" s="434"/>
      <c r="DR128" s="434"/>
      <c r="DS128" s="434"/>
      <c r="DT128" s="434"/>
      <c r="DU128" s="434"/>
      <c r="DV128" s="434"/>
      <c r="DW128" s="434"/>
      <c r="DX128" s="434"/>
      <c r="DY128" s="434"/>
      <c r="DZ128" s="434"/>
      <c r="EA128" s="434"/>
      <c r="EB128" s="434"/>
      <c r="EC128" s="434"/>
      <c r="ED128" s="434"/>
      <c r="EE128" s="434"/>
      <c r="EF128" s="434"/>
      <c r="EG128" s="434"/>
      <c r="EH128" s="434"/>
      <c r="EI128" s="434"/>
      <c r="EJ128" s="434"/>
      <c r="EK128" s="434"/>
      <c r="EL128" s="434"/>
      <c r="EM128" s="434"/>
      <c r="EN128" s="434"/>
      <c r="EO128" s="434"/>
      <c r="EP128" s="434"/>
      <c r="EQ128" s="434"/>
    </row>
    <row r="129" spans="115:147" x14ac:dyDescent="0.2">
      <c r="DK129" s="434"/>
      <c r="DL129" s="434"/>
      <c r="DM129" s="434"/>
      <c r="DN129" s="434"/>
      <c r="DO129" s="434"/>
      <c r="DP129" s="434"/>
      <c r="DQ129" s="434"/>
      <c r="DR129" s="434"/>
      <c r="DS129" s="434"/>
      <c r="DT129" s="434"/>
      <c r="DU129" s="434"/>
      <c r="DV129" s="434"/>
      <c r="DW129" s="434"/>
      <c r="DX129" s="434"/>
      <c r="DY129" s="434"/>
      <c r="DZ129" s="434"/>
      <c r="EA129" s="434"/>
      <c r="EB129" s="434"/>
      <c r="EC129" s="434"/>
      <c r="ED129" s="434"/>
      <c r="EE129" s="434"/>
      <c r="EF129" s="434"/>
      <c r="EG129" s="434"/>
      <c r="EH129" s="434"/>
      <c r="EI129" s="434"/>
      <c r="EJ129" s="434"/>
      <c r="EK129" s="434"/>
      <c r="EL129" s="434"/>
      <c r="EM129" s="434"/>
      <c r="EN129" s="434"/>
      <c r="EO129" s="434"/>
      <c r="EP129" s="434"/>
      <c r="EQ129" s="434"/>
    </row>
  </sheetData>
  <mergeCells count="57">
    <mergeCell ref="V62:Z65"/>
    <mergeCell ref="A59:X60"/>
    <mergeCell ref="A11:A12"/>
    <mergeCell ref="BA11:BA12"/>
    <mergeCell ref="BB11:BB12"/>
    <mergeCell ref="B11:B12"/>
    <mergeCell ref="Q11:Q12"/>
    <mergeCell ref="AQ11:AQ12"/>
    <mergeCell ref="AR11:AR12"/>
    <mergeCell ref="T11:T12"/>
    <mergeCell ref="U11:U12"/>
    <mergeCell ref="V11:V12"/>
    <mergeCell ref="D10:P10"/>
    <mergeCell ref="R10:T10"/>
    <mergeCell ref="H11:H12"/>
    <mergeCell ref="I11:I12"/>
    <mergeCell ref="U10:AZ10"/>
    <mergeCell ref="AB11:AB12"/>
    <mergeCell ref="R11:R12"/>
    <mergeCell ref="S11:S12"/>
    <mergeCell ref="J11:J12"/>
    <mergeCell ref="K11:K12"/>
    <mergeCell ref="L11:L12"/>
    <mergeCell ref="M11:M12"/>
    <mergeCell ref="G11:G12"/>
    <mergeCell ref="E11:E12"/>
    <mergeCell ref="O11:O12"/>
    <mergeCell ref="F11:F12"/>
    <mergeCell ref="BT11:BT12"/>
    <mergeCell ref="CZ11:CZ12"/>
    <mergeCell ref="DA11:DA12"/>
    <mergeCell ref="CV11:CV12"/>
    <mergeCell ref="W11:W12"/>
    <mergeCell ref="AA11:AA12"/>
    <mergeCell ref="CU11:CU12"/>
    <mergeCell ref="BU11:BU12"/>
    <mergeCell ref="CS11:CS12"/>
    <mergeCell ref="CT11:CT12"/>
    <mergeCell ref="CE10:CQ10"/>
    <mergeCell ref="CS10:CU10"/>
    <mergeCell ref="CF11:CF12"/>
    <mergeCell ref="CG11:CG12"/>
    <mergeCell ref="CH11:CH12"/>
    <mergeCell ref="CI11:CI12"/>
    <mergeCell ref="CJ11:CJ12"/>
    <mergeCell ref="CK11:CK12"/>
    <mergeCell ref="CL11:CL12"/>
    <mergeCell ref="CM11:CM12"/>
    <mergeCell ref="CN11:CN12"/>
    <mergeCell ref="CP11:CP12"/>
    <mergeCell ref="CR11:CR12"/>
    <mergeCell ref="EP11:EP12"/>
    <mergeCell ref="DP11:DP12"/>
    <mergeCell ref="DQ11:DQ12"/>
    <mergeCell ref="DU11:DU12"/>
    <mergeCell ref="DV11:DV12"/>
    <mergeCell ref="EO11:EO12"/>
  </mergeCells>
  <printOptions horizontalCentered="1"/>
  <pageMargins left="0.39370078740157483" right="0.19685039370078741" top="0.39370078740157483" bottom="0.39370078740157483" header="0" footer="0"/>
  <pageSetup scale="40" orientation="landscape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FS59"/>
  <sheetViews>
    <sheetView topLeftCell="CE17" zoomScaleNormal="100" workbookViewId="0">
      <selection activeCell="FQ47" sqref="FQ47"/>
    </sheetView>
  </sheetViews>
  <sheetFormatPr baseColWidth="10" defaultRowHeight="12.75" x14ac:dyDescent="0.2"/>
  <cols>
    <col min="1" max="1" width="15.85546875" customWidth="1"/>
    <col min="2" max="2" width="21.28515625" customWidth="1"/>
    <col min="3" max="3" width="16.42578125" customWidth="1"/>
    <col min="4" max="4" width="5.7109375" style="18" hidden="1" customWidth="1"/>
    <col min="5" max="5" width="7.42578125" style="18" hidden="1" customWidth="1"/>
    <col min="6" max="6" width="9.7109375" hidden="1" customWidth="1"/>
    <col min="7" max="7" width="6.5703125" hidden="1" customWidth="1"/>
    <col min="8" max="14" width="8.5703125" hidden="1" customWidth="1"/>
    <col min="15" max="15" width="8.42578125" hidden="1" customWidth="1"/>
    <col min="16" max="16" width="8.5703125" hidden="1" customWidth="1"/>
    <col min="17" max="17" width="11" hidden="1" customWidth="1"/>
    <col min="18" max="18" width="8.7109375" style="19" hidden="1" customWidth="1"/>
    <col min="19" max="19" width="9.5703125" style="19" hidden="1" customWidth="1"/>
    <col min="20" max="21" width="8.42578125" style="12" hidden="1" customWidth="1"/>
    <col min="22" max="22" width="10.140625" style="104" hidden="1" customWidth="1"/>
    <col min="23" max="24" width="8.7109375" hidden="1" customWidth="1"/>
    <col min="25" max="25" width="8.7109375" style="77" hidden="1" customWidth="1"/>
    <col min="26" max="26" width="7.42578125" hidden="1" customWidth="1"/>
    <col min="27" max="27" width="9.7109375" hidden="1" customWidth="1"/>
    <col min="28" max="28" width="8.85546875" hidden="1" customWidth="1"/>
    <col min="29" max="33" width="7.7109375" hidden="1" customWidth="1"/>
    <col min="34" max="34" width="11.28515625" hidden="1" customWidth="1"/>
    <col min="35" max="40" width="7.7109375" hidden="1" customWidth="1"/>
    <col min="41" max="41" width="8.7109375" hidden="1" customWidth="1"/>
    <col min="42" max="42" width="10" style="69" hidden="1" customWidth="1"/>
    <col min="43" max="43" width="7.85546875" style="16" hidden="1" customWidth="1"/>
    <col min="44" max="44" width="8.140625" style="16" hidden="1" customWidth="1"/>
    <col min="45" max="45" width="10" style="16" hidden="1" customWidth="1"/>
    <col min="46" max="46" width="10.140625" style="16" hidden="1" customWidth="1"/>
    <col min="47" max="47" width="10.28515625" hidden="1" customWidth="1"/>
    <col min="48" max="48" width="8.140625" hidden="1" customWidth="1"/>
    <col min="49" max="49" width="9.7109375" hidden="1" customWidth="1"/>
    <col min="50" max="50" width="8.7109375" hidden="1" customWidth="1"/>
    <col min="51" max="51" width="8.7109375" style="77" hidden="1" customWidth="1"/>
    <col min="52" max="52" width="7.42578125" hidden="1" customWidth="1"/>
    <col min="53" max="53" width="9.7109375" hidden="1" customWidth="1"/>
    <col min="54" max="54" width="8.85546875" hidden="1" customWidth="1"/>
    <col min="55" max="60" width="9" hidden="1" customWidth="1"/>
    <col min="61" max="61" width="8.7109375" hidden="1" customWidth="1"/>
    <col min="62" max="62" width="9.7109375" hidden="1" customWidth="1"/>
    <col min="63" max="63" width="11.28515625" hidden="1" customWidth="1"/>
    <col min="64" max="64" width="10" style="16" hidden="1" customWidth="1"/>
    <col min="65" max="65" width="10.140625" style="16" hidden="1" customWidth="1"/>
    <col min="66" max="66" width="10.28515625" hidden="1" customWidth="1"/>
    <col min="67" max="68" width="8.140625" hidden="1" customWidth="1"/>
    <col min="69" max="69" width="8.7109375" hidden="1" customWidth="1"/>
    <col min="70" max="70" width="8.7109375" style="77" hidden="1" customWidth="1"/>
    <col min="71" max="71" width="7.42578125" hidden="1" customWidth="1"/>
    <col min="72" max="72" width="9.7109375" hidden="1" customWidth="1"/>
    <col min="73" max="73" width="8.85546875" hidden="1" customWidth="1"/>
    <col min="74" max="79" width="9" hidden="1" customWidth="1"/>
    <col min="80" max="80" width="8.7109375" hidden="1" customWidth="1"/>
    <col min="81" max="81" width="9.7109375" hidden="1" customWidth="1"/>
    <col min="82" max="82" width="10" hidden="1" customWidth="1"/>
    <col min="83" max="83" width="5.7109375" style="18" customWidth="1"/>
    <col min="84" max="84" width="7.42578125" style="18" customWidth="1"/>
    <col min="85" max="85" width="9.7109375" customWidth="1"/>
    <col min="86" max="86" width="6.5703125" customWidth="1"/>
    <col min="87" max="88" width="8.5703125" hidden="1" customWidth="1"/>
    <col min="89" max="89" width="8.5703125" customWidth="1"/>
    <col min="90" max="93" width="8.5703125" hidden="1" customWidth="1"/>
    <col min="94" max="94" width="8.42578125" hidden="1" customWidth="1"/>
    <col min="95" max="95" width="8.5703125" hidden="1" customWidth="1"/>
    <col min="96" max="96" width="11" customWidth="1"/>
    <col min="97" max="97" width="8.7109375" style="19" customWidth="1"/>
    <col min="98" max="98" width="11.42578125" style="19" customWidth="1"/>
    <col min="99" max="99" width="13.42578125" style="12" customWidth="1"/>
    <col min="100" max="100" width="8.42578125" style="12" hidden="1" customWidth="1"/>
    <col min="101" max="101" width="10.140625" style="104" hidden="1" customWidth="1"/>
    <col min="102" max="103" width="8.7109375" hidden="1" customWidth="1"/>
    <col min="104" max="104" width="8.7109375" style="77" hidden="1" customWidth="1"/>
    <col min="105" max="105" width="7.42578125" hidden="1" customWidth="1"/>
    <col min="106" max="106" width="9.7109375" hidden="1" customWidth="1"/>
    <col min="107" max="107" width="8.85546875" hidden="1" customWidth="1"/>
    <col min="108" max="112" width="7.7109375" hidden="1" customWidth="1"/>
    <col min="113" max="113" width="11.28515625" hidden="1" customWidth="1"/>
    <col min="114" max="119" width="7.7109375" hidden="1" customWidth="1"/>
    <col min="120" max="120" width="8.7109375" hidden="1" customWidth="1"/>
    <col min="121" max="121" width="10" style="69" hidden="1" customWidth="1"/>
    <col min="122" max="122" width="7.85546875" style="16" hidden="1" customWidth="1"/>
    <col min="123" max="123" width="8.140625" style="16" hidden="1" customWidth="1"/>
    <col min="124" max="124" width="10" style="16" hidden="1" customWidth="1"/>
    <col min="125" max="125" width="10.140625" style="16" hidden="1" customWidth="1"/>
    <col min="126" max="126" width="10.28515625" hidden="1" customWidth="1"/>
    <col min="127" max="127" width="8.140625" hidden="1" customWidth="1"/>
    <col min="128" max="128" width="9.7109375" hidden="1" customWidth="1"/>
    <col min="129" max="129" width="11" hidden="1" customWidth="1"/>
    <col min="130" max="130" width="8.7109375" hidden="1" customWidth="1"/>
    <col min="131" max="131" width="8.7109375" style="77" hidden="1" customWidth="1"/>
    <col min="132" max="132" width="7.42578125" hidden="1" customWidth="1"/>
    <col min="133" max="133" width="12.28515625" hidden="1" customWidth="1"/>
    <col min="134" max="134" width="8.85546875" hidden="1" customWidth="1"/>
    <col min="135" max="139" width="9" hidden="1" customWidth="1"/>
    <col min="140" max="140" width="10.42578125" hidden="1" customWidth="1"/>
    <col min="141" max="141" width="8.7109375" hidden="1" customWidth="1"/>
    <col min="142" max="142" width="9.7109375" hidden="1" customWidth="1"/>
    <col min="143" max="143" width="13.85546875" hidden="1" customWidth="1"/>
    <col min="144" max="144" width="11.28515625" hidden="1" customWidth="1"/>
    <col min="145" max="148" width="11.42578125" hidden="1" customWidth="1"/>
    <col min="149" max="149" width="0" hidden="1" customWidth="1"/>
    <col min="151" max="155" width="11.42578125" customWidth="1"/>
    <col min="156" max="172" width="11.42578125" hidden="1" customWidth="1"/>
    <col min="173" max="173" width="11.42578125" customWidth="1"/>
    <col min="174" max="174" width="13.28515625" customWidth="1"/>
    <col min="175" max="175" width="11.42578125" customWidth="1"/>
  </cols>
  <sheetData>
    <row r="1" spans="1:175" x14ac:dyDescent="0.2">
      <c r="A1" s="582"/>
      <c r="B1" s="583" t="s">
        <v>27</v>
      </c>
      <c r="C1" s="582"/>
      <c r="D1" s="584"/>
      <c r="E1" s="584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5"/>
      <c r="S1" s="585"/>
      <c r="T1" s="582"/>
      <c r="U1" s="582"/>
      <c r="V1" s="586"/>
      <c r="W1" s="587"/>
      <c r="X1" s="587"/>
      <c r="Y1" s="588"/>
      <c r="Z1" s="587"/>
      <c r="AA1" s="587"/>
      <c r="AB1" s="587"/>
      <c r="AC1" s="587"/>
      <c r="AD1" s="582"/>
      <c r="AE1" s="582"/>
      <c r="AF1" s="582"/>
      <c r="AG1" s="582"/>
      <c r="AH1" s="582"/>
      <c r="AI1" s="582"/>
      <c r="AJ1" s="582"/>
      <c r="AK1" s="582"/>
      <c r="AL1" s="582"/>
      <c r="AM1" s="582"/>
      <c r="AN1" s="587" t="s">
        <v>1072</v>
      </c>
      <c r="AO1" s="582"/>
      <c r="AP1" s="589"/>
      <c r="AQ1" s="582"/>
      <c r="AR1" s="582"/>
      <c r="AS1" s="582"/>
      <c r="AT1" s="582"/>
      <c r="AU1" s="582"/>
      <c r="AV1" s="582"/>
      <c r="AW1" s="582"/>
      <c r="AX1" s="587"/>
      <c r="AY1" s="588"/>
      <c r="AZ1" s="587"/>
      <c r="BA1" s="587"/>
      <c r="BB1" s="587"/>
      <c r="BC1" s="590"/>
      <c r="BD1" s="590"/>
      <c r="BE1" s="590"/>
      <c r="BF1" s="590"/>
      <c r="BG1" s="590"/>
      <c r="BH1" s="590"/>
      <c r="BI1" s="590"/>
      <c r="BJ1" s="590"/>
      <c r="BK1" s="590"/>
      <c r="BL1" s="582"/>
      <c r="BM1" s="582"/>
      <c r="BN1" s="582"/>
      <c r="BO1" s="582"/>
      <c r="BP1" s="582"/>
      <c r="BQ1" s="587"/>
      <c r="BR1" s="588"/>
      <c r="BS1" s="587"/>
      <c r="BT1" s="587"/>
      <c r="BU1" s="587"/>
      <c r="BV1" s="590"/>
      <c r="BW1" s="590"/>
      <c r="BX1" s="590"/>
      <c r="BY1" s="590"/>
      <c r="BZ1" s="590"/>
      <c r="CA1" s="590"/>
      <c r="CB1" s="590"/>
      <c r="CC1" s="590"/>
      <c r="CD1" s="590"/>
      <c r="CE1" s="584"/>
      <c r="CF1" s="584"/>
      <c r="CG1" s="582"/>
      <c r="CH1" s="582"/>
      <c r="CI1" s="582"/>
      <c r="CJ1" s="582"/>
      <c r="CK1" s="582"/>
      <c r="CL1" s="582"/>
      <c r="CM1" s="582"/>
      <c r="CN1" s="582"/>
      <c r="CO1" s="582"/>
      <c r="CP1" s="582"/>
      <c r="CQ1" s="582"/>
      <c r="CR1" s="582"/>
      <c r="CS1" s="585"/>
      <c r="CT1" s="585"/>
      <c r="CU1" s="582"/>
      <c r="CV1" s="582"/>
      <c r="CW1" s="586"/>
      <c r="CX1" s="587"/>
      <c r="CY1" s="587"/>
      <c r="CZ1" s="588"/>
      <c r="DA1" s="587"/>
      <c r="DB1" s="587"/>
      <c r="DC1" s="587"/>
      <c r="DD1" s="587"/>
      <c r="DE1" s="582"/>
      <c r="DF1" s="582"/>
      <c r="DG1" s="582"/>
      <c r="DH1" s="582"/>
      <c r="DI1" s="582"/>
      <c r="DJ1" s="582"/>
      <c r="DK1" s="582"/>
      <c r="DL1" s="582"/>
      <c r="DM1" s="582"/>
      <c r="DN1" s="582"/>
      <c r="DO1" s="587" t="s">
        <v>1072</v>
      </c>
      <c r="DP1" s="582"/>
      <c r="DQ1" s="589"/>
      <c r="DR1" s="582"/>
      <c r="DS1" s="582"/>
      <c r="DT1" s="582"/>
      <c r="DU1" s="582"/>
      <c r="DV1" s="582"/>
      <c r="DW1" s="582"/>
      <c r="DX1" s="582"/>
      <c r="DY1" s="582"/>
      <c r="DZ1" s="587"/>
      <c r="EA1" s="588"/>
      <c r="EB1" s="587"/>
      <c r="EC1" s="587"/>
      <c r="ED1" s="587"/>
      <c r="EE1" s="590"/>
      <c r="EF1" s="590"/>
      <c r="EG1" s="590"/>
      <c r="EH1" s="590"/>
      <c r="EI1" s="590"/>
      <c r="EJ1" s="590"/>
      <c r="EK1" s="590"/>
      <c r="EL1" s="590"/>
      <c r="EM1" s="590"/>
    </row>
    <row r="2" spans="1:175" x14ac:dyDescent="0.2">
      <c r="A2" s="582"/>
      <c r="B2" s="583" t="s">
        <v>1273</v>
      </c>
      <c r="C2" s="582"/>
      <c r="D2" s="584"/>
      <c r="E2" s="584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5"/>
      <c r="S2" s="585"/>
      <c r="T2" s="582"/>
      <c r="U2" s="582"/>
      <c r="V2" s="586"/>
      <c r="W2" s="587"/>
      <c r="X2" s="587"/>
      <c r="Y2" s="588"/>
      <c r="Z2" s="587"/>
      <c r="AA2" s="587"/>
      <c r="AB2" s="587"/>
      <c r="AC2" s="587"/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9"/>
      <c r="AQ2" s="582"/>
      <c r="AR2" s="582"/>
      <c r="AS2" s="582"/>
      <c r="AT2" s="582"/>
      <c r="AU2" s="582"/>
      <c r="AV2" s="582"/>
      <c r="AW2" s="582"/>
      <c r="AX2" s="587"/>
      <c r="AY2" s="588"/>
      <c r="AZ2" s="587"/>
      <c r="BA2" s="587"/>
      <c r="BB2" s="587"/>
      <c r="BC2" s="590"/>
      <c r="BD2" s="590"/>
      <c r="BE2" s="590"/>
      <c r="BF2" s="590"/>
      <c r="BG2" s="590"/>
      <c r="BH2" s="590"/>
      <c r="BI2" s="590"/>
      <c r="BJ2" s="590"/>
      <c r="BK2" s="590"/>
      <c r="BL2" s="582"/>
      <c r="BM2" s="582"/>
      <c r="BN2" s="582"/>
      <c r="BO2" s="582"/>
      <c r="BP2" s="582"/>
      <c r="BQ2" s="587"/>
      <c r="BR2" s="588"/>
      <c r="BS2" s="587"/>
      <c r="BT2" s="587"/>
      <c r="BU2" s="587"/>
      <c r="BV2" s="590"/>
      <c r="BW2" s="590"/>
      <c r="BX2" s="590"/>
      <c r="BY2" s="590"/>
      <c r="BZ2" s="590"/>
      <c r="CA2" s="590"/>
      <c r="CB2" s="590"/>
      <c r="CC2" s="590"/>
      <c r="CD2" s="590"/>
      <c r="CE2" s="584"/>
      <c r="CF2" s="584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5"/>
      <c r="CT2" s="585"/>
      <c r="CU2" s="582"/>
      <c r="CV2" s="582"/>
      <c r="CW2" s="586"/>
      <c r="CX2" s="587"/>
      <c r="CY2" s="587"/>
      <c r="CZ2" s="588"/>
      <c r="DA2" s="587"/>
      <c r="DB2" s="587"/>
      <c r="DC2" s="587"/>
      <c r="DD2" s="587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9"/>
      <c r="DR2" s="582"/>
      <c r="DS2" s="582"/>
      <c r="DT2" s="582"/>
      <c r="DU2" s="582"/>
      <c r="DV2" s="582"/>
      <c r="DW2" s="582"/>
      <c r="DX2" s="582"/>
      <c r="DY2" s="582"/>
      <c r="DZ2" s="587"/>
      <c r="EA2" s="588"/>
      <c r="EB2" s="587"/>
      <c r="EC2" s="587"/>
      <c r="ED2" s="587"/>
      <c r="EE2" s="590"/>
      <c r="EF2" s="590"/>
      <c r="EG2" s="590"/>
      <c r="EH2" s="590"/>
      <c r="EI2" s="590"/>
      <c r="EJ2" s="590"/>
      <c r="EK2" s="590"/>
      <c r="EL2" s="590"/>
      <c r="EM2" s="590"/>
    </row>
    <row r="3" spans="1:175" x14ac:dyDescent="0.2">
      <c r="A3" s="582"/>
      <c r="B3" s="582"/>
      <c r="C3" s="583"/>
      <c r="D3" s="591"/>
      <c r="E3" s="584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R3" s="583"/>
      <c r="S3" s="583"/>
      <c r="T3" s="592"/>
      <c r="U3" s="592"/>
      <c r="V3" s="593"/>
      <c r="W3" s="587"/>
      <c r="X3" s="587"/>
      <c r="Y3" s="588"/>
      <c r="Z3" s="587"/>
      <c r="AA3" s="587"/>
      <c r="AB3" s="587"/>
      <c r="AC3" s="587"/>
      <c r="AD3" s="582"/>
      <c r="AE3" s="582"/>
      <c r="AF3" s="582"/>
      <c r="AG3" s="582"/>
      <c r="AH3" s="582"/>
      <c r="AI3" s="582"/>
      <c r="AJ3" s="582"/>
      <c r="AK3" s="582"/>
      <c r="AL3" s="582"/>
      <c r="AM3" s="582"/>
      <c r="AN3" s="582"/>
      <c r="AO3" s="582"/>
      <c r="AP3" s="589"/>
      <c r="AQ3" s="582"/>
      <c r="AR3" s="582"/>
      <c r="AS3" s="582"/>
      <c r="AT3" s="582"/>
      <c r="AU3" s="582"/>
      <c r="AV3" s="582"/>
      <c r="AW3" s="582"/>
      <c r="AX3" s="587"/>
      <c r="AY3" s="588"/>
      <c r="AZ3" s="587"/>
      <c r="BA3" s="587"/>
      <c r="BB3" s="587"/>
      <c r="BC3" s="590"/>
      <c r="BD3" s="590"/>
      <c r="BE3" s="590"/>
      <c r="BF3" s="590"/>
      <c r="BG3" s="590"/>
      <c r="BH3" s="590"/>
      <c r="BI3" s="590"/>
      <c r="BJ3" s="590"/>
      <c r="BK3" s="590"/>
      <c r="BL3" s="582"/>
      <c r="BM3" s="582"/>
      <c r="BN3" s="582"/>
      <c r="BO3" s="582"/>
      <c r="BP3" s="582"/>
      <c r="BQ3" s="587"/>
      <c r="BR3" s="588"/>
      <c r="BS3" s="587"/>
      <c r="BT3" s="587"/>
      <c r="BU3" s="587"/>
      <c r="BV3" s="590"/>
      <c r="BW3" s="590"/>
      <c r="BX3" s="590"/>
      <c r="BY3" s="590"/>
      <c r="BZ3" s="590"/>
      <c r="CA3" s="590"/>
      <c r="CB3" s="590"/>
      <c r="CC3" s="590"/>
      <c r="CD3" s="590"/>
      <c r="CE3" s="591"/>
      <c r="CF3" s="584"/>
      <c r="CG3" s="592"/>
      <c r="CH3" s="592"/>
      <c r="CI3" s="592"/>
      <c r="CJ3" s="592"/>
      <c r="CK3" s="592"/>
      <c r="CL3" s="592"/>
      <c r="CM3" s="592"/>
      <c r="CN3" s="592"/>
      <c r="CO3" s="592"/>
      <c r="CP3" s="592"/>
      <c r="CQ3" s="592"/>
      <c r="CR3" s="592"/>
      <c r="CS3" s="583"/>
      <c r="CT3" s="583"/>
      <c r="CU3" s="592"/>
      <c r="CV3" s="592"/>
      <c r="CW3" s="593"/>
      <c r="CX3" s="587"/>
      <c r="CY3" s="587"/>
      <c r="CZ3" s="588"/>
      <c r="DA3" s="587"/>
      <c r="DB3" s="587"/>
      <c r="DC3" s="587"/>
      <c r="DD3" s="587"/>
      <c r="DE3" s="582"/>
      <c r="DF3" s="582"/>
      <c r="DG3" s="582"/>
      <c r="DH3" s="582"/>
      <c r="DI3" s="582"/>
      <c r="DJ3" s="582"/>
      <c r="DK3" s="582"/>
      <c r="DL3" s="582"/>
      <c r="DM3" s="582"/>
      <c r="DN3" s="582"/>
      <c r="DO3" s="582"/>
      <c r="DP3" s="582"/>
      <c r="DQ3" s="589"/>
      <c r="DR3" s="582"/>
      <c r="DS3" s="582"/>
      <c r="DT3" s="582"/>
      <c r="DU3" s="582"/>
      <c r="DV3" s="582"/>
      <c r="DW3" s="582"/>
      <c r="DX3" s="582"/>
      <c r="DY3" s="582"/>
      <c r="DZ3" s="587"/>
      <c r="EA3" s="588"/>
      <c r="EB3" s="587"/>
      <c r="EC3" s="587"/>
      <c r="ED3" s="587"/>
      <c r="EE3" s="590"/>
      <c r="EF3" s="590"/>
      <c r="EG3" s="590"/>
      <c r="EH3" s="590"/>
      <c r="EI3" s="590"/>
      <c r="EJ3" s="590"/>
      <c r="EK3" s="590"/>
      <c r="EL3" s="590"/>
      <c r="EM3" s="590"/>
    </row>
    <row r="4" spans="1:175" x14ac:dyDescent="0.2">
      <c r="A4" s="582"/>
      <c r="B4" s="582" t="s">
        <v>309</v>
      </c>
      <c r="C4" s="583"/>
      <c r="D4" s="591"/>
      <c r="E4" s="584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R4" s="583"/>
      <c r="S4" s="583"/>
      <c r="T4" s="592"/>
      <c r="U4" s="592"/>
      <c r="V4" s="593"/>
      <c r="W4" s="587"/>
      <c r="X4" s="587"/>
      <c r="Y4" s="588"/>
      <c r="Z4" s="587"/>
      <c r="AA4" s="587"/>
      <c r="AB4" s="587"/>
      <c r="AC4" s="587"/>
      <c r="AD4" s="582"/>
      <c r="AE4" s="582"/>
      <c r="AF4" s="582"/>
      <c r="AG4" s="582"/>
      <c r="AH4" s="582"/>
      <c r="AI4" s="582"/>
      <c r="AJ4" s="582"/>
      <c r="AK4" s="582"/>
      <c r="AL4" s="582"/>
      <c r="AM4" s="582"/>
      <c r="AN4" s="582"/>
      <c r="AO4" s="582"/>
      <c r="AP4" s="589"/>
      <c r="AQ4" s="582"/>
      <c r="AR4" s="582"/>
      <c r="AS4" s="582"/>
      <c r="AT4" s="582"/>
      <c r="AU4" s="582"/>
      <c r="AV4" s="582"/>
      <c r="AW4" s="582"/>
      <c r="AX4" s="587"/>
      <c r="AY4" s="588"/>
      <c r="AZ4" s="587"/>
      <c r="BA4" s="587"/>
      <c r="BB4" s="587"/>
      <c r="BC4" s="590"/>
      <c r="BD4" s="590"/>
      <c r="BE4" s="590"/>
      <c r="BF4" s="590"/>
      <c r="BG4" s="590"/>
      <c r="BH4" s="590"/>
      <c r="BI4" s="590"/>
      <c r="BJ4" s="590"/>
      <c r="BK4" s="590"/>
      <c r="BL4" s="582"/>
      <c r="BM4" s="582"/>
      <c r="BN4" s="582"/>
      <c r="BO4" s="582"/>
      <c r="BP4" s="582"/>
      <c r="BQ4" s="587"/>
      <c r="BR4" s="588"/>
      <c r="BS4" s="587"/>
      <c r="BT4" s="587"/>
      <c r="BU4" s="587"/>
      <c r="BV4" s="590"/>
      <c r="BW4" s="590"/>
      <c r="BX4" s="590"/>
      <c r="BY4" s="590"/>
      <c r="BZ4" s="590"/>
      <c r="CA4" s="590"/>
      <c r="CB4" s="590"/>
      <c r="CC4" s="590"/>
      <c r="CD4" s="590"/>
      <c r="CE4" s="591"/>
      <c r="CF4" s="584"/>
      <c r="CG4" s="592"/>
      <c r="CH4" s="592"/>
      <c r="CI4" s="592"/>
      <c r="CJ4" s="592"/>
      <c r="CK4" s="592"/>
      <c r="CL4" s="592"/>
      <c r="CM4" s="592"/>
      <c r="CN4" s="592"/>
      <c r="CO4" s="592"/>
      <c r="CP4" s="592"/>
      <c r="CQ4" s="592"/>
      <c r="CR4" s="592"/>
      <c r="CS4" s="583"/>
      <c r="CT4" s="583"/>
      <c r="CU4" s="592"/>
      <c r="CV4" s="592"/>
      <c r="CW4" s="593"/>
      <c r="CX4" s="587"/>
      <c r="CY4" s="587"/>
      <c r="CZ4" s="588"/>
      <c r="DA4" s="587"/>
      <c r="DB4" s="587"/>
      <c r="DC4" s="587"/>
      <c r="DD4" s="587"/>
      <c r="DE4" s="582"/>
      <c r="DF4" s="582"/>
      <c r="DG4" s="582"/>
      <c r="DH4" s="582"/>
      <c r="DI4" s="582"/>
      <c r="DJ4" s="582"/>
      <c r="DK4" s="582"/>
      <c r="DL4" s="582"/>
      <c r="DM4" s="582"/>
      <c r="DN4" s="582"/>
      <c r="DO4" s="582"/>
      <c r="DP4" s="582"/>
      <c r="DQ4" s="589"/>
      <c r="DR4" s="582"/>
      <c r="DS4" s="582"/>
      <c r="DT4" s="582"/>
      <c r="DU4" s="582"/>
      <c r="DV4" s="582"/>
      <c r="DW4" s="582"/>
      <c r="DX4" s="582"/>
      <c r="DY4" s="582"/>
      <c r="DZ4" s="587"/>
      <c r="EA4" s="588"/>
      <c r="EB4" s="587"/>
      <c r="EC4" s="587"/>
      <c r="ED4" s="587"/>
      <c r="EE4" s="590"/>
      <c r="EF4" s="590"/>
      <c r="EG4" s="590"/>
      <c r="EH4" s="590"/>
      <c r="EI4" s="590"/>
      <c r="EJ4" s="590"/>
      <c r="EK4" s="590"/>
      <c r="EL4" s="590"/>
      <c r="EM4" s="590"/>
    </row>
    <row r="5" spans="1:175" x14ac:dyDescent="0.2">
      <c r="A5" s="582"/>
      <c r="B5" s="592" t="s">
        <v>316</v>
      </c>
      <c r="C5" s="582"/>
      <c r="D5" s="584"/>
      <c r="E5" s="584"/>
      <c r="F5" s="582"/>
      <c r="G5" s="582"/>
      <c r="H5" s="582"/>
      <c r="I5" s="582"/>
      <c r="J5" s="582"/>
      <c r="K5" s="582"/>
      <c r="L5" s="582"/>
      <c r="M5" s="582"/>
      <c r="N5" s="582"/>
      <c r="O5" s="582"/>
      <c r="P5" s="582"/>
      <c r="Q5" s="582"/>
      <c r="R5" s="585"/>
      <c r="S5" s="585"/>
      <c r="T5" s="582"/>
      <c r="U5" s="582"/>
      <c r="V5" s="586"/>
      <c r="W5" s="587"/>
      <c r="X5" s="587"/>
      <c r="Y5" s="588"/>
      <c r="Z5" s="587"/>
      <c r="AA5" s="587"/>
      <c r="AB5" s="587"/>
      <c r="AC5" s="587"/>
      <c r="AD5" s="582"/>
      <c r="AE5" s="582"/>
      <c r="AF5" s="582"/>
      <c r="AG5" s="582"/>
      <c r="AH5" s="582"/>
      <c r="AI5" s="582"/>
      <c r="AJ5" s="582"/>
      <c r="AK5" s="582"/>
      <c r="AL5" s="582"/>
      <c r="AM5" s="582"/>
      <c r="AN5" s="582"/>
      <c r="AO5" s="582"/>
      <c r="AP5" s="589"/>
      <c r="AQ5" s="582"/>
      <c r="AR5" s="582"/>
      <c r="AS5" s="582"/>
      <c r="AT5" s="582"/>
      <c r="AU5" s="582"/>
      <c r="AV5" s="582"/>
      <c r="AW5" s="582"/>
      <c r="AX5" s="587"/>
      <c r="AY5" s="588"/>
      <c r="AZ5" s="587"/>
      <c r="BA5" s="587"/>
      <c r="BB5" s="587"/>
      <c r="BC5" s="590"/>
      <c r="BD5" s="590"/>
      <c r="BE5" s="590"/>
      <c r="BF5" s="590"/>
      <c r="BG5" s="590"/>
      <c r="BH5" s="590"/>
      <c r="BI5" s="590"/>
      <c r="BJ5" s="590"/>
      <c r="BK5" s="590"/>
      <c r="BL5" s="582"/>
      <c r="BM5" s="582"/>
      <c r="BN5" s="582"/>
      <c r="BO5" s="582"/>
      <c r="BP5" s="582"/>
      <c r="BQ5" s="587"/>
      <c r="BR5" s="588"/>
      <c r="BS5" s="587"/>
      <c r="BT5" s="587"/>
      <c r="BU5" s="587"/>
      <c r="BV5" s="590"/>
      <c r="BW5" s="590"/>
      <c r="BX5" s="590"/>
      <c r="BY5" s="590"/>
      <c r="BZ5" s="590"/>
      <c r="CA5" s="590"/>
      <c r="CB5" s="590"/>
      <c r="CC5" s="590"/>
      <c r="CD5" s="590"/>
      <c r="CE5" s="584"/>
      <c r="CF5" s="584"/>
      <c r="CG5" s="582"/>
      <c r="CH5" s="582"/>
      <c r="CI5" s="582"/>
      <c r="CJ5" s="582"/>
      <c r="CK5" s="582"/>
      <c r="CL5" s="582"/>
      <c r="CM5" s="582"/>
      <c r="CN5" s="582"/>
      <c r="CO5" s="582"/>
      <c r="CP5" s="582"/>
      <c r="CQ5" s="582"/>
      <c r="CR5" s="582"/>
      <c r="CS5" s="585"/>
      <c r="CT5" s="585"/>
      <c r="CU5" s="582"/>
      <c r="CV5" s="582"/>
      <c r="CW5" s="586"/>
      <c r="CX5" s="587"/>
      <c r="CY5" s="587"/>
      <c r="CZ5" s="588"/>
      <c r="DA5" s="587"/>
      <c r="DB5" s="587"/>
      <c r="DC5" s="587"/>
      <c r="DD5" s="587"/>
      <c r="DE5" s="582"/>
      <c r="DF5" s="582"/>
      <c r="DG5" s="582"/>
      <c r="DH5" s="582"/>
      <c r="DI5" s="582"/>
      <c r="DJ5" s="582"/>
      <c r="DK5" s="582"/>
      <c r="DL5" s="582"/>
      <c r="DM5" s="582"/>
      <c r="DN5" s="582"/>
      <c r="DO5" s="582"/>
      <c r="DP5" s="582"/>
      <c r="DQ5" s="589"/>
      <c r="DR5" s="582"/>
      <c r="DS5" s="582"/>
      <c r="DT5" s="582"/>
      <c r="DU5" s="582"/>
      <c r="DV5" s="582"/>
      <c r="DW5" s="582"/>
      <c r="DX5" s="582"/>
      <c r="DY5" s="582"/>
      <c r="DZ5" s="587"/>
      <c r="EA5" s="588"/>
      <c r="EB5" s="587"/>
      <c r="EC5" s="587"/>
      <c r="ED5" s="587"/>
      <c r="EE5" s="590"/>
      <c r="EF5" s="590"/>
      <c r="EG5" s="590"/>
      <c r="EH5" s="590"/>
      <c r="EI5" s="590"/>
      <c r="EJ5" s="590"/>
      <c r="EK5" s="590"/>
      <c r="EL5" s="590"/>
      <c r="EM5" s="590"/>
    </row>
    <row r="6" spans="1:175" x14ac:dyDescent="0.2">
      <c r="A6" s="582"/>
      <c r="B6" s="582" t="s">
        <v>1272</v>
      </c>
      <c r="C6" s="582"/>
      <c r="D6" s="584"/>
      <c r="E6" s="584"/>
      <c r="F6" s="582"/>
      <c r="G6" s="582"/>
      <c r="H6" s="582"/>
      <c r="I6" s="582"/>
      <c r="J6" s="582"/>
      <c r="K6" s="582"/>
      <c r="L6" s="582"/>
      <c r="M6" s="582"/>
      <c r="N6" s="582"/>
      <c r="O6" s="582"/>
      <c r="P6" s="582"/>
      <c r="Q6" s="582"/>
      <c r="R6" s="585"/>
      <c r="S6" s="585"/>
      <c r="T6" s="582"/>
      <c r="U6" s="582"/>
      <c r="V6" s="586"/>
      <c r="W6" s="587"/>
      <c r="X6" s="587"/>
      <c r="Y6" s="588"/>
      <c r="Z6" s="587"/>
      <c r="AA6" s="587"/>
      <c r="AB6" s="587"/>
      <c r="AC6" s="587"/>
      <c r="AD6" s="582"/>
      <c r="AE6" s="582"/>
      <c r="AF6" s="582"/>
      <c r="AG6" s="582"/>
      <c r="AH6" s="582"/>
      <c r="AI6" s="582"/>
      <c r="AJ6" s="582"/>
      <c r="AK6" s="582"/>
      <c r="AL6" s="582"/>
      <c r="AM6" s="582"/>
      <c r="AN6" s="582"/>
      <c r="AO6" s="582"/>
      <c r="AP6" s="589"/>
      <c r="AQ6" s="582"/>
      <c r="AR6" s="582"/>
      <c r="AS6" s="582"/>
      <c r="AT6" s="582"/>
      <c r="AU6" s="582"/>
      <c r="AV6" s="582"/>
      <c r="AW6" s="582"/>
      <c r="AX6" s="587"/>
      <c r="AY6" s="588"/>
      <c r="AZ6" s="587"/>
      <c r="BA6" s="587"/>
      <c r="BB6" s="587"/>
      <c r="BC6" s="590"/>
      <c r="BD6" s="590"/>
      <c r="BE6" s="590"/>
      <c r="BF6" s="590"/>
      <c r="BG6" s="590"/>
      <c r="BH6" s="590"/>
      <c r="BI6" s="590"/>
      <c r="BJ6" s="590"/>
      <c r="BK6" s="590"/>
      <c r="BL6" s="582"/>
      <c r="BM6" s="582"/>
      <c r="BN6" s="582"/>
      <c r="BO6" s="582"/>
      <c r="BP6" s="582"/>
      <c r="BQ6" s="587"/>
      <c r="BR6" s="588"/>
      <c r="BS6" s="587"/>
      <c r="BT6" s="587"/>
      <c r="BU6" s="587"/>
      <c r="BV6" s="590"/>
      <c r="BW6" s="590"/>
      <c r="BX6" s="590"/>
      <c r="BY6" s="590"/>
      <c r="BZ6" s="590"/>
      <c r="CA6" s="590"/>
      <c r="CB6" s="590"/>
      <c r="CC6" s="590"/>
      <c r="CD6" s="590"/>
      <c r="CE6" s="584"/>
      <c r="CF6" s="584"/>
      <c r="CG6" s="582"/>
      <c r="CH6" s="582"/>
      <c r="CI6" s="582"/>
      <c r="CJ6" s="582"/>
      <c r="CK6" s="582"/>
      <c r="CL6" s="582"/>
      <c r="CM6" s="582"/>
      <c r="CN6" s="582"/>
      <c r="CO6" s="582"/>
      <c r="CP6" s="582"/>
      <c r="CQ6" s="582"/>
      <c r="CR6" s="582"/>
      <c r="CS6" s="585"/>
      <c r="CT6" s="585"/>
      <c r="CU6" s="582"/>
      <c r="CV6" s="582"/>
      <c r="CW6" s="586"/>
      <c r="CX6" s="587"/>
      <c r="CY6" s="587"/>
      <c r="CZ6" s="588"/>
      <c r="DA6" s="587"/>
      <c r="DB6" s="587"/>
      <c r="DC6" s="587"/>
      <c r="DD6" s="587"/>
      <c r="DE6" s="582"/>
      <c r="DF6" s="582"/>
      <c r="DG6" s="582"/>
      <c r="DH6" s="582"/>
      <c r="DI6" s="582"/>
      <c r="DJ6" s="582"/>
      <c r="DK6" s="582"/>
      <c r="DL6" s="582"/>
      <c r="DM6" s="582"/>
      <c r="DN6" s="582"/>
      <c r="DO6" s="582"/>
      <c r="DP6" s="582"/>
      <c r="DQ6" s="589"/>
      <c r="DR6" s="582"/>
      <c r="DS6" s="582"/>
      <c r="DT6" s="582"/>
      <c r="DU6" s="582"/>
      <c r="DV6" s="582"/>
      <c r="DW6" s="582"/>
      <c r="DX6" s="582"/>
      <c r="DY6" s="582"/>
      <c r="DZ6" s="587"/>
      <c r="EA6" s="588"/>
      <c r="EB6" s="587"/>
      <c r="EC6" s="587"/>
      <c r="ED6" s="587"/>
      <c r="EE6" s="590"/>
      <c r="EF6" s="590"/>
      <c r="EG6" s="590"/>
      <c r="EH6" s="590"/>
      <c r="EI6" s="590"/>
      <c r="EJ6" s="590"/>
      <c r="EK6" s="590"/>
      <c r="EL6" s="590"/>
      <c r="EM6" s="590"/>
    </row>
    <row r="7" spans="1:175" x14ac:dyDescent="0.2">
      <c r="A7" s="582"/>
      <c r="B7" s="582"/>
      <c r="C7" s="582"/>
      <c r="D7" s="584"/>
      <c r="E7" s="584"/>
      <c r="F7" s="582"/>
      <c r="G7" s="582"/>
      <c r="H7" s="582"/>
      <c r="I7" s="582"/>
      <c r="J7" s="582"/>
      <c r="K7" s="582"/>
      <c r="L7" s="582"/>
      <c r="M7" s="582"/>
      <c r="N7" s="582"/>
      <c r="O7" s="582"/>
      <c r="P7" s="582"/>
      <c r="Q7" s="582"/>
      <c r="R7" s="585"/>
      <c r="S7" s="585"/>
      <c r="T7" s="582"/>
      <c r="U7" s="582"/>
      <c r="V7" s="586"/>
      <c r="W7" s="587"/>
      <c r="X7" s="587"/>
      <c r="Y7" s="588"/>
      <c r="Z7" s="587"/>
      <c r="AA7" s="587"/>
      <c r="AB7" s="587"/>
      <c r="AC7" s="587"/>
      <c r="AD7" s="582"/>
      <c r="AE7" s="582"/>
      <c r="AF7" s="582"/>
      <c r="AG7" s="582"/>
      <c r="AH7" s="582"/>
      <c r="AI7" s="582"/>
      <c r="AJ7" s="582"/>
      <c r="AK7" s="582"/>
      <c r="AL7" s="582"/>
      <c r="AM7" s="582"/>
      <c r="AN7" s="582"/>
      <c r="AO7" s="582"/>
      <c r="AP7" s="589"/>
      <c r="AQ7" s="582"/>
      <c r="AR7" s="582"/>
      <c r="AS7" s="582"/>
      <c r="AT7" s="582"/>
      <c r="AU7" s="582"/>
      <c r="AV7" s="582"/>
      <c r="AW7" s="582"/>
      <c r="AX7" s="587"/>
      <c r="AY7" s="588"/>
      <c r="AZ7" s="587"/>
      <c r="BA7" s="587"/>
      <c r="BB7" s="587"/>
      <c r="BC7" s="590"/>
      <c r="BD7" s="590"/>
      <c r="BE7" s="590"/>
      <c r="BF7" s="590"/>
      <c r="BG7" s="590"/>
      <c r="BH7" s="590"/>
      <c r="BI7" s="590"/>
      <c r="BJ7" s="590"/>
      <c r="BK7" s="590"/>
      <c r="BL7" s="582"/>
      <c r="BM7" s="582"/>
      <c r="BN7" s="582"/>
      <c r="BO7" s="582"/>
      <c r="BP7" s="582"/>
      <c r="BQ7" s="587"/>
      <c r="BR7" s="588"/>
      <c r="BS7" s="587"/>
      <c r="BT7" s="587"/>
      <c r="BU7" s="587"/>
      <c r="BV7" s="590"/>
      <c r="BW7" s="590"/>
      <c r="BX7" s="590"/>
      <c r="BY7" s="590"/>
      <c r="BZ7" s="590"/>
      <c r="CA7" s="590"/>
      <c r="CB7" s="590"/>
      <c r="CC7" s="590"/>
      <c r="CD7" s="590"/>
      <c r="CE7" s="584"/>
      <c r="CF7" s="584"/>
      <c r="CG7" s="582"/>
      <c r="CH7" s="582"/>
      <c r="CI7" s="582"/>
      <c r="CJ7" s="582"/>
      <c r="CK7" s="582"/>
      <c r="CL7" s="582"/>
      <c r="CM7" s="582"/>
      <c r="CN7" s="582"/>
      <c r="CO7" s="582"/>
      <c r="CP7" s="582"/>
      <c r="CQ7" s="582"/>
      <c r="CR7" s="582"/>
      <c r="CS7" s="585"/>
      <c r="CT7" s="585"/>
      <c r="CU7" s="582"/>
      <c r="CV7" s="582"/>
      <c r="CW7" s="586"/>
      <c r="CX7" s="587"/>
      <c r="CY7" s="587"/>
      <c r="CZ7" s="588"/>
      <c r="DA7" s="587"/>
      <c r="DB7" s="587"/>
      <c r="DC7" s="587"/>
      <c r="DD7" s="587"/>
      <c r="DE7" s="582"/>
      <c r="DF7" s="582"/>
      <c r="DG7" s="582"/>
      <c r="DH7" s="582"/>
      <c r="DI7" s="582"/>
      <c r="DJ7" s="582"/>
      <c r="DK7" s="582"/>
      <c r="DL7" s="582"/>
      <c r="DM7" s="582"/>
      <c r="DN7" s="582"/>
      <c r="DO7" s="582"/>
      <c r="DP7" s="582"/>
      <c r="DQ7" s="589"/>
      <c r="DR7" s="582"/>
      <c r="DS7" s="582"/>
      <c r="DT7" s="582"/>
      <c r="DU7" s="582"/>
      <c r="DV7" s="582"/>
      <c r="DW7" s="582"/>
      <c r="DX7" s="582"/>
      <c r="DY7" s="582"/>
      <c r="DZ7" s="587"/>
      <c r="EA7" s="588"/>
      <c r="EB7" s="587"/>
      <c r="EC7" s="587"/>
      <c r="ED7" s="587"/>
      <c r="EE7" s="590"/>
      <c r="EF7" s="590"/>
      <c r="EG7" s="590"/>
      <c r="EH7" s="590"/>
      <c r="EI7" s="590"/>
      <c r="EJ7" s="590"/>
      <c r="EK7" s="590"/>
      <c r="EL7" s="590"/>
      <c r="EM7" s="590"/>
    </row>
    <row r="8" spans="1:175" s="16" customFormat="1" x14ac:dyDescent="0.2">
      <c r="D8" s="38"/>
      <c r="E8" s="38"/>
      <c r="R8" s="37"/>
      <c r="S8" s="37"/>
      <c r="T8" s="35"/>
      <c r="U8" s="35"/>
      <c r="V8" s="103"/>
      <c r="W8" s="39"/>
      <c r="X8" s="39"/>
      <c r="Y8" s="76"/>
      <c r="Z8" s="39"/>
      <c r="AA8" s="39"/>
      <c r="AB8" s="39"/>
      <c r="AC8" s="39"/>
      <c r="AP8" s="68"/>
      <c r="AX8" s="39"/>
      <c r="AY8" s="76"/>
      <c r="AZ8" s="39"/>
      <c r="BA8" s="39"/>
      <c r="BB8" s="39"/>
      <c r="BQ8" s="39"/>
      <c r="BR8" s="76"/>
      <c r="BS8" s="39"/>
      <c r="BT8" s="39"/>
      <c r="BU8" s="39"/>
      <c r="CE8" s="38"/>
      <c r="CF8" s="38"/>
      <c r="CS8" s="37"/>
      <c r="CT8" s="37"/>
      <c r="CU8" s="35"/>
      <c r="CV8" s="35"/>
      <c r="CW8" s="103"/>
      <c r="CX8" s="39"/>
      <c r="CY8" s="39"/>
      <c r="CZ8" s="76"/>
      <c r="DA8" s="39"/>
      <c r="DB8" s="39"/>
      <c r="DC8" s="39"/>
      <c r="DD8" s="39"/>
      <c r="DQ8" s="68"/>
      <c r="DZ8" s="39"/>
      <c r="EA8" s="76"/>
      <c r="EB8" s="39"/>
      <c r="EC8" s="39"/>
      <c r="ED8" s="39"/>
    </row>
    <row r="9" spans="1:175" s="16" customFormat="1" ht="20.25" customHeight="1" x14ac:dyDescent="0.2">
      <c r="D9" s="38"/>
      <c r="E9" s="38"/>
      <c r="R9" s="37"/>
      <c r="S9" s="37"/>
      <c r="T9" s="35"/>
      <c r="U9" s="35"/>
      <c r="V9" s="103"/>
      <c r="W9" s="39"/>
      <c r="X9" s="39"/>
      <c r="Y9" s="76"/>
      <c r="Z9" s="39"/>
      <c r="AA9" s="39"/>
      <c r="AB9" s="39"/>
      <c r="AC9" s="39"/>
      <c r="AP9" s="68"/>
      <c r="AX9" s="39"/>
      <c r="AY9" s="76"/>
      <c r="AZ9" s="39"/>
      <c r="BA9" s="39"/>
      <c r="BB9" s="39"/>
      <c r="BQ9" s="39"/>
      <c r="BR9" s="76"/>
      <c r="BS9" s="39"/>
      <c r="BT9" s="39"/>
      <c r="BU9" s="39"/>
      <c r="CE9" s="38"/>
      <c r="CF9" s="38"/>
      <c r="CS9" s="37"/>
      <c r="CT9" s="37"/>
      <c r="CU9" s="35"/>
      <c r="CV9" s="35"/>
      <c r="CW9" s="103"/>
      <c r="CX9" s="39"/>
      <c r="CY9" s="39"/>
      <c r="CZ9" s="76"/>
      <c r="DA9" s="39"/>
      <c r="DB9" s="39"/>
      <c r="DC9" s="39"/>
      <c r="DD9" s="39"/>
      <c r="DQ9" s="68"/>
      <c r="DZ9" s="39"/>
      <c r="EA9" s="76"/>
      <c r="EB9" s="39"/>
      <c r="EC9" s="39"/>
      <c r="ED9" s="39"/>
    </row>
    <row r="10" spans="1:175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87"/>
      <c r="R10" s="1259" t="s">
        <v>448</v>
      </c>
      <c r="S10" s="1259"/>
      <c r="T10" s="1259"/>
      <c r="U10" s="1260" t="s">
        <v>450</v>
      </c>
      <c r="V10" s="1260"/>
      <c r="W10" s="1260"/>
      <c r="X10" s="1260"/>
      <c r="Y10" s="1260"/>
      <c r="Z10" s="1260"/>
      <c r="AA10" s="1260"/>
      <c r="AB10" s="1260"/>
      <c r="AC10" s="1260"/>
      <c r="AD10" s="1260"/>
      <c r="AE10" s="1260"/>
      <c r="AF10" s="1260"/>
      <c r="AG10" s="1260"/>
      <c r="AH10" s="1260"/>
      <c r="AI10" s="1260"/>
      <c r="AJ10" s="1260"/>
      <c r="AK10" s="1260"/>
      <c r="AL10" s="1260"/>
      <c r="AM10" s="1260"/>
      <c r="AN10" s="1260"/>
      <c r="AO10" s="1260"/>
      <c r="AP10" s="1260"/>
      <c r="AY10"/>
      <c r="BR10"/>
      <c r="CE10" s="1258" t="s">
        <v>532</v>
      </c>
      <c r="CF10" s="1258"/>
      <c r="CG10" s="1258"/>
      <c r="CH10" s="1258"/>
      <c r="CI10" s="1258"/>
      <c r="CJ10" s="1258"/>
      <c r="CK10" s="1258"/>
      <c r="CL10" s="1258"/>
      <c r="CM10" s="1258"/>
      <c r="CN10" s="1258"/>
      <c r="CO10" s="1258"/>
      <c r="CP10" s="1258"/>
      <c r="CQ10" s="1258"/>
      <c r="CR10" s="191"/>
      <c r="CS10" s="1259" t="s">
        <v>448</v>
      </c>
      <c r="CT10" s="1259"/>
      <c r="CU10" s="1259"/>
      <c r="CV10" s="1260" t="s">
        <v>450</v>
      </c>
      <c r="CW10" s="1260"/>
      <c r="CX10" s="1260"/>
      <c r="CY10" s="1260"/>
      <c r="CZ10" s="1260"/>
      <c r="DA10" s="1260"/>
      <c r="DB10" s="1260"/>
      <c r="DC10" s="1260"/>
      <c r="DD10" s="1260"/>
      <c r="DE10" s="1260"/>
      <c r="DF10" s="1260"/>
      <c r="DG10" s="1260"/>
      <c r="DH10" s="1260"/>
      <c r="DI10" s="1260"/>
      <c r="DJ10" s="1260"/>
      <c r="DK10" s="1260"/>
      <c r="DL10" s="1260"/>
      <c r="DM10" s="1260"/>
      <c r="DN10" s="1260"/>
      <c r="DO10" s="1260"/>
      <c r="DP10" s="1260"/>
      <c r="DQ10" s="1260"/>
      <c r="EA10"/>
    </row>
    <row r="11" spans="1:175" ht="54" customHeight="1" x14ac:dyDescent="0.25">
      <c r="A11" s="1261" t="s">
        <v>57</v>
      </c>
      <c r="B11" s="1261" t="s">
        <v>0</v>
      </c>
      <c r="C11" s="185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526</v>
      </c>
      <c r="J11" s="1254" t="s">
        <v>525</v>
      </c>
      <c r="K11" s="1254" t="s">
        <v>534</v>
      </c>
      <c r="L11" s="1254" t="s">
        <v>493</v>
      </c>
      <c r="M11" s="1254" t="s">
        <v>535</v>
      </c>
      <c r="N11" s="186" t="s">
        <v>529</v>
      </c>
      <c r="O11" s="1254" t="s">
        <v>492</v>
      </c>
      <c r="P11" s="192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1245" t="s">
        <v>447</v>
      </c>
      <c r="V11" s="1268" t="s">
        <v>452</v>
      </c>
      <c r="W11" s="1245" t="s">
        <v>439</v>
      </c>
      <c r="X11" s="158" t="s">
        <v>15</v>
      </c>
      <c r="Y11" s="159" t="s">
        <v>15</v>
      </c>
      <c r="Z11" s="158" t="s">
        <v>16</v>
      </c>
      <c r="AA11" s="1245" t="s">
        <v>527</v>
      </c>
      <c r="AB11" s="1245" t="s">
        <v>536</v>
      </c>
      <c r="AC11" s="158" t="s">
        <v>3</v>
      </c>
      <c r="AD11" s="158" t="s">
        <v>4</v>
      </c>
      <c r="AE11" s="158" t="s">
        <v>5</v>
      </c>
      <c r="AF11" s="158" t="s">
        <v>6</v>
      </c>
      <c r="AG11" s="158" t="s">
        <v>7</v>
      </c>
      <c r="AH11" s="158" t="s">
        <v>8</v>
      </c>
      <c r="AI11" s="158" t="s">
        <v>9</v>
      </c>
      <c r="AJ11" s="158" t="s">
        <v>10</v>
      </c>
      <c r="AK11" s="158" t="s">
        <v>11</v>
      </c>
      <c r="AL11" s="158" t="s">
        <v>12</v>
      </c>
      <c r="AM11" s="158" t="s">
        <v>13</v>
      </c>
      <c r="AN11" s="158" t="s">
        <v>14</v>
      </c>
      <c r="AO11" s="196" t="s">
        <v>531</v>
      </c>
      <c r="AP11" s="160" t="s">
        <v>63</v>
      </c>
      <c r="AQ11" s="1245" t="s">
        <v>976</v>
      </c>
      <c r="AR11" s="1245" t="s">
        <v>536</v>
      </c>
      <c r="AS11" s="158" t="s">
        <v>3</v>
      </c>
      <c r="AT11" s="158" t="s">
        <v>4</v>
      </c>
      <c r="AU11" s="158" t="s">
        <v>5</v>
      </c>
      <c r="AV11" s="158" t="s">
        <v>6</v>
      </c>
      <c r="AW11" s="158" t="s">
        <v>7</v>
      </c>
      <c r="AX11" s="158" t="s">
        <v>15</v>
      </c>
      <c r="AY11" s="159" t="s">
        <v>15</v>
      </c>
      <c r="AZ11" s="158" t="s">
        <v>16</v>
      </c>
      <c r="BA11" s="1245" t="s">
        <v>1059</v>
      </c>
      <c r="BB11" s="1245" t="s">
        <v>536</v>
      </c>
      <c r="BC11" s="158" t="s">
        <v>8</v>
      </c>
      <c r="BD11" s="158" t="s">
        <v>9</v>
      </c>
      <c r="BE11" s="158" t="s">
        <v>10</v>
      </c>
      <c r="BF11" s="158" t="s">
        <v>11</v>
      </c>
      <c r="BG11" s="158" t="s">
        <v>12</v>
      </c>
      <c r="BH11" s="158" t="s">
        <v>13</v>
      </c>
      <c r="BI11" s="158" t="s">
        <v>14</v>
      </c>
      <c r="BJ11" s="196" t="s">
        <v>989</v>
      </c>
      <c r="BK11" s="160" t="s">
        <v>63</v>
      </c>
      <c r="BL11" s="158" t="s">
        <v>3</v>
      </c>
      <c r="BM11" s="158" t="s">
        <v>4</v>
      </c>
      <c r="BN11" s="158" t="s">
        <v>5</v>
      </c>
      <c r="BO11" s="158" t="s">
        <v>6</v>
      </c>
      <c r="BP11" s="158" t="s">
        <v>7</v>
      </c>
      <c r="BQ11" s="158" t="s">
        <v>15</v>
      </c>
      <c r="BR11" s="159" t="s">
        <v>15</v>
      </c>
      <c r="BS11" s="158" t="s">
        <v>16</v>
      </c>
      <c r="BT11" s="1245" t="s">
        <v>1004</v>
      </c>
      <c r="BU11" s="1245" t="s">
        <v>536</v>
      </c>
      <c r="BV11" s="158" t="s">
        <v>8</v>
      </c>
      <c r="BW11" s="158" t="s">
        <v>9</v>
      </c>
      <c r="BX11" s="158" t="s">
        <v>10</v>
      </c>
      <c r="BY11" s="158" t="s">
        <v>11</v>
      </c>
      <c r="BZ11" s="158" t="s">
        <v>12</v>
      </c>
      <c r="CA11" s="158" t="s">
        <v>13</v>
      </c>
      <c r="CB11" s="158" t="s">
        <v>14</v>
      </c>
      <c r="CC11" s="196" t="s">
        <v>1058</v>
      </c>
      <c r="CD11" s="160" t="s">
        <v>63</v>
      </c>
      <c r="CE11" s="166" t="s">
        <v>306</v>
      </c>
      <c r="CF11" s="1263" t="s">
        <v>55</v>
      </c>
      <c r="CG11" s="1254" t="s">
        <v>564</v>
      </c>
      <c r="CH11" s="1254" t="s">
        <v>446</v>
      </c>
      <c r="CI11" s="1254" t="s">
        <v>533</v>
      </c>
      <c r="CJ11" s="1254" t="s">
        <v>526</v>
      </c>
      <c r="CK11" s="1254" t="s">
        <v>1264</v>
      </c>
      <c r="CL11" s="1254" t="s">
        <v>534</v>
      </c>
      <c r="CM11" s="1254" t="s">
        <v>493</v>
      </c>
      <c r="CN11" s="1254" t="s">
        <v>1148</v>
      </c>
      <c r="CO11" s="721" t="s">
        <v>529</v>
      </c>
      <c r="CP11" s="1254" t="s">
        <v>492</v>
      </c>
      <c r="CQ11" s="722" t="s">
        <v>530</v>
      </c>
      <c r="CR11" s="1256" t="s">
        <v>528</v>
      </c>
      <c r="CS11" s="1250" t="s">
        <v>437</v>
      </c>
      <c r="CT11" s="1250" t="s">
        <v>56</v>
      </c>
      <c r="CU11" s="1252" t="s">
        <v>449</v>
      </c>
      <c r="CV11" s="1245" t="s">
        <v>447</v>
      </c>
      <c r="CW11" s="1268" t="s">
        <v>452</v>
      </c>
      <c r="CX11" s="1245" t="s">
        <v>439</v>
      </c>
      <c r="CY11" s="158" t="s">
        <v>15</v>
      </c>
      <c r="CZ11" s="159" t="s">
        <v>15</v>
      </c>
      <c r="DA11" s="158" t="s">
        <v>16</v>
      </c>
      <c r="DB11" s="1245" t="s">
        <v>527</v>
      </c>
      <c r="DC11" s="1245" t="s">
        <v>536</v>
      </c>
      <c r="DD11" s="158" t="s">
        <v>3</v>
      </c>
      <c r="DE11" s="158" t="s">
        <v>4</v>
      </c>
      <c r="DF11" s="158" t="s">
        <v>5</v>
      </c>
      <c r="DG11" s="158" t="s">
        <v>6</v>
      </c>
      <c r="DH11" s="158" t="s">
        <v>7</v>
      </c>
      <c r="DI11" s="158" t="s">
        <v>8</v>
      </c>
      <c r="DJ11" s="158" t="s">
        <v>9</v>
      </c>
      <c r="DK11" s="158" t="s">
        <v>10</v>
      </c>
      <c r="DL11" s="158" t="s">
        <v>11</v>
      </c>
      <c r="DM11" s="158" t="s">
        <v>12</v>
      </c>
      <c r="DN11" s="158" t="s">
        <v>13</v>
      </c>
      <c r="DO11" s="158" t="s">
        <v>14</v>
      </c>
      <c r="DP11" s="718" t="s">
        <v>531</v>
      </c>
      <c r="DQ11" s="160" t="s">
        <v>63</v>
      </c>
      <c r="DR11" s="1245" t="s">
        <v>976</v>
      </c>
      <c r="DS11" s="1245" t="s">
        <v>536</v>
      </c>
      <c r="DT11" s="158" t="s">
        <v>3</v>
      </c>
      <c r="DU11" s="158" t="s">
        <v>4</v>
      </c>
      <c r="DV11" s="158" t="s">
        <v>5</v>
      </c>
      <c r="DW11" s="158" t="s">
        <v>6</v>
      </c>
      <c r="DX11" s="158" t="s">
        <v>7</v>
      </c>
      <c r="DY11" s="1247" t="s">
        <v>1134</v>
      </c>
      <c r="DZ11" s="158" t="s">
        <v>15</v>
      </c>
      <c r="EA11" s="159" t="s">
        <v>15</v>
      </c>
      <c r="EB11" s="158" t="s">
        <v>16</v>
      </c>
      <c r="EC11" s="1245" t="s">
        <v>1124</v>
      </c>
      <c r="ED11" s="1245" t="s">
        <v>536</v>
      </c>
      <c r="EE11" s="158" t="s">
        <v>8</v>
      </c>
      <c r="EF11" s="158" t="s">
        <v>9</v>
      </c>
      <c r="EG11" s="158" t="s">
        <v>10</v>
      </c>
      <c r="EH11" s="158" t="s">
        <v>11</v>
      </c>
      <c r="EI11" s="158" t="s">
        <v>12</v>
      </c>
      <c r="EJ11" s="158" t="s">
        <v>13</v>
      </c>
      <c r="EK11" s="158" t="s">
        <v>14</v>
      </c>
      <c r="EL11" s="718" t="s">
        <v>1140</v>
      </c>
      <c r="EM11" s="160" t="s">
        <v>63</v>
      </c>
      <c r="EN11" s="158" t="s">
        <v>3</v>
      </c>
      <c r="EO11" s="158" t="s">
        <v>4</v>
      </c>
      <c r="EP11" s="158" t="s">
        <v>5</v>
      </c>
      <c r="EQ11" s="158" t="s">
        <v>6</v>
      </c>
      <c r="ER11" s="158" t="s">
        <v>7</v>
      </c>
      <c r="ES11" s="1247" t="s">
        <v>1252</v>
      </c>
      <c r="ET11" s="1247" t="s">
        <v>1253</v>
      </c>
      <c r="EU11" s="158" t="s">
        <v>15</v>
      </c>
      <c r="EV11" s="159" t="s">
        <v>15</v>
      </c>
      <c r="EW11" s="158" t="s">
        <v>16</v>
      </c>
      <c r="EX11" s="1245" t="s">
        <v>1262</v>
      </c>
      <c r="EY11" s="1245" t="s">
        <v>536</v>
      </c>
      <c r="EZ11" s="158" t="s">
        <v>8</v>
      </c>
      <c r="FA11" s="158" t="s">
        <v>9</v>
      </c>
      <c r="FB11" s="158" t="s">
        <v>10</v>
      </c>
      <c r="FC11" s="158" t="s">
        <v>11</v>
      </c>
      <c r="FD11" s="158" t="s">
        <v>12</v>
      </c>
      <c r="FE11" s="158" t="s">
        <v>13</v>
      </c>
      <c r="FF11" s="158" t="s">
        <v>14</v>
      </c>
      <c r="FG11" s="158" t="s">
        <v>3</v>
      </c>
      <c r="FH11" s="158" t="s">
        <v>4</v>
      </c>
      <c r="FI11" s="158" t="s">
        <v>5</v>
      </c>
      <c r="FJ11" s="158" t="s">
        <v>6</v>
      </c>
      <c r="FK11" s="158" t="s">
        <v>7</v>
      </c>
      <c r="FL11" s="158" t="s">
        <v>8</v>
      </c>
      <c r="FM11" s="158" t="s">
        <v>9</v>
      </c>
      <c r="FN11" s="158" t="s">
        <v>10</v>
      </c>
      <c r="FO11" s="158" t="s">
        <v>11</v>
      </c>
      <c r="FP11" s="158" t="s">
        <v>12</v>
      </c>
      <c r="FQ11" s="158" t="s">
        <v>13</v>
      </c>
      <c r="FR11" s="1247" t="s">
        <v>1274</v>
      </c>
      <c r="FS11" s="1247" t="s">
        <v>1263</v>
      </c>
    </row>
    <row r="12" spans="1:175" ht="32.25" customHeight="1" x14ac:dyDescent="0.25">
      <c r="A12" s="1262"/>
      <c r="B12" s="1262"/>
      <c r="C12" s="161" t="s">
        <v>316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1267"/>
      <c r="V12" s="1272"/>
      <c r="W12" s="1246"/>
      <c r="X12" s="162" t="s">
        <v>20</v>
      </c>
      <c r="Y12" s="163" t="s">
        <v>21</v>
      </c>
      <c r="Z12" s="162" t="s">
        <v>22</v>
      </c>
      <c r="AA12" s="1246"/>
      <c r="AB12" s="1246"/>
      <c r="AC12" s="162">
        <v>2015</v>
      </c>
      <c r="AD12" s="162">
        <v>2015</v>
      </c>
      <c r="AE12" s="162">
        <v>2015</v>
      </c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 t="s">
        <v>64</v>
      </c>
      <c r="AQ12" s="1265"/>
      <c r="AR12" s="1265"/>
      <c r="AS12" s="430">
        <v>2016</v>
      </c>
      <c r="AT12" s="430">
        <v>2016</v>
      </c>
      <c r="AU12" s="430">
        <v>2016</v>
      </c>
      <c r="AV12" s="430">
        <v>2016</v>
      </c>
      <c r="AW12" s="430">
        <v>2016</v>
      </c>
      <c r="AX12" s="162" t="s">
        <v>20</v>
      </c>
      <c r="AY12" s="163" t="s">
        <v>21</v>
      </c>
      <c r="AZ12" s="162" t="s">
        <v>22</v>
      </c>
      <c r="BA12" s="1246"/>
      <c r="BB12" s="1246"/>
      <c r="BC12" s="430">
        <v>2016</v>
      </c>
      <c r="BD12" s="430">
        <v>2016</v>
      </c>
      <c r="BE12" s="430">
        <v>2016</v>
      </c>
      <c r="BF12" s="430">
        <v>2016</v>
      </c>
      <c r="BG12" s="430">
        <v>2016</v>
      </c>
      <c r="BH12" s="430">
        <v>2016</v>
      </c>
      <c r="BI12" s="430">
        <v>2016</v>
      </c>
      <c r="BJ12" s="162">
        <v>2016</v>
      </c>
      <c r="BK12" s="162" t="s">
        <v>64</v>
      </c>
      <c r="BL12" s="430">
        <v>2017</v>
      </c>
      <c r="BM12" s="430">
        <v>2017</v>
      </c>
      <c r="BN12" s="430">
        <v>2017</v>
      </c>
      <c r="BO12" s="430">
        <v>2017</v>
      </c>
      <c r="BP12" s="430">
        <v>2017</v>
      </c>
      <c r="BQ12" s="162" t="s">
        <v>20</v>
      </c>
      <c r="BR12" s="163" t="s">
        <v>21</v>
      </c>
      <c r="BS12" s="162" t="s">
        <v>22</v>
      </c>
      <c r="BT12" s="1246"/>
      <c r="BU12" s="1246"/>
      <c r="BV12" s="430">
        <v>2017</v>
      </c>
      <c r="BW12" s="430">
        <v>2017</v>
      </c>
      <c r="BX12" s="430">
        <v>2017</v>
      </c>
      <c r="BY12" s="430">
        <v>2017</v>
      </c>
      <c r="BZ12" s="430">
        <v>2017</v>
      </c>
      <c r="CA12" s="430">
        <v>2017</v>
      </c>
      <c r="CB12" s="430">
        <v>2017</v>
      </c>
      <c r="CC12" s="162">
        <v>2017</v>
      </c>
      <c r="CD12" s="162" t="s">
        <v>64</v>
      </c>
      <c r="CE12" s="167"/>
      <c r="CF12" s="1264"/>
      <c r="CG12" s="1255"/>
      <c r="CH12" s="1255"/>
      <c r="CI12" s="1255"/>
      <c r="CJ12" s="1255"/>
      <c r="CK12" s="1255"/>
      <c r="CL12" s="1255"/>
      <c r="CM12" s="1255"/>
      <c r="CN12" s="1255"/>
      <c r="CO12" s="194"/>
      <c r="CP12" s="1255"/>
      <c r="CQ12" s="193">
        <v>42370</v>
      </c>
      <c r="CR12" s="1257"/>
      <c r="CS12" s="1251" t="s">
        <v>18</v>
      </c>
      <c r="CT12" s="1251" t="s">
        <v>18</v>
      </c>
      <c r="CU12" s="1253"/>
      <c r="CV12" s="1267"/>
      <c r="CW12" s="1272"/>
      <c r="CX12" s="1246"/>
      <c r="CY12" s="162" t="s">
        <v>20</v>
      </c>
      <c r="CZ12" s="163" t="s">
        <v>21</v>
      </c>
      <c r="DA12" s="162" t="s">
        <v>22</v>
      </c>
      <c r="DB12" s="1246"/>
      <c r="DC12" s="1246"/>
      <c r="DD12" s="162">
        <v>2015</v>
      </c>
      <c r="DE12" s="162">
        <v>2015</v>
      </c>
      <c r="DF12" s="162">
        <v>2015</v>
      </c>
      <c r="DG12" s="162">
        <v>2015</v>
      </c>
      <c r="DH12" s="162">
        <v>2015</v>
      </c>
      <c r="DI12" s="162">
        <v>2015</v>
      </c>
      <c r="DJ12" s="162">
        <v>2015</v>
      </c>
      <c r="DK12" s="162">
        <v>2015</v>
      </c>
      <c r="DL12" s="162">
        <v>2015</v>
      </c>
      <c r="DM12" s="162">
        <v>2015</v>
      </c>
      <c r="DN12" s="162">
        <v>2015</v>
      </c>
      <c r="DO12" s="162">
        <v>2015</v>
      </c>
      <c r="DP12" s="162">
        <v>2015</v>
      </c>
      <c r="DQ12" s="162" t="s">
        <v>64</v>
      </c>
      <c r="DR12" s="1265"/>
      <c r="DS12" s="1265"/>
      <c r="DT12" s="430">
        <v>2016</v>
      </c>
      <c r="DU12" s="430">
        <v>2016</v>
      </c>
      <c r="DV12" s="430">
        <v>2016</v>
      </c>
      <c r="DW12" s="430">
        <v>2016</v>
      </c>
      <c r="DX12" s="430">
        <v>2016</v>
      </c>
      <c r="DY12" s="1248"/>
      <c r="DZ12" s="162" t="s">
        <v>20</v>
      </c>
      <c r="EA12" s="163" t="s">
        <v>21</v>
      </c>
      <c r="EB12" s="162" t="s">
        <v>22</v>
      </c>
      <c r="EC12" s="1246"/>
      <c r="ED12" s="1246"/>
      <c r="EE12" s="430">
        <v>2017</v>
      </c>
      <c r="EF12" s="430">
        <v>2017</v>
      </c>
      <c r="EG12" s="430">
        <v>2017</v>
      </c>
      <c r="EH12" s="430">
        <v>2017</v>
      </c>
      <c r="EI12" s="430">
        <v>2017</v>
      </c>
      <c r="EJ12" s="430">
        <v>2017</v>
      </c>
      <c r="EK12" s="430">
        <v>2017</v>
      </c>
      <c r="EL12" s="162"/>
      <c r="EM12" s="162" t="s">
        <v>64</v>
      </c>
      <c r="EN12" s="162">
        <v>2018</v>
      </c>
      <c r="EO12" s="162">
        <v>2018</v>
      </c>
      <c r="EP12" s="162">
        <v>2018</v>
      </c>
      <c r="EQ12" s="162">
        <v>2018</v>
      </c>
      <c r="ER12" s="162">
        <v>2018</v>
      </c>
      <c r="ES12" s="1248"/>
      <c r="ET12" s="1248"/>
      <c r="EU12" s="162" t="s">
        <v>20</v>
      </c>
      <c r="EV12" s="163" t="s">
        <v>21</v>
      </c>
      <c r="EW12" s="162" t="s">
        <v>22</v>
      </c>
      <c r="EX12" s="1246"/>
      <c r="EY12" s="1246"/>
      <c r="EZ12" s="162">
        <v>2018</v>
      </c>
      <c r="FA12" s="162">
        <v>2018</v>
      </c>
      <c r="FB12" s="162">
        <v>2018</v>
      </c>
      <c r="FC12" s="162">
        <v>2018</v>
      </c>
      <c r="FD12" s="162">
        <v>2018</v>
      </c>
      <c r="FE12" s="162">
        <v>2018</v>
      </c>
      <c r="FF12" s="162">
        <v>2018</v>
      </c>
      <c r="FG12" s="162">
        <v>2019</v>
      </c>
      <c r="FH12" s="162">
        <v>2019</v>
      </c>
      <c r="FI12" s="162">
        <v>2019</v>
      </c>
      <c r="FJ12" s="162">
        <v>2019</v>
      </c>
      <c r="FK12" s="162">
        <v>2019</v>
      </c>
      <c r="FL12" s="162">
        <v>2019</v>
      </c>
      <c r="FM12" s="162">
        <v>2019</v>
      </c>
      <c r="FN12" s="162">
        <v>2019</v>
      </c>
      <c r="FO12" s="162">
        <v>2019</v>
      </c>
      <c r="FP12" s="162">
        <v>2019</v>
      </c>
      <c r="FQ12" s="162">
        <v>2019</v>
      </c>
      <c r="FR12" s="1248"/>
      <c r="FS12" s="1248"/>
    </row>
    <row r="13" spans="1:175" s="16" customFormat="1" ht="15" x14ac:dyDescent="0.2">
      <c r="A13" s="26" t="s">
        <v>65</v>
      </c>
      <c r="B13" s="26" t="s">
        <v>89</v>
      </c>
      <c r="C13" s="29"/>
      <c r="D13" s="27"/>
      <c r="E13" s="25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20"/>
      <c r="S13" s="20"/>
      <c r="T13" s="14"/>
      <c r="U13" s="14"/>
      <c r="V13" s="108"/>
      <c r="W13" s="66"/>
      <c r="X13" s="66"/>
      <c r="Y13" s="81"/>
      <c r="Z13" s="66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73"/>
      <c r="AQ13" s="32"/>
      <c r="AR13" s="32"/>
      <c r="AS13" s="32"/>
      <c r="AT13" s="32"/>
      <c r="AU13" s="32"/>
      <c r="AV13" s="32"/>
      <c r="AW13" s="32"/>
      <c r="AX13" s="66"/>
      <c r="AY13" s="81"/>
      <c r="AZ13" s="66"/>
      <c r="BA13" s="65"/>
      <c r="BB13" s="65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66"/>
      <c r="BR13" s="81"/>
      <c r="BS13" s="66"/>
      <c r="BT13" s="65"/>
      <c r="BU13" s="65"/>
      <c r="BV13" s="32"/>
      <c r="BW13" s="32"/>
      <c r="BX13" s="32"/>
      <c r="BY13" s="32"/>
      <c r="BZ13" s="32"/>
      <c r="CA13" s="32"/>
      <c r="CB13" s="32"/>
      <c r="CC13" s="32"/>
      <c r="CD13" s="32"/>
      <c r="CE13" s="27"/>
      <c r="CF13" s="25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20"/>
      <c r="CT13" s="20"/>
      <c r="CU13" s="14"/>
      <c r="CV13" s="14"/>
      <c r="CW13" s="108"/>
      <c r="CX13" s="66"/>
      <c r="CY13" s="66"/>
      <c r="CZ13" s="81"/>
      <c r="DA13" s="66"/>
      <c r="DB13" s="65"/>
      <c r="DC13" s="65"/>
      <c r="DD13" s="65"/>
      <c r="DE13" s="65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73"/>
      <c r="DR13" s="32"/>
      <c r="DS13" s="32"/>
      <c r="DT13" s="32"/>
      <c r="DU13" s="32"/>
      <c r="DV13" s="32"/>
      <c r="DW13" s="32"/>
      <c r="DX13" s="32"/>
      <c r="DY13" s="32"/>
      <c r="DZ13" s="66"/>
      <c r="EA13" s="81"/>
      <c r="EB13" s="66"/>
      <c r="EC13" s="65"/>
      <c r="ED13" s="65"/>
      <c r="EE13" s="32"/>
      <c r="EF13" s="32"/>
      <c r="EG13" s="32"/>
      <c r="EH13" s="32"/>
      <c r="EI13" s="32"/>
      <c r="EJ13" s="32"/>
      <c r="EK13" s="32"/>
      <c r="EL13" s="32"/>
      <c r="EM13" s="32"/>
      <c r="EN13" s="55"/>
      <c r="EO13" s="55"/>
      <c r="EP13" s="55"/>
      <c r="EQ13" s="55"/>
      <c r="ER13" s="55"/>
      <c r="ES13" s="55"/>
      <c r="ET13" s="516"/>
      <c r="EU13" s="516"/>
      <c r="EV13" s="516"/>
      <c r="EW13" s="516"/>
      <c r="EX13" s="516"/>
      <c r="EY13" s="516"/>
      <c r="EZ13" s="516"/>
      <c r="FA13" s="516"/>
      <c r="FB13" s="516"/>
      <c r="FC13" s="516"/>
      <c r="FD13" s="516"/>
      <c r="FE13" s="516"/>
      <c r="FF13" s="516"/>
      <c r="FG13" s="516"/>
      <c r="FH13" s="516"/>
      <c r="FI13" s="516"/>
      <c r="FJ13" s="516"/>
      <c r="FK13" s="516"/>
      <c r="FL13" s="516"/>
      <c r="FM13" s="516"/>
      <c r="FN13" s="516"/>
      <c r="FO13" s="516"/>
      <c r="FP13" s="516"/>
      <c r="FQ13" s="516"/>
      <c r="FR13" s="516"/>
      <c r="FS13" s="1126"/>
    </row>
    <row r="14" spans="1:175" s="16" customFormat="1" ht="15" x14ac:dyDescent="0.2">
      <c r="A14" s="26" t="s">
        <v>82</v>
      </c>
      <c r="B14" s="9"/>
      <c r="C14" s="29"/>
      <c r="D14" s="4"/>
      <c r="E14" s="25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20"/>
      <c r="S14" s="20"/>
      <c r="T14" s="14"/>
      <c r="U14" s="14"/>
      <c r="V14" s="108"/>
      <c r="W14" s="66"/>
      <c r="X14" s="66"/>
      <c r="Y14" s="112"/>
      <c r="Z14" s="66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73"/>
      <c r="AQ14" s="32"/>
      <c r="AR14" s="32"/>
      <c r="AS14" s="32"/>
      <c r="AT14" s="32"/>
      <c r="AU14" s="32"/>
      <c r="AV14" s="32"/>
      <c r="AW14" s="32"/>
      <c r="AX14" s="66"/>
      <c r="AY14" s="112"/>
      <c r="AZ14" s="66"/>
      <c r="BA14" s="65"/>
      <c r="BB14" s="65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66"/>
      <c r="BR14" s="112"/>
      <c r="BS14" s="66"/>
      <c r="BT14" s="65"/>
      <c r="BU14" s="65"/>
      <c r="BV14" s="32"/>
      <c r="BW14" s="32"/>
      <c r="BX14" s="32"/>
      <c r="BY14" s="32"/>
      <c r="BZ14" s="32"/>
      <c r="CA14" s="32"/>
      <c r="CB14" s="32"/>
      <c r="CC14" s="32"/>
      <c r="CD14" s="32"/>
      <c r="CE14" s="4"/>
      <c r="CF14" s="25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20"/>
      <c r="CT14" s="20"/>
      <c r="CU14" s="14"/>
      <c r="CV14" s="14"/>
      <c r="CW14" s="108"/>
      <c r="CX14" s="66"/>
      <c r="CY14" s="66"/>
      <c r="CZ14" s="112"/>
      <c r="DA14" s="66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73"/>
      <c r="DR14" s="32"/>
      <c r="DS14" s="32"/>
      <c r="DT14" s="32"/>
      <c r="DU14" s="32"/>
      <c r="DV14" s="32"/>
      <c r="DW14" s="32"/>
      <c r="DX14" s="32"/>
      <c r="DY14" s="32"/>
      <c r="DZ14" s="66"/>
      <c r="EA14" s="112"/>
      <c r="EB14" s="66"/>
      <c r="EC14" s="65"/>
      <c r="ED14" s="65"/>
      <c r="EE14" s="32"/>
      <c r="EF14" s="32"/>
      <c r="EG14" s="32"/>
      <c r="EH14" s="32"/>
      <c r="EI14" s="32"/>
      <c r="EJ14" s="32"/>
      <c r="EK14" s="32"/>
      <c r="EL14" s="32"/>
      <c r="EM14" s="32"/>
      <c r="EN14" s="55"/>
      <c r="EO14" s="55"/>
      <c r="EP14" s="55"/>
      <c r="EQ14" s="55"/>
      <c r="ER14" s="55"/>
      <c r="ES14" s="55"/>
      <c r="ET14" s="516"/>
      <c r="EU14" s="516"/>
      <c r="EV14" s="516"/>
      <c r="EW14" s="516"/>
      <c r="EX14" s="516"/>
      <c r="EY14" s="516"/>
      <c r="EZ14" s="516"/>
      <c r="FA14" s="516"/>
      <c r="FB14" s="516"/>
      <c r="FC14" s="516"/>
      <c r="FD14" s="516"/>
      <c r="FE14" s="516"/>
      <c r="FF14" s="516"/>
      <c r="FG14" s="516"/>
      <c r="FH14" s="516"/>
      <c r="FI14" s="516"/>
      <c r="FJ14" s="516"/>
      <c r="FK14" s="516"/>
      <c r="FL14" s="516"/>
      <c r="FM14" s="516"/>
      <c r="FN14" s="516"/>
      <c r="FO14" s="516"/>
      <c r="FP14" s="516"/>
      <c r="FQ14" s="516"/>
      <c r="FR14" s="516"/>
      <c r="FS14" s="1126"/>
    </row>
    <row r="15" spans="1:175" s="16" customFormat="1" ht="15" x14ac:dyDescent="0.2">
      <c r="A15" s="9" t="s">
        <v>112</v>
      </c>
      <c r="B15" s="9" t="s">
        <v>29</v>
      </c>
      <c r="C15" s="45" t="s">
        <v>316</v>
      </c>
      <c r="D15" s="58">
        <v>10</v>
      </c>
      <c r="E15" s="25">
        <v>0.1</v>
      </c>
      <c r="F15" s="46">
        <v>42185</v>
      </c>
      <c r="G15" s="58">
        <v>120</v>
      </c>
      <c r="H15" s="145">
        <f>100/G15</f>
        <v>0.83333333333333337</v>
      </c>
      <c r="I15" s="165">
        <f>H15*J15</f>
        <v>26.666666666666668</v>
      </c>
      <c r="J15" s="48">
        <f>(YEAR(F15)-YEAR(S15))*12+MONTH(F15)-MONTH(S15)</f>
        <v>32</v>
      </c>
      <c r="K15" s="165">
        <f>L15*H15</f>
        <v>73.333333333333343</v>
      </c>
      <c r="L15" s="48">
        <f>G15-J15</f>
        <v>88</v>
      </c>
      <c r="M15" s="165">
        <f>N15*H15</f>
        <v>5.8333333333333339</v>
      </c>
      <c r="N15" s="48">
        <v>7</v>
      </c>
      <c r="O15" s="165">
        <f>P15*H15</f>
        <v>67.5</v>
      </c>
      <c r="P15" s="48">
        <f t="shared" ref="P15:P26" si="0">L15-N15</f>
        <v>81</v>
      </c>
      <c r="Q15" s="46">
        <v>42428</v>
      </c>
      <c r="R15" s="46" t="s">
        <v>507</v>
      </c>
      <c r="S15" s="46">
        <v>41199</v>
      </c>
      <c r="T15" s="47">
        <v>9860</v>
      </c>
      <c r="U15" s="47">
        <v>7312.8</v>
      </c>
      <c r="V15" s="106">
        <v>410.85</v>
      </c>
      <c r="W15" s="165">
        <v>0</v>
      </c>
      <c r="X15" s="57">
        <v>115.958</v>
      </c>
      <c r="Y15" s="80">
        <v>106.27800000000001</v>
      </c>
      <c r="Z15" s="57">
        <f>X15/Y15</f>
        <v>1.091081879598788</v>
      </c>
      <c r="AA15" s="55">
        <f>U15*M15/100/K15*100/7</f>
        <v>83.100000000000009</v>
      </c>
      <c r="AB15" s="55">
        <f>AA15*Z15</f>
        <v>90.668904194659291</v>
      </c>
      <c r="AC15" s="55"/>
      <c r="AD15" s="55"/>
      <c r="AE15" s="55"/>
      <c r="AF15" s="55"/>
      <c r="AG15" s="55"/>
      <c r="AH15" s="55">
        <v>90.67</v>
      </c>
      <c r="AI15" s="55">
        <v>90.67</v>
      </c>
      <c r="AJ15" s="55">
        <v>90.67</v>
      </c>
      <c r="AK15" s="55">
        <v>90.67</v>
      </c>
      <c r="AL15" s="55">
        <v>90.67</v>
      </c>
      <c r="AM15" s="55">
        <v>90.67</v>
      </c>
      <c r="AN15" s="55">
        <v>90.67</v>
      </c>
      <c r="AO15" s="55">
        <f>SUM(AC15:AN15)</f>
        <v>634.68999999999994</v>
      </c>
      <c r="AP15" s="72">
        <f>U15-AO15</f>
        <v>6678.1100000000006</v>
      </c>
      <c r="AQ15" s="431"/>
      <c r="AR15" s="32"/>
      <c r="AS15" s="429">
        <f>$AN15</f>
        <v>90.67</v>
      </c>
      <c r="AT15" s="429">
        <f>$AN15</f>
        <v>90.67</v>
      </c>
      <c r="AU15" s="429">
        <f>$AN15</f>
        <v>90.67</v>
      </c>
      <c r="AV15" s="429">
        <f>$AN15</f>
        <v>90.67</v>
      </c>
      <c r="AW15" s="429">
        <f>$AN15</f>
        <v>90.67</v>
      </c>
      <c r="AX15" s="57">
        <v>118.901</v>
      </c>
      <c r="AY15" s="80">
        <v>106.27800000000001</v>
      </c>
      <c r="AZ15" s="57">
        <f>AX15/AY15</f>
        <v>1.1187734055966427</v>
      </c>
      <c r="BA15" s="55">
        <f>T15/(D15*12)</f>
        <v>82.166666666666671</v>
      </c>
      <c r="BB15" s="55">
        <f>BA15*AZ15</f>
        <v>91.925881493190815</v>
      </c>
      <c r="BC15" s="429">
        <f t="shared" ref="BC15:BI15" si="1">$BB15</f>
        <v>91.925881493190815</v>
      </c>
      <c r="BD15" s="429">
        <f t="shared" si="1"/>
        <v>91.925881493190815</v>
      </c>
      <c r="BE15" s="429">
        <f t="shared" si="1"/>
        <v>91.925881493190815</v>
      </c>
      <c r="BF15" s="429">
        <f t="shared" si="1"/>
        <v>91.925881493190815</v>
      </c>
      <c r="BG15" s="429">
        <f t="shared" si="1"/>
        <v>91.925881493190815</v>
      </c>
      <c r="BH15" s="429">
        <f t="shared" si="1"/>
        <v>91.925881493190815</v>
      </c>
      <c r="BI15" s="429">
        <f t="shared" si="1"/>
        <v>91.925881493190815</v>
      </c>
      <c r="BJ15" s="429">
        <f>SUM((AS15:AW15),(BC15:BI15))</f>
        <v>1096.8311704523355</v>
      </c>
      <c r="BK15" s="439">
        <f>(AP15-BJ15)</f>
        <v>5581.2788295476648</v>
      </c>
      <c r="BL15" s="429">
        <f t="shared" ref="BL15:BP25" si="2">$BB15</f>
        <v>91.925881493190815</v>
      </c>
      <c r="BM15" s="429">
        <f t="shared" si="2"/>
        <v>91.925881493190815</v>
      </c>
      <c r="BN15" s="429">
        <f t="shared" si="2"/>
        <v>91.925881493190815</v>
      </c>
      <c r="BO15" s="429">
        <f t="shared" si="2"/>
        <v>91.925881493190815</v>
      </c>
      <c r="BP15" s="429">
        <f t="shared" si="2"/>
        <v>91.925881493190815</v>
      </c>
      <c r="BQ15" s="57">
        <v>118.901</v>
      </c>
      <c r="BR15" s="80">
        <v>106.27800000000001</v>
      </c>
      <c r="BS15" s="57">
        <f>BQ15/BR15</f>
        <v>1.1187734055966427</v>
      </c>
      <c r="BT15" s="55"/>
      <c r="BU15" s="55"/>
      <c r="BV15" s="429"/>
      <c r="BW15" s="429"/>
      <c r="BX15" s="429"/>
      <c r="BY15" s="429"/>
      <c r="BZ15" s="429"/>
      <c r="CA15" s="429"/>
      <c r="CB15" s="429"/>
      <c r="CC15" s="429">
        <f>SUM((BL15:BP15),(BV15:CB15))</f>
        <v>459.62940746595405</v>
      </c>
      <c r="CD15" s="439">
        <f>BK15-CC15</f>
        <v>5121.6494220817112</v>
      </c>
      <c r="CE15" s="58">
        <v>10</v>
      </c>
      <c r="CF15" s="25">
        <v>0.1</v>
      </c>
      <c r="CG15" s="46">
        <v>43281</v>
      </c>
      <c r="CH15" s="58">
        <v>120</v>
      </c>
      <c r="CI15" s="145">
        <f>100/CH15</f>
        <v>0.83333333333333337</v>
      </c>
      <c r="CJ15" s="165">
        <f>CI15*CK15</f>
        <v>56.666666666666671</v>
      </c>
      <c r="CK15" s="48">
        <f>(YEAR(CG15)-YEAR(CT15))*12+MONTH(CG15)-MONTH(CT15)</f>
        <v>68</v>
      </c>
      <c r="CL15" s="165">
        <f>CM15*CI15</f>
        <v>43.333333333333336</v>
      </c>
      <c r="CM15" s="48">
        <f>CH15-CK15</f>
        <v>52</v>
      </c>
      <c r="CN15" s="165">
        <f>CO15*CI15</f>
        <v>0</v>
      </c>
      <c r="CO15" s="48"/>
      <c r="CP15" s="165">
        <f>CQ15*CI15</f>
        <v>43.333333333333336</v>
      </c>
      <c r="CQ15" s="48">
        <f>CM15-CO15</f>
        <v>52</v>
      </c>
      <c r="CR15" s="462">
        <f>DATE(YEAR(CT15),MONTH(CT15)+CH15,DAY(CT15))</f>
        <v>44851</v>
      </c>
      <c r="CS15" s="46" t="s">
        <v>507</v>
      </c>
      <c r="CT15" s="46">
        <v>41199</v>
      </c>
      <c r="CU15" s="47">
        <v>9860</v>
      </c>
      <c r="CV15" s="47">
        <v>7312.8</v>
      </c>
      <c r="CW15" s="106">
        <v>410.85</v>
      </c>
      <c r="CX15" s="165">
        <v>0</v>
      </c>
      <c r="CY15" s="57">
        <v>115.958</v>
      </c>
      <c r="CZ15" s="80">
        <v>106.27800000000001</v>
      </c>
      <c r="DA15" s="57">
        <f>CY15/CZ15</f>
        <v>1.091081879598788</v>
      </c>
      <c r="DB15" s="55">
        <f>CV15*CN15/100/CL15*100/7</f>
        <v>0</v>
      </c>
      <c r="DC15" s="55">
        <f>DB15*DA15</f>
        <v>0</v>
      </c>
      <c r="DD15" s="55"/>
      <c r="DE15" s="55"/>
      <c r="DF15" s="55"/>
      <c r="DG15" s="55"/>
      <c r="DH15" s="55"/>
      <c r="DI15" s="55">
        <v>90.67</v>
      </c>
      <c r="DJ15" s="55">
        <v>90.67</v>
      </c>
      <c r="DK15" s="55">
        <v>90.67</v>
      </c>
      <c r="DL15" s="55">
        <v>90.67</v>
      </c>
      <c r="DM15" s="55">
        <v>90.67</v>
      </c>
      <c r="DN15" s="55">
        <v>90.67</v>
      </c>
      <c r="DO15" s="55">
        <v>90.67</v>
      </c>
      <c r="DP15" s="55">
        <f>SUM(DD15:DO15)</f>
        <v>634.68999999999994</v>
      </c>
      <c r="DQ15" s="72">
        <f>CV15-DP15</f>
        <v>6678.1100000000006</v>
      </c>
      <c r="DR15" s="431"/>
      <c r="DS15" s="32"/>
      <c r="DT15" s="429">
        <f>$AN15</f>
        <v>90.67</v>
      </c>
      <c r="DU15" s="429">
        <f>$AN15</f>
        <v>90.67</v>
      </c>
      <c r="DV15" s="429">
        <f>$AN15</f>
        <v>90.67</v>
      </c>
      <c r="DW15" s="429">
        <f>$AN15</f>
        <v>90.67</v>
      </c>
      <c r="DX15" s="429">
        <f>$AN15</f>
        <v>90.67</v>
      </c>
      <c r="DY15" s="725">
        <v>5121.6494220817103</v>
      </c>
      <c r="DZ15" s="57">
        <v>126.408</v>
      </c>
      <c r="EA15" s="80">
        <v>106.27800000000001</v>
      </c>
      <c r="EB15" s="57">
        <f>DZ15/EA15</f>
        <v>1.1894089087111162</v>
      </c>
      <c r="EC15" s="55">
        <f>DY15/CM15</f>
        <v>98.493258116955971</v>
      </c>
      <c r="ED15" s="55">
        <f>EC15*EB15</f>
        <v>117.14875865229088</v>
      </c>
      <c r="EE15" s="55">
        <v>95.183366404986344</v>
      </c>
      <c r="EF15" s="55">
        <v>95.183366404986344</v>
      </c>
      <c r="EG15" s="55">
        <v>95.183366404986344</v>
      </c>
      <c r="EH15" s="55">
        <v>95.183366404986344</v>
      </c>
      <c r="EI15" s="55">
        <v>95.183366404986344</v>
      </c>
      <c r="EJ15" s="55">
        <v>95.183366404986344</v>
      </c>
      <c r="EK15" s="55">
        <v>95.183366404986344</v>
      </c>
      <c r="EL15" s="429">
        <f>SUM(EE15:EK15)</f>
        <v>666.2835648349045</v>
      </c>
      <c r="EM15" s="439">
        <f>DY15-EL15</f>
        <v>4455.3658572468057</v>
      </c>
      <c r="EN15" s="55">
        <v>95.183366404986302</v>
      </c>
      <c r="EO15" s="55">
        <v>95.183366404986302</v>
      </c>
      <c r="EP15" s="55">
        <v>95.183366404986302</v>
      </c>
      <c r="EQ15" s="55">
        <v>95.183366404986302</v>
      </c>
      <c r="ER15" s="55">
        <v>95.183366404986302</v>
      </c>
      <c r="ES15" s="511">
        <f>SUM(EN15:ER15)</f>
        <v>475.91683202493152</v>
      </c>
      <c r="ET15" s="1085">
        <f>EM15-ES15</f>
        <v>3979.4490252218743</v>
      </c>
      <c r="EU15" s="514">
        <v>132.28200000000001</v>
      </c>
      <c r="EV15" s="515">
        <v>106.27800000000001</v>
      </c>
      <c r="EW15" s="514">
        <f>EU15/EV15</f>
        <v>1.2446790492858353</v>
      </c>
      <c r="EX15" s="516">
        <f>ET15/CK15</f>
        <v>58.521309194439326</v>
      </c>
      <c r="EY15" s="516">
        <f>EX15*EW15</f>
        <v>72.840247491097145</v>
      </c>
      <c r="EZ15" s="516">
        <v>72.840247491097145</v>
      </c>
      <c r="FA15" s="516">
        <v>72.840247491097145</v>
      </c>
      <c r="FB15" s="516">
        <v>72.840247491097145</v>
      </c>
      <c r="FC15" s="516">
        <v>72.840247491097145</v>
      </c>
      <c r="FD15" s="516">
        <v>72.840247491097145</v>
      </c>
      <c r="FE15" s="516">
        <v>72.840247491097145</v>
      </c>
      <c r="FF15" s="516">
        <v>72.840247491097145</v>
      </c>
      <c r="FG15" s="516">
        <v>72.840247491097145</v>
      </c>
      <c r="FH15" s="516">
        <v>72.840247491097145</v>
      </c>
      <c r="FI15" s="516">
        <v>72.840247491097145</v>
      </c>
      <c r="FJ15" s="516">
        <v>72.840247491097145</v>
      </c>
      <c r="FK15" s="516">
        <v>72.840247491097145</v>
      </c>
      <c r="FL15" s="516">
        <v>72.840247491097145</v>
      </c>
      <c r="FM15" s="516">
        <v>72.840247491097145</v>
      </c>
      <c r="FN15" s="516">
        <v>72.840247491097145</v>
      </c>
      <c r="FO15" s="516">
        <v>72.840247491097145</v>
      </c>
      <c r="FP15" s="516">
        <v>72.840247491097145</v>
      </c>
      <c r="FQ15" s="516">
        <v>72.840247491097145</v>
      </c>
      <c r="FR15" s="516">
        <f>SUM(EZ15:FQ15)</f>
        <v>1311.1244548397485</v>
      </c>
      <c r="FS15" s="1085">
        <f>ET15-FR15</f>
        <v>2668.3245703821258</v>
      </c>
    </row>
    <row r="16" spans="1:175" s="16" customFormat="1" ht="15" x14ac:dyDescent="0.2">
      <c r="A16" s="9" t="s">
        <v>112</v>
      </c>
      <c r="B16" s="9" t="s">
        <v>30</v>
      </c>
      <c r="C16" s="45" t="s">
        <v>316</v>
      </c>
      <c r="D16" s="8">
        <v>10</v>
      </c>
      <c r="E16" s="25">
        <v>0.1</v>
      </c>
      <c r="F16" s="46">
        <v>42185</v>
      </c>
      <c r="G16" s="58">
        <v>120</v>
      </c>
      <c r="H16" s="145">
        <f>100/G16</f>
        <v>0.83333333333333337</v>
      </c>
      <c r="I16" s="165">
        <f>H16*J16</f>
        <v>54.166666666666671</v>
      </c>
      <c r="J16" s="48">
        <f>(YEAR(F16)-YEAR(S16))*12+MONTH(F16)-MONTH(S16)</f>
        <v>65</v>
      </c>
      <c r="K16" s="165">
        <f>L16*H16</f>
        <v>45.833333333333336</v>
      </c>
      <c r="L16" s="48">
        <f>G16-J16</f>
        <v>55</v>
      </c>
      <c r="M16" s="165">
        <f>N16*H16</f>
        <v>5.8333333333333339</v>
      </c>
      <c r="N16" s="48">
        <v>7</v>
      </c>
      <c r="O16" s="165">
        <f>P16*H16</f>
        <v>40</v>
      </c>
      <c r="P16" s="48">
        <f t="shared" si="0"/>
        <v>48</v>
      </c>
      <c r="Q16" s="48"/>
      <c r="R16" s="119" t="s">
        <v>508</v>
      </c>
      <c r="S16" s="46">
        <v>40179</v>
      </c>
      <c r="T16" s="47">
        <v>2599</v>
      </c>
      <c r="U16" s="14">
        <v>1191.19</v>
      </c>
      <c r="V16" s="106">
        <v>108.3</v>
      </c>
      <c r="W16" s="66"/>
      <c r="X16" s="57">
        <v>115.958</v>
      </c>
      <c r="Y16" s="80">
        <v>140.047</v>
      </c>
      <c r="Z16" s="57">
        <f>X16/Y16</f>
        <v>0.82799345933865065</v>
      </c>
      <c r="AA16" s="55">
        <f>U16*M16/100/K16*100/7</f>
        <v>21.657999999999998</v>
      </c>
      <c r="AB16" s="55">
        <f>AA16*Z16</f>
        <v>17.932682342356493</v>
      </c>
      <c r="AC16" s="55"/>
      <c r="AD16" s="55"/>
      <c r="AE16" s="55"/>
      <c r="AF16" s="55"/>
      <c r="AG16" s="55"/>
      <c r="AH16" s="55">
        <v>17.93</v>
      </c>
      <c r="AI16" s="55">
        <v>17.93</v>
      </c>
      <c r="AJ16" s="55">
        <v>17.93</v>
      </c>
      <c r="AK16" s="55">
        <v>17.93</v>
      </c>
      <c r="AL16" s="55">
        <v>17.93</v>
      </c>
      <c r="AM16" s="55">
        <v>17.93</v>
      </c>
      <c r="AN16" s="55">
        <v>17.93</v>
      </c>
      <c r="AO16" s="55">
        <f>SUM(AC16:AN16)</f>
        <v>125.51000000000002</v>
      </c>
      <c r="AP16" s="72">
        <f>U16-AO16</f>
        <v>1065.68</v>
      </c>
      <c r="AQ16" s="32"/>
      <c r="AR16" s="32"/>
      <c r="AS16" s="429">
        <f t="shared" ref="AS16:AW25" si="3">$AN16</f>
        <v>17.93</v>
      </c>
      <c r="AT16" s="429">
        <f t="shared" si="3"/>
        <v>17.93</v>
      </c>
      <c r="AU16" s="429">
        <f t="shared" si="3"/>
        <v>17.93</v>
      </c>
      <c r="AV16" s="429">
        <f t="shared" si="3"/>
        <v>17.93</v>
      </c>
      <c r="AW16" s="429">
        <f t="shared" si="3"/>
        <v>17.93</v>
      </c>
      <c r="AX16" s="57">
        <v>118.901</v>
      </c>
      <c r="AY16" s="80">
        <v>140.047</v>
      </c>
      <c r="AZ16" s="57">
        <f>AX16/AY16</f>
        <v>0.84900783308460726</v>
      </c>
      <c r="BA16" s="55">
        <f>T16/(D16*12)</f>
        <v>21.658333333333335</v>
      </c>
      <c r="BB16" s="55">
        <f>BA16*AZ16</f>
        <v>18.388094651557452</v>
      </c>
      <c r="BC16" s="429">
        <f t="shared" ref="BC16:BI18" si="4">$BB16</f>
        <v>18.388094651557452</v>
      </c>
      <c r="BD16" s="429">
        <f t="shared" si="4"/>
        <v>18.388094651557452</v>
      </c>
      <c r="BE16" s="429">
        <f t="shared" si="4"/>
        <v>18.388094651557452</v>
      </c>
      <c r="BF16" s="429">
        <f t="shared" si="4"/>
        <v>18.388094651557452</v>
      </c>
      <c r="BG16" s="429">
        <f t="shared" si="4"/>
        <v>18.388094651557452</v>
      </c>
      <c r="BH16" s="429">
        <f t="shared" si="4"/>
        <v>18.388094651557452</v>
      </c>
      <c r="BI16" s="429">
        <f t="shared" si="4"/>
        <v>18.388094651557452</v>
      </c>
      <c r="BJ16" s="429">
        <f>SUM((AS16:AW16),(BC16:BI16))</f>
        <v>218.36666256090217</v>
      </c>
      <c r="BK16" s="439">
        <f>(AP16-BJ16)</f>
        <v>847.31333743909795</v>
      </c>
      <c r="BL16" s="429">
        <f t="shared" si="2"/>
        <v>18.388094651557452</v>
      </c>
      <c r="BM16" s="429">
        <f t="shared" si="2"/>
        <v>18.388094651557452</v>
      </c>
      <c r="BN16" s="429">
        <f t="shared" si="2"/>
        <v>18.388094651557452</v>
      </c>
      <c r="BO16" s="429">
        <f t="shared" si="2"/>
        <v>18.388094651557452</v>
      </c>
      <c r="BP16" s="429">
        <f t="shared" si="2"/>
        <v>18.388094651557452</v>
      </c>
      <c r="BQ16" s="57">
        <v>118.901</v>
      </c>
      <c r="BR16" s="80">
        <v>140.047</v>
      </c>
      <c r="BS16" s="57">
        <f>BQ16/BR16</f>
        <v>0.84900783308460726</v>
      </c>
      <c r="BT16" s="55"/>
      <c r="BU16" s="55"/>
      <c r="BV16" s="429"/>
      <c r="BW16" s="429"/>
      <c r="BX16" s="429"/>
      <c r="BY16" s="429"/>
      <c r="BZ16" s="429"/>
      <c r="CA16" s="429"/>
      <c r="CB16" s="429"/>
      <c r="CC16" s="429">
        <f>SUM((BL16:BP16),(BV16:CB16))</f>
        <v>91.940473257787261</v>
      </c>
      <c r="CD16" s="439">
        <f>BK16-CC16</f>
        <v>755.37286418131066</v>
      </c>
      <c r="CE16" s="8">
        <v>10</v>
      </c>
      <c r="CF16" s="25">
        <v>0.1</v>
      </c>
      <c r="CG16" s="46">
        <v>43281</v>
      </c>
      <c r="CH16" s="58">
        <v>120</v>
      </c>
      <c r="CI16" s="145">
        <f>100/CH16</f>
        <v>0.83333333333333337</v>
      </c>
      <c r="CJ16" s="165">
        <f>CI16*CK16</f>
        <v>84.166666666666671</v>
      </c>
      <c r="CK16" s="48">
        <f>(YEAR(CG16)-YEAR(CT16))*12+MONTH(CG16)-MONTH(CT16)</f>
        <v>101</v>
      </c>
      <c r="CL16" s="165">
        <f>CM16*CI16</f>
        <v>15.833333333333334</v>
      </c>
      <c r="CM16" s="48">
        <f>CH16-CK16</f>
        <v>19</v>
      </c>
      <c r="CN16" s="165">
        <f>CO16*CI16</f>
        <v>0</v>
      </c>
      <c r="CO16" s="48"/>
      <c r="CP16" s="165">
        <f>CQ16*CI16</f>
        <v>15.833333333333334</v>
      </c>
      <c r="CQ16" s="48">
        <f>CM16-CO16</f>
        <v>19</v>
      </c>
      <c r="CR16" s="462">
        <f>DATE(YEAR(CT16),MONTH(CT16)+CH16,DAY(CT16))</f>
        <v>43831</v>
      </c>
      <c r="CS16" s="119" t="s">
        <v>508</v>
      </c>
      <c r="CT16" s="46">
        <v>40179</v>
      </c>
      <c r="CU16" s="47">
        <v>2599</v>
      </c>
      <c r="CV16" s="14">
        <v>1191.19</v>
      </c>
      <c r="CW16" s="106">
        <v>108.3</v>
      </c>
      <c r="CX16" s="66"/>
      <c r="CY16" s="57">
        <v>115.958</v>
      </c>
      <c r="CZ16" s="80">
        <v>140.047</v>
      </c>
      <c r="DA16" s="57">
        <f>CY16/CZ16</f>
        <v>0.82799345933865065</v>
      </c>
      <c r="DB16" s="55">
        <f>CV16*CN16/100/CL16*100/7</f>
        <v>0</v>
      </c>
      <c r="DC16" s="55">
        <f>DB16*DA16</f>
        <v>0</v>
      </c>
      <c r="DD16" s="55"/>
      <c r="DE16" s="55"/>
      <c r="DF16" s="55"/>
      <c r="DG16" s="55"/>
      <c r="DH16" s="55"/>
      <c r="DI16" s="55">
        <v>17.93</v>
      </c>
      <c r="DJ16" s="55">
        <v>17.93</v>
      </c>
      <c r="DK16" s="55">
        <v>17.93</v>
      </c>
      <c r="DL16" s="55">
        <v>17.93</v>
      </c>
      <c r="DM16" s="55">
        <v>17.93</v>
      </c>
      <c r="DN16" s="55">
        <v>17.93</v>
      </c>
      <c r="DO16" s="55">
        <v>17.93</v>
      </c>
      <c r="DP16" s="55">
        <f>SUM(DD16:DO16)</f>
        <v>125.51000000000002</v>
      </c>
      <c r="DQ16" s="72">
        <f>CV16-DP16</f>
        <v>1065.68</v>
      </c>
      <c r="DR16" s="32"/>
      <c r="DS16" s="32"/>
      <c r="DT16" s="429">
        <f t="shared" ref="DT16:DX25" si="5">$AN16</f>
        <v>17.93</v>
      </c>
      <c r="DU16" s="429">
        <f t="shared" si="5"/>
        <v>17.93</v>
      </c>
      <c r="DV16" s="429">
        <f t="shared" si="5"/>
        <v>17.93</v>
      </c>
      <c r="DW16" s="429">
        <f t="shared" si="5"/>
        <v>17.93</v>
      </c>
      <c r="DX16" s="429">
        <f t="shared" si="5"/>
        <v>17.93</v>
      </c>
      <c r="DY16" s="725">
        <v>755.37286418131066</v>
      </c>
      <c r="DZ16" s="57">
        <v>126.408</v>
      </c>
      <c r="EA16" s="80">
        <v>140.047</v>
      </c>
      <c r="EB16" s="57">
        <f>DZ16/EA16</f>
        <v>0.90261126621776977</v>
      </c>
      <c r="EC16" s="55">
        <f>DY16/CM16</f>
        <v>39.756466535858458</v>
      </c>
      <c r="ED16" s="55">
        <f>EC16*EB16</f>
        <v>35.884634600275596</v>
      </c>
      <c r="EE16" s="55">
        <v>21.993808303394715</v>
      </c>
      <c r="EF16" s="55">
        <v>21.993808303394715</v>
      </c>
      <c r="EG16" s="55">
        <v>21.993808303394715</v>
      </c>
      <c r="EH16" s="55">
        <v>21.993808303394715</v>
      </c>
      <c r="EI16" s="55">
        <v>21.993808303394715</v>
      </c>
      <c r="EJ16" s="55">
        <v>21.993808303394715</v>
      </c>
      <c r="EK16" s="55">
        <v>21.993808303394715</v>
      </c>
      <c r="EL16" s="429">
        <f>SUM(EE16:EK16)</f>
        <v>153.95665812376302</v>
      </c>
      <c r="EM16" s="439">
        <f>DY16-EL16</f>
        <v>601.4162060575477</v>
      </c>
      <c r="EN16" s="55">
        <v>21.993808303394715</v>
      </c>
      <c r="EO16" s="55">
        <v>21.993808303394715</v>
      </c>
      <c r="EP16" s="55">
        <v>21.993808303394715</v>
      </c>
      <c r="EQ16" s="55">
        <v>21.993808303394715</v>
      </c>
      <c r="ER16" s="55">
        <v>21.993808303394715</v>
      </c>
      <c r="ES16" s="511">
        <f>SUM(EN16:ER16)</f>
        <v>109.96904151697358</v>
      </c>
      <c r="ET16" s="1085">
        <f>EM16-ES16</f>
        <v>491.44716454057414</v>
      </c>
      <c r="EU16" s="514">
        <v>132.28200000000001</v>
      </c>
      <c r="EV16" s="515">
        <v>140.047</v>
      </c>
      <c r="EW16" s="514">
        <f>EU16/EV16</f>
        <v>0.9445543281898221</v>
      </c>
      <c r="EX16" s="516">
        <f>ET16/CK16</f>
        <v>4.865813510302714</v>
      </c>
      <c r="EY16" s="516">
        <f>EX16*EW16</f>
        <v>4.5960252113209403</v>
      </c>
      <c r="EZ16" s="516">
        <v>4.5960252113209403</v>
      </c>
      <c r="FA16" s="516">
        <v>4.5960252113209403</v>
      </c>
      <c r="FB16" s="516">
        <v>4.5960252113209403</v>
      </c>
      <c r="FC16" s="516">
        <v>4.5960252113209403</v>
      </c>
      <c r="FD16" s="516">
        <v>4.5960252113209403</v>
      </c>
      <c r="FE16" s="516">
        <v>4.5960252113209403</v>
      </c>
      <c r="FF16" s="516">
        <v>4.5960252113209403</v>
      </c>
      <c r="FG16" s="516">
        <v>4.5960252113209403</v>
      </c>
      <c r="FH16" s="516">
        <v>4.5960252113209403</v>
      </c>
      <c r="FI16" s="516">
        <v>4.5960252113209403</v>
      </c>
      <c r="FJ16" s="516">
        <v>4.5960252113209403</v>
      </c>
      <c r="FK16" s="516">
        <v>4.5960252113209403</v>
      </c>
      <c r="FL16" s="516">
        <v>4.5960252113209403</v>
      </c>
      <c r="FM16" s="516">
        <v>4.5960252113209403</v>
      </c>
      <c r="FN16" s="516">
        <v>4.5960252113209403</v>
      </c>
      <c r="FO16" s="516">
        <v>4.5960252113209403</v>
      </c>
      <c r="FP16" s="516">
        <v>4.5960252113209403</v>
      </c>
      <c r="FQ16" s="516">
        <v>4.5960252113209403</v>
      </c>
      <c r="FR16" s="516">
        <f t="shared" ref="FR16:FR44" si="6">SUM(EZ16:FQ16)</f>
        <v>82.728453803776915</v>
      </c>
      <c r="FS16" s="1085">
        <f>ET16-FR16</f>
        <v>408.71871073679722</v>
      </c>
    </row>
    <row r="17" spans="1:175" s="16" customFormat="1" ht="15" x14ac:dyDescent="0.2">
      <c r="A17" s="9" t="s">
        <v>112</v>
      </c>
      <c r="B17" s="9" t="s">
        <v>30</v>
      </c>
      <c r="C17" s="45" t="s">
        <v>316</v>
      </c>
      <c r="D17" s="4">
        <v>10</v>
      </c>
      <c r="E17" s="25">
        <v>0.1</v>
      </c>
      <c r="F17" s="46">
        <v>42185</v>
      </c>
      <c r="G17" s="58">
        <v>120</v>
      </c>
      <c r="H17" s="145">
        <f>100/G17</f>
        <v>0.83333333333333337</v>
      </c>
      <c r="I17" s="165">
        <f>H17*J17</f>
        <v>64.166666666666671</v>
      </c>
      <c r="J17" s="48">
        <f>(YEAR(F17)-YEAR(S17))*12+MONTH(F17)-MONTH(S17)</f>
        <v>77</v>
      </c>
      <c r="K17" s="165">
        <f>L17*H17</f>
        <v>35.833333333333336</v>
      </c>
      <c r="L17" s="48">
        <f>G17-J17</f>
        <v>43</v>
      </c>
      <c r="M17" s="165">
        <f>N17*H17</f>
        <v>5.8333333333333339</v>
      </c>
      <c r="N17" s="48">
        <v>7</v>
      </c>
      <c r="O17" s="165">
        <f>P17*H17</f>
        <v>30</v>
      </c>
      <c r="P17" s="48">
        <f t="shared" si="0"/>
        <v>36</v>
      </c>
      <c r="Q17" s="48"/>
      <c r="R17" s="119" t="s">
        <v>508</v>
      </c>
      <c r="S17" s="119">
        <v>39814</v>
      </c>
      <c r="T17" s="134">
        <v>799</v>
      </c>
      <c r="U17" s="14">
        <v>286.29000000000002</v>
      </c>
      <c r="V17" s="106">
        <v>33.299999999999997</v>
      </c>
      <c r="W17" s="66"/>
      <c r="X17" s="57">
        <v>115.958</v>
      </c>
      <c r="Y17" s="80">
        <v>134.071</v>
      </c>
      <c r="Z17" s="57">
        <f>X17/Y17</f>
        <v>0.8648999410759971</v>
      </c>
      <c r="AA17" s="55">
        <f>U17*M17/100/K17*100/7</f>
        <v>6.6579069767441874</v>
      </c>
      <c r="AB17" s="55">
        <f>AA17*Z17</f>
        <v>5.7584233518755177</v>
      </c>
      <c r="AC17" s="55"/>
      <c r="AD17" s="55"/>
      <c r="AE17" s="55"/>
      <c r="AF17" s="55"/>
      <c r="AG17" s="55"/>
      <c r="AH17" s="55">
        <v>5.76</v>
      </c>
      <c r="AI17" s="55">
        <v>5.76</v>
      </c>
      <c r="AJ17" s="55">
        <v>5.76</v>
      </c>
      <c r="AK17" s="55">
        <v>5.76</v>
      </c>
      <c r="AL17" s="55">
        <v>5.76</v>
      </c>
      <c r="AM17" s="55">
        <v>5.76</v>
      </c>
      <c r="AN17" s="55">
        <v>5.76</v>
      </c>
      <c r="AO17" s="55">
        <f>SUM(AC17:AN17)</f>
        <v>40.319999999999993</v>
      </c>
      <c r="AP17" s="72">
        <f>U17-AO17</f>
        <v>245.97000000000003</v>
      </c>
      <c r="AQ17" s="32"/>
      <c r="AR17" s="32"/>
      <c r="AS17" s="429">
        <f t="shared" si="3"/>
        <v>5.76</v>
      </c>
      <c r="AT17" s="429">
        <f t="shared" si="3"/>
        <v>5.76</v>
      </c>
      <c r="AU17" s="429">
        <f t="shared" si="3"/>
        <v>5.76</v>
      </c>
      <c r="AV17" s="429">
        <f t="shared" si="3"/>
        <v>5.76</v>
      </c>
      <c r="AW17" s="429">
        <f t="shared" si="3"/>
        <v>5.76</v>
      </c>
      <c r="AX17" s="57">
        <v>118.901</v>
      </c>
      <c r="AY17" s="80">
        <v>134.071</v>
      </c>
      <c r="AZ17" s="57">
        <f>AX17/AY17</f>
        <v>0.88685099685987279</v>
      </c>
      <c r="BA17" s="55">
        <f>T17/(D17*12)</f>
        <v>6.6583333333333332</v>
      </c>
      <c r="BB17" s="55">
        <f>BA17*AZ17</f>
        <v>5.9049495540919859</v>
      </c>
      <c r="BC17" s="429">
        <f t="shared" si="4"/>
        <v>5.9049495540919859</v>
      </c>
      <c r="BD17" s="429">
        <f t="shared" si="4"/>
        <v>5.9049495540919859</v>
      </c>
      <c r="BE17" s="429">
        <f t="shared" si="4"/>
        <v>5.9049495540919859</v>
      </c>
      <c r="BF17" s="429">
        <f t="shared" si="4"/>
        <v>5.9049495540919859</v>
      </c>
      <c r="BG17" s="429">
        <f t="shared" si="4"/>
        <v>5.9049495540919859</v>
      </c>
      <c r="BH17" s="429">
        <f t="shared" si="4"/>
        <v>5.9049495540919859</v>
      </c>
      <c r="BI17" s="429">
        <f t="shared" si="4"/>
        <v>5.9049495540919859</v>
      </c>
      <c r="BJ17" s="429">
        <f>SUM((AS17:AW17),(BC17:BI17))</f>
        <v>70.134646878643892</v>
      </c>
      <c r="BK17" s="439">
        <f>(AP17-BJ17)</f>
        <v>175.83535312135615</v>
      </c>
      <c r="BL17" s="429">
        <f t="shared" si="2"/>
        <v>5.9049495540919859</v>
      </c>
      <c r="BM17" s="429">
        <f t="shared" si="2"/>
        <v>5.9049495540919859</v>
      </c>
      <c r="BN17" s="429">
        <f t="shared" si="2"/>
        <v>5.9049495540919859</v>
      </c>
      <c r="BO17" s="429">
        <f t="shared" si="2"/>
        <v>5.9049495540919859</v>
      </c>
      <c r="BP17" s="429">
        <f t="shared" si="2"/>
        <v>5.9049495540919859</v>
      </c>
      <c r="BQ17" s="57">
        <v>118.901</v>
      </c>
      <c r="BR17" s="80">
        <v>134.071</v>
      </c>
      <c r="BS17" s="57">
        <f>BQ17/BR17</f>
        <v>0.88685099685987279</v>
      </c>
      <c r="BT17" s="55"/>
      <c r="BU17" s="55"/>
      <c r="BV17" s="429"/>
      <c r="BW17" s="429"/>
      <c r="BX17" s="429"/>
      <c r="BY17" s="429"/>
      <c r="BZ17" s="429"/>
      <c r="CA17" s="429"/>
      <c r="CB17" s="429"/>
      <c r="CC17" s="429">
        <f>SUM((BL17:BP17),(BV17:CB17))</f>
        <v>29.524747770459928</v>
      </c>
      <c r="CD17" s="439">
        <f>BK17-CC17</f>
        <v>146.31060535089622</v>
      </c>
      <c r="CE17" s="4">
        <v>10</v>
      </c>
      <c r="CF17" s="25">
        <v>0.1</v>
      </c>
      <c r="CG17" s="46">
        <v>43281</v>
      </c>
      <c r="CH17" s="58">
        <v>120</v>
      </c>
      <c r="CI17" s="145">
        <f>100/CH17</f>
        <v>0.83333333333333337</v>
      </c>
      <c r="CJ17" s="165">
        <f>CI17*CK17</f>
        <v>94.166666666666671</v>
      </c>
      <c r="CK17" s="48">
        <f>(YEAR(CG17)-YEAR(CT17))*12+MONTH(CG17)-MONTH(CT17)</f>
        <v>113</v>
      </c>
      <c r="CL17" s="165">
        <f>CM17*CI17</f>
        <v>5.8333333333333339</v>
      </c>
      <c r="CM17" s="48">
        <f>CH17-CK17</f>
        <v>7</v>
      </c>
      <c r="CN17" s="165">
        <f>CO17*CI17</f>
        <v>0</v>
      </c>
      <c r="CO17" s="48"/>
      <c r="CP17" s="165">
        <f>CQ17*CI17</f>
        <v>5.8333333333333339</v>
      </c>
      <c r="CQ17" s="48">
        <f>CM17-CO17</f>
        <v>7</v>
      </c>
      <c r="CR17" s="462">
        <f>DATE(YEAR(CT17),MONTH(CT17)+CH17,DAY(CT17))</f>
        <v>43466</v>
      </c>
      <c r="CS17" s="119" t="s">
        <v>508</v>
      </c>
      <c r="CT17" s="119">
        <v>39814</v>
      </c>
      <c r="CU17" s="134">
        <v>799</v>
      </c>
      <c r="CV17" s="14">
        <v>286.29000000000002</v>
      </c>
      <c r="CW17" s="106">
        <v>33.299999999999997</v>
      </c>
      <c r="CX17" s="66"/>
      <c r="CY17" s="57">
        <v>115.958</v>
      </c>
      <c r="CZ17" s="80">
        <v>134.071</v>
      </c>
      <c r="DA17" s="57">
        <f>CY17/CZ17</f>
        <v>0.8648999410759971</v>
      </c>
      <c r="DB17" s="55">
        <f>CV17*CN17/100/CL17*100/7</f>
        <v>0</v>
      </c>
      <c r="DC17" s="55">
        <f>DB17*DA17</f>
        <v>0</v>
      </c>
      <c r="DD17" s="55"/>
      <c r="DE17" s="55"/>
      <c r="DF17" s="55"/>
      <c r="DG17" s="55"/>
      <c r="DH17" s="55"/>
      <c r="DI17" s="55">
        <v>5.76</v>
      </c>
      <c r="DJ17" s="55">
        <v>5.76</v>
      </c>
      <c r="DK17" s="55">
        <v>5.76</v>
      </c>
      <c r="DL17" s="55">
        <v>5.76</v>
      </c>
      <c r="DM17" s="55">
        <v>5.76</v>
      </c>
      <c r="DN17" s="55">
        <v>5.76</v>
      </c>
      <c r="DO17" s="55">
        <v>5.76</v>
      </c>
      <c r="DP17" s="55">
        <f>SUM(DD17:DO17)</f>
        <v>40.319999999999993</v>
      </c>
      <c r="DQ17" s="72">
        <f>CV17-DP17</f>
        <v>245.97000000000003</v>
      </c>
      <c r="DR17" s="32"/>
      <c r="DS17" s="32"/>
      <c r="DT17" s="429">
        <f t="shared" si="5"/>
        <v>5.76</v>
      </c>
      <c r="DU17" s="429">
        <f t="shared" si="5"/>
        <v>5.76</v>
      </c>
      <c r="DV17" s="429">
        <f t="shared" si="5"/>
        <v>5.76</v>
      </c>
      <c r="DW17" s="429">
        <f t="shared" si="5"/>
        <v>5.76</v>
      </c>
      <c r="DX17" s="429">
        <f t="shared" si="5"/>
        <v>5.76</v>
      </c>
      <c r="DY17" s="725">
        <v>146.31060535089622</v>
      </c>
      <c r="DZ17" s="57">
        <v>126.408</v>
      </c>
      <c r="EA17" s="80">
        <v>134.071</v>
      </c>
      <c r="EB17" s="57">
        <f>DZ17/EA17</f>
        <v>0.94284371713495085</v>
      </c>
      <c r="EC17" s="55">
        <f>DY17/CM17</f>
        <v>20.901515050128033</v>
      </c>
      <c r="ED17" s="55">
        <f>EC17*EB17</f>
        <v>19.706862143614835</v>
      </c>
      <c r="EE17" s="55">
        <v>7.2604228950159904</v>
      </c>
      <c r="EF17" s="55">
        <v>7.2604228950159904</v>
      </c>
      <c r="EG17" s="55">
        <v>7.2604228950159904</v>
      </c>
      <c r="EH17" s="55">
        <v>7.2604228950159904</v>
      </c>
      <c r="EI17" s="55">
        <v>7.2604228950159904</v>
      </c>
      <c r="EJ17" s="55">
        <v>7.2604228950159904</v>
      </c>
      <c r="EK17" s="55">
        <v>7.2604228950159904</v>
      </c>
      <c r="EL17" s="429">
        <f>SUM(EE17:EK17)</f>
        <v>50.822960265111938</v>
      </c>
      <c r="EM17" s="439">
        <f>DY17-EL17</f>
        <v>95.487645085784294</v>
      </c>
      <c r="EN17" s="55">
        <v>7.2604228950159904</v>
      </c>
      <c r="EO17" s="55">
        <v>7.2604228950159904</v>
      </c>
      <c r="EP17" s="55">
        <v>7.2604228950159904</v>
      </c>
      <c r="EQ17" s="55">
        <v>7.2604228950159904</v>
      </c>
      <c r="ER17" s="55">
        <v>7.2604228950159904</v>
      </c>
      <c r="ES17" s="511">
        <f>SUM(EN17:ER17)</f>
        <v>36.302114475079954</v>
      </c>
      <c r="ET17" s="1085">
        <f>EM17-ES17</f>
        <v>59.18553061070434</v>
      </c>
      <c r="EU17" s="514">
        <v>132.28200000000001</v>
      </c>
      <c r="EV17" s="515">
        <v>134.071</v>
      </c>
      <c r="EW17" s="514">
        <f>EU17/EV17</f>
        <v>0.98665632388808922</v>
      </c>
      <c r="EX17" s="516">
        <f>ET17/CK17</f>
        <v>0.52376575761685262</v>
      </c>
      <c r="EY17" s="516">
        <f>EX17*EW17</f>
        <v>0.51677679698870382</v>
      </c>
      <c r="EZ17" s="516">
        <v>0.51677679698870382</v>
      </c>
      <c r="FA17" s="516">
        <v>0.51677679698870382</v>
      </c>
      <c r="FB17" s="516">
        <v>0.51677679698870382</v>
      </c>
      <c r="FC17" s="516">
        <v>0.51677679698870382</v>
      </c>
      <c r="FD17" s="516">
        <v>0.51677679698870382</v>
      </c>
      <c r="FE17" s="516">
        <v>0.51677679698870382</v>
      </c>
      <c r="FF17" s="516">
        <v>0.51677679698870382</v>
      </c>
      <c r="FG17" s="516">
        <v>0.51677679698870382</v>
      </c>
      <c r="FH17" s="516">
        <v>0.51677679698870382</v>
      </c>
      <c r="FI17" s="516">
        <v>0.51677679698870382</v>
      </c>
      <c r="FJ17" s="516">
        <v>0.51677679698870382</v>
      </c>
      <c r="FK17" s="516">
        <v>0.51677679698870382</v>
      </c>
      <c r="FL17" s="516">
        <v>0.51677679698870382</v>
      </c>
      <c r="FM17" s="516">
        <v>0.51677679698870382</v>
      </c>
      <c r="FN17" s="516">
        <v>0.51677679698870382</v>
      </c>
      <c r="FO17" s="516">
        <v>0.51677679698870382</v>
      </c>
      <c r="FP17" s="516">
        <v>0.51677679698870382</v>
      </c>
      <c r="FQ17" s="516">
        <v>0.51677679698870382</v>
      </c>
      <c r="FR17" s="516">
        <f t="shared" si="6"/>
        <v>9.3019823457966684</v>
      </c>
      <c r="FS17" s="1085">
        <f>ET17-FR17</f>
        <v>49.883548264907674</v>
      </c>
    </row>
    <row r="18" spans="1:175" s="35" customFormat="1" ht="15" x14ac:dyDescent="0.2">
      <c r="A18" s="100" t="s">
        <v>112</v>
      </c>
      <c r="B18" s="100" t="s">
        <v>31</v>
      </c>
      <c r="C18" s="100" t="s">
        <v>316</v>
      </c>
      <c r="D18" s="8">
        <v>10</v>
      </c>
      <c r="E18" s="130">
        <v>0.1</v>
      </c>
      <c r="F18" s="119">
        <v>42185</v>
      </c>
      <c r="G18" s="8">
        <v>120</v>
      </c>
      <c r="H18" s="146">
        <f>100/G18</f>
        <v>0.83333333333333337</v>
      </c>
      <c r="I18" s="1167">
        <f>H18*J18</f>
        <v>84.166666666666671</v>
      </c>
      <c r="J18" s="125">
        <f>(YEAR(F18)-YEAR(S18))*12+MONTH(F18)-MONTH(S18)</f>
        <v>101</v>
      </c>
      <c r="K18" s="1167">
        <f>L18*H18</f>
        <v>15.833333333333334</v>
      </c>
      <c r="L18" s="125">
        <f>G18-J18</f>
        <v>19</v>
      </c>
      <c r="M18" s="1167">
        <f>N18*H18</f>
        <v>5.8333333333333339</v>
      </c>
      <c r="N18" s="125">
        <v>7</v>
      </c>
      <c r="O18" s="1167">
        <f>P18*H18</f>
        <v>10</v>
      </c>
      <c r="P18" s="125">
        <f t="shared" si="0"/>
        <v>12</v>
      </c>
      <c r="Q18" s="125"/>
      <c r="R18" s="119" t="s">
        <v>508</v>
      </c>
      <c r="S18" s="119">
        <v>39083</v>
      </c>
      <c r="T18" s="134">
        <v>430</v>
      </c>
      <c r="U18" s="134">
        <v>68.12</v>
      </c>
      <c r="V18" s="7">
        <v>17.899999999999999</v>
      </c>
      <c r="W18" s="1167">
        <v>0</v>
      </c>
      <c r="X18" s="64">
        <v>115.958</v>
      </c>
      <c r="Y18" s="82">
        <v>121.64</v>
      </c>
      <c r="Z18" s="64">
        <f>X18/Y18</f>
        <v>0.95328839197632353</v>
      </c>
      <c r="AA18" s="62">
        <f>U18*M18/100/K18*100/7</f>
        <v>3.5852631578947372</v>
      </c>
      <c r="AB18" s="62">
        <f>AA18*Z18</f>
        <v>3.4177897506014299</v>
      </c>
      <c r="AC18" s="62"/>
      <c r="AD18" s="62"/>
      <c r="AE18" s="62"/>
      <c r="AF18" s="62"/>
      <c r="AG18" s="62"/>
      <c r="AH18" s="62">
        <v>3.42</v>
      </c>
      <c r="AI18" s="62">
        <v>3.42</v>
      </c>
      <c r="AJ18" s="62">
        <v>3.42</v>
      </c>
      <c r="AK18" s="62">
        <v>3.42</v>
      </c>
      <c r="AL18" s="62">
        <v>3.42</v>
      </c>
      <c r="AM18" s="62">
        <v>3.42</v>
      </c>
      <c r="AN18" s="62">
        <v>3.42</v>
      </c>
      <c r="AO18" s="62">
        <f>SUM(AC18:AN18)</f>
        <v>23.940000000000005</v>
      </c>
      <c r="AP18" s="1169">
        <f>U18-AO18</f>
        <v>44.18</v>
      </c>
      <c r="AQ18" s="509"/>
      <c r="AR18" s="509"/>
      <c r="AS18" s="510">
        <f t="shared" si="3"/>
        <v>3.42</v>
      </c>
      <c r="AT18" s="510">
        <f t="shared" si="3"/>
        <v>3.42</v>
      </c>
      <c r="AU18" s="510">
        <f t="shared" si="3"/>
        <v>3.42</v>
      </c>
      <c r="AV18" s="510">
        <f t="shared" si="3"/>
        <v>3.42</v>
      </c>
      <c r="AW18" s="510">
        <f t="shared" si="3"/>
        <v>3.42</v>
      </c>
      <c r="AX18" s="64">
        <v>118.901</v>
      </c>
      <c r="AY18" s="82">
        <v>121.64</v>
      </c>
      <c r="AZ18" s="64">
        <f>AX18/AY18</f>
        <v>0.97748273594212431</v>
      </c>
      <c r="BA18" s="62">
        <f>T18/(D18*12)</f>
        <v>3.5833333333333335</v>
      </c>
      <c r="BB18" s="62">
        <f>BA18*AZ18</f>
        <v>3.502646470459279</v>
      </c>
      <c r="BC18" s="510">
        <f t="shared" si="4"/>
        <v>3.502646470459279</v>
      </c>
      <c r="BD18" s="510">
        <f t="shared" si="4"/>
        <v>3.502646470459279</v>
      </c>
      <c r="BE18" s="510">
        <f t="shared" si="4"/>
        <v>3.502646470459279</v>
      </c>
      <c r="BF18" s="510">
        <f t="shared" si="4"/>
        <v>3.502646470459279</v>
      </c>
      <c r="BG18" s="510">
        <f t="shared" si="4"/>
        <v>3.502646470459279</v>
      </c>
      <c r="BH18" s="510">
        <f t="shared" si="4"/>
        <v>3.502646470459279</v>
      </c>
      <c r="BI18" s="510">
        <f t="shared" si="4"/>
        <v>3.502646470459279</v>
      </c>
      <c r="BJ18" s="510">
        <f>SUM((AS18:AW18),(BC18:BI18))</f>
        <v>41.618525293214958</v>
      </c>
      <c r="BK18" s="439">
        <f>(AP18-BJ18)</f>
        <v>2.5614747067850416</v>
      </c>
      <c r="BL18" s="510">
        <v>1.56</v>
      </c>
      <c r="BM18" s="510">
        <v>0</v>
      </c>
      <c r="BN18" s="510">
        <v>0</v>
      </c>
      <c r="BO18" s="510">
        <v>0</v>
      </c>
      <c r="BP18" s="510">
        <v>0</v>
      </c>
      <c r="BQ18" s="64">
        <v>118.901</v>
      </c>
      <c r="BR18" s="82">
        <v>121.64</v>
      </c>
      <c r="BS18" s="64">
        <f>BQ18/BR18</f>
        <v>0.97748273594212431</v>
      </c>
      <c r="BT18" s="62"/>
      <c r="BU18" s="62"/>
      <c r="BV18" s="510"/>
      <c r="BW18" s="510"/>
      <c r="BX18" s="510"/>
      <c r="BY18" s="510"/>
      <c r="BZ18" s="510"/>
      <c r="CA18" s="510"/>
      <c r="CB18" s="510"/>
      <c r="CC18" s="510">
        <f>SUM((BL18:BP18),(BV18:CB18))</f>
        <v>1.56</v>
      </c>
      <c r="CD18" s="439">
        <f>BK18-CC18</f>
        <v>1.0014747067850416</v>
      </c>
      <c r="CE18" s="8">
        <v>10</v>
      </c>
      <c r="CF18" s="130">
        <v>0.1</v>
      </c>
      <c r="CG18" s="119">
        <v>43281</v>
      </c>
      <c r="CH18" s="8">
        <v>120</v>
      </c>
      <c r="CI18" s="146">
        <f>100/CH18</f>
        <v>0.83333333333333337</v>
      </c>
      <c r="CJ18" s="1167">
        <f>CI18*CK18</f>
        <v>114.16666666666667</v>
      </c>
      <c r="CK18" s="125">
        <f>(YEAR(CG18)-YEAR(CT18))*12+MONTH(CG18)-MONTH(CT18)</f>
        <v>137</v>
      </c>
      <c r="CL18" s="1167">
        <f>CM18*CI18</f>
        <v>-14.166666666666668</v>
      </c>
      <c r="CM18" s="125">
        <f>CH18-CK18</f>
        <v>-17</v>
      </c>
      <c r="CN18" s="1167">
        <f>CO18*CI18</f>
        <v>0</v>
      </c>
      <c r="CO18" s="125"/>
      <c r="CP18" s="1167">
        <f>CQ18*CI18</f>
        <v>-14.166666666666668</v>
      </c>
      <c r="CQ18" s="125">
        <f>CM18-CO18</f>
        <v>-17</v>
      </c>
      <c r="CR18" s="367">
        <f>DATE(YEAR(CT18),MONTH(CT18)+CH18,DAY(CT18))</f>
        <v>42736</v>
      </c>
      <c r="CS18" s="119" t="s">
        <v>508</v>
      </c>
      <c r="CT18" s="119">
        <v>39083</v>
      </c>
      <c r="CU18" s="134">
        <v>430</v>
      </c>
      <c r="CV18" s="134">
        <v>68.12</v>
      </c>
      <c r="CW18" s="7">
        <v>17.899999999999999</v>
      </c>
      <c r="CX18" s="1167">
        <v>0</v>
      </c>
      <c r="CY18" s="64">
        <v>115.958</v>
      </c>
      <c r="CZ18" s="82">
        <v>121.64</v>
      </c>
      <c r="DA18" s="64">
        <f>CY18/CZ18</f>
        <v>0.95328839197632353</v>
      </c>
      <c r="DB18" s="62">
        <f>CV18*CN18/100/CL18*100/7</f>
        <v>0</v>
      </c>
      <c r="DC18" s="62">
        <f>DB18*DA18</f>
        <v>0</v>
      </c>
      <c r="DD18" s="62"/>
      <c r="DE18" s="62"/>
      <c r="DF18" s="62"/>
      <c r="DG18" s="62"/>
      <c r="DH18" s="62"/>
      <c r="DI18" s="62">
        <v>3.42</v>
      </c>
      <c r="DJ18" s="62">
        <v>3.42</v>
      </c>
      <c r="DK18" s="62">
        <v>3.42</v>
      </c>
      <c r="DL18" s="62">
        <v>3.42</v>
      </c>
      <c r="DM18" s="62">
        <v>3.42</v>
      </c>
      <c r="DN18" s="62">
        <v>3.42</v>
      </c>
      <c r="DO18" s="62">
        <v>3.42</v>
      </c>
      <c r="DP18" s="62">
        <f>SUM(DD18:DO18)</f>
        <v>23.940000000000005</v>
      </c>
      <c r="DQ18" s="1169">
        <f>CV18-DP18</f>
        <v>44.18</v>
      </c>
      <c r="DR18" s="509"/>
      <c r="DS18" s="509"/>
      <c r="DT18" s="510">
        <f t="shared" si="5"/>
        <v>3.42</v>
      </c>
      <c r="DU18" s="510">
        <f t="shared" si="5"/>
        <v>3.42</v>
      </c>
      <c r="DV18" s="510">
        <f t="shared" si="5"/>
        <v>3.42</v>
      </c>
      <c r="DW18" s="510">
        <f t="shared" si="5"/>
        <v>3.42</v>
      </c>
      <c r="DX18" s="510">
        <f t="shared" si="5"/>
        <v>3.42</v>
      </c>
      <c r="DY18" s="960">
        <v>1.0014747067850416</v>
      </c>
      <c r="DZ18" s="64">
        <v>126.408</v>
      </c>
      <c r="EA18" s="82">
        <v>121.64</v>
      </c>
      <c r="EB18" s="64">
        <f>DZ18/EA18</f>
        <v>1.039197632357777</v>
      </c>
      <c r="EC18" s="62">
        <v>0</v>
      </c>
      <c r="ED18" s="62">
        <f>EC18*EB18</f>
        <v>0</v>
      </c>
      <c r="EE18" s="62">
        <v>0</v>
      </c>
      <c r="EF18" s="62">
        <v>0</v>
      </c>
      <c r="EG18" s="62">
        <v>0</v>
      </c>
      <c r="EH18" s="62">
        <v>0</v>
      </c>
      <c r="EI18" s="62">
        <v>0</v>
      </c>
      <c r="EJ18" s="62">
        <v>0</v>
      </c>
      <c r="EK18" s="62">
        <v>0</v>
      </c>
      <c r="EL18" s="510">
        <f>SUM(EE18:EK18)</f>
        <v>0</v>
      </c>
      <c r="EM18" s="439">
        <f>DY18-EL18</f>
        <v>1.0014747067850416</v>
      </c>
      <c r="EN18" s="62">
        <v>0</v>
      </c>
      <c r="EO18" s="62">
        <v>0</v>
      </c>
      <c r="EP18" s="62">
        <v>0</v>
      </c>
      <c r="EQ18" s="62">
        <v>0</v>
      </c>
      <c r="ER18" s="62">
        <v>0</v>
      </c>
      <c r="ES18" s="510">
        <f>SUM(EN18:ER18)</f>
        <v>0</v>
      </c>
      <c r="ET18" s="1085">
        <f>EM18-ES18</f>
        <v>1.0014747067850416</v>
      </c>
      <c r="EU18" s="1190">
        <v>132.28200000000001</v>
      </c>
      <c r="EV18" s="690">
        <v>121.64</v>
      </c>
      <c r="EW18" s="1190">
        <f>EU18/EV18</f>
        <v>1.0874876685300889</v>
      </c>
      <c r="EX18" s="538">
        <v>0</v>
      </c>
      <c r="EY18" s="538">
        <f>EX18*EW18</f>
        <v>0</v>
      </c>
      <c r="EZ18" s="538">
        <v>0</v>
      </c>
      <c r="FA18" s="538">
        <v>0</v>
      </c>
      <c r="FB18" s="538">
        <v>0</v>
      </c>
      <c r="FC18" s="538">
        <v>0</v>
      </c>
      <c r="FD18" s="538">
        <v>0</v>
      </c>
      <c r="FE18" s="538">
        <v>0</v>
      </c>
      <c r="FF18" s="538">
        <v>0</v>
      </c>
      <c r="FG18" s="538">
        <v>0</v>
      </c>
      <c r="FH18" s="538">
        <v>0</v>
      </c>
      <c r="FI18" s="538">
        <v>0</v>
      </c>
      <c r="FJ18" s="538">
        <v>0</v>
      </c>
      <c r="FK18" s="538">
        <v>0</v>
      </c>
      <c r="FL18" s="538">
        <v>0</v>
      </c>
      <c r="FM18" s="538">
        <v>0</v>
      </c>
      <c r="FN18" s="538">
        <v>0</v>
      </c>
      <c r="FO18" s="538">
        <v>0</v>
      </c>
      <c r="FP18" s="538">
        <v>0</v>
      </c>
      <c r="FQ18" s="538">
        <v>0</v>
      </c>
      <c r="FR18" s="538">
        <f t="shared" si="6"/>
        <v>0</v>
      </c>
      <c r="FS18" s="1085">
        <f>ET18-FR18</f>
        <v>1.0014747067850416</v>
      </c>
    </row>
    <row r="19" spans="1:175" s="16" customFormat="1" ht="15" x14ac:dyDescent="0.2">
      <c r="A19" s="26" t="s">
        <v>71</v>
      </c>
      <c r="B19" s="26" t="s">
        <v>26</v>
      </c>
      <c r="C19" s="45"/>
      <c r="D19" s="58"/>
      <c r="E19" s="53"/>
      <c r="F19" s="46"/>
      <c r="G19" s="58"/>
      <c r="H19" s="145"/>
      <c r="I19" s="165"/>
      <c r="J19" s="48"/>
      <c r="K19" s="165"/>
      <c r="L19" s="48"/>
      <c r="M19" s="165"/>
      <c r="N19" s="48"/>
      <c r="O19" s="165"/>
      <c r="P19" s="48"/>
      <c r="Q19" s="48"/>
      <c r="R19" s="46"/>
      <c r="S19" s="119"/>
      <c r="T19" s="134"/>
      <c r="U19" s="47"/>
      <c r="V19" s="106"/>
      <c r="W19" s="165"/>
      <c r="X19" s="57"/>
      <c r="Y19" s="80"/>
      <c r="Z19" s="57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72"/>
      <c r="AQ19" s="32"/>
      <c r="AR19" s="32"/>
      <c r="AS19" s="429">
        <f t="shared" si="3"/>
        <v>0</v>
      </c>
      <c r="AT19" s="429">
        <f t="shared" si="3"/>
        <v>0</v>
      </c>
      <c r="AU19" s="429">
        <f t="shared" si="3"/>
        <v>0</v>
      </c>
      <c r="AV19" s="429">
        <f t="shared" si="3"/>
        <v>0</v>
      </c>
      <c r="AW19" s="429">
        <f t="shared" si="3"/>
        <v>0</v>
      </c>
      <c r="AX19" s="57"/>
      <c r="AY19" s="80"/>
      <c r="AZ19" s="57"/>
      <c r="BA19" s="55"/>
      <c r="BB19" s="55"/>
      <c r="BC19" s="429"/>
      <c r="BD19" s="429"/>
      <c r="BE19" s="429"/>
      <c r="BF19" s="429"/>
      <c r="BG19" s="429"/>
      <c r="BH19" s="429"/>
      <c r="BI19" s="429"/>
      <c r="BJ19" s="429"/>
      <c r="BK19" s="439"/>
      <c r="BL19" s="429"/>
      <c r="BM19" s="429"/>
      <c r="BN19" s="429"/>
      <c r="BO19" s="429"/>
      <c r="BP19" s="429"/>
      <c r="BQ19" s="57"/>
      <c r="BR19" s="80"/>
      <c r="BS19" s="57"/>
      <c r="BT19" s="55"/>
      <c r="BU19" s="55"/>
      <c r="BV19" s="429"/>
      <c r="BW19" s="429"/>
      <c r="BX19" s="429"/>
      <c r="BY19" s="429"/>
      <c r="BZ19" s="429"/>
      <c r="CA19" s="429"/>
      <c r="CB19" s="429"/>
      <c r="CC19" s="429"/>
      <c r="CD19" s="439"/>
      <c r="CE19" s="58"/>
      <c r="CF19" s="53"/>
      <c r="CG19" s="46"/>
      <c r="CH19" s="58"/>
      <c r="CI19" s="145"/>
      <c r="CJ19" s="165"/>
      <c r="CK19" s="48"/>
      <c r="CL19" s="165"/>
      <c r="CM19" s="48"/>
      <c r="CN19" s="165"/>
      <c r="CO19" s="48"/>
      <c r="CP19" s="165"/>
      <c r="CQ19" s="48"/>
      <c r="CR19" s="48"/>
      <c r="CS19" s="46"/>
      <c r="CT19" s="119"/>
      <c r="CU19" s="134"/>
      <c r="CV19" s="47"/>
      <c r="CW19" s="106"/>
      <c r="CX19" s="165"/>
      <c r="CY19" s="57"/>
      <c r="CZ19" s="80"/>
      <c r="DA19" s="57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72"/>
      <c r="DR19" s="32"/>
      <c r="DS19" s="32"/>
      <c r="DT19" s="429">
        <f t="shared" si="5"/>
        <v>0</v>
      </c>
      <c r="DU19" s="429">
        <f t="shared" si="5"/>
        <v>0</v>
      </c>
      <c r="DV19" s="429">
        <f t="shared" si="5"/>
        <v>0</v>
      </c>
      <c r="DW19" s="429">
        <f t="shared" si="5"/>
        <v>0</v>
      </c>
      <c r="DX19" s="429">
        <f t="shared" si="5"/>
        <v>0</v>
      </c>
      <c r="DY19" s="725"/>
      <c r="DZ19" s="57"/>
      <c r="EA19" s="80"/>
      <c r="EB19" s="57"/>
      <c r="EC19" s="55"/>
      <c r="ED19" s="55"/>
      <c r="EE19" s="55"/>
      <c r="EF19" s="55"/>
      <c r="EG19" s="55"/>
      <c r="EH19" s="55"/>
      <c r="EI19" s="55"/>
      <c r="EJ19" s="55"/>
      <c r="EK19" s="55"/>
      <c r="EL19" s="429"/>
      <c r="EM19" s="439"/>
      <c r="EN19" s="55"/>
      <c r="EO19" s="55"/>
      <c r="EP19" s="55"/>
      <c r="EQ19" s="55"/>
      <c r="ER19" s="55"/>
      <c r="ES19" s="511"/>
      <c r="ET19" s="1085"/>
      <c r="EU19" s="514"/>
      <c r="EV19" s="515"/>
      <c r="EW19" s="514"/>
      <c r="EX19" s="516"/>
      <c r="EY19" s="516"/>
      <c r="EZ19" s="516"/>
      <c r="FA19" s="516"/>
      <c r="FB19" s="516"/>
      <c r="FC19" s="516"/>
      <c r="FD19" s="516"/>
      <c r="FE19" s="516"/>
      <c r="FF19" s="516"/>
      <c r="FG19" s="516"/>
      <c r="FH19" s="516"/>
      <c r="FI19" s="516"/>
      <c r="FJ19" s="516"/>
      <c r="FK19" s="516"/>
      <c r="FL19" s="516"/>
      <c r="FM19" s="516"/>
      <c r="FN19" s="516"/>
      <c r="FO19" s="516"/>
      <c r="FP19" s="516"/>
      <c r="FQ19" s="516"/>
      <c r="FR19" s="516">
        <f t="shared" si="6"/>
        <v>0</v>
      </c>
      <c r="FS19" s="1085"/>
    </row>
    <row r="20" spans="1:175" s="16" customFormat="1" ht="15" x14ac:dyDescent="0.2">
      <c r="A20" s="26" t="s">
        <v>76</v>
      </c>
      <c r="B20" s="28"/>
      <c r="C20" s="29"/>
      <c r="D20" s="27"/>
      <c r="E20" s="25"/>
      <c r="F20" s="46"/>
      <c r="G20" s="67"/>
      <c r="H20" s="145"/>
      <c r="I20" s="165"/>
      <c r="J20" s="48"/>
      <c r="K20" s="165"/>
      <c r="L20" s="48"/>
      <c r="M20" s="165"/>
      <c r="N20" s="48"/>
      <c r="O20" s="165"/>
      <c r="P20" s="48"/>
      <c r="Q20" s="48"/>
      <c r="R20" s="46"/>
      <c r="S20" s="132"/>
      <c r="T20" s="133"/>
      <c r="U20" s="47"/>
      <c r="V20" s="106"/>
      <c r="W20" s="165"/>
      <c r="X20" s="57"/>
      <c r="Y20" s="83"/>
      <c r="Z20" s="57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72"/>
      <c r="AQ20" s="32"/>
      <c r="AR20" s="32"/>
      <c r="AS20" s="429">
        <f t="shared" si="3"/>
        <v>0</v>
      </c>
      <c r="AT20" s="429">
        <f t="shared" si="3"/>
        <v>0</v>
      </c>
      <c r="AU20" s="429">
        <f t="shared" si="3"/>
        <v>0</v>
      </c>
      <c r="AV20" s="429">
        <f t="shared" si="3"/>
        <v>0</v>
      </c>
      <c r="AW20" s="429">
        <f t="shared" si="3"/>
        <v>0</v>
      </c>
      <c r="AX20" s="57"/>
      <c r="AY20" s="83"/>
      <c r="AZ20" s="57"/>
      <c r="BA20" s="55"/>
      <c r="BB20" s="55"/>
      <c r="BC20" s="429"/>
      <c r="BD20" s="429"/>
      <c r="BE20" s="429"/>
      <c r="BF20" s="429"/>
      <c r="BG20" s="429"/>
      <c r="BH20" s="429"/>
      <c r="BI20" s="429"/>
      <c r="BJ20" s="429"/>
      <c r="BK20" s="439"/>
      <c r="BL20" s="429"/>
      <c r="BM20" s="429"/>
      <c r="BN20" s="429"/>
      <c r="BO20" s="429"/>
      <c r="BP20" s="429"/>
      <c r="BQ20" s="57"/>
      <c r="BR20" s="83"/>
      <c r="BS20" s="57"/>
      <c r="BT20" s="55"/>
      <c r="BU20" s="55"/>
      <c r="BV20" s="429"/>
      <c r="BW20" s="429"/>
      <c r="BX20" s="429"/>
      <c r="BY20" s="429"/>
      <c r="BZ20" s="429"/>
      <c r="CA20" s="429"/>
      <c r="CB20" s="429"/>
      <c r="CC20" s="429"/>
      <c r="CD20" s="439"/>
      <c r="CE20" s="27"/>
      <c r="CF20" s="25"/>
      <c r="CG20" s="46"/>
      <c r="CH20" s="67"/>
      <c r="CI20" s="145"/>
      <c r="CJ20" s="165"/>
      <c r="CK20" s="48"/>
      <c r="CL20" s="165"/>
      <c r="CM20" s="48"/>
      <c r="CN20" s="165"/>
      <c r="CO20" s="48"/>
      <c r="CP20" s="165"/>
      <c r="CQ20" s="48"/>
      <c r="CR20" s="48"/>
      <c r="CS20" s="46"/>
      <c r="CT20" s="132"/>
      <c r="CU20" s="133"/>
      <c r="CV20" s="47"/>
      <c r="CW20" s="106"/>
      <c r="CX20" s="165"/>
      <c r="CY20" s="57"/>
      <c r="CZ20" s="83"/>
      <c r="DA20" s="57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72"/>
      <c r="DR20" s="32"/>
      <c r="DS20" s="32"/>
      <c r="DT20" s="429">
        <f t="shared" si="5"/>
        <v>0</v>
      </c>
      <c r="DU20" s="429">
        <f t="shared" si="5"/>
        <v>0</v>
      </c>
      <c r="DV20" s="429">
        <f t="shared" si="5"/>
        <v>0</v>
      </c>
      <c r="DW20" s="429">
        <f t="shared" si="5"/>
        <v>0</v>
      </c>
      <c r="DX20" s="429">
        <f t="shared" si="5"/>
        <v>0</v>
      </c>
      <c r="DY20" s="725"/>
      <c r="DZ20" s="57"/>
      <c r="EA20" s="83"/>
      <c r="EB20" s="57"/>
      <c r="EC20" s="55"/>
      <c r="ED20" s="55"/>
      <c r="EE20" s="55"/>
      <c r="EF20" s="55"/>
      <c r="EG20" s="55"/>
      <c r="EH20" s="55"/>
      <c r="EI20" s="55"/>
      <c r="EJ20" s="55"/>
      <c r="EK20" s="55"/>
      <c r="EL20" s="429"/>
      <c r="EM20" s="439"/>
      <c r="EN20" s="55"/>
      <c r="EO20" s="55"/>
      <c r="EP20" s="55"/>
      <c r="EQ20" s="55"/>
      <c r="ER20" s="55"/>
      <c r="ES20" s="511"/>
      <c r="ET20" s="1085"/>
      <c r="EU20" s="514"/>
      <c r="EV20" s="518"/>
      <c r="EW20" s="514"/>
      <c r="EX20" s="516"/>
      <c r="EY20" s="516"/>
      <c r="EZ20" s="516"/>
      <c r="FA20" s="516"/>
      <c r="FB20" s="516"/>
      <c r="FC20" s="516"/>
      <c r="FD20" s="516"/>
      <c r="FE20" s="516"/>
      <c r="FF20" s="516"/>
      <c r="FG20" s="516"/>
      <c r="FH20" s="516"/>
      <c r="FI20" s="516"/>
      <c r="FJ20" s="516"/>
      <c r="FK20" s="516"/>
      <c r="FL20" s="516"/>
      <c r="FM20" s="516"/>
      <c r="FN20" s="516"/>
      <c r="FO20" s="516"/>
      <c r="FP20" s="516"/>
      <c r="FQ20" s="516"/>
      <c r="FR20" s="516">
        <f t="shared" si="6"/>
        <v>0</v>
      </c>
      <c r="FS20" s="1085"/>
    </row>
    <row r="21" spans="1:175" s="16" customFormat="1" ht="15" x14ac:dyDescent="0.2">
      <c r="A21" s="100" t="s">
        <v>317</v>
      </c>
      <c r="B21" s="1" t="s">
        <v>28</v>
      </c>
      <c r="C21" s="45" t="s">
        <v>316</v>
      </c>
      <c r="D21" s="58">
        <v>10</v>
      </c>
      <c r="E21" s="25">
        <v>0.1</v>
      </c>
      <c r="F21" s="46">
        <v>42185</v>
      </c>
      <c r="G21" s="58">
        <v>120</v>
      </c>
      <c r="H21" s="145">
        <f>100/G21</f>
        <v>0.83333333333333337</v>
      </c>
      <c r="I21" s="165">
        <f>H21*J21</f>
        <v>74.166666666666671</v>
      </c>
      <c r="J21" s="48">
        <f>(YEAR(F21)-YEAR(S21))*12+MONTH(F21)-MONTH(S21)</f>
        <v>89</v>
      </c>
      <c r="K21" s="165">
        <f>L21*H21</f>
        <v>25.833333333333336</v>
      </c>
      <c r="L21" s="48">
        <f>G21-J21</f>
        <v>31</v>
      </c>
      <c r="M21" s="165">
        <f>N21*H21</f>
        <v>5.8333333333333339</v>
      </c>
      <c r="N21" s="48">
        <v>7</v>
      </c>
      <c r="O21" s="165">
        <f>P21*H21</f>
        <v>20</v>
      </c>
      <c r="P21" s="48">
        <f t="shared" si="0"/>
        <v>24</v>
      </c>
      <c r="Q21" s="48"/>
      <c r="R21" s="46" t="s">
        <v>508</v>
      </c>
      <c r="S21" s="119">
        <v>39448</v>
      </c>
      <c r="T21" s="134">
        <v>1300</v>
      </c>
      <c r="U21" s="47">
        <v>335.87</v>
      </c>
      <c r="V21" s="106">
        <v>54.15</v>
      </c>
      <c r="W21" s="165">
        <v>0</v>
      </c>
      <c r="X21" s="57">
        <v>115.958</v>
      </c>
      <c r="Y21" s="80">
        <v>126.146</v>
      </c>
      <c r="Z21" s="57">
        <f>X21/Y21</f>
        <v>0.91923644031519036</v>
      </c>
      <c r="AA21" s="55">
        <f>U21*M21/100/K21*100/7</f>
        <v>10.834516129032258</v>
      </c>
      <c r="AB21" s="55">
        <f>AA21*Z21</f>
        <v>9.9594820389891279</v>
      </c>
      <c r="AC21" s="55"/>
      <c r="AD21" s="55"/>
      <c r="AE21" s="55"/>
      <c r="AF21" s="55"/>
      <c r="AG21" s="55"/>
      <c r="AH21" s="55">
        <v>9.9600000000000009</v>
      </c>
      <c r="AI21" s="55">
        <v>9.9600000000000009</v>
      </c>
      <c r="AJ21" s="55">
        <v>9.9600000000000009</v>
      </c>
      <c r="AK21" s="55">
        <v>9.9600000000000009</v>
      </c>
      <c r="AL21" s="55">
        <v>9.9600000000000009</v>
      </c>
      <c r="AM21" s="55">
        <v>9.9600000000000009</v>
      </c>
      <c r="AN21" s="55">
        <v>9.9600000000000009</v>
      </c>
      <c r="AO21" s="55">
        <f>SUM(AC21:AN21)</f>
        <v>69.72</v>
      </c>
      <c r="AP21" s="72">
        <f>U21-AO21</f>
        <v>266.14999999999998</v>
      </c>
      <c r="AQ21" s="32"/>
      <c r="AR21" s="32"/>
      <c r="AS21" s="429">
        <f t="shared" si="3"/>
        <v>9.9600000000000009</v>
      </c>
      <c r="AT21" s="429">
        <f t="shared" si="3"/>
        <v>9.9600000000000009</v>
      </c>
      <c r="AU21" s="429">
        <f t="shared" si="3"/>
        <v>9.9600000000000009</v>
      </c>
      <c r="AV21" s="429">
        <f t="shared" si="3"/>
        <v>9.9600000000000009</v>
      </c>
      <c r="AW21" s="429">
        <f t="shared" si="3"/>
        <v>9.9600000000000009</v>
      </c>
      <c r="AX21" s="57">
        <v>118.901</v>
      </c>
      <c r="AY21" s="80">
        <v>126.146</v>
      </c>
      <c r="AZ21" s="57">
        <f>AX21/AY21</f>
        <v>0.94256654987078459</v>
      </c>
      <c r="BA21" s="55">
        <f>T21/(D21*12)</f>
        <v>10.833333333333334</v>
      </c>
      <c r="BB21" s="55">
        <f>BA21*AZ21</f>
        <v>10.211137623600166</v>
      </c>
      <c r="BC21" s="429">
        <f t="shared" ref="BC21:BI21" si="7">$BB21</f>
        <v>10.211137623600166</v>
      </c>
      <c r="BD21" s="429">
        <f t="shared" si="7"/>
        <v>10.211137623600166</v>
      </c>
      <c r="BE21" s="429">
        <f t="shared" si="7"/>
        <v>10.211137623600166</v>
      </c>
      <c r="BF21" s="429">
        <f t="shared" si="7"/>
        <v>10.211137623600166</v>
      </c>
      <c r="BG21" s="429">
        <f t="shared" si="7"/>
        <v>10.211137623600166</v>
      </c>
      <c r="BH21" s="429">
        <f t="shared" si="7"/>
        <v>10.211137623600166</v>
      </c>
      <c r="BI21" s="429">
        <f t="shared" si="7"/>
        <v>10.211137623600166</v>
      </c>
      <c r="BJ21" s="429">
        <f>SUM((AS21:AW21),(BC21:BI21))</f>
        <v>121.27796336520117</v>
      </c>
      <c r="BK21" s="439">
        <f>(AP21-BJ21)</f>
        <v>144.8720366347988</v>
      </c>
      <c r="BL21" s="429">
        <f t="shared" si="2"/>
        <v>10.211137623600166</v>
      </c>
      <c r="BM21" s="429">
        <f t="shared" si="2"/>
        <v>10.211137623600166</v>
      </c>
      <c r="BN21" s="429">
        <f t="shared" si="2"/>
        <v>10.211137623600166</v>
      </c>
      <c r="BO21" s="429">
        <f t="shared" si="2"/>
        <v>10.211137623600166</v>
      </c>
      <c r="BP21" s="429">
        <f t="shared" si="2"/>
        <v>10.211137623600166</v>
      </c>
      <c r="BQ21" s="57">
        <v>118.901</v>
      </c>
      <c r="BR21" s="80">
        <v>126.146</v>
      </c>
      <c r="BS21" s="57">
        <f>BQ21/BR21</f>
        <v>0.94256654987078459</v>
      </c>
      <c r="BT21" s="55"/>
      <c r="BU21" s="55"/>
      <c r="BV21" s="429"/>
      <c r="BW21" s="429"/>
      <c r="BX21" s="429"/>
      <c r="BY21" s="429"/>
      <c r="BZ21" s="429"/>
      <c r="CA21" s="429"/>
      <c r="CB21" s="429"/>
      <c r="CC21" s="429">
        <f>SUM((BL21:BP21),(BV21:CB21))</f>
        <v>51.05568811800083</v>
      </c>
      <c r="CD21" s="439">
        <f>BK21-CC21</f>
        <v>93.816348516797973</v>
      </c>
      <c r="CE21" s="58">
        <v>10</v>
      </c>
      <c r="CF21" s="25">
        <v>0.1</v>
      </c>
      <c r="CG21" s="46">
        <v>43281</v>
      </c>
      <c r="CH21" s="58">
        <v>120</v>
      </c>
      <c r="CI21" s="145">
        <f>100/CH21</f>
        <v>0.83333333333333337</v>
      </c>
      <c r="CJ21" s="165">
        <f>CI21*CK21</f>
        <v>104.16666666666667</v>
      </c>
      <c r="CK21" s="48">
        <f>(YEAR(CG21)-YEAR(CT21))*12+MONTH(CG21)-MONTH(CT21)</f>
        <v>125</v>
      </c>
      <c r="CL21" s="165">
        <f>CM21*CI21</f>
        <v>-4.166666666666667</v>
      </c>
      <c r="CM21" s="48">
        <f>CH21-CK21</f>
        <v>-5</v>
      </c>
      <c r="CN21" s="165">
        <f>CO21*CI21</f>
        <v>0</v>
      </c>
      <c r="CO21" s="48"/>
      <c r="CP21" s="165">
        <f>CQ21*CI21</f>
        <v>-4.166666666666667</v>
      </c>
      <c r="CQ21" s="48">
        <f>CM21-CO21</f>
        <v>-5</v>
      </c>
      <c r="CR21" s="462">
        <f>DATE(YEAR(CT21),MONTH(CT21)+CH21,DAY(CT21))</f>
        <v>43101</v>
      </c>
      <c r="CS21" s="46" t="s">
        <v>508</v>
      </c>
      <c r="CT21" s="119">
        <v>39448</v>
      </c>
      <c r="CU21" s="134">
        <v>1300</v>
      </c>
      <c r="CV21" s="47">
        <v>335.87</v>
      </c>
      <c r="CW21" s="106">
        <v>54.15</v>
      </c>
      <c r="CX21" s="165">
        <v>0</v>
      </c>
      <c r="CY21" s="57">
        <v>115.958</v>
      </c>
      <c r="CZ21" s="80">
        <v>126.146</v>
      </c>
      <c r="DA21" s="57">
        <f>CY21/CZ21</f>
        <v>0.91923644031519036</v>
      </c>
      <c r="DB21" s="55">
        <f>CV21*CN21/100/CL21*100/7</f>
        <v>0</v>
      </c>
      <c r="DC21" s="55">
        <f>DB21*DA21</f>
        <v>0</v>
      </c>
      <c r="DD21" s="55"/>
      <c r="DE21" s="55"/>
      <c r="DF21" s="55"/>
      <c r="DG21" s="55"/>
      <c r="DH21" s="55"/>
      <c r="DI21" s="55">
        <v>9.9600000000000009</v>
      </c>
      <c r="DJ21" s="55">
        <v>9.9600000000000009</v>
      </c>
      <c r="DK21" s="55">
        <v>9.9600000000000009</v>
      </c>
      <c r="DL21" s="55">
        <v>9.9600000000000009</v>
      </c>
      <c r="DM21" s="55">
        <v>9.9600000000000009</v>
      </c>
      <c r="DN21" s="55">
        <v>9.9600000000000009</v>
      </c>
      <c r="DO21" s="55">
        <v>9.9600000000000009</v>
      </c>
      <c r="DP21" s="55">
        <f>SUM(DD21:DO21)</f>
        <v>69.72</v>
      </c>
      <c r="DQ21" s="72">
        <f>CV21-DP21</f>
        <v>266.14999999999998</v>
      </c>
      <c r="DR21" s="32"/>
      <c r="DS21" s="32"/>
      <c r="DT21" s="429">
        <f t="shared" si="5"/>
        <v>9.9600000000000009</v>
      </c>
      <c r="DU21" s="429">
        <f t="shared" si="5"/>
        <v>9.9600000000000009</v>
      </c>
      <c r="DV21" s="429">
        <f t="shared" si="5"/>
        <v>9.9600000000000009</v>
      </c>
      <c r="DW21" s="429">
        <f t="shared" si="5"/>
        <v>9.9600000000000009</v>
      </c>
      <c r="DX21" s="429">
        <f t="shared" si="5"/>
        <v>9.9600000000000009</v>
      </c>
      <c r="DY21" s="725">
        <v>93.816348516797973</v>
      </c>
      <c r="DZ21" s="57">
        <v>126.408</v>
      </c>
      <c r="EA21" s="80">
        <v>126.146</v>
      </c>
      <c r="EB21" s="57">
        <f>DZ21/EA21</f>
        <v>1.0020769584449765</v>
      </c>
      <c r="EC21" s="55">
        <f>DY21/CM21</f>
        <v>-18.763269703359594</v>
      </c>
      <c r="ED21" s="55">
        <f>EC21*EB21</f>
        <v>-18.802240234825359</v>
      </c>
      <c r="EE21" s="55">
        <v>13.430171596303827</v>
      </c>
      <c r="EF21" s="55">
        <v>13.430171596303827</v>
      </c>
      <c r="EG21" s="55">
        <v>13.430171596303827</v>
      </c>
      <c r="EH21" s="55">
        <v>13.430171596303827</v>
      </c>
      <c r="EI21" s="55">
        <v>13.430171596303827</v>
      </c>
      <c r="EJ21" s="55">
        <v>13.430171596303827</v>
      </c>
      <c r="EK21" s="55">
        <v>12.24</v>
      </c>
      <c r="EL21" s="429">
        <f>SUM(EE21:EK21)</f>
        <v>92.821029577822955</v>
      </c>
      <c r="EM21" s="439">
        <f>DY21-EL21</f>
        <v>0.99531893897501789</v>
      </c>
      <c r="EN21" s="55"/>
      <c r="EO21" s="55">
        <v>0</v>
      </c>
      <c r="EP21" s="55">
        <v>0</v>
      </c>
      <c r="EQ21" s="55">
        <v>0</v>
      </c>
      <c r="ER21" s="55">
        <v>0</v>
      </c>
      <c r="ES21" s="511">
        <f>SUM(EN21:ER21)</f>
        <v>0</v>
      </c>
      <c r="ET21" s="1085">
        <f>EM21-ES21</f>
        <v>0.99531893897501789</v>
      </c>
      <c r="EU21" s="514">
        <v>132.28200000000001</v>
      </c>
      <c r="EV21" s="515">
        <v>126.146</v>
      </c>
      <c r="EW21" s="514">
        <f>EU21/EV21</f>
        <v>1.0486420496884563</v>
      </c>
      <c r="EX21" s="516">
        <v>0</v>
      </c>
      <c r="EY21" s="516">
        <f>EX21*EW21</f>
        <v>0</v>
      </c>
      <c r="EZ21" s="516">
        <v>0</v>
      </c>
      <c r="FA21" s="516">
        <v>0</v>
      </c>
      <c r="FB21" s="516">
        <v>0</v>
      </c>
      <c r="FC21" s="516">
        <v>0</v>
      </c>
      <c r="FD21" s="516">
        <v>0</v>
      </c>
      <c r="FE21" s="516">
        <v>0</v>
      </c>
      <c r="FF21" s="516">
        <v>0</v>
      </c>
      <c r="FG21" s="516">
        <v>0</v>
      </c>
      <c r="FH21" s="516">
        <v>0</v>
      </c>
      <c r="FI21" s="516">
        <v>0</v>
      </c>
      <c r="FJ21" s="516">
        <v>0</v>
      </c>
      <c r="FK21" s="516">
        <v>0</v>
      </c>
      <c r="FL21" s="516">
        <v>0</v>
      </c>
      <c r="FM21" s="516">
        <v>0</v>
      </c>
      <c r="FN21" s="516">
        <v>0</v>
      </c>
      <c r="FO21" s="516">
        <v>0</v>
      </c>
      <c r="FP21" s="516">
        <v>0</v>
      </c>
      <c r="FQ21" s="516">
        <v>0</v>
      </c>
      <c r="FR21" s="516">
        <f t="shared" si="6"/>
        <v>0</v>
      </c>
      <c r="FS21" s="1085">
        <f>ET21-FR21</f>
        <v>0.99531893897501789</v>
      </c>
    </row>
    <row r="22" spans="1:175" s="16" customFormat="1" ht="15" x14ac:dyDescent="0.2">
      <c r="A22" s="26" t="s">
        <v>65</v>
      </c>
      <c r="B22" s="26" t="s">
        <v>87</v>
      </c>
      <c r="C22" s="100"/>
      <c r="D22" s="58"/>
      <c r="E22" s="25"/>
      <c r="F22" s="46"/>
      <c r="G22" s="58"/>
      <c r="H22" s="145"/>
      <c r="I22" s="165"/>
      <c r="J22" s="48"/>
      <c r="K22" s="165"/>
      <c r="L22" s="48"/>
      <c r="M22" s="165"/>
      <c r="N22" s="48"/>
      <c r="O22" s="165"/>
      <c r="P22" s="48"/>
      <c r="Q22" s="48"/>
      <c r="R22" s="46"/>
      <c r="S22" s="46"/>
      <c r="T22" s="47"/>
      <c r="U22" s="47"/>
      <c r="V22" s="106"/>
      <c r="W22" s="165"/>
      <c r="X22" s="57"/>
      <c r="Y22" s="80"/>
      <c r="Z22" s="57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72"/>
      <c r="AQ22" s="32"/>
      <c r="AR22" s="32"/>
      <c r="AS22" s="429">
        <f t="shared" si="3"/>
        <v>0</v>
      </c>
      <c r="AT22" s="429">
        <f t="shared" si="3"/>
        <v>0</v>
      </c>
      <c r="AU22" s="429">
        <f t="shared" si="3"/>
        <v>0</v>
      </c>
      <c r="AV22" s="429">
        <f t="shared" si="3"/>
        <v>0</v>
      </c>
      <c r="AW22" s="429">
        <f t="shared" si="3"/>
        <v>0</v>
      </c>
      <c r="AX22" s="57"/>
      <c r="AY22" s="80"/>
      <c r="AZ22" s="57"/>
      <c r="BA22" s="55"/>
      <c r="BB22" s="55"/>
      <c r="BC22" s="429"/>
      <c r="BD22" s="429"/>
      <c r="BE22" s="429"/>
      <c r="BF22" s="429"/>
      <c r="BG22" s="429"/>
      <c r="BH22" s="429"/>
      <c r="BI22" s="429"/>
      <c r="BJ22" s="429"/>
      <c r="BK22" s="439"/>
      <c r="BL22" s="429"/>
      <c r="BM22" s="429"/>
      <c r="BN22" s="429"/>
      <c r="BO22" s="429"/>
      <c r="BP22" s="429"/>
      <c r="BQ22" s="57"/>
      <c r="BR22" s="80"/>
      <c r="BS22" s="57"/>
      <c r="BT22" s="55"/>
      <c r="BU22" s="55"/>
      <c r="BV22" s="429"/>
      <c r="BW22" s="429"/>
      <c r="BX22" s="429"/>
      <c r="BY22" s="429"/>
      <c r="BZ22" s="429"/>
      <c r="CA22" s="429"/>
      <c r="CB22" s="429"/>
      <c r="CC22" s="429"/>
      <c r="CD22" s="439"/>
      <c r="CE22" s="58"/>
      <c r="CF22" s="25"/>
      <c r="CG22" s="46"/>
      <c r="CH22" s="58"/>
      <c r="CI22" s="145"/>
      <c r="CJ22" s="165"/>
      <c r="CK22" s="48"/>
      <c r="CL22" s="165"/>
      <c r="CM22" s="48"/>
      <c r="CN22" s="165"/>
      <c r="CO22" s="48"/>
      <c r="CP22" s="165"/>
      <c r="CQ22" s="48"/>
      <c r="CR22" s="48"/>
      <c r="CS22" s="46"/>
      <c r="CT22" s="46"/>
      <c r="CU22" s="47"/>
      <c r="CV22" s="47"/>
      <c r="CW22" s="106"/>
      <c r="CX22" s="165"/>
      <c r="CY22" s="57"/>
      <c r="CZ22" s="80"/>
      <c r="DA22" s="57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72"/>
      <c r="DR22" s="32"/>
      <c r="DS22" s="32"/>
      <c r="DT22" s="429">
        <f t="shared" si="5"/>
        <v>0</v>
      </c>
      <c r="DU22" s="429">
        <f t="shared" si="5"/>
        <v>0</v>
      </c>
      <c r="DV22" s="429">
        <f t="shared" si="5"/>
        <v>0</v>
      </c>
      <c r="DW22" s="429">
        <f t="shared" si="5"/>
        <v>0</v>
      </c>
      <c r="DX22" s="429">
        <f t="shared" si="5"/>
        <v>0</v>
      </c>
      <c r="DY22" s="725"/>
      <c r="DZ22" s="57"/>
      <c r="EA22" s="80"/>
      <c r="EB22" s="57"/>
      <c r="EC22" s="55"/>
      <c r="ED22" s="55"/>
      <c r="EE22" s="55"/>
      <c r="EF22" s="55"/>
      <c r="EG22" s="55"/>
      <c r="EH22" s="55"/>
      <c r="EI22" s="55"/>
      <c r="EJ22" s="55"/>
      <c r="EK22" s="55"/>
      <c r="EL22" s="429"/>
      <c r="EM22" s="439"/>
      <c r="EN22" s="55"/>
      <c r="EO22" s="55"/>
      <c r="EP22" s="55"/>
      <c r="EQ22" s="55"/>
      <c r="ER22" s="55"/>
      <c r="ES22" s="511"/>
      <c r="ET22" s="1085"/>
      <c r="EU22" s="1131"/>
      <c r="EV22" s="515"/>
      <c r="EW22" s="514"/>
      <c r="EX22" s="516"/>
      <c r="EY22" s="516"/>
      <c r="EZ22" s="516"/>
      <c r="FA22" s="516"/>
      <c r="FB22" s="516"/>
      <c r="FC22" s="516"/>
      <c r="FD22" s="516"/>
      <c r="FE22" s="516"/>
      <c r="FF22" s="516"/>
      <c r="FG22" s="516"/>
      <c r="FH22" s="516"/>
      <c r="FI22" s="516"/>
      <c r="FJ22" s="516"/>
      <c r="FK22" s="516"/>
      <c r="FL22" s="516"/>
      <c r="FM22" s="516"/>
      <c r="FN22" s="516"/>
      <c r="FO22" s="516"/>
      <c r="FP22" s="516"/>
      <c r="FQ22" s="516"/>
      <c r="FR22" s="516">
        <f t="shared" si="6"/>
        <v>0</v>
      </c>
      <c r="FS22" s="1085"/>
    </row>
    <row r="23" spans="1:175" s="16" customFormat="1" ht="15" x14ac:dyDescent="0.2">
      <c r="A23" s="26" t="s">
        <v>83</v>
      </c>
      <c r="B23" s="9"/>
      <c r="C23" s="29"/>
      <c r="D23" s="27"/>
      <c r="E23" s="25"/>
      <c r="F23" s="46"/>
      <c r="G23" s="67"/>
      <c r="H23" s="145"/>
      <c r="I23" s="165"/>
      <c r="J23" s="48"/>
      <c r="K23" s="165"/>
      <c r="L23" s="48"/>
      <c r="M23" s="165"/>
      <c r="N23" s="48"/>
      <c r="O23" s="165"/>
      <c r="P23" s="48"/>
      <c r="Q23" s="48"/>
      <c r="R23" s="46"/>
      <c r="S23" s="132"/>
      <c r="T23" s="133"/>
      <c r="U23" s="47"/>
      <c r="V23" s="106"/>
      <c r="W23" s="165"/>
      <c r="X23" s="57"/>
      <c r="Y23" s="83"/>
      <c r="Z23" s="57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72"/>
      <c r="AQ23" s="32"/>
      <c r="AR23" s="32"/>
      <c r="AS23" s="429">
        <f t="shared" si="3"/>
        <v>0</v>
      </c>
      <c r="AT23" s="429">
        <f t="shared" si="3"/>
        <v>0</v>
      </c>
      <c r="AU23" s="429">
        <f t="shared" si="3"/>
        <v>0</v>
      </c>
      <c r="AV23" s="429">
        <f t="shared" si="3"/>
        <v>0</v>
      </c>
      <c r="AW23" s="429">
        <f t="shared" si="3"/>
        <v>0</v>
      </c>
      <c r="AX23" s="57"/>
      <c r="AY23" s="83"/>
      <c r="AZ23" s="57"/>
      <c r="BA23" s="55"/>
      <c r="BB23" s="55"/>
      <c r="BC23" s="429"/>
      <c r="BD23" s="429"/>
      <c r="BE23" s="429"/>
      <c r="BF23" s="429"/>
      <c r="BG23" s="429"/>
      <c r="BH23" s="429"/>
      <c r="BI23" s="429"/>
      <c r="BJ23" s="429"/>
      <c r="BK23" s="439"/>
      <c r="BL23" s="429"/>
      <c r="BM23" s="429"/>
      <c r="BN23" s="429"/>
      <c r="BO23" s="429"/>
      <c r="BP23" s="429"/>
      <c r="BQ23" s="57"/>
      <c r="BR23" s="83"/>
      <c r="BS23" s="57"/>
      <c r="BT23" s="55"/>
      <c r="BU23" s="55"/>
      <c r="BV23" s="429"/>
      <c r="BW23" s="429"/>
      <c r="BX23" s="429"/>
      <c r="BY23" s="429"/>
      <c r="BZ23" s="429"/>
      <c r="CA23" s="429"/>
      <c r="CB23" s="429"/>
      <c r="CC23" s="429"/>
      <c r="CD23" s="439"/>
      <c r="CE23" s="27"/>
      <c r="CF23" s="25"/>
      <c r="CG23" s="46"/>
      <c r="CH23" s="67"/>
      <c r="CI23" s="145"/>
      <c r="CJ23" s="165"/>
      <c r="CK23" s="48"/>
      <c r="CL23" s="165"/>
      <c r="CM23" s="48"/>
      <c r="CN23" s="165"/>
      <c r="CO23" s="48"/>
      <c r="CP23" s="165"/>
      <c r="CQ23" s="48"/>
      <c r="CR23" s="462"/>
      <c r="CS23" s="46"/>
      <c r="CT23" s="132"/>
      <c r="CU23" s="133"/>
      <c r="CV23" s="47"/>
      <c r="CW23" s="106"/>
      <c r="CX23" s="165"/>
      <c r="CY23" s="57"/>
      <c r="CZ23" s="83"/>
      <c r="DA23" s="57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72"/>
      <c r="DR23" s="32"/>
      <c r="DS23" s="32"/>
      <c r="DT23" s="429">
        <f t="shared" si="5"/>
        <v>0</v>
      </c>
      <c r="DU23" s="429">
        <f t="shared" si="5"/>
        <v>0</v>
      </c>
      <c r="DV23" s="429">
        <f t="shared" si="5"/>
        <v>0</v>
      </c>
      <c r="DW23" s="429">
        <f t="shared" si="5"/>
        <v>0</v>
      </c>
      <c r="DX23" s="429">
        <f t="shared" si="5"/>
        <v>0</v>
      </c>
      <c r="DY23" s="725"/>
      <c r="DZ23" s="57"/>
      <c r="EA23" s="83"/>
      <c r="EB23" s="57"/>
      <c r="EC23" s="55"/>
      <c r="ED23" s="55"/>
      <c r="EE23" s="55"/>
      <c r="EF23" s="55"/>
      <c r="EG23" s="55"/>
      <c r="EH23" s="55"/>
      <c r="EI23" s="55"/>
      <c r="EJ23" s="55"/>
      <c r="EK23" s="55"/>
      <c r="EL23" s="429"/>
      <c r="EM23" s="439"/>
      <c r="EN23" s="55"/>
      <c r="EO23" s="55"/>
      <c r="EP23" s="55"/>
      <c r="EQ23" s="55"/>
      <c r="ER23" s="55"/>
      <c r="ES23" s="511"/>
      <c r="ET23" s="1085"/>
      <c r="EU23" s="514"/>
      <c r="EV23" s="518"/>
      <c r="EW23" s="514"/>
      <c r="EX23" s="516"/>
      <c r="EY23" s="516"/>
      <c r="EZ23" s="516"/>
      <c r="FA23" s="516"/>
      <c r="FB23" s="516"/>
      <c r="FC23" s="516"/>
      <c r="FD23" s="516"/>
      <c r="FE23" s="516"/>
      <c r="FF23" s="516"/>
      <c r="FG23" s="516"/>
      <c r="FH23" s="516"/>
      <c r="FI23" s="516"/>
      <c r="FJ23" s="516"/>
      <c r="FK23" s="516"/>
      <c r="FL23" s="516"/>
      <c r="FM23" s="516"/>
      <c r="FN23" s="516"/>
      <c r="FO23" s="516"/>
      <c r="FP23" s="516"/>
      <c r="FQ23" s="516"/>
      <c r="FR23" s="516">
        <f t="shared" si="6"/>
        <v>0</v>
      </c>
      <c r="FS23" s="1085"/>
    </row>
    <row r="24" spans="1:175" s="1189" customFormat="1" ht="15" x14ac:dyDescent="0.2">
      <c r="A24" s="100" t="s">
        <v>114</v>
      </c>
      <c r="B24" s="100" t="s">
        <v>725</v>
      </c>
      <c r="C24" s="100" t="s">
        <v>726</v>
      </c>
      <c r="D24" s="8">
        <v>10</v>
      </c>
      <c r="E24" s="130">
        <v>0.1</v>
      </c>
      <c r="F24" s="119">
        <v>42344</v>
      </c>
      <c r="G24" s="125">
        <v>120</v>
      </c>
      <c r="H24" s="146">
        <f>100/G24</f>
        <v>0.83333333333333337</v>
      </c>
      <c r="I24" s="1167">
        <f>H24*J24</f>
        <v>0</v>
      </c>
      <c r="J24" s="125">
        <f>(YEAR(F24)-YEAR(S24))*12+MONTH(F24)-MONTH(S24)</f>
        <v>0</v>
      </c>
      <c r="K24" s="1167">
        <f>L24*H24</f>
        <v>100</v>
      </c>
      <c r="L24" s="125">
        <f>G24-J24</f>
        <v>120</v>
      </c>
      <c r="M24" s="1167">
        <f>N24*H24</f>
        <v>0</v>
      </c>
      <c r="N24" s="125">
        <v>0</v>
      </c>
      <c r="O24" s="1167">
        <f>P24*H24</f>
        <v>100</v>
      </c>
      <c r="P24" s="125">
        <f>L24-N24</f>
        <v>120</v>
      </c>
      <c r="Q24" s="125">
        <f>M24-O24</f>
        <v>-100</v>
      </c>
      <c r="R24" s="125">
        <v>4660</v>
      </c>
      <c r="S24" s="119">
        <v>42344</v>
      </c>
      <c r="T24" s="134">
        <f>734*12</f>
        <v>8808</v>
      </c>
      <c r="U24" s="64">
        <v>0</v>
      </c>
      <c r="V24" s="62">
        <v>0</v>
      </c>
      <c r="W24" s="62">
        <v>118.051</v>
      </c>
      <c r="X24" s="64">
        <v>115.958</v>
      </c>
      <c r="Y24" s="62">
        <v>118.051</v>
      </c>
      <c r="Z24" s="64">
        <f>X24/Y24</f>
        <v>0.98227037466857536</v>
      </c>
      <c r="AA24" s="62">
        <f>H24*T24/100</f>
        <v>73.400000000000006</v>
      </c>
      <c r="AB24" s="62">
        <f>AA24*Z24</f>
        <v>72.098645500673442</v>
      </c>
      <c r="AC24" s="62"/>
      <c r="AD24" s="62"/>
      <c r="AE24" s="62"/>
      <c r="AF24" s="62"/>
      <c r="AG24" s="62"/>
      <c r="AH24" s="62"/>
      <c r="AI24" s="62"/>
      <c r="AJ24" s="62"/>
      <c r="AK24" s="1169"/>
      <c r="AL24" s="1169"/>
      <c r="AM24" s="1169"/>
      <c r="AN24" s="1169"/>
      <c r="AO24" s="1169">
        <f>AN24</f>
        <v>0</v>
      </c>
      <c r="AP24" s="1169">
        <f>T24-AO24</f>
        <v>8808</v>
      </c>
      <c r="AQ24" s="509"/>
      <c r="AR24" s="509"/>
      <c r="AS24" s="510">
        <f>72.1</f>
        <v>72.099999999999994</v>
      </c>
      <c r="AT24" s="510">
        <f>72.1</f>
        <v>72.099999999999994</v>
      </c>
      <c r="AU24" s="510">
        <f>72.1</f>
        <v>72.099999999999994</v>
      </c>
      <c r="AV24" s="510">
        <f>72.1</f>
        <v>72.099999999999994</v>
      </c>
      <c r="AW24" s="510">
        <f>72.1</f>
        <v>72.099999999999994</v>
      </c>
      <c r="AX24" s="64">
        <v>118.901</v>
      </c>
      <c r="AY24" s="62">
        <v>118.051</v>
      </c>
      <c r="AZ24" s="64">
        <f>AX24/AY24</f>
        <v>1.0072002778460156</v>
      </c>
      <c r="BA24" s="62">
        <f>T24/(D24*12)</f>
        <v>73.400000000000006</v>
      </c>
      <c r="BB24" s="62">
        <f>BA24*AZ24</f>
        <v>73.928500393897551</v>
      </c>
      <c r="BC24" s="510">
        <f t="shared" ref="BC24:BI25" si="8">$BB24</f>
        <v>73.928500393897551</v>
      </c>
      <c r="BD24" s="510">
        <f t="shared" si="8"/>
        <v>73.928500393897551</v>
      </c>
      <c r="BE24" s="510">
        <f t="shared" si="8"/>
        <v>73.928500393897551</v>
      </c>
      <c r="BF24" s="510">
        <f t="shared" si="8"/>
        <v>73.928500393897551</v>
      </c>
      <c r="BG24" s="510">
        <f t="shared" si="8"/>
        <v>73.928500393897551</v>
      </c>
      <c r="BH24" s="510">
        <f t="shared" si="8"/>
        <v>73.928500393897551</v>
      </c>
      <c r="BI24" s="510">
        <f t="shared" si="8"/>
        <v>73.928500393897551</v>
      </c>
      <c r="BJ24" s="510">
        <f>SUM((AS24:AW24),(BC24:BI24))</f>
        <v>877.99950275728304</v>
      </c>
      <c r="BK24" s="439">
        <f>(AP24-BJ24)</f>
        <v>7930.0004972427168</v>
      </c>
      <c r="BL24" s="510">
        <f t="shared" si="2"/>
        <v>73.928500393897551</v>
      </c>
      <c r="BM24" s="510">
        <f t="shared" si="2"/>
        <v>73.928500393897551</v>
      </c>
      <c r="BN24" s="510">
        <f t="shared" si="2"/>
        <v>73.928500393897551</v>
      </c>
      <c r="BO24" s="510">
        <f t="shared" si="2"/>
        <v>73.928500393897551</v>
      </c>
      <c r="BP24" s="510">
        <f t="shared" si="2"/>
        <v>73.928500393897551</v>
      </c>
      <c r="BQ24" s="64">
        <v>118.901</v>
      </c>
      <c r="BR24" s="62">
        <v>118.051</v>
      </c>
      <c r="BS24" s="64">
        <f>BQ24/BR24</f>
        <v>1.0072002778460156</v>
      </c>
      <c r="BT24" s="62"/>
      <c r="BU24" s="62"/>
      <c r="BV24" s="510"/>
      <c r="BW24" s="510"/>
      <c r="BX24" s="510"/>
      <c r="BY24" s="510"/>
      <c r="BZ24" s="510"/>
      <c r="CA24" s="510"/>
      <c r="CB24" s="510"/>
      <c r="CC24" s="510">
        <f>SUM((BL24:BP24),(BV24:CB24))</f>
        <v>369.64250196948774</v>
      </c>
      <c r="CD24" s="439">
        <f>BK24-CC24</f>
        <v>7560.3579952732289</v>
      </c>
      <c r="CE24" s="8">
        <v>10</v>
      </c>
      <c r="CF24" s="130">
        <v>0.1</v>
      </c>
      <c r="CG24" s="119">
        <v>43281</v>
      </c>
      <c r="CH24" s="125">
        <v>120</v>
      </c>
      <c r="CI24" s="146">
        <f>100/CH24</f>
        <v>0.83333333333333337</v>
      </c>
      <c r="CJ24" s="1167">
        <f>CI24*CK24</f>
        <v>25</v>
      </c>
      <c r="CK24" s="125">
        <f>(YEAR(CG24)-YEAR(CT24))*12+MONTH(CG24)-MONTH(CT24)</f>
        <v>30</v>
      </c>
      <c r="CL24" s="1167">
        <f>CM24*CI24</f>
        <v>75</v>
      </c>
      <c r="CM24" s="125">
        <f>CH24-CK24</f>
        <v>90</v>
      </c>
      <c r="CN24" s="1167">
        <f>CO24*CI24</f>
        <v>0</v>
      </c>
      <c r="CO24" s="125"/>
      <c r="CP24" s="1167">
        <f>CQ24*CI24</f>
        <v>75</v>
      </c>
      <c r="CQ24" s="125">
        <f>CM24-CO24</f>
        <v>90</v>
      </c>
      <c r="CR24" s="367">
        <f>DATE(YEAR(CT24),MONTH(CT24)+CH24,DAY(CT24))</f>
        <v>45997</v>
      </c>
      <c r="CS24" s="125">
        <v>4660</v>
      </c>
      <c r="CT24" s="119">
        <v>42344</v>
      </c>
      <c r="CU24" s="134">
        <f>734*12</f>
        <v>8808</v>
      </c>
      <c r="CV24" s="64">
        <v>0</v>
      </c>
      <c r="CW24" s="62">
        <v>0</v>
      </c>
      <c r="CX24" s="62">
        <v>118.051</v>
      </c>
      <c r="CY24" s="64">
        <v>115.958</v>
      </c>
      <c r="CZ24" s="62">
        <v>118.051</v>
      </c>
      <c r="DA24" s="64">
        <f>CY24/CZ24</f>
        <v>0.98227037466857536</v>
      </c>
      <c r="DB24" s="62">
        <f>CI24*CU24/100</f>
        <v>73.400000000000006</v>
      </c>
      <c r="DC24" s="62">
        <f>DB24*DA24</f>
        <v>72.098645500673442</v>
      </c>
      <c r="DD24" s="62"/>
      <c r="DE24" s="62"/>
      <c r="DF24" s="62"/>
      <c r="DG24" s="62"/>
      <c r="DH24" s="62"/>
      <c r="DI24" s="62"/>
      <c r="DJ24" s="62"/>
      <c r="DK24" s="62"/>
      <c r="DL24" s="1169"/>
      <c r="DM24" s="1169"/>
      <c r="DN24" s="1169"/>
      <c r="DO24" s="1169"/>
      <c r="DP24" s="1169">
        <f>DO24</f>
        <v>0</v>
      </c>
      <c r="DQ24" s="1169">
        <f>CU24-DP24</f>
        <v>8808</v>
      </c>
      <c r="DR24" s="509"/>
      <c r="DS24" s="509"/>
      <c r="DT24" s="510">
        <f>72.1</f>
        <v>72.099999999999994</v>
      </c>
      <c r="DU24" s="510">
        <f>72.1</f>
        <v>72.099999999999994</v>
      </c>
      <c r="DV24" s="510">
        <f>72.1</f>
        <v>72.099999999999994</v>
      </c>
      <c r="DW24" s="510">
        <f>72.1</f>
        <v>72.099999999999994</v>
      </c>
      <c r="DX24" s="510">
        <f>72.1</f>
        <v>72.099999999999994</v>
      </c>
      <c r="DY24" s="960">
        <v>7560.3579952732289</v>
      </c>
      <c r="DZ24" s="64">
        <v>126.408</v>
      </c>
      <c r="EA24" s="62">
        <v>118.051</v>
      </c>
      <c r="EB24" s="64">
        <f>DZ24/EA24</f>
        <v>1.0707914375990037</v>
      </c>
      <c r="EC24" s="62">
        <f>DY24/CM24</f>
        <v>84.003977725258096</v>
      </c>
      <c r="ED24" s="62">
        <f>EC24*EB24</f>
        <v>89.950740072463802</v>
      </c>
      <c r="EE24" s="62">
        <v>79.368300063938662</v>
      </c>
      <c r="EF24" s="62">
        <v>79.368300063938662</v>
      </c>
      <c r="EG24" s="62">
        <v>79.368300063938662</v>
      </c>
      <c r="EH24" s="62">
        <v>79.368300063938662</v>
      </c>
      <c r="EI24" s="62">
        <v>79.368300063938662</v>
      </c>
      <c r="EJ24" s="62">
        <v>79.368300063938662</v>
      </c>
      <c r="EK24" s="62">
        <v>79.368300063938662</v>
      </c>
      <c r="EL24" s="510">
        <f>SUM(EE24:EK24)</f>
        <v>555.57810044757059</v>
      </c>
      <c r="EM24" s="439">
        <f>DY24-EL24</f>
        <v>7004.7798948256586</v>
      </c>
      <c r="EN24" s="62">
        <v>79.368300063938662</v>
      </c>
      <c r="EO24" s="62">
        <v>79.368300063938662</v>
      </c>
      <c r="EP24" s="62">
        <v>79.368300063938662</v>
      </c>
      <c r="EQ24" s="62">
        <v>79.368300063938662</v>
      </c>
      <c r="ER24" s="62">
        <v>79.368300063938662</v>
      </c>
      <c r="ES24" s="510">
        <f>SUM(EN24:ER24)</f>
        <v>396.8415003196933</v>
      </c>
      <c r="ET24" s="1085">
        <f>EM24-ES24</f>
        <v>6607.9383945059653</v>
      </c>
      <c r="EU24" s="1190">
        <v>132.28200000000001</v>
      </c>
      <c r="EV24" s="538">
        <v>118.051</v>
      </c>
      <c r="EW24" s="1190">
        <f>EU24/EV24</f>
        <v>1.1205495929725289</v>
      </c>
      <c r="EX24" s="538">
        <f>ET24/CK24</f>
        <v>220.26461315019884</v>
      </c>
      <c r="EY24" s="538">
        <f>EX24*EW24</f>
        <v>246.81742261170683</v>
      </c>
      <c r="EZ24" s="538">
        <v>246.81742261170683</v>
      </c>
      <c r="FA24" s="538">
        <v>246.81742261170683</v>
      </c>
      <c r="FB24" s="538">
        <v>246.81742261170683</v>
      </c>
      <c r="FC24" s="538">
        <v>246.81742261170683</v>
      </c>
      <c r="FD24" s="538">
        <v>246.81742261170683</v>
      </c>
      <c r="FE24" s="538">
        <v>246.81742261170683</v>
      </c>
      <c r="FF24" s="538">
        <v>246.81742261170683</v>
      </c>
      <c r="FG24" s="538">
        <v>246.81742261170683</v>
      </c>
      <c r="FH24" s="538">
        <v>246.81742261170683</v>
      </c>
      <c r="FI24" s="538">
        <v>246.81742261170683</v>
      </c>
      <c r="FJ24" s="538">
        <v>246.81742261170683</v>
      </c>
      <c r="FK24" s="538">
        <v>246.81742261170683</v>
      </c>
      <c r="FL24" s="538">
        <v>246.81742261170683</v>
      </c>
      <c r="FM24" s="538">
        <v>246.81742261170683</v>
      </c>
      <c r="FN24" s="538">
        <v>246.81742261170683</v>
      </c>
      <c r="FO24" s="538">
        <v>246.81742261170683</v>
      </c>
      <c r="FP24" s="538">
        <v>246.81742261170683</v>
      </c>
      <c r="FQ24" s="538">
        <v>246.81742261170683</v>
      </c>
      <c r="FR24" s="538">
        <f t="shared" si="6"/>
        <v>4442.7136070107226</v>
      </c>
      <c r="FS24" s="1085">
        <f>ET24-FR24</f>
        <v>2165.2247874952427</v>
      </c>
    </row>
    <row r="25" spans="1:175" s="340" customFormat="1" ht="15" x14ac:dyDescent="0.2">
      <c r="A25" s="100" t="s">
        <v>114</v>
      </c>
      <c r="B25" s="100" t="s">
        <v>711</v>
      </c>
      <c r="C25" s="45" t="s">
        <v>316</v>
      </c>
      <c r="D25" s="58">
        <v>10</v>
      </c>
      <c r="E25" s="53">
        <v>0.1</v>
      </c>
      <c r="F25" s="46">
        <v>42335</v>
      </c>
      <c r="G25" s="48">
        <v>120</v>
      </c>
      <c r="H25" s="145">
        <f>100/G25</f>
        <v>0.83333333333333337</v>
      </c>
      <c r="I25" s="165">
        <f>H25*J25</f>
        <v>0</v>
      </c>
      <c r="J25" s="48">
        <f>(YEAR(F25)-YEAR(S25))*12+MONTH(F25)-MONTH(S25)</f>
        <v>0</v>
      </c>
      <c r="K25" s="165">
        <f>L25*H25</f>
        <v>100</v>
      </c>
      <c r="L25" s="48">
        <f>G25-J25</f>
        <v>120</v>
      </c>
      <c r="M25" s="165">
        <f>N25*H25</f>
        <v>0.83333333333333337</v>
      </c>
      <c r="N25" s="48">
        <v>1</v>
      </c>
      <c r="O25" s="165">
        <f>P25*H25</f>
        <v>99.166666666666671</v>
      </c>
      <c r="P25" s="48">
        <f>L25-N25</f>
        <v>119</v>
      </c>
      <c r="Q25" s="48">
        <f>M25-O25</f>
        <v>-98.333333333333343</v>
      </c>
      <c r="R25" s="48">
        <v>4660</v>
      </c>
      <c r="S25" s="46">
        <v>42335</v>
      </c>
      <c r="T25" s="47">
        <f>734*2</f>
        <v>1468</v>
      </c>
      <c r="U25" s="57">
        <v>0</v>
      </c>
      <c r="V25" s="55">
        <v>0</v>
      </c>
      <c r="W25" s="55">
        <v>118.051</v>
      </c>
      <c r="X25" s="57">
        <v>115.958</v>
      </c>
      <c r="Y25" s="55">
        <v>118.051</v>
      </c>
      <c r="Z25" s="57">
        <f>X25/Y25</f>
        <v>0.98227037466857536</v>
      </c>
      <c r="AA25" s="55">
        <f>H25*T25/100</f>
        <v>12.233333333333334</v>
      </c>
      <c r="AB25" s="55">
        <f>AA25*Z25</f>
        <v>12.016440916778906</v>
      </c>
      <c r="AC25" s="55"/>
      <c r="AD25" s="55"/>
      <c r="AE25" s="55"/>
      <c r="AF25" s="55"/>
      <c r="AG25" s="55"/>
      <c r="AH25" s="55"/>
      <c r="AI25" s="55"/>
      <c r="AJ25" s="55"/>
      <c r="AK25" s="72"/>
      <c r="AL25" s="72"/>
      <c r="AM25" s="72"/>
      <c r="AN25" s="72">
        <f>AB25</f>
        <v>12.016440916778906</v>
      </c>
      <c r="AO25" s="72">
        <f>AN25</f>
        <v>12.016440916778906</v>
      </c>
      <c r="AP25" s="72">
        <f>T25-AO25</f>
        <v>1455.9835590832211</v>
      </c>
      <c r="AQ25" s="32"/>
      <c r="AR25" s="32"/>
      <c r="AS25" s="429">
        <f t="shared" si="3"/>
        <v>12.016440916778906</v>
      </c>
      <c r="AT25" s="429">
        <f t="shared" si="3"/>
        <v>12.016440916778906</v>
      </c>
      <c r="AU25" s="429">
        <f t="shared" si="3"/>
        <v>12.016440916778906</v>
      </c>
      <c r="AV25" s="429">
        <f t="shared" si="3"/>
        <v>12.016440916778906</v>
      </c>
      <c r="AW25" s="429">
        <f t="shared" si="3"/>
        <v>12.016440916778906</v>
      </c>
      <c r="AX25" s="57">
        <v>118.901</v>
      </c>
      <c r="AY25" s="55">
        <v>118.051</v>
      </c>
      <c r="AZ25" s="57">
        <f>AX25/AY25</f>
        <v>1.0072002778460156</v>
      </c>
      <c r="BA25" s="55">
        <f>T25/(D25*12)</f>
        <v>12.233333333333333</v>
      </c>
      <c r="BB25" s="55">
        <f>BA25*AZ25</f>
        <v>12.321416732316257</v>
      </c>
      <c r="BC25" s="429">
        <f t="shared" si="8"/>
        <v>12.321416732316257</v>
      </c>
      <c r="BD25" s="429">
        <f t="shared" si="8"/>
        <v>12.321416732316257</v>
      </c>
      <c r="BE25" s="429">
        <f t="shared" si="8"/>
        <v>12.321416732316257</v>
      </c>
      <c r="BF25" s="429">
        <f t="shared" si="8"/>
        <v>12.321416732316257</v>
      </c>
      <c r="BG25" s="429">
        <f t="shared" si="8"/>
        <v>12.321416732316257</v>
      </c>
      <c r="BH25" s="429">
        <f t="shared" si="8"/>
        <v>12.321416732316257</v>
      </c>
      <c r="BI25" s="429">
        <f t="shared" si="8"/>
        <v>12.321416732316257</v>
      </c>
      <c r="BJ25" s="429">
        <f>SUM((AS25:AW25),(BC25:BI25))</f>
        <v>146.33212171010831</v>
      </c>
      <c r="BK25" s="439">
        <f>(AP25-BJ25)</f>
        <v>1309.6514373731127</v>
      </c>
      <c r="BL25" s="429">
        <f t="shared" si="2"/>
        <v>12.321416732316257</v>
      </c>
      <c r="BM25" s="429">
        <f t="shared" si="2"/>
        <v>12.321416732316257</v>
      </c>
      <c r="BN25" s="429">
        <f t="shared" si="2"/>
        <v>12.321416732316257</v>
      </c>
      <c r="BO25" s="429">
        <f t="shared" si="2"/>
        <v>12.321416732316257</v>
      </c>
      <c r="BP25" s="429">
        <f t="shared" si="2"/>
        <v>12.321416732316257</v>
      </c>
      <c r="BQ25" s="57">
        <v>118.901</v>
      </c>
      <c r="BR25" s="55">
        <v>118.051</v>
      </c>
      <c r="BS25" s="57">
        <f>BQ25/BR25</f>
        <v>1.0072002778460156</v>
      </c>
      <c r="BT25" s="55"/>
      <c r="BU25" s="55"/>
      <c r="BV25" s="429"/>
      <c r="BW25" s="429"/>
      <c r="BX25" s="429"/>
      <c r="BY25" s="429"/>
      <c r="BZ25" s="429"/>
      <c r="CA25" s="429"/>
      <c r="CB25" s="429"/>
      <c r="CC25" s="429">
        <f>SUM((BL25:BP25),(BV25:CB25))</f>
        <v>61.607083661581285</v>
      </c>
      <c r="CD25" s="439">
        <f>BK25-CC25</f>
        <v>1248.0443537115314</v>
      </c>
      <c r="CE25" s="58">
        <v>10</v>
      </c>
      <c r="CF25" s="53">
        <v>0.1</v>
      </c>
      <c r="CG25" s="46">
        <v>43281</v>
      </c>
      <c r="CH25" s="48">
        <v>120</v>
      </c>
      <c r="CI25" s="145">
        <f>100/CH25</f>
        <v>0.83333333333333337</v>
      </c>
      <c r="CJ25" s="165">
        <f>CI25*CK25</f>
        <v>25.833333333333336</v>
      </c>
      <c r="CK25" s="48">
        <f>(YEAR(CG25)-YEAR(CT25))*12+MONTH(CG25)-MONTH(CT25)</f>
        <v>31</v>
      </c>
      <c r="CL25" s="165">
        <f>CM25*CI25</f>
        <v>74.166666666666671</v>
      </c>
      <c r="CM25" s="48">
        <f>CH25-CK25</f>
        <v>89</v>
      </c>
      <c r="CN25" s="165">
        <f>CO25*CI25</f>
        <v>0</v>
      </c>
      <c r="CO25" s="48"/>
      <c r="CP25" s="165">
        <f>CQ25*CI25</f>
        <v>74.166666666666671</v>
      </c>
      <c r="CQ25" s="48">
        <f>CM25-CO25</f>
        <v>89</v>
      </c>
      <c r="CR25" s="462">
        <f>DATE(YEAR(CT25),MONTH(CT25)+CH25,DAY(CT25))</f>
        <v>45988</v>
      </c>
      <c r="CS25" s="48">
        <v>4660</v>
      </c>
      <c r="CT25" s="46">
        <v>42335</v>
      </c>
      <c r="CU25" s="47">
        <f>734*2</f>
        <v>1468</v>
      </c>
      <c r="CV25" s="57">
        <v>0</v>
      </c>
      <c r="CW25" s="55">
        <v>0</v>
      </c>
      <c r="CX25" s="55">
        <v>118.051</v>
      </c>
      <c r="CY25" s="57">
        <v>115.958</v>
      </c>
      <c r="CZ25" s="55">
        <v>118.051</v>
      </c>
      <c r="DA25" s="57">
        <f>CY25/CZ25</f>
        <v>0.98227037466857536</v>
      </c>
      <c r="DB25" s="55">
        <f>CI25*CU25/100</f>
        <v>12.233333333333334</v>
      </c>
      <c r="DC25" s="55">
        <f>DB25*DA25</f>
        <v>12.016440916778906</v>
      </c>
      <c r="DD25" s="55"/>
      <c r="DE25" s="55"/>
      <c r="DF25" s="55"/>
      <c r="DG25" s="55"/>
      <c r="DH25" s="55"/>
      <c r="DI25" s="55"/>
      <c r="DJ25" s="55"/>
      <c r="DK25" s="55"/>
      <c r="DL25" s="72"/>
      <c r="DM25" s="72"/>
      <c r="DN25" s="72"/>
      <c r="DO25" s="72">
        <f>DC25</f>
        <v>12.016440916778906</v>
      </c>
      <c r="DP25" s="72">
        <f>DO25</f>
        <v>12.016440916778906</v>
      </c>
      <c r="DQ25" s="72">
        <f>CU25-DP25</f>
        <v>1455.9835590832211</v>
      </c>
      <c r="DR25" s="32"/>
      <c r="DS25" s="32"/>
      <c r="DT25" s="429">
        <f t="shared" si="5"/>
        <v>12.016440916778906</v>
      </c>
      <c r="DU25" s="429">
        <f t="shared" si="5"/>
        <v>12.016440916778906</v>
      </c>
      <c r="DV25" s="429">
        <f t="shared" si="5"/>
        <v>12.016440916778906</v>
      </c>
      <c r="DW25" s="429">
        <f t="shared" si="5"/>
        <v>12.016440916778906</v>
      </c>
      <c r="DX25" s="429">
        <f t="shared" si="5"/>
        <v>12.016440916778906</v>
      </c>
      <c r="DY25" s="725">
        <v>1248.0443537115314</v>
      </c>
      <c r="DZ25" s="57">
        <v>126.408</v>
      </c>
      <c r="EA25" s="55">
        <v>118.051</v>
      </c>
      <c r="EB25" s="57">
        <f>DZ25/EA25</f>
        <v>1.0707914375990037</v>
      </c>
      <c r="EC25" s="55">
        <f>DY25/CM25</f>
        <v>14.022970266421702</v>
      </c>
      <c r="ED25" s="55">
        <f>EC25*EB25</f>
        <v>15.015676490989778</v>
      </c>
      <c r="EE25" s="55">
        <v>13.231635719783071</v>
      </c>
      <c r="EF25" s="55">
        <v>13.231635719783071</v>
      </c>
      <c r="EG25" s="55">
        <v>13.231635719783071</v>
      </c>
      <c r="EH25" s="55">
        <v>13.231635719783071</v>
      </c>
      <c r="EI25" s="55">
        <v>13.231635719783071</v>
      </c>
      <c r="EJ25" s="55">
        <v>13.231635719783071</v>
      </c>
      <c r="EK25" s="55">
        <v>13.231635719783071</v>
      </c>
      <c r="EL25" s="429">
        <f>SUM(EE25:EK25)</f>
        <v>92.621450038481498</v>
      </c>
      <c r="EM25" s="439">
        <f>DY25-EL25</f>
        <v>1155.4229036730499</v>
      </c>
      <c r="EN25" s="55">
        <v>13.231635719783071</v>
      </c>
      <c r="EO25" s="55">
        <v>13.231635719783071</v>
      </c>
      <c r="EP25" s="55">
        <v>13.231635719783071</v>
      </c>
      <c r="EQ25" s="55">
        <v>13.231635719783071</v>
      </c>
      <c r="ER25" s="55">
        <v>13.231635719783071</v>
      </c>
      <c r="ES25" s="511">
        <f>SUM(EN25:ER25)</f>
        <v>66.158178598915356</v>
      </c>
      <c r="ET25" s="1085">
        <f>EM25-ES25</f>
        <v>1089.2647250741345</v>
      </c>
      <c r="EU25" s="514">
        <v>132.28200000000001</v>
      </c>
      <c r="EV25" s="516">
        <v>118.051</v>
      </c>
      <c r="EW25" s="514">
        <f>EU25/EV25</f>
        <v>1.1205495929725289</v>
      </c>
      <c r="EX25" s="516">
        <f>ET25/CK25</f>
        <v>35.137571776584984</v>
      </c>
      <c r="EY25" s="516">
        <f>EX25*EW25</f>
        <v>39.373391752295319</v>
      </c>
      <c r="EZ25" s="516">
        <v>39.373391752295319</v>
      </c>
      <c r="FA25" s="516">
        <v>39.373391752295319</v>
      </c>
      <c r="FB25" s="516">
        <v>39.373391752295319</v>
      </c>
      <c r="FC25" s="516">
        <v>39.373391752295319</v>
      </c>
      <c r="FD25" s="516">
        <v>39.373391752295319</v>
      </c>
      <c r="FE25" s="516">
        <v>39.373391752295319</v>
      </c>
      <c r="FF25" s="516">
        <v>39.373391752295319</v>
      </c>
      <c r="FG25" s="516">
        <v>39.373391752295319</v>
      </c>
      <c r="FH25" s="516">
        <v>39.373391752295319</v>
      </c>
      <c r="FI25" s="516">
        <v>39.373391752295319</v>
      </c>
      <c r="FJ25" s="516">
        <v>39.373391752295319</v>
      </c>
      <c r="FK25" s="516">
        <v>39.373391752295319</v>
      </c>
      <c r="FL25" s="516">
        <v>39.373391752295319</v>
      </c>
      <c r="FM25" s="516">
        <v>39.373391752295319</v>
      </c>
      <c r="FN25" s="516">
        <v>39.373391752295319</v>
      </c>
      <c r="FO25" s="516">
        <v>39.373391752295319</v>
      </c>
      <c r="FP25" s="516">
        <v>39.373391752295319</v>
      </c>
      <c r="FQ25" s="516">
        <v>39.373391752295319</v>
      </c>
      <c r="FR25" s="516">
        <f t="shared" si="6"/>
        <v>708.72105154131589</v>
      </c>
      <c r="FS25" s="1085">
        <f>ET25-FR25</f>
        <v>380.54367353281862</v>
      </c>
    </row>
    <row r="26" spans="1:175" s="35" customFormat="1" ht="15" x14ac:dyDescent="0.2">
      <c r="A26" s="100" t="s">
        <v>114</v>
      </c>
      <c r="B26" s="100" t="s">
        <v>33</v>
      </c>
      <c r="C26" s="100" t="s">
        <v>316</v>
      </c>
      <c r="D26" s="8">
        <v>10</v>
      </c>
      <c r="E26" s="130">
        <v>0.1</v>
      </c>
      <c r="F26" s="119">
        <v>42185</v>
      </c>
      <c r="G26" s="8">
        <v>120</v>
      </c>
      <c r="H26" s="146">
        <f>100/G26</f>
        <v>0.83333333333333337</v>
      </c>
      <c r="I26" s="1167">
        <f>H26*J26</f>
        <v>104.16666666666667</v>
      </c>
      <c r="J26" s="125">
        <f>(YEAR(F26)-YEAR(S26))*12+MONTH(F26)-MONTH(S26)</f>
        <v>125</v>
      </c>
      <c r="K26" s="1167">
        <f>L26*H26</f>
        <v>0</v>
      </c>
      <c r="L26" s="125">
        <v>0</v>
      </c>
      <c r="M26" s="1167">
        <f>N26*H26</f>
        <v>0</v>
      </c>
      <c r="N26" s="125">
        <v>0</v>
      </c>
      <c r="O26" s="1167">
        <f>P26*H26</f>
        <v>0</v>
      </c>
      <c r="P26" s="125">
        <f t="shared" si="0"/>
        <v>0</v>
      </c>
      <c r="Q26" s="125"/>
      <c r="R26" s="119" t="s">
        <v>508</v>
      </c>
      <c r="S26" s="132">
        <v>38353</v>
      </c>
      <c r="T26" s="133">
        <v>249</v>
      </c>
      <c r="U26" s="134">
        <v>1</v>
      </c>
      <c r="V26" s="7">
        <v>0</v>
      </c>
      <c r="W26" s="1167">
        <v>0</v>
      </c>
      <c r="X26" s="64">
        <v>115.958</v>
      </c>
      <c r="Y26" s="82">
        <v>112.554</v>
      </c>
      <c r="Z26" s="64">
        <f>X26/Y26</f>
        <v>1.0302432610124916</v>
      </c>
      <c r="AA26" s="62">
        <v>0</v>
      </c>
      <c r="AB26" s="62">
        <v>0</v>
      </c>
      <c r="AC26" s="62"/>
      <c r="AD26" s="62"/>
      <c r="AE26" s="62"/>
      <c r="AF26" s="62"/>
      <c r="AG26" s="62"/>
      <c r="AH26" s="62">
        <f>AB26</f>
        <v>0</v>
      </c>
      <c r="AI26" s="62">
        <v>0</v>
      </c>
      <c r="AJ26" s="62">
        <v>0</v>
      </c>
      <c r="AK26" s="62">
        <v>0</v>
      </c>
      <c r="AL26" s="62">
        <v>0</v>
      </c>
      <c r="AM26" s="62">
        <v>0</v>
      </c>
      <c r="AN26" s="62">
        <v>0</v>
      </c>
      <c r="AO26" s="62">
        <f>SUM(AC26:AN26)</f>
        <v>0</v>
      </c>
      <c r="AP26" s="1169">
        <f>U26-AO26</f>
        <v>1</v>
      </c>
      <c r="AQ26" s="509"/>
      <c r="AR26" s="509"/>
      <c r="AS26" s="509"/>
      <c r="AT26" s="509"/>
      <c r="AU26" s="509"/>
      <c r="AV26" s="509"/>
      <c r="AW26" s="509"/>
      <c r="AX26" s="64">
        <v>118.901</v>
      </c>
      <c r="AY26" s="82">
        <v>112.554</v>
      </c>
      <c r="AZ26" s="64">
        <f>AX26/AY26</f>
        <v>1.0563907102368639</v>
      </c>
      <c r="BA26" s="62">
        <f>T26/(D26*12)</f>
        <v>2.0750000000000002</v>
      </c>
      <c r="BB26" s="62">
        <f>BA26*AZ26</f>
        <v>2.1920107237414928</v>
      </c>
      <c r="BC26" s="510"/>
      <c r="BD26" s="510"/>
      <c r="BE26" s="510"/>
      <c r="BF26" s="510"/>
      <c r="BG26" s="509"/>
      <c r="BH26" s="509"/>
      <c r="BI26" s="509"/>
      <c r="BJ26" s="510">
        <f>SUM((AS26:AW26),(BC26:BI26))</f>
        <v>0</v>
      </c>
      <c r="BK26" s="439">
        <f>(AP26-BJ26)</f>
        <v>1</v>
      </c>
      <c r="BL26" s="509"/>
      <c r="BM26" s="509"/>
      <c r="BN26" s="509"/>
      <c r="BO26" s="509"/>
      <c r="BP26" s="509"/>
      <c r="BQ26" s="64">
        <v>118.901</v>
      </c>
      <c r="BR26" s="82">
        <v>112.554</v>
      </c>
      <c r="BS26" s="64">
        <f>BQ26/BR26</f>
        <v>1.0563907102368639</v>
      </c>
      <c r="BT26" s="62"/>
      <c r="BU26" s="62"/>
      <c r="BV26" s="510"/>
      <c r="BW26" s="510"/>
      <c r="BX26" s="510"/>
      <c r="BY26" s="510"/>
      <c r="BZ26" s="509"/>
      <c r="CA26" s="509"/>
      <c r="CB26" s="509"/>
      <c r="CC26" s="510">
        <f>SUM((BL26:BP26),(BV26:CB26))</f>
        <v>0</v>
      </c>
      <c r="CD26" s="439">
        <f>BK26-CC26</f>
        <v>1</v>
      </c>
      <c r="CE26" s="8">
        <v>10</v>
      </c>
      <c r="CF26" s="130">
        <v>0.1</v>
      </c>
      <c r="CG26" s="119">
        <v>43281</v>
      </c>
      <c r="CH26" s="8">
        <v>120</v>
      </c>
      <c r="CI26" s="146">
        <f>100/CH26</f>
        <v>0.83333333333333337</v>
      </c>
      <c r="CJ26" s="1167">
        <f>CI26*CK26</f>
        <v>134.16666666666669</v>
      </c>
      <c r="CK26" s="125">
        <f>(YEAR(CG26)-YEAR(CT26))*12+MONTH(CG26)-MONTH(CT26)</f>
        <v>161</v>
      </c>
      <c r="CL26" s="1167">
        <f>CM26*CI26</f>
        <v>-34.166666666666671</v>
      </c>
      <c r="CM26" s="125">
        <f>CH26-CK26</f>
        <v>-41</v>
      </c>
      <c r="CN26" s="1167">
        <f>CO26*CI26</f>
        <v>0</v>
      </c>
      <c r="CO26" s="125"/>
      <c r="CP26" s="1167">
        <f>CQ26*CI26</f>
        <v>-34.166666666666671</v>
      </c>
      <c r="CQ26" s="125">
        <f>CM26-CO26</f>
        <v>-41</v>
      </c>
      <c r="CR26" s="367">
        <f>DATE(YEAR(CT26),MONTH(CT26)+CH26,DAY(CT26))</f>
        <v>42005</v>
      </c>
      <c r="CS26" s="119" t="s">
        <v>508</v>
      </c>
      <c r="CT26" s="132">
        <v>38353</v>
      </c>
      <c r="CU26" s="133">
        <v>249</v>
      </c>
      <c r="CV26" s="134">
        <v>1</v>
      </c>
      <c r="CW26" s="7">
        <v>0</v>
      </c>
      <c r="CX26" s="1167">
        <v>0</v>
      </c>
      <c r="CY26" s="64">
        <v>115.958</v>
      </c>
      <c r="CZ26" s="82">
        <v>112.554</v>
      </c>
      <c r="DA26" s="64">
        <f>CY26/CZ26</f>
        <v>1.0302432610124916</v>
      </c>
      <c r="DB26" s="62">
        <v>0</v>
      </c>
      <c r="DC26" s="62">
        <v>0</v>
      </c>
      <c r="DD26" s="62"/>
      <c r="DE26" s="62"/>
      <c r="DF26" s="62"/>
      <c r="DG26" s="62"/>
      <c r="DH26" s="62"/>
      <c r="DI26" s="62">
        <f>DC26</f>
        <v>0</v>
      </c>
      <c r="DJ26" s="62">
        <v>0</v>
      </c>
      <c r="DK26" s="62">
        <v>0</v>
      </c>
      <c r="DL26" s="62">
        <v>0</v>
      </c>
      <c r="DM26" s="62">
        <v>0</v>
      </c>
      <c r="DN26" s="62">
        <v>0</v>
      </c>
      <c r="DO26" s="62">
        <v>0</v>
      </c>
      <c r="DP26" s="62">
        <f>SUM(DD26:DO26)</f>
        <v>0</v>
      </c>
      <c r="DQ26" s="1169">
        <f>CV26-DP26</f>
        <v>1</v>
      </c>
      <c r="DR26" s="509"/>
      <c r="DS26" s="509"/>
      <c r="DT26" s="509"/>
      <c r="DU26" s="509"/>
      <c r="DV26" s="509"/>
      <c r="DW26" s="509"/>
      <c r="DX26" s="509"/>
      <c r="DY26" s="960">
        <v>1</v>
      </c>
      <c r="DZ26" s="64">
        <v>126.408</v>
      </c>
      <c r="EA26" s="82">
        <v>112.554</v>
      </c>
      <c r="EB26" s="64">
        <f>DZ26/EA26</f>
        <v>1.1230875846260462</v>
      </c>
      <c r="EC26" s="62">
        <v>0</v>
      </c>
      <c r="ED26" s="62">
        <f>EC26*EB26</f>
        <v>0</v>
      </c>
      <c r="EE26" s="62">
        <v>0</v>
      </c>
      <c r="EF26" s="62">
        <v>0</v>
      </c>
      <c r="EG26" s="62">
        <v>0</v>
      </c>
      <c r="EH26" s="62">
        <v>0</v>
      </c>
      <c r="EI26" s="62">
        <v>0</v>
      </c>
      <c r="EJ26" s="62">
        <v>0</v>
      </c>
      <c r="EK26" s="62">
        <v>0</v>
      </c>
      <c r="EL26" s="510">
        <f>SUM(EE26:EK26)</f>
        <v>0</v>
      </c>
      <c r="EM26" s="439">
        <f>DY26-EL26</f>
        <v>1</v>
      </c>
      <c r="EN26" s="62">
        <v>0</v>
      </c>
      <c r="EO26" s="62">
        <v>0</v>
      </c>
      <c r="EP26" s="62">
        <v>0</v>
      </c>
      <c r="EQ26" s="62">
        <v>0</v>
      </c>
      <c r="ER26" s="62">
        <v>0</v>
      </c>
      <c r="ES26" s="510">
        <f>SUM(EN26:ER26)</f>
        <v>0</v>
      </c>
      <c r="ET26" s="1085">
        <f>EM26-ES26</f>
        <v>1</v>
      </c>
      <c r="EU26" s="1190">
        <v>132.28200000000001</v>
      </c>
      <c r="EV26" s="690">
        <v>112.554</v>
      </c>
      <c r="EW26" s="1190">
        <f>EU26/EV26</f>
        <v>1.17527586758356</v>
      </c>
      <c r="EX26" s="538">
        <v>0</v>
      </c>
      <c r="EY26" s="538">
        <f>EX26*EW26</f>
        <v>0</v>
      </c>
      <c r="EZ26" s="538">
        <v>0</v>
      </c>
      <c r="FA26" s="538">
        <v>0</v>
      </c>
      <c r="FB26" s="538">
        <v>0</v>
      </c>
      <c r="FC26" s="538">
        <v>0</v>
      </c>
      <c r="FD26" s="538">
        <v>0</v>
      </c>
      <c r="FE26" s="538">
        <v>0</v>
      </c>
      <c r="FF26" s="538">
        <v>0</v>
      </c>
      <c r="FG26" s="538">
        <v>0</v>
      </c>
      <c r="FH26" s="538">
        <v>0</v>
      </c>
      <c r="FI26" s="538">
        <v>0</v>
      </c>
      <c r="FJ26" s="538">
        <v>0</v>
      </c>
      <c r="FK26" s="538">
        <v>0</v>
      </c>
      <c r="FL26" s="538">
        <v>0</v>
      </c>
      <c r="FM26" s="538">
        <v>0</v>
      </c>
      <c r="FN26" s="538">
        <v>0</v>
      </c>
      <c r="FO26" s="538">
        <v>0</v>
      </c>
      <c r="FP26" s="538">
        <v>0</v>
      </c>
      <c r="FQ26" s="538">
        <v>0</v>
      </c>
      <c r="FR26" s="538">
        <f t="shared" si="6"/>
        <v>0</v>
      </c>
      <c r="FS26" s="1085">
        <f>ET26-FR26</f>
        <v>1</v>
      </c>
    </row>
    <row r="27" spans="1:175" s="16" customFormat="1" ht="15" x14ac:dyDescent="0.2">
      <c r="A27" s="26" t="s">
        <v>71</v>
      </c>
      <c r="B27" s="26" t="s">
        <v>87</v>
      </c>
      <c r="C27" s="100"/>
      <c r="D27" s="58"/>
      <c r="E27" s="25"/>
      <c r="F27" s="46"/>
      <c r="G27" s="58"/>
      <c r="H27" s="145"/>
      <c r="I27" s="165"/>
      <c r="J27" s="48"/>
      <c r="K27" s="165"/>
      <c r="L27" s="48"/>
      <c r="M27" s="165"/>
      <c r="N27" s="48"/>
      <c r="O27" s="165"/>
      <c r="P27" s="48"/>
      <c r="Q27" s="48"/>
      <c r="R27" s="20"/>
      <c r="S27" s="119"/>
      <c r="T27" s="134"/>
      <c r="U27" s="14"/>
      <c r="V27" s="106"/>
      <c r="W27" s="165"/>
      <c r="X27" s="57"/>
      <c r="Y27" s="80"/>
      <c r="Z27" s="57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72"/>
      <c r="AQ27" s="32"/>
      <c r="AR27" s="32"/>
      <c r="AS27" s="32"/>
      <c r="AT27" s="32"/>
      <c r="AU27" s="32"/>
      <c r="AV27" s="32"/>
      <c r="AW27" s="32"/>
      <c r="AX27" s="57"/>
      <c r="AY27" s="80"/>
      <c r="AZ27" s="57"/>
      <c r="BA27" s="55"/>
      <c r="BB27" s="55"/>
      <c r="BC27" s="429"/>
      <c r="BD27" s="429"/>
      <c r="BE27" s="429"/>
      <c r="BF27" s="429"/>
      <c r="BG27" s="32"/>
      <c r="BH27" s="32"/>
      <c r="BI27" s="32"/>
      <c r="BJ27" s="429"/>
      <c r="BK27" s="439"/>
      <c r="BL27" s="32"/>
      <c r="BM27" s="32"/>
      <c r="BN27" s="32"/>
      <c r="BO27" s="32"/>
      <c r="BP27" s="32"/>
      <c r="BQ27" s="57"/>
      <c r="BR27" s="80"/>
      <c r="BS27" s="57"/>
      <c r="BT27" s="55"/>
      <c r="BU27" s="55"/>
      <c r="BV27" s="429"/>
      <c r="BW27" s="429"/>
      <c r="BX27" s="429"/>
      <c r="BY27" s="429"/>
      <c r="BZ27" s="32"/>
      <c r="CA27" s="32"/>
      <c r="CB27" s="32"/>
      <c r="CC27" s="429"/>
      <c r="CD27" s="439"/>
      <c r="CE27" s="58"/>
      <c r="CF27" s="25"/>
      <c r="CG27" s="46"/>
      <c r="CH27" s="58"/>
      <c r="CI27" s="145"/>
      <c r="CJ27" s="165"/>
      <c r="CK27" s="48"/>
      <c r="CL27" s="165"/>
      <c r="CM27" s="48"/>
      <c r="CN27" s="165"/>
      <c r="CO27" s="48"/>
      <c r="CP27" s="165"/>
      <c r="CQ27" s="48"/>
      <c r="CR27" s="48"/>
      <c r="CS27" s="20"/>
      <c r="CT27" s="119"/>
      <c r="CU27" s="134"/>
      <c r="CV27" s="14"/>
      <c r="CW27" s="106"/>
      <c r="CX27" s="165"/>
      <c r="CY27" s="57"/>
      <c r="CZ27" s="80"/>
      <c r="DA27" s="57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72"/>
      <c r="DR27" s="32"/>
      <c r="DS27" s="32"/>
      <c r="DT27" s="32"/>
      <c r="DU27" s="32"/>
      <c r="DV27" s="32"/>
      <c r="DW27" s="32"/>
      <c r="DX27" s="32"/>
      <c r="DY27" s="725"/>
      <c r="DZ27" s="57"/>
      <c r="EA27" s="80"/>
      <c r="EB27" s="57"/>
      <c r="EC27" s="55"/>
      <c r="ED27" s="55"/>
      <c r="EE27" s="55"/>
      <c r="EF27" s="55"/>
      <c r="EG27" s="55"/>
      <c r="EH27" s="55"/>
      <c r="EI27" s="55"/>
      <c r="EJ27" s="55"/>
      <c r="EK27" s="55"/>
      <c r="EL27" s="429"/>
      <c r="EM27" s="439"/>
      <c r="EN27" s="55"/>
      <c r="EO27" s="55"/>
      <c r="EP27" s="55"/>
      <c r="EQ27" s="55"/>
      <c r="ER27" s="55"/>
      <c r="ES27" s="511"/>
      <c r="ET27" s="1085"/>
      <c r="EU27" s="514"/>
      <c r="EV27" s="515"/>
      <c r="EW27" s="514"/>
      <c r="EX27" s="516"/>
      <c r="EY27" s="516"/>
      <c r="EZ27" s="516"/>
      <c r="FA27" s="516"/>
      <c r="FB27" s="516"/>
      <c r="FC27" s="516"/>
      <c r="FD27" s="516"/>
      <c r="FE27" s="516"/>
      <c r="FF27" s="516"/>
      <c r="FG27" s="516"/>
      <c r="FH27" s="516"/>
      <c r="FI27" s="516"/>
      <c r="FJ27" s="516"/>
      <c r="FK27" s="516"/>
      <c r="FL27" s="516"/>
      <c r="FM27" s="516"/>
      <c r="FN27" s="516"/>
      <c r="FO27" s="516"/>
      <c r="FP27" s="516"/>
      <c r="FQ27" s="516"/>
      <c r="FR27" s="516">
        <f t="shared" si="6"/>
        <v>0</v>
      </c>
      <c r="FS27" s="1085"/>
    </row>
    <row r="28" spans="1:175" s="16" customFormat="1" ht="15" x14ac:dyDescent="0.2">
      <c r="A28" s="26" t="s">
        <v>116</v>
      </c>
      <c r="B28" s="9"/>
      <c r="C28" s="100"/>
      <c r="D28" s="58"/>
      <c r="E28" s="25"/>
      <c r="F28" s="46"/>
      <c r="G28" s="58"/>
      <c r="H28" s="145"/>
      <c r="I28" s="48"/>
      <c r="J28" s="48"/>
      <c r="K28" s="48"/>
      <c r="L28" s="48"/>
      <c r="M28" s="48"/>
      <c r="N28" s="48"/>
      <c r="O28" s="48"/>
      <c r="P28" s="48"/>
      <c r="Q28" s="48"/>
      <c r="R28" s="46"/>
      <c r="S28" s="119"/>
      <c r="T28" s="134"/>
      <c r="U28" s="47"/>
      <c r="V28" s="106"/>
      <c r="W28" s="165"/>
      <c r="X28" s="57"/>
      <c r="Y28" s="80"/>
      <c r="Z28" s="57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72"/>
      <c r="AQ28" s="32"/>
      <c r="AR28" s="32"/>
      <c r="AS28" s="32"/>
      <c r="AT28" s="32"/>
      <c r="AU28" s="32"/>
      <c r="AV28" s="32"/>
      <c r="AW28" s="32"/>
      <c r="AX28" s="57"/>
      <c r="AY28" s="80"/>
      <c r="AZ28" s="57"/>
      <c r="BA28" s="55"/>
      <c r="BB28" s="55"/>
      <c r="BC28" s="429"/>
      <c r="BD28" s="429"/>
      <c r="BE28" s="429"/>
      <c r="BF28" s="429"/>
      <c r="BG28" s="32"/>
      <c r="BH28" s="32"/>
      <c r="BI28" s="32"/>
      <c r="BJ28" s="429"/>
      <c r="BK28" s="439"/>
      <c r="BL28" s="32"/>
      <c r="BM28" s="32"/>
      <c r="BN28" s="32"/>
      <c r="BO28" s="32"/>
      <c r="BP28" s="32"/>
      <c r="BQ28" s="57"/>
      <c r="BR28" s="80"/>
      <c r="BS28" s="57"/>
      <c r="BT28" s="55"/>
      <c r="BU28" s="55"/>
      <c r="BV28" s="429"/>
      <c r="BW28" s="429"/>
      <c r="BX28" s="429"/>
      <c r="BY28" s="429"/>
      <c r="BZ28" s="32"/>
      <c r="CA28" s="32"/>
      <c r="CB28" s="32"/>
      <c r="CC28" s="429"/>
      <c r="CD28" s="439"/>
      <c r="CE28" s="58"/>
      <c r="CF28" s="25"/>
      <c r="CG28" s="46"/>
      <c r="CH28" s="58"/>
      <c r="CI28" s="145"/>
      <c r="CJ28" s="48"/>
      <c r="CK28" s="48"/>
      <c r="CL28" s="48"/>
      <c r="CM28" s="48"/>
      <c r="CN28" s="48"/>
      <c r="CO28" s="48"/>
      <c r="CP28" s="48"/>
      <c r="CQ28" s="48"/>
      <c r="CR28" s="48"/>
      <c r="CS28" s="46"/>
      <c r="CT28" s="119"/>
      <c r="CU28" s="134"/>
      <c r="CV28" s="47"/>
      <c r="CW28" s="106"/>
      <c r="CX28" s="165"/>
      <c r="CY28" s="57"/>
      <c r="CZ28" s="80"/>
      <c r="DA28" s="57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72"/>
      <c r="DR28" s="32"/>
      <c r="DS28" s="32"/>
      <c r="DT28" s="32"/>
      <c r="DU28" s="32"/>
      <c r="DV28" s="32"/>
      <c r="DW28" s="32"/>
      <c r="DX28" s="32"/>
      <c r="DY28" s="725"/>
      <c r="DZ28" s="57"/>
      <c r="EA28" s="80"/>
      <c r="EB28" s="57"/>
      <c r="EC28" s="55"/>
      <c r="ED28" s="55"/>
      <c r="EE28" s="55"/>
      <c r="EF28" s="55"/>
      <c r="EG28" s="55"/>
      <c r="EH28" s="55"/>
      <c r="EI28" s="55"/>
      <c r="EJ28" s="55"/>
      <c r="EK28" s="55"/>
      <c r="EL28" s="429"/>
      <c r="EM28" s="439"/>
      <c r="EN28" s="55"/>
      <c r="EO28" s="55"/>
      <c r="EP28" s="55"/>
      <c r="EQ28" s="55"/>
      <c r="ER28" s="55"/>
      <c r="ES28" s="511"/>
      <c r="ET28" s="1085"/>
      <c r="EU28" s="514"/>
      <c r="EV28" s="515"/>
      <c r="EW28" s="514"/>
      <c r="EX28" s="516"/>
      <c r="EY28" s="516"/>
      <c r="EZ28" s="516"/>
      <c r="FA28" s="516"/>
      <c r="FB28" s="516"/>
      <c r="FC28" s="516"/>
      <c r="FD28" s="516"/>
      <c r="FE28" s="516"/>
      <c r="FF28" s="516"/>
      <c r="FG28" s="516"/>
      <c r="FH28" s="516"/>
      <c r="FI28" s="516"/>
      <c r="FJ28" s="516"/>
      <c r="FK28" s="516"/>
      <c r="FL28" s="516"/>
      <c r="FM28" s="516"/>
      <c r="FN28" s="516"/>
      <c r="FO28" s="516"/>
      <c r="FP28" s="516"/>
      <c r="FQ28" s="516"/>
      <c r="FR28" s="516">
        <f t="shared" si="6"/>
        <v>0</v>
      </c>
      <c r="FS28" s="1085"/>
    </row>
    <row r="29" spans="1:175" s="16" customFormat="1" ht="15" x14ac:dyDescent="0.2">
      <c r="A29" s="9" t="s">
        <v>113</v>
      </c>
      <c r="B29" s="9" t="s">
        <v>32</v>
      </c>
      <c r="C29" s="45" t="s">
        <v>316</v>
      </c>
      <c r="D29" s="58">
        <v>10</v>
      </c>
      <c r="E29" s="25">
        <v>0.1</v>
      </c>
      <c r="F29" s="46">
        <v>42185</v>
      </c>
      <c r="G29" s="58">
        <v>120</v>
      </c>
      <c r="H29" s="145">
        <f>100/G29</f>
        <v>0.83333333333333337</v>
      </c>
      <c r="I29" s="165">
        <f>H29*J29</f>
        <v>104.16666666666667</v>
      </c>
      <c r="J29" s="48">
        <f>(YEAR(F29)-YEAR(S29))*12+MONTH(F29)-MONTH(S29)</f>
        <v>125</v>
      </c>
      <c r="K29" s="165">
        <f>L29*H29</f>
        <v>0</v>
      </c>
      <c r="L29" s="48">
        <v>0</v>
      </c>
      <c r="M29" s="165">
        <f>N29*H29</f>
        <v>0</v>
      </c>
      <c r="N29" s="48">
        <v>0</v>
      </c>
      <c r="O29" s="165">
        <f>P29*H29</f>
        <v>0</v>
      </c>
      <c r="P29" s="48">
        <f>L29-N29</f>
        <v>0</v>
      </c>
      <c r="Q29" s="17"/>
      <c r="R29" s="119" t="s">
        <v>508</v>
      </c>
      <c r="S29" s="119">
        <v>38353</v>
      </c>
      <c r="T29" s="134">
        <v>800</v>
      </c>
      <c r="U29" s="14">
        <v>1</v>
      </c>
      <c r="V29" s="106">
        <v>0</v>
      </c>
      <c r="W29" s="66"/>
      <c r="X29" s="57">
        <v>115.958</v>
      </c>
      <c r="Y29" s="80">
        <v>112.554</v>
      </c>
      <c r="Z29" s="57">
        <f>X29/Y29</f>
        <v>1.0302432610124916</v>
      </c>
      <c r="AA29" s="55">
        <v>0</v>
      </c>
      <c r="AB29" s="55">
        <v>0</v>
      </c>
      <c r="AC29" s="65"/>
      <c r="AD29" s="55"/>
      <c r="AE29" s="55"/>
      <c r="AF29" s="55"/>
      <c r="AG29" s="55"/>
      <c r="AH29" s="55">
        <v>0</v>
      </c>
      <c r="AI29" s="55">
        <v>0</v>
      </c>
      <c r="AJ29" s="55">
        <v>0</v>
      </c>
      <c r="AK29" s="55">
        <v>0</v>
      </c>
      <c r="AL29" s="55">
        <v>0</v>
      </c>
      <c r="AM29" s="55">
        <v>0</v>
      </c>
      <c r="AN29" s="55">
        <v>0</v>
      </c>
      <c r="AO29" s="55">
        <f>SUM(AC29:AN29)</f>
        <v>0</v>
      </c>
      <c r="AP29" s="72">
        <f>U29-AO29</f>
        <v>1</v>
      </c>
      <c r="AQ29" s="32"/>
      <c r="AR29" s="32"/>
      <c r="AS29" s="32"/>
      <c r="AT29" s="32"/>
      <c r="AU29" s="32"/>
      <c r="AV29" s="32"/>
      <c r="AW29" s="32"/>
      <c r="AX29" s="57">
        <v>118.901</v>
      </c>
      <c r="AY29" s="80">
        <v>112.554</v>
      </c>
      <c r="AZ29" s="57">
        <f>AX29/AY29</f>
        <v>1.0563907102368639</v>
      </c>
      <c r="BA29" s="55">
        <f>T29/(D29*12)</f>
        <v>6.666666666666667</v>
      </c>
      <c r="BB29" s="55">
        <f>BA29*AZ29</f>
        <v>7.0426047349124268</v>
      </c>
      <c r="BC29" s="429"/>
      <c r="BD29" s="429"/>
      <c r="BE29" s="429"/>
      <c r="BF29" s="429"/>
      <c r="BG29" s="32"/>
      <c r="BH29" s="32"/>
      <c r="BI29" s="32"/>
      <c r="BJ29" s="429">
        <f>SUM((AS29:AW29),(BC29:BI29))</f>
        <v>0</v>
      </c>
      <c r="BK29" s="439">
        <f>(AP29-BJ29)</f>
        <v>1</v>
      </c>
      <c r="BL29" s="32"/>
      <c r="BM29" s="32"/>
      <c r="BN29" s="32"/>
      <c r="BO29" s="32"/>
      <c r="BP29" s="32"/>
      <c r="BQ29" s="57">
        <v>118.901</v>
      </c>
      <c r="BR29" s="80">
        <v>112.554</v>
      </c>
      <c r="BS29" s="57">
        <f>BQ29/BR29</f>
        <v>1.0563907102368639</v>
      </c>
      <c r="BT29" s="55"/>
      <c r="BU29" s="55"/>
      <c r="BV29" s="429"/>
      <c r="BW29" s="429"/>
      <c r="BX29" s="429"/>
      <c r="BY29" s="429"/>
      <c r="BZ29" s="32"/>
      <c r="CA29" s="32"/>
      <c r="CB29" s="32"/>
      <c r="CC29" s="429">
        <f>SUM((BL29:BP29),(BV29:CB29))</f>
        <v>0</v>
      </c>
      <c r="CD29" s="439">
        <f>BK29-CC29</f>
        <v>1</v>
      </c>
      <c r="CE29" s="58">
        <v>10</v>
      </c>
      <c r="CF29" s="25">
        <v>0.1</v>
      </c>
      <c r="CG29" s="46">
        <v>43281</v>
      </c>
      <c r="CH29" s="58">
        <v>120</v>
      </c>
      <c r="CI29" s="145">
        <f>100/CH29</f>
        <v>0.83333333333333337</v>
      </c>
      <c r="CJ29" s="165">
        <f>CI29*CK29</f>
        <v>134.16666666666669</v>
      </c>
      <c r="CK29" s="48">
        <f>(YEAR(CG29)-YEAR(CT29))*12+MONTH(CG29)-MONTH(CT29)</f>
        <v>161</v>
      </c>
      <c r="CL29" s="165">
        <f>CM29*CI29</f>
        <v>-34.166666666666671</v>
      </c>
      <c r="CM29" s="48">
        <f>CH29-CK29</f>
        <v>-41</v>
      </c>
      <c r="CN29" s="165">
        <f>CO29*CI29</f>
        <v>0</v>
      </c>
      <c r="CO29" s="48"/>
      <c r="CP29" s="165">
        <f>CQ29*CI29</f>
        <v>-34.166666666666671</v>
      </c>
      <c r="CQ29" s="48">
        <f>CM29-CO29</f>
        <v>-41</v>
      </c>
      <c r="CR29" s="462">
        <f>DATE(YEAR(CT29),MONTH(CT29)+CH29,DAY(CT29))</f>
        <v>42005</v>
      </c>
      <c r="CS29" s="119" t="s">
        <v>508</v>
      </c>
      <c r="CT29" s="119">
        <v>38353</v>
      </c>
      <c r="CU29" s="134">
        <v>800</v>
      </c>
      <c r="CV29" s="14">
        <v>1</v>
      </c>
      <c r="CW29" s="106">
        <v>0</v>
      </c>
      <c r="CX29" s="66"/>
      <c r="CY29" s="57">
        <v>115.958</v>
      </c>
      <c r="CZ29" s="80">
        <v>112.554</v>
      </c>
      <c r="DA29" s="57">
        <f>CY29/CZ29</f>
        <v>1.0302432610124916</v>
      </c>
      <c r="DB29" s="55">
        <v>0</v>
      </c>
      <c r="DC29" s="55">
        <v>0</v>
      </c>
      <c r="DD29" s="65"/>
      <c r="DE29" s="55"/>
      <c r="DF29" s="55"/>
      <c r="DG29" s="55"/>
      <c r="DH29" s="55"/>
      <c r="DI29" s="55">
        <v>0</v>
      </c>
      <c r="DJ29" s="55">
        <v>0</v>
      </c>
      <c r="DK29" s="55">
        <v>0</v>
      </c>
      <c r="DL29" s="55">
        <v>0</v>
      </c>
      <c r="DM29" s="55">
        <v>0</v>
      </c>
      <c r="DN29" s="55">
        <v>0</v>
      </c>
      <c r="DO29" s="55">
        <v>0</v>
      </c>
      <c r="DP29" s="55">
        <f>SUM(DD29:DO29)</f>
        <v>0</v>
      </c>
      <c r="DQ29" s="72">
        <f>CV29-DP29</f>
        <v>1</v>
      </c>
      <c r="DR29" s="32"/>
      <c r="DS29" s="32"/>
      <c r="DT29" s="32"/>
      <c r="DU29" s="32"/>
      <c r="DV29" s="32"/>
      <c r="DW29" s="32"/>
      <c r="DX29" s="32"/>
      <c r="DY29" s="725">
        <v>1</v>
      </c>
      <c r="DZ29" s="57">
        <v>126.408</v>
      </c>
      <c r="EA29" s="80">
        <v>112.554</v>
      </c>
      <c r="EB29" s="57">
        <f>DZ29/EA29</f>
        <v>1.1230875846260462</v>
      </c>
      <c r="EC29" s="55">
        <v>0</v>
      </c>
      <c r="ED29" s="55">
        <f>EC29*EB29</f>
        <v>0</v>
      </c>
      <c r="EE29" s="55">
        <v>0</v>
      </c>
      <c r="EF29" s="55">
        <v>0</v>
      </c>
      <c r="EG29" s="55">
        <v>0</v>
      </c>
      <c r="EH29" s="55">
        <v>0</v>
      </c>
      <c r="EI29" s="55">
        <v>0</v>
      </c>
      <c r="EJ29" s="55">
        <v>0</v>
      </c>
      <c r="EK29" s="55">
        <v>0</v>
      </c>
      <c r="EL29" s="429">
        <f>SUM(EE29:EK29)</f>
        <v>0</v>
      </c>
      <c r="EM29" s="439">
        <f>DY29-EL29</f>
        <v>1</v>
      </c>
      <c r="EN29" s="55">
        <v>0</v>
      </c>
      <c r="EO29" s="55">
        <v>0</v>
      </c>
      <c r="EP29" s="55">
        <v>0</v>
      </c>
      <c r="EQ29" s="55">
        <v>0</v>
      </c>
      <c r="ER29" s="55">
        <v>0</v>
      </c>
      <c r="ES29" s="511">
        <f>SUM(EN29:ER29)</f>
        <v>0</v>
      </c>
      <c r="ET29" s="1085">
        <f>EM29-ES29</f>
        <v>1</v>
      </c>
      <c r="EU29" s="514">
        <v>132.28200000000001</v>
      </c>
      <c r="EV29" s="515">
        <v>112.554</v>
      </c>
      <c r="EW29" s="514">
        <f>EU29/EV29</f>
        <v>1.17527586758356</v>
      </c>
      <c r="EX29" s="516">
        <v>0</v>
      </c>
      <c r="EY29" s="516">
        <f>EX29*EW29</f>
        <v>0</v>
      </c>
      <c r="EZ29" s="516">
        <v>0</v>
      </c>
      <c r="FA29" s="516">
        <v>0</v>
      </c>
      <c r="FB29" s="516">
        <v>0</v>
      </c>
      <c r="FC29" s="516">
        <v>0</v>
      </c>
      <c r="FD29" s="516">
        <v>0</v>
      </c>
      <c r="FE29" s="516">
        <v>0</v>
      </c>
      <c r="FF29" s="516">
        <v>0</v>
      </c>
      <c r="FG29" s="516">
        <v>0</v>
      </c>
      <c r="FH29" s="516">
        <v>0</v>
      </c>
      <c r="FI29" s="516">
        <v>0</v>
      </c>
      <c r="FJ29" s="516">
        <v>0</v>
      </c>
      <c r="FK29" s="516">
        <v>0</v>
      </c>
      <c r="FL29" s="516">
        <v>0</v>
      </c>
      <c r="FM29" s="516">
        <v>0</v>
      </c>
      <c r="FN29" s="516">
        <v>0</v>
      </c>
      <c r="FO29" s="516">
        <v>0</v>
      </c>
      <c r="FP29" s="516">
        <v>0</v>
      </c>
      <c r="FQ29" s="516">
        <v>0</v>
      </c>
      <c r="FR29" s="516">
        <f t="shared" si="6"/>
        <v>0</v>
      </c>
      <c r="FS29" s="1085">
        <f>ET29-FR29</f>
        <v>1</v>
      </c>
    </row>
    <row r="30" spans="1:175" s="16" customFormat="1" ht="15" x14ac:dyDescent="0.2">
      <c r="A30" s="26" t="s">
        <v>71</v>
      </c>
      <c r="B30" s="26" t="s">
        <v>84</v>
      </c>
      <c r="C30" s="100"/>
      <c r="D30" s="58"/>
      <c r="E30" s="25"/>
      <c r="F30" s="46"/>
      <c r="G30" s="58"/>
      <c r="H30" s="145"/>
      <c r="I30" s="165"/>
      <c r="J30" s="48"/>
      <c r="K30" s="165"/>
      <c r="L30" s="48"/>
      <c r="M30" s="165"/>
      <c r="N30" s="48"/>
      <c r="O30" s="165"/>
      <c r="P30" s="48"/>
      <c r="Q30" s="48"/>
      <c r="R30" s="20"/>
      <c r="S30" s="119"/>
      <c r="T30" s="134"/>
      <c r="U30" s="14"/>
      <c r="V30" s="106"/>
      <c r="W30" s="66"/>
      <c r="X30" s="57"/>
      <c r="Y30" s="80"/>
      <c r="Z30" s="57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72"/>
      <c r="AQ30" s="32"/>
      <c r="AR30" s="32"/>
      <c r="AS30" s="32"/>
      <c r="AT30" s="32"/>
      <c r="AU30" s="32"/>
      <c r="AV30" s="32"/>
      <c r="AW30" s="32"/>
      <c r="AX30" s="57"/>
      <c r="AY30" s="80"/>
      <c r="AZ30" s="57"/>
      <c r="BA30" s="55"/>
      <c r="BB30" s="55"/>
      <c r="BC30" s="429"/>
      <c r="BD30" s="429"/>
      <c r="BE30" s="429"/>
      <c r="BF30" s="429"/>
      <c r="BG30" s="32"/>
      <c r="BH30" s="32"/>
      <c r="BI30" s="32"/>
      <c r="BJ30" s="429"/>
      <c r="BK30" s="439"/>
      <c r="BL30" s="32"/>
      <c r="BM30" s="32"/>
      <c r="BN30" s="32"/>
      <c r="BO30" s="32"/>
      <c r="BP30" s="32"/>
      <c r="BQ30" s="57"/>
      <c r="BR30" s="80"/>
      <c r="BS30" s="57"/>
      <c r="BT30" s="55"/>
      <c r="BU30" s="55"/>
      <c r="BV30" s="429"/>
      <c r="BW30" s="429"/>
      <c r="BX30" s="429"/>
      <c r="BY30" s="429"/>
      <c r="BZ30" s="32"/>
      <c r="CA30" s="32"/>
      <c r="CB30" s="32"/>
      <c r="CC30" s="429"/>
      <c r="CD30" s="439"/>
      <c r="CE30" s="58"/>
      <c r="CF30" s="25"/>
      <c r="CG30" s="46"/>
      <c r="CH30" s="58"/>
      <c r="CI30" s="145"/>
      <c r="CJ30" s="165"/>
      <c r="CK30" s="48"/>
      <c r="CL30" s="165"/>
      <c r="CM30" s="48"/>
      <c r="CN30" s="165"/>
      <c r="CO30" s="48"/>
      <c r="CP30" s="165"/>
      <c r="CQ30" s="48"/>
      <c r="CR30" s="48"/>
      <c r="CS30" s="20"/>
      <c r="CT30" s="119"/>
      <c r="CU30" s="134"/>
      <c r="CV30" s="14"/>
      <c r="CW30" s="106"/>
      <c r="CX30" s="66"/>
      <c r="CY30" s="57"/>
      <c r="CZ30" s="80"/>
      <c r="DA30" s="57"/>
      <c r="DB30" s="55"/>
      <c r="DC30" s="55"/>
      <c r="DD30" s="55"/>
      <c r="DE30" s="55"/>
      <c r="DF30" s="55"/>
      <c r="DG30" s="55"/>
      <c r="DH30" s="55"/>
      <c r="DI30" s="55"/>
      <c r="DJ30" s="55"/>
      <c r="DK30" s="55"/>
      <c r="DL30" s="55"/>
      <c r="DM30" s="55"/>
      <c r="DN30" s="55"/>
      <c r="DO30" s="55"/>
      <c r="DP30" s="55"/>
      <c r="DQ30" s="72"/>
      <c r="DR30" s="32"/>
      <c r="DS30" s="32"/>
      <c r="DT30" s="32"/>
      <c r="DU30" s="32"/>
      <c r="DV30" s="32"/>
      <c r="DW30" s="32"/>
      <c r="DX30" s="32"/>
      <c r="DY30" s="725"/>
      <c r="DZ30" s="57"/>
      <c r="EA30" s="80"/>
      <c r="EB30" s="57"/>
      <c r="EC30" s="55"/>
      <c r="ED30" s="55"/>
      <c r="EE30" s="55"/>
      <c r="EF30" s="55"/>
      <c r="EG30" s="55"/>
      <c r="EH30" s="55"/>
      <c r="EI30" s="55"/>
      <c r="EJ30" s="55"/>
      <c r="EK30" s="55"/>
      <c r="EL30" s="429"/>
      <c r="EM30" s="439"/>
      <c r="EN30" s="55"/>
      <c r="EO30" s="55"/>
      <c r="EP30" s="55"/>
      <c r="EQ30" s="55"/>
      <c r="ER30" s="55"/>
      <c r="ES30" s="511"/>
      <c r="ET30" s="1085"/>
      <c r="EU30" s="519"/>
      <c r="EV30" s="515"/>
      <c r="EW30" s="519"/>
      <c r="EX30" s="516"/>
      <c r="EY30" s="516"/>
      <c r="EZ30" s="516"/>
      <c r="FA30" s="516"/>
      <c r="FB30" s="516"/>
      <c r="FC30" s="516"/>
      <c r="FD30" s="516"/>
      <c r="FE30" s="516"/>
      <c r="FF30" s="516"/>
      <c r="FG30" s="516"/>
      <c r="FH30" s="516"/>
      <c r="FI30" s="516"/>
      <c r="FJ30" s="516"/>
      <c r="FK30" s="516"/>
      <c r="FL30" s="516"/>
      <c r="FM30" s="516"/>
      <c r="FN30" s="516"/>
      <c r="FO30" s="516"/>
      <c r="FP30" s="516"/>
      <c r="FQ30" s="516"/>
      <c r="FR30" s="516">
        <f t="shared" si="6"/>
        <v>0</v>
      </c>
      <c r="FS30" s="1085"/>
    </row>
    <row r="31" spans="1:175" s="16" customFormat="1" ht="15" x14ac:dyDescent="0.2">
      <c r="A31" s="26" t="s">
        <v>97</v>
      </c>
      <c r="B31" s="9"/>
      <c r="C31" s="45"/>
      <c r="D31" s="58"/>
      <c r="E31" s="53"/>
      <c r="F31" s="46"/>
      <c r="G31" s="58"/>
      <c r="H31" s="145"/>
      <c r="I31" s="48"/>
      <c r="J31" s="48"/>
      <c r="K31" s="48"/>
      <c r="L31" s="48"/>
      <c r="M31" s="48"/>
      <c r="N31" s="48"/>
      <c r="O31" s="48"/>
      <c r="P31" s="48"/>
      <c r="Q31" s="48"/>
      <c r="R31" s="46"/>
      <c r="S31" s="119"/>
      <c r="T31" s="134"/>
      <c r="U31" s="47"/>
      <c r="V31" s="106"/>
      <c r="W31" s="165"/>
      <c r="X31" s="57"/>
      <c r="Y31" s="80"/>
      <c r="Z31" s="57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72"/>
      <c r="AQ31" s="32"/>
      <c r="AR31" s="32"/>
      <c r="AS31" s="32"/>
      <c r="AT31" s="32"/>
      <c r="AU31" s="32"/>
      <c r="AV31" s="32"/>
      <c r="AW31" s="32"/>
      <c r="AX31" s="57"/>
      <c r="AY31" s="80"/>
      <c r="AZ31" s="57"/>
      <c r="BA31" s="55"/>
      <c r="BB31" s="55"/>
      <c r="BC31" s="429"/>
      <c r="BD31" s="429"/>
      <c r="BE31" s="429"/>
      <c r="BF31" s="429"/>
      <c r="BG31" s="32"/>
      <c r="BH31" s="32"/>
      <c r="BI31" s="32"/>
      <c r="BJ31" s="429"/>
      <c r="BK31" s="439"/>
      <c r="BL31" s="32"/>
      <c r="BM31" s="32"/>
      <c r="BN31" s="32"/>
      <c r="BO31" s="32"/>
      <c r="BP31" s="32"/>
      <c r="BQ31" s="57"/>
      <c r="BR31" s="80"/>
      <c r="BS31" s="57"/>
      <c r="BT31" s="55"/>
      <c r="BU31" s="55"/>
      <c r="BV31" s="429"/>
      <c r="BW31" s="429"/>
      <c r="BX31" s="429"/>
      <c r="BY31" s="429"/>
      <c r="BZ31" s="32"/>
      <c r="CA31" s="32"/>
      <c r="CB31" s="32"/>
      <c r="CC31" s="429"/>
      <c r="CD31" s="439"/>
      <c r="CE31" s="58"/>
      <c r="CF31" s="53"/>
      <c r="CG31" s="46"/>
      <c r="CH31" s="58"/>
      <c r="CI31" s="145"/>
      <c r="CJ31" s="48"/>
      <c r="CK31" s="48"/>
      <c r="CL31" s="48"/>
      <c r="CM31" s="48"/>
      <c r="CN31" s="48"/>
      <c r="CO31" s="48"/>
      <c r="CP31" s="48"/>
      <c r="CQ31" s="48"/>
      <c r="CR31" s="48"/>
      <c r="CS31" s="46"/>
      <c r="CT31" s="119"/>
      <c r="CU31" s="134"/>
      <c r="CV31" s="47"/>
      <c r="CW31" s="106"/>
      <c r="CX31" s="165"/>
      <c r="CY31" s="57"/>
      <c r="CZ31" s="80"/>
      <c r="DA31" s="57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55"/>
      <c r="DM31" s="55"/>
      <c r="DN31" s="55"/>
      <c r="DO31" s="55"/>
      <c r="DP31" s="55"/>
      <c r="DQ31" s="72"/>
      <c r="DR31" s="32"/>
      <c r="DS31" s="32"/>
      <c r="DT31" s="32"/>
      <c r="DU31" s="32"/>
      <c r="DV31" s="32"/>
      <c r="DW31" s="32"/>
      <c r="DX31" s="32"/>
      <c r="DY31" s="725"/>
      <c r="DZ31" s="57"/>
      <c r="EA31" s="80"/>
      <c r="EB31" s="57"/>
      <c r="EC31" s="55"/>
      <c r="ED31" s="55"/>
      <c r="EE31" s="55"/>
      <c r="EF31" s="55"/>
      <c r="EG31" s="55"/>
      <c r="EH31" s="55"/>
      <c r="EI31" s="55"/>
      <c r="EJ31" s="55"/>
      <c r="EK31" s="55"/>
      <c r="EL31" s="429"/>
      <c r="EM31" s="439"/>
      <c r="EN31" s="55"/>
      <c r="EO31" s="55"/>
      <c r="EP31" s="55"/>
      <c r="EQ31" s="55"/>
      <c r="ER31" s="55"/>
      <c r="ES31" s="511"/>
      <c r="ET31" s="1085"/>
      <c r="EU31" s="514"/>
      <c r="EV31" s="515"/>
      <c r="EW31" s="514"/>
      <c r="EX31" s="516"/>
      <c r="EY31" s="516"/>
      <c r="EZ31" s="516"/>
      <c r="FA31" s="516"/>
      <c r="FB31" s="516"/>
      <c r="FC31" s="516"/>
      <c r="FD31" s="516"/>
      <c r="FE31" s="516"/>
      <c r="FF31" s="516"/>
      <c r="FG31" s="516"/>
      <c r="FH31" s="516"/>
      <c r="FI31" s="516"/>
      <c r="FJ31" s="516"/>
      <c r="FK31" s="516"/>
      <c r="FL31" s="516"/>
      <c r="FM31" s="516"/>
      <c r="FN31" s="516"/>
      <c r="FO31" s="516"/>
      <c r="FP31" s="516"/>
      <c r="FQ31" s="516"/>
      <c r="FR31" s="516">
        <f t="shared" si="6"/>
        <v>0</v>
      </c>
      <c r="FS31" s="1085"/>
    </row>
    <row r="32" spans="1:175" s="16" customFormat="1" ht="15" x14ac:dyDescent="0.2">
      <c r="A32" s="9" t="s">
        <v>115</v>
      </c>
      <c r="B32" s="100" t="s">
        <v>318</v>
      </c>
      <c r="C32" s="45" t="s">
        <v>316</v>
      </c>
      <c r="D32" s="58">
        <v>10</v>
      </c>
      <c r="E32" s="25">
        <v>0.1</v>
      </c>
      <c r="F32" s="46">
        <v>42185</v>
      </c>
      <c r="G32" s="58">
        <v>120</v>
      </c>
      <c r="H32" s="145">
        <f>100/G32</f>
        <v>0.83333333333333337</v>
      </c>
      <c r="I32" s="165">
        <f>H32*J32</f>
        <v>154.16666666666669</v>
      </c>
      <c r="J32" s="48">
        <f>(YEAR(F32)-YEAR(S32))*12+MONTH(F32)-MONTH(S32)</f>
        <v>185</v>
      </c>
      <c r="K32" s="165">
        <f>L32*H32</f>
        <v>0</v>
      </c>
      <c r="L32" s="48">
        <v>0</v>
      </c>
      <c r="M32" s="165">
        <f>N32*H32</f>
        <v>0</v>
      </c>
      <c r="N32" s="48">
        <v>0</v>
      </c>
      <c r="O32" s="165">
        <f>P32*H32</f>
        <v>0</v>
      </c>
      <c r="P32" s="48">
        <v>0</v>
      </c>
      <c r="Q32" s="17"/>
      <c r="R32" s="119" t="s">
        <v>508</v>
      </c>
      <c r="S32" s="119">
        <v>36526</v>
      </c>
      <c r="T32" s="134">
        <v>3300</v>
      </c>
      <c r="U32" s="14">
        <v>2502.5</v>
      </c>
      <c r="V32" s="106">
        <v>137.5</v>
      </c>
      <c r="W32" s="66"/>
      <c r="X32" s="57">
        <v>115.958</v>
      </c>
      <c r="Y32" s="80">
        <v>121.64</v>
      </c>
      <c r="Z32" s="57">
        <f>X32/Y32</f>
        <v>0.95328839197632353</v>
      </c>
      <c r="AA32" s="55">
        <f>U32/7</f>
        <v>357.5</v>
      </c>
      <c r="AB32" s="55">
        <f>AA32*Z32</f>
        <v>340.80060013153565</v>
      </c>
      <c r="AC32" s="65"/>
      <c r="AD32" s="55"/>
      <c r="AE32" s="55"/>
      <c r="AF32" s="55"/>
      <c r="AG32" s="55"/>
      <c r="AH32" s="55">
        <v>340.8</v>
      </c>
      <c r="AI32" s="55">
        <v>340.8</v>
      </c>
      <c r="AJ32" s="55">
        <v>340.8</v>
      </c>
      <c r="AK32" s="55">
        <v>340.8</v>
      </c>
      <c r="AL32" s="55">
        <v>340.8</v>
      </c>
      <c r="AM32" s="55">
        <v>340.8</v>
      </c>
      <c r="AN32" s="55">
        <v>340.8</v>
      </c>
      <c r="AO32" s="55">
        <f>SUM(AC32:AN32)</f>
        <v>2385.6</v>
      </c>
      <c r="AP32" s="72">
        <f>U32-AO32</f>
        <v>116.90000000000009</v>
      </c>
      <c r="AQ32" s="32"/>
      <c r="AR32" s="32"/>
      <c r="AS32" s="429">
        <v>115.9</v>
      </c>
      <c r="AT32" s="429"/>
      <c r="AU32" s="429"/>
      <c r="AV32" s="429"/>
      <c r="AW32" s="429"/>
      <c r="AX32" s="57">
        <v>118.901</v>
      </c>
      <c r="AY32" s="80">
        <v>121.64</v>
      </c>
      <c r="AZ32" s="57">
        <f>AX32/AY32</f>
        <v>0.97748273594212431</v>
      </c>
      <c r="BA32" s="55">
        <f>T32/(D32*12)</f>
        <v>27.5</v>
      </c>
      <c r="BB32" s="55">
        <f>BA32*AZ32</f>
        <v>26.880775238408418</v>
      </c>
      <c r="BC32" s="429"/>
      <c r="BD32" s="429"/>
      <c r="BE32" s="429"/>
      <c r="BF32" s="429"/>
      <c r="BG32" s="32"/>
      <c r="BH32" s="32"/>
      <c r="BI32" s="32"/>
      <c r="BJ32" s="429">
        <f>SUM((AS32:AW32),(BC32:BI32))</f>
        <v>115.9</v>
      </c>
      <c r="BK32" s="439">
        <f>(AP32-BJ32)</f>
        <v>1.0000000000000853</v>
      </c>
      <c r="BL32" s="32"/>
      <c r="BM32" s="32"/>
      <c r="BN32" s="32"/>
      <c r="BO32" s="32"/>
      <c r="BP32" s="32"/>
      <c r="BQ32" s="57">
        <v>118.901</v>
      </c>
      <c r="BR32" s="80">
        <v>121.64</v>
      </c>
      <c r="BS32" s="57">
        <f>BQ32/BR32</f>
        <v>0.97748273594212431</v>
      </c>
      <c r="BT32" s="55"/>
      <c r="BU32" s="55"/>
      <c r="BV32" s="429"/>
      <c r="BW32" s="429"/>
      <c r="BX32" s="429"/>
      <c r="BY32" s="429"/>
      <c r="BZ32" s="32"/>
      <c r="CA32" s="32"/>
      <c r="CB32" s="32"/>
      <c r="CC32" s="429">
        <f>SUM((BL32:BP32),(BV32:CB32))</f>
        <v>0</v>
      </c>
      <c r="CD32" s="439">
        <f>BK32-CC32</f>
        <v>1.0000000000000853</v>
      </c>
      <c r="CE32" s="58">
        <v>10</v>
      </c>
      <c r="CF32" s="25">
        <v>0.1</v>
      </c>
      <c r="CG32" s="46">
        <v>43281</v>
      </c>
      <c r="CH32" s="58">
        <v>120</v>
      </c>
      <c r="CI32" s="145">
        <f>100/CH32</f>
        <v>0.83333333333333337</v>
      </c>
      <c r="CJ32" s="165">
        <f>CI32*CK32</f>
        <v>184.16666666666669</v>
      </c>
      <c r="CK32" s="48">
        <f>(YEAR(CG32)-YEAR(CT32))*12+MONTH(CG32)-MONTH(CT32)</f>
        <v>221</v>
      </c>
      <c r="CL32" s="165">
        <f>CM32*CI32</f>
        <v>-84.166666666666671</v>
      </c>
      <c r="CM32" s="48">
        <f>CH32-CK32</f>
        <v>-101</v>
      </c>
      <c r="CN32" s="165">
        <f>CO32*CI32</f>
        <v>0</v>
      </c>
      <c r="CO32" s="48"/>
      <c r="CP32" s="165">
        <f>CQ32*CI32</f>
        <v>0</v>
      </c>
      <c r="CQ32" s="48">
        <v>0</v>
      </c>
      <c r="CR32" s="462">
        <f>DATE(YEAR(CT32),MONTH(CT32)+CH32,DAY(CT32))</f>
        <v>40179</v>
      </c>
      <c r="CS32" s="119" t="s">
        <v>508</v>
      </c>
      <c r="CT32" s="119">
        <v>36526</v>
      </c>
      <c r="CU32" s="134">
        <v>3300</v>
      </c>
      <c r="CV32" s="14">
        <v>2502.5</v>
      </c>
      <c r="CW32" s="106">
        <v>137.5</v>
      </c>
      <c r="CX32" s="66"/>
      <c r="CY32" s="57">
        <v>115.958</v>
      </c>
      <c r="CZ32" s="80">
        <v>121.64</v>
      </c>
      <c r="DA32" s="57">
        <f>CY32/CZ32</f>
        <v>0.95328839197632353</v>
      </c>
      <c r="DB32" s="55">
        <f>CV32/7</f>
        <v>357.5</v>
      </c>
      <c r="DC32" s="55">
        <f>DB32*DA32</f>
        <v>340.80060013153565</v>
      </c>
      <c r="DD32" s="65"/>
      <c r="DE32" s="55"/>
      <c r="DF32" s="55"/>
      <c r="DG32" s="55"/>
      <c r="DH32" s="55"/>
      <c r="DI32" s="55">
        <v>340.8</v>
      </c>
      <c r="DJ32" s="55">
        <v>340.8</v>
      </c>
      <c r="DK32" s="55">
        <v>340.8</v>
      </c>
      <c r="DL32" s="55">
        <v>340.8</v>
      </c>
      <c r="DM32" s="55">
        <v>340.8</v>
      </c>
      <c r="DN32" s="55">
        <v>340.8</v>
      </c>
      <c r="DO32" s="55">
        <v>340.8</v>
      </c>
      <c r="DP32" s="55">
        <f>SUM(DD32:DO32)</f>
        <v>2385.6</v>
      </c>
      <c r="DQ32" s="72">
        <f>CV32-DP32</f>
        <v>116.90000000000009</v>
      </c>
      <c r="DR32" s="32"/>
      <c r="DS32" s="32"/>
      <c r="DT32" s="429">
        <v>115.9</v>
      </c>
      <c r="DU32" s="429"/>
      <c r="DV32" s="429"/>
      <c r="DW32" s="429"/>
      <c r="DX32" s="429"/>
      <c r="DY32" s="725">
        <v>1.0000000000000853</v>
      </c>
      <c r="DZ32" s="57">
        <v>126.408</v>
      </c>
      <c r="EA32" s="80">
        <v>121.64</v>
      </c>
      <c r="EB32" s="57">
        <f>DZ32/EA32</f>
        <v>1.039197632357777</v>
      </c>
      <c r="EC32" s="55">
        <v>0</v>
      </c>
      <c r="ED32" s="55">
        <f>EC32*EB32</f>
        <v>0</v>
      </c>
      <c r="EE32" s="55">
        <v>0</v>
      </c>
      <c r="EF32" s="55">
        <v>0</v>
      </c>
      <c r="EG32" s="55">
        <v>0</v>
      </c>
      <c r="EH32" s="55">
        <v>0</v>
      </c>
      <c r="EI32" s="55">
        <v>0</v>
      </c>
      <c r="EJ32" s="55">
        <v>0</v>
      </c>
      <c r="EK32" s="55">
        <v>0</v>
      </c>
      <c r="EL32" s="429">
        <f>SUM(EE32:EK32)</f>
        <v>0</v>
      </c>
      <c r="EM32" s="439">
        <f>DY32-EL32</f>
        <v>1.0000000000000853</v>
      </c>
      <c r="EN32" s="55">
        <v>0</v>
      </c>
      <c r="EO32" s="55">
        <v>0</v>
      </c>
      <c r="EP32" s="55">
        <v>0</v>
      </c>
      <c r="EQ32" s="55">
        <v>0</v>
      </c>
      <c r="ER32" s="55">
        <v>0</v>
      </c>
      <c r="ES32" s="511">
        <f>SUM(EN32:ER32)</f>
        <v>0</v>
      </c>
      <c r="ET32" s="1085">
        <f>EM32-ES32</f>
        <v>1.0000000000000853</v>
      </c>
      <c r="EU32" s="514">
        <v>132.28200000000001</v>
      </c>
      <c r="EV32" s="515">
        <v>121.64</v>
      </c>
      <c r="EW32" s="514">
        <f>EU32/EV32</f>
        <v>1.0874876685300889</v>
      </c>
      <c r="EX32" s="516">
        <v>0</v>
      </c>
      <c r="EY32" s="516">
        <f>EX32*EW32</f>
        <v>0</v>
      </c>
      <c r="EZ32" s="516">
        <v>0</v>
      </c>
      <c r="FA32" s="516">
        <v>0</v>
      </c>
      <c r="FB32" s="516">
        <v>0</v>
      </c>
      <c r="FC32" s="516">
        <v>0</v>
      </c>
      <c r="FD32" s="516">
        <v>0</v>
      </c>
      <c r="FE32" s="516">
        <v>0</v>
      </c>
      <c r="FF32" s="516">
        <v>0</v>
      </c>
      <c r="FG32" s="516">
        <v>0</v>
      </c>
      <c r="FH32" s="516">
        <v>0</v>
      </c>
      <c r="FI32" s="516">
        <v>0</v>
      </c>
      <c r="FJ32" s="516">
        <v>0</v>
      </c>
      <c r="FK32" s="516">
        <v>0</v>
      </c>
      <c r="FL32" s="516">
        <v>0</v>
      </c>
      <c r="FM32" s="516">
        <v>0</v>
      </c>
      <c r="FN32" s="516">
        <v>0</v>
      </c>
      <c r="FO32" s="516">
        <v>0</v>
      </c>
      <c r="FP32" s="516">
        <v>0</v>
      </c>
      <c r="FQ32" s="516">
        <v>0</v>
      </c>
      <c r="FR32" s="516">
        <f t="shared" si="6"/>
        <v>0</v>
      </c>
      <c r="FS32" s="1085">
        <f>ET32-FR32</f>
        <v>1.0000000000000853</v>
      </c>
    </row>
    <row r="33" spans="1:175" s="16" customFormat="1" ht="15" x14ac:dyDescent="0.2">
      <c r="A33" s="26" t="s">
        <v>65</v>
      </c>
      <c r="B33" s="26" t="s">
        <v>235</v>
      </c>
      <c r="C33" s="100"/>
      <c r="D33" s="58"/>
      <c r="E33" s="25"/>
      <c r="F33" s="46"/>
      <c r="G33" s="58"/>
      <c r="H33" s="145"/>
      <c r="I33" s="165"/>
      <c r="J33" s="48"/>
      <c r="K33" s="165"/>
      <c r="L33" s="48"/>
      <c r="M33" s="165"/>
      <c r="N33" s="48"/>
      <c r="O33" s="165"/>
      <c r="P33" s="48"/>
      <c r="Q33" s="48"/>
      <c r="R33" s="20"/>
      <c r="S33" s="119"/>
      <c r="T33" s="134"/>
      <c r="U33" s="14"/>
      <c r="V33" s="106"/>
      <c r="W33" s="66"/>
      <c r="X33" s="66"/>
      <c r="Y33" s="80"/>
      <c r="Z33" s="66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72"/>
      <c r="AQ33" s="32"/>
      <c r="AR33" s="32"/>
      <c r="AS33" s="429">
        <f t="shared" ref="AS33:AW40" si="9">$AN33</f>
        <v>0</v>
      </c>
      <c r="AT33" s="429">
        <f t="shared" si="9"/>
        <v>0</v>
      </c>
      <c r="AU33" s="429">
        <f t="shared" si="9"/>
        <v>0</v>
      </c>
      <c r="AV33" s="429">
        <f t="shared" si="9"/>
        <v>0</v>
      </c>
      <c r="AW33" s="429">
        <f t="shared" si="9"/>
        <v>0</v>
      </c>
      <c r="AX33" s="66"/>
      <c r="AY33" s="80"/>
      <c r="AZ33" s="66"/>
      <c r="BA33" s="55"/>
      <c r="BB33" s="55"/>
      <c r="BC33" s="429"/>
      <c r="BD33" s="429"/>
      <c r="BE33" s="429"/>
      <c r="BF33" s="429"/>
      <c r="BG33" s="32"/>
      <c r="BH33" s="32"/>
      <c r="BI33" s="32"/>
      <c r="BJ33" s="429"/>
      <c r="BK33" s="439"/>
      <c r="BL33" s="32"/>
      <c r="BM33" s="32"/>
      <c r="BN33" s="32"/>
      <c r="BO33" s="32"/>
      <c r="BP33" s="32"/>
      <c r="BQ33" s="66"/>
      <c r="BR33" s="80"/>
      <c r="BS33" s="66"/>
      <c r="BT33" s="55"/>
      <c r="BU33" s="55"/>
      <c r="BV33" s="429"/>
      <c r="BW33" s="429"/>
      <c r="BX33" s="429"/>
      <c r="BY33" s="429"/>
      <c r="BZ33" s="32"/>
      <c r="CA33" s="32"/>
      <c r="CB33" s="32"/>
      <c r="CC33" s="429"/>
      <c r="CD33" s="439"/>
      <c r="CE33" s="58"/>
      <c r="CF33" s="25"/>
      <c r="CG33" s="46"/>
      <c r="CH33" s="58"/>
      <c r="CI33" s="145"/>
      <c r="CJ33" s="165"/>
      <c r="CK33" s="48"/>
      <c r="CL33" s="165"/>
      <c r="CM33" s="48"/>
      <c r="CN33" s="165"/>
      <c r="CO33" s="48"/>
      <c r="CP33" s="165"/>
      <c r="CQ33" s="48"/>
      <c r="CR33" s="48"/>
      <c r="CS33" s="20"/>
      <c r="CT33" s="119"/>
      <c r="CU33" s="134"/>
      <c r="CV33" s="14"/>
      <c r="CW33" s="106"/>
      <c r="CX33" s="66"/>
      <c r="CY33" s="66"/>
      <c r="CZ33" s="80"/>
      <c r="DA33" s="66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72"/>
      <c r="DR33" s="32"/>
      <c r="DS33" s="32"/>
      <c r="DT33" s="429">
        <f t="shared" ref="DT33:DX40" si="10">$AN33</f>
        <v>0</v>
      </c>
      <c r="DU33" s="429">
        <f t="shared" si="10"/>
        <v>0</v>
      </c>
      <c r="DV33" s="429">
        <f t="shared" si="10"/>
        <v>0</v>
      </c>
      <c r="DW33" s="429">
        <f t="shared" si="10"/>
        <v>0</v>
      </c>
      <c r="DX33" s="429">
        <f t="shared" si="10"/>
        <v>0</v>
      </c>
      <c r="DY33" s="725"/>
      <c r="DZ33" s="66"/>
      <c r="EA33" s="80"/>
      <c r="EB33" s="66"/>
      <c r="EC33" s="55"/>
      <c r="ED33" s="55"/>
      <c r="EE33" s="55"/>
      <c r="EF33" s="55"/>
      <c r="EG33" s="55"/>
      <c r="EH33" s="55"/>
      <c r="EI33" s="55"/>
      <c r="EJ33" s="55"/>
      <c r="EK33" s="55"/>
      <c r="EL33" s="429"/>
      <c r="EM33" s="439"/>
      <c r="EN33" s="55"/>
      <c r="EO33" s="55"/>
      <c r="EP33" s="55"/>
      <c r="EQ33" s="55"/>
      <c r="ER33" s="55"/>
      <c r="ES33" s="511"/>
      <c r="ET33" s="1085"/>
      <c r="EU33" s="514"/>
      <c r="EV33" s="515"/>
      <c r="EW33" s="514"/>
      <c r="EX33" s="516"/>
      <c r="EY33" s="516"/>
      <c r="EZ33" s="516"/>
      <c r="FA33" s="516"/>
      <c r="FB33" s="516"/>
      <c r="FC33" s="516"/>
      <c r="FD33" s="516"/>
      <c r="FE33" s="516"/>
      <c r="FF33" s="516"/>
      <c r="FG33" s="516"/>
      <c r="FH33" s="516"/>
      <c r="FI33" s="516"/>
      <c r="FJ33" s="516"/>
      <c r="FK33" s="516"/>
      <c r="FL33" s="516"/>
      <c r="FM33" s="516"/>
      <c r="FN33" s="516"/>
      <c r="FO33" s="516"/>
      <c r="FP33" s="516"/>
      <c r="FQ33" s="516"/>
      <c r="FR33" s="516">
        <f t="shared" si="6"/>
        <v>0</v>
      </c>
      <c r="FS33" s="1085"/>
    </row>
    <row r="34" spans="1:175" s="16" customFormat="1" ht="15" x14ac:dyDescent="0.2">
      <c r="A34" s="26" t="s">
        <v>78</v>
      </c>
      <c r="B34" s="9"/>
      <c r="C34" s="100"/>
      <c r="D34" s="58"/>
      <c r="E34" s="25"/>
      <c r="F34" s="46"/>
      <c r="G34" s="58"/>
      <c r="H34" s="145"/>
      <c r="I34" s="165"/>
      <c r="J34" s="48"/>
      <c r="K34" s="165"/>
      <c r="L34" s="48"/>
      <c r="M34" s="165"/>
      <c r="N34" s="48"/>
      <c r="O34" s="165"/>
      <c r="P34" s="48"/>
      <c r="Q34" s="48"/>
      <c r="R34" s="46"/>
      <c r="S34" s="119"/>
      <c r="T34" s="134"/>
      <c r="U34" s="47"/>
      <c r="V34" s="106"/>
      <c r="W34" s="165"/>
      <c r="X34" s="57"/>
      <c r="Y34" s="80"/>
      <c r="Z34" s="57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72"/>
      <c r="AQ34" s="32"/>
      <c r="AR34" s="32"/>
      <c r="AS34" s="429">
        <f t="shared" si="9"/>
        <v>0</v>
      </c>
      <c r="AT34" s="429">
        <f t="shared" si="9"/>
        <v>0</v>
      </c>
      <c r="AU34" s="429">
        <f t="shared" si="9"/>
        <v>0</v>
      </c>
      <c r="AV34" s="429">
        <f t="shared" si="9"/>
        <v>0</v>
      </c>
      <c r="AW34" s="429">
        <f t="shared" si="9"/>
        <v>0</v>
      </c>
      <c r="AX34" s="57"/>
      <c r="AY34" s="80"/>
      <c r="AZ34" s="57"/>
      <c r="BA34" s="55"/>
      <c r="BB34" s="55"/>
      <c r="BC34" s="429"/>
      <c r="BD34" s="429"/>
      <c r="BE34" s="429"/>
      <c r="BF34" s="429"/>
      <c r="BG34" s="32"/>
      <c r="BH34" s="32"/>
      <c r="BI34" s="32"/>
      <c r="BJ34" s="429"/>
      <c r="BK34" s="439"/>
      <c r="BL34" s="32"/>
      <c r="BM34" s="32"/>
      <c r="BN34" s="32"/>
      <c r="BO34" s="32"/>
      <c r="BP34" s="32"/>
      <c r="BQ34" s="57"/>
      <c r="BR34" s="80"/>
      <c r="BS34" s="57"/>
      <c r="BT34" s="55"/>
      <c r="BU34" s="55"/>
      <c r="BV34" s="429"/>
      <c r="BW34" s="429"/>
      <c r="BX34" s="429"/>
      <c r="BY34" s="429"/>
      <c r="BZ34" s="32"/>
      <c r="CA34" s="32"/>
      <c r="CB34" s="32"/>
      <c r="CC34" s="429"/>
      <c r="CD34" s="439"/>
      <c r="CE34" s="58"/>
      <c r="CF34" s="25"/>
      <c r="CG34" s="46"/>
      <c r="CH34" s="58"/>
      <c r="CI34" s="145"/>
      <c r="CJ34" s="165"/>
      <c r="CK34" s="48"/>
      <c r="CL34" s="165"/>
      <c r="CM34" s="48"/>
      <c r="CN34" s="165"/>
      <c r="CO34" s="48"/>
      <c r="CP34" s="165"/>
      <c r="CQ34" s="48"/>
      <c r="CR34" s="48"/>
      <c r="CS34" s="46"/>
      <c r="CT34" s="119"/>
      <c r="CU34" s="134"/>
      <c r="CV34" s="47"/>
      <c r="CW34" s="106"/>
      <c r="CX34" s="165"/>
      <c r="CY34" s="57"/>
      <c r="CZ34" s="80"/>
      <c r="DA34" s="57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72"/>
      <c r="DR34" s="32"/>
      <c r="DS34" s="32"/>
      <c r="DT34" s="429">
        <f t="shared" si="10"/>
        <v>0</v>
      </c>
      <c r="DU34" s="429">
        <f t="shared" si="10"/>
        <v>0</v>
      </c>
      <c r="DV34" s="429">
        <f t="shared" si="10"/>
        <v>0</v>
      </c>
      <c r="DW34" s="429">
        <f t="shared" si="10"/>
        <v>0</v>
      </c>
      <c r="DX34" s="429">
        <f t="shared" si="10"/>
        <v>0</v>
      </c>
      <c r="DY34" s="725"/>
      <c r="DZ34" s="57"/>
      <c r="EA34" s="80"/>
      <c r="EB34" s="57"/>
      <c r="EC34" s="55"/>
      <c r="ED34" s="55"/>
      <c r="EE34" s="55"/>
      <c r="EF34" s="55"/>
      <c r="EG34" s="55"/>
      <c r="EH34" s="55"/>
      <c r="EI34" s="55"/>
      <c r="EJ34" s="55"/>
      <c r="EK34" s="55"/>
      <c r="EL34" s="429"/>
      <c r="EM34" s="439"/>
      <c r="EN34" s="55"/>
      <c r="EO34" s="55"/>
      <c r="EP34" s="55"/>
      <c r="EQ34" s="55"/>
      <c r="ER34" s="55"/>
      <c r="ES34" s="511"/>
      <c r="ET34" s="1085"/>
      <c r="EU34" s="514"/>
      <c r="EV34" s="515"/>
      <c r="EW34" s="514"/>
      <c r="EX34" s="516"/>
      <c r="EY34" s="516"/>
      <c r="EZ34" s="516"/>
      <c r="FA34" s="516"/>
      <c r="FB34" s="516"/>
      <c r="FC34" s="516"/>
      <c r="FD34" s="516"/>
      <c r="FE34" s="516"/>
      <c r="FF34" s="516"/>
      <c r="FG34" s="516"/>
      <c r="FH34" s="516"/>
      <c r="FI34" s="516"/>
      <c r="FJ34" s="516"/>
      <c r="FK34" s="516"/>
      <c r="FL34" s="516"/>
      <c r="FM34" s="516"/>
      <c r="FN34" s="516"/>
      <c r="FO34" s="516"/>
      <c r="FP34" s="516"/>
      <c r="FQ34" s="516"/>
      <c r="FR34" s="516">
        <f t="shared" si="6"/>
        <v>0</v>
      </c>
      <c r="FS34" s="1085"/>
    </row>
    <row r="35" spans="1:175" s="16" customFormat="1" ht="15" x14ac:dyDescent="0.2">
      <c r="A35" s="9" t="s">
        <v>234</v>
      </c>
      <c r="B35" s="9" t="s">
        <v>235</v>
      </c>
      <c r="C35" s="45" t="s">
        <v>316</v>
      </c>
      <c r="D35" s="58">
        <v>3</v>
      </c>
      <c r="E35" s="25">
        <v>0.33329999999999999</v>
      </c>
      <c r="F35" s="46">
        <v>42185</v>
      </c>
      <c r="G35" s="58">
        <v>36</v>
      </c>
      <c r="H35" s="145">
        <f>100/G35</f>
        <v>2.7777777777777777</v>
      </c>
      <c r="I35" s="165">
        <f>H35*J35</f>
        <v>44.444444444444443</v>
      </c>
      <c r="J35" s="48">
        <f>(YEAR(F35)-YEAR(S35))*12+MONTH(F35)-MONTH(S35)</f>
        <v>16</v>
      </c>
      <c r="K35" s="165">
        <f>L35*H35</f>
        <v>55.555555555555557</v>
      </c>
      <c r="L35" s="48">
        <f>G35-J35</f>
        <v>20</v>
      </c>
      <c r="M35" s="165">
        <f>N35*H35</f>
        <v>19.444444444444443</v>
      </c>
      <c r="N35" s="48">
        <v>7</v>
      </c>
      <c r="O35" s="165">
        <f>P35*H35</f>
        <v>36.111111111111107</v>
      </c>
      <c r="P35" s="48">
        <f>L35-N35</f>
        <v>13</v>
      </c>
      <c r="Q35" s="48"/>
      <c r="R35" s="17">
        <v>168313</v>
      </c>
      <c r="S35" s="119">
        <v>41697</v>
      </c>
      <c r="T35" s="134">
        <v>6722.2</v>
      </c>
      <c r="U35" s="14">
        <v>3548.14</v>
      </c>
      <c r="V35" s="106">
        <v>933.55</v>
      </c>
      <c r="W35" s="66"/>
      <c r="X35" s="57">
        <v>115.958</v>
      </c>
      <c r="Y35" s="80">
        <v>112.79</v>
      </c>
      <c r="Z35" s="57">
        <f>X35/Y35</f>
        <v>1.0280875964181222</v>
      </c>
      <c r="AA35" s="55">
        <f>U35*M35/100/K35*100/7</f>
        <v>177.40699999999998</v>
      </c>
      <c r="AB35" s="55">
        <f>AA35*Z35</f>
        <v>182.38993621774978</v>
      </c>
      <c r="AC35" s="55"/>
      <c r="AD35" s="55"/>
      <c r="AE35" s="55"/>
      <c r="AF35" s="55"/>
      <c r="AG35" s="55"/>
      <c r="AH35" s="55">
        <v>182.39</v>
      </c>
      <c r="AI35" s="55">
        <v>182.39</v>
      </c>
      <c r="AJ35" s="55">
        <v>182.39</v>
      </c>
      <c r="AK35" s="55">
        <v>182.39</v>
      </c>
      <c r="AL35" s="55">
        <v>182.39</v>
      </c>
      <c r="AM35" s="55">
        <v>182.39</v>
      </c>
      <c r="AN35" s="55">
        <v>182.39</v>
      </c>
      <c r="AO35" s="55">
        <f>SUM(AC35:AN35)</f>
        <v>1276.73</v>
      </c>
      <c r="AP35" s="72">
        <f>U35-AO35</f>
        <v>2271.41</v>
      </c>
      <c r="AQ35" s="32"/>
      <c r="AR35" s="32"/>
      <c r="AS35" s="429">
        <f t="shared" si="9"/>
        <v>182.39</v>
      </c>
      <c r="AT35" s="429">
        <f t="shared" si="9"/>
        <v>182.39</v>
      </c>
      <c r="AU35" s="429">
        <f t="shared" si="9"/>
        <v>182.39</v>
      </c>
      <c r="AV35" s="429">
        <f t="shared" si="9"/>
        <v>182.39</v>
      </c>
      <c r="AW35" s="429">
        <f t="shared" si="9"/>
        <v>182.39</v>
      </c>
      <c r="AX35" s="57">
        <v>118.901</v>
      </c>
      <c r="AY35" s="80">
        <v>112.79</v>
      </c>
      <c r="AZ35" s="57">
        <f>AX35/AY35</f>
        <v>1.0541803351360934</v>
      </c>
      <c r="BA35" s="55">
        <f>T35/(D35*12)</f>
        <v>186.72777777777776</v>
      </c>
      <c r="BB35" s="55">
        <f>BA35*AZ35</f>
        <v>196.84475135699574</v>
      </c>
      <c r="BC35" s="429">
        <f>$BB35</f>
        <v>196.84475135699574</v>
      </c>
      <c r="BD35" s="429">
        <f>$BB35</f>
        <v>196.84475135699574</v>
      </c>
      <c r="BE35" s="429">
        <f>$BB35</f>
        <v>196.84475135699574</v>
      </c>
      <c r="BF35" s="429">
        <f>$BB35</f>
        <v>196.84475135699574</v>
      </c>
      <c r="BG35" s="32">
        <v>196.84</v>
      </c>
      <c r="BH35" s="32">
        <v>196.84</v>
      </c>
      <c r="BI35" s="32">
        <v>177.4</v>
      </c>
      <c r="BJ35" s="429">
        <f>SUM((AS35:AW35),(BC35:BI35))</f>
        <v>2270.4090054279832</v>
      </c>
      <c r="BK35" s="439">
        <f>(AP35-BJ35)</f>
        <v>1.0009945720166797</v>
      </c>
      <c r="BL35" s="32"/>
      <c r="BM35" s="32"/>
      <c r="BN35" s="32"/>
      <c r="BO35" s="32"/>
      <c r="BP35" s="32"/>
      <c r="BQ35" s="57">
        <v>118.901</v>
      </c>
      <c r="BR35" s="80">
        <v>112.79</v>
      </c>
      <c r="BS35" s="57">
        <f>BQ35/BR35</f>
        <v>1.0541803351360934</v>
      </c>
      <c r="BT35" s="55"/>
      <c r="BU35" s="55"/>
      <c r="BV35" s="429"/>
      <c r="BW35" s="429"/>
      <c r="BX35" s="429"/>
      <c r="BY35" s="429"/>
      <c r="BZ35" s="32"/>
      <c r="CA35" s="32"/>
      <c r="CB35" s="32"/>
      <c r="CC35" s="429">
        <f>SUM((BL35:BP35),(BV35:CB35))</f>
        <v>0</v>
      </c>
      <c r="CD35" s="439">
        <f>BK35-CC35</f>
        <v>1.0009945720166797</v>
      </c>
      <c r="CE35" s="58">
        <v>3</v>
      </c>
      <c r="CF35" s="25">
        <v>0.33329999999999999</v>
      </c>
      <c r="CG35" s="46">
        <v>43281</v>
      </c>
      <c r="CH35" s="58">
        <v>36</v>
      </c>
      <c r="CI35" s="145">
        <f>100/CH35</f>
        <v>2.7777777777777777</v>
      </c>
      <c r="CJ35" s="165">
        <f>CI35*CK35</f>
        <v>144.44444444444443</v>
      </c>
      <c r="CK35" s="48">
        <f>(YEAR(CG35)-YEAR(CT35))*12+MONTH(CG35)-MONTH(CT35)</f>
        <v>52</v>
      </c>
      <c r="CL35" s="165">
        <f>CM35*CI35</f>
        <v>-44.444444444444443</v>
      </c>
      <c r="CM35" s="48">
        <f>CH35-CK35</f>
        <v>-16</v>
      </c>
      <c r="CN35" s="165">
        <f>CO35*CI35</f>
        <v>0</v>
      </c>
      <c r="CO35" s="48"/>
      <c r="CP35" s="165">
        <f>CQ35*CI35</f>
        <v>-44.444444444444443</v>
      </c>
      <c r="CQ35" s="48">
        <f>CM35-CO35</f>
        <v>-16</v>
      </c>
      <c r="CR35" s="462">
        <f>DATE(YEAR(CT35),MONTH(CT35)+CH35,DAY(CT35))</f>
        <v>42793</v>
      </c>
      <c r="CS35" s="17">
        <v>168313</v>
      </c>
      <c r="CT35" s="119">
        <v>41697</v>
      </c>
      <c r="CU35" s="134">
        <v>6722.2</v>
      </c>
      <c r="CV35" s="14">
        <v>3548.14</v>
      </c>
      <c r="CW35" s="106">
        <v>933.55</v>
      </c>
      <c r="CX35" s="66"/>
      <c r="CY35" s="57">
        <v>115.958</v>
      </c>
      <c r="CZ35" s="80">
        <v>112.79</v>
      </c>
      <c r="DA35" s="57">
        <f>CY35/CZ35</f>
        <v>1.0280875964181222</v>
      </c>
      <c r="DB35" s="55">
        <f>CV35*CN35/100/CL35*100/7</f>
        <v>0</v>
      </c>
      <c r="DC35" s="55">
        <f>DB35*DA35</f>
        <v>0</v>
      </c>
      <c r="DD35" s="55"/>
      <c r="DE35" s="55"/>
      <c r="DF35" s="55"/>
      <c r="DG35" s="55"/>
      <c r="DH35" s="55"/>
      <c r="DI35" s="55">
        <v>182.39</v>
      </c>
      <c r="DJ35" s="55">
        <v>182.39</v>
      </c>
      <c r="DK35" s="55">
        <v>182.39</v>
      </c>
      <c r="DL35" s="55">
        <v>182.39</v>
      </c>
      <c r="DM35" s="55">
        <v>182.39</v>
      </c>
      <c r="DN35" s="55">
        <v>182.39</v>
      </c>
      <c r="DO35" s="55">
        <v>182.39</v>
      </c>
      <c r="DP35" s="55">
        <f>SUM(DD35:DO35)</f>
        <v>1276.73</v>
      </c>
      <c r="DQ35" s="72">
        <f>CV35-DP35</f>
        <v>2271.41</v>
      </c>
      <c r="DR35" s="32"/>
      <c r="DS35" s="32"/>
      <c r="DT35" s="429">
        <f t="shared" si="10"/>
        <v>182.39</v>
      </c>
      <c r="DU35" s="429">
        <f t="shared" si="10"/>
        <v>182.39</v>
      </c>
      <c r="DV35" s="429">
        <f t="shared" si="10"/>
        <v>182.39</v>
      </c>
      <c r="DW35" s="429">
        <f t="shared" si="10"/>
        <v>182.39</v>
      </c>
      <c r="DX35" s="429">
        <f t="shared" si="10"/>
        <v>182.39</v>
      </c>
      <c r="DY35" s="725">
        <v>1.0009945720166797</v>
      </c>
      <c r="DZ35" s="57">
        <v>126.408</v>
      </c>
      <c r="EA35" s="80">
        <v>112.79</v>
      </c>
      <c r="EB35" s="57">
        <f>DZ35/EA35</f>
        <v>1.1207376540473446</v>
      </c>
      <c r="EC35" s="55">
        <v>0</v>
      </c>
      <c r="ED35" s="55">
        <f>EC35*EB35</f>
        <v>0</v>
      </c>
      <c r="EE35" s="55">
        <v>0</v>
      </c>
      <c r="EF35" s="55">
        <v>0</v>
      </c>
      <c r="EG35" s="55">
        <v>0</v>
      </c>
      <c r="EH35" s="55">
        <v>0</v>
      </c>
      <c r="EI35" s="55">
        <v>0</v>
      </c>
      <c r="EJ35" s="55">
        <v>0</v>
      </c>
      <c r="EK35" s="55">
        <v>0</v>
      </c>
      <c r="EL35" s="429">
        <f>SUM(EE35:EK35)</f>
        <v>0</v>
      </c>
      <c r="EM35" s="439">
        <f>DY35-EL35</f>
        <v>1.0009945720166797</v>
      </c>
      <c r="EN35" s="55">
        <v>0</v>
      </c>
      <c r="EO35" s="55">
        <v>0</v>
      </c>
      <c r="EP35" s="55">
        <v>0</v>
      </c>
      <c r="EQ35" s="55">
        <v>0</v>
      </c>
      <c r="ER35" s="55">
        <v>0</v>
      </c>
      <c r="ES35" s="511">
        <f>SUM(EN35:ER35)</f>
        <v>0</v>
      </c>
      <c r="ET35" s="1085">
        <f>EM35-ES35</f>
        <v>1.0009945720166797</v>
      </c>
      <c r="EU35" s="514">
        <v>132.28200000000001</v>
      </c>
      <c r="EV35" s="515">
        <v>112.79</v>
      </c>
      <c r="EW35" s="514">
        <f>EU35/EV35</f>
        <v>1.1728167390726127</v>
      </c>
      <c r="EX35" s="516">
        <v>0</v>
      </c>
      <c r="EY35" s="516">
        <f>EX35*EW35</f>
        <v>0</v>
      </c>
      <c r="EZ35" s="516">
        <v>0</v>
      </c>
      <c r="FA35" s="516">
        <v>0</v>
      </c>
      <c r="FB35" s="516">
        <v>0</v>
      </c>
      <c r="FC35" s="516">
        <v>0</v>
      </c>
      <c r="FD35" s="516">
        <v>0</v>
      </c>
      <c r="FE35" s="516">
        <v>0</v>
      </c>
      <c r="FF35" s="516">
        <v>0</v>
      </c>
      <c r="FG35" s="516">
        <v>0</v>
      </c>
      <c r="FH35" s="516">
        <v>0</v>
      </c>
      <c r="FI35" s="516">
        <v>0</v>
      </c>
      <c r="FJ35" s="516">
        <v>0</v>
      </c>
      <c r="FK35" s="516">
        <v>0</v>
      </c>
      <c r="FL35" s="516">
        <v>0</v>
      </c>
      <c r="FM35" s="516">
        <v>0</v>
      </c>
      <c r="FN35" s="516">
        <v>0</v>
      </c>
      <c r="FO35" s="516">
        <v>0</v>
      </c>
      <c r="FP35" s="516">
        <v>0</v>
      </c>
      <c r="FQ35" s="516">
        <v>0</v>
      </c>
      <c r="FR35" s="516">
        <f t="shared" si="6"/>
        <v>0</v>
      </c>
      <c r="FS35" s="1085">
        <f>ET35-FR35</f>
        <v>1.0009945720166797</v>
      </c>
    </row>
    <row r="36" spans="1:175" s="16" customFormat="1" ht="15" x14ac:dyDescent="0.2">
      <c r="A36" s="120" t="s">
        <v>1044</v>
      </c>
      <c r="B36" s="26"/>
      <c r="C36" s="100"/>
      <c r="D36" s="58"/>
      <c r="E36" s="25"/>
      <c r="F36" s="46"/>
      <c r="G36" s="58"/>
      <c r="H36" s="145"/>
      <c r="I36" s="165"/>
      <c r="J36" s="48"/>
      <c r="K36" s="165"/>
      <c r="L36" s="48"/>
      <c r="M36" s="165"/>
      <c r="N36" s="48"/>
      <c r="O36" s="165"/>
      <c r="P36" s="48"/>
      <c r="Q36" s="48"/>
      <c r="R36" s="20"/>
      <c r="S36" s="119"/>
      <c r="T36" s="134"/>
      <c r="U36" s="14"/>
      <c r="V36" s="106"/>
      <c r="W36" s="66"/>
      <c r="X36" s="66"/>
      <c r="Y36" s="80"/>
      <c r="Z36" s="66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72"/>
      <c r="AQ36" s="32"/>
      <c r="AR36" s="32"/>
      <c r="AS36" s="429">
        <f t="shared" si="9"/>
        <v>0</v>
      </c>
      <c r="AT36" s="429">
        <f t="shared" si="9"/>
        <v>0</v>
      </c>
      <c r="AU36" s="429">
        <f t="shared" si="9"/>
        <v>0</v>
      </c>
      <c r="AV36" s="429">
        <f t="shared" si="9"/>
        <v>0</v>
      </c>
      <c r="AW36" s="429">
        <f t="shared" si="9"/>
        <v>0</v>
      </c>
      <c r="AX36" s="66"/>
      <c r="AY36" s="80"/>
      <c r="AZ36" s="66"/>
      <c r="BA36" s="55"/>
      <c r="BB36" s="55"/>
      <c r="BC36" s="429"/>
      <c r="BD36" s="429"/>
      <c r="BE36" s="429"/>
      <c r="BF36" s="429"/>
      <c r="BG36" s="32"/>
      <c r="BH36" s="32"/>
      <c r="BI36" s="32"/>
      <c r="BJ36" s="429"/>
      <c r="BK36" s="439"/>
      <c r="BL36" s="32"/>
      <c r="BM36" s="32"/>
      <c r="BN36" s="32"/>
      <c r="BO36" s="32"/>
      <c r="BP36" s="32"/>
      <c r="BQ36" s="66"/>
      <c r="BR36" s="80"/>
      <c r="BS36" s="66"/>
      <c r="BT36" s="55"/>
      <c r="BU36" s="55"/>
      <c r="BV36" s="429"/>
      <c r="BW36" s="429"/>
      <c r="BX36" s="429"/>
      <c r="BY36" s="429"/>
      <c r="BZ36" s="32"/>
      <c r="CA36" s="32"/>
      <c r="CB36" s="32"/>
      <c r="CC36" s="429"/>
      <c r="CD36" s="439"/>
      <c r="CE36" s="58"/>
      <c r="CF36" s="25"/>
      <c r="CG36" s="46"/>
      <c r="CH36" s="58"/>
      <c r="CI36" s="145"/>
      <c r="CJ36" s="165"/>
      <c r="CK36" s="48"/>
      <c r="CL36" s="165"/>
      <c r="CM36" s="48"/>
      <c r="CN36" s="165"/>
      <c r="CO36" s="48"/>
      <c r="CP36" s="165"/>
      <c r="CQ36" s="48"/>
      <c r="CR36" s="48"/>
      <c r="CS36" s="20"/>
      <c r="CT36" s="119"/>
      <c r="CU36" s="134"/>
      <c r="CV36" s="14"/>
      <c r="CW36" s="106"/>
      <c r="CX36" s="66"/>
      <c r="CY36" s="66"/>
      <c r="CZ36" s="80"/>
      <c r="DA36" s="66"/>
      <c r="DB36" s="55"/>
      <c r="DC36" s="55"/>
      <c r="DD36" s="55"/>
      <c r="DE36" s="55"/>
      <c r="DF36" s="55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72"/>
      <c r="DR36" s="32"/>
      <c r="DS36" s="32"/>
      <c r="DT36" s="429">
        <f t="shared" si="10"/>
        <v>0</v>
      </c>
      <c r="DU36" s="429">
        <f t="shared" si="10"/>
        <v>0</v>
      </c>
      <c r="DV36" s="429">
        <f t="shared" si="10"/>
        <v>0</v>
      </c>
      <c r="DW36" s="429">
        <f t="shared" si="10"/>
        <v>0</v>
      </c>
      <c r="DX36" s="429">
        <f t="shared" si="10"/>
        <v>0</v>
      </c>
      <c r="DY36" s="725"/>
      <c r="DZ36" s="66"/>
      <c r="EA36" s="80"/>
      <c r="EB36" s="66"/>
      <c r="EC36" s="55"/>
      <c r="ED36" s="55"/>
      <c r="EE36" s="55"/>
      <c r="EF36" s="55"/>
      <c r="EG36" s="55"/>
      <c r="EH36" s="55"/>
      <c r="EI36" s="55"/>
      <c r="EJ36" s="55"/>
      <c r="EK36" s="55"/>
      <c r="EL36" s="429"/>
      <c r="EM36" s="439"/>
      <c r="EN36" s="55"/>
      <c r="EO36" s="55"/>
      <c r="EP36" s="55"/>
      <c r="EQ36" s="55"/>
      <c r="ER36" s="55"/>
      <c r="ES36" s="511"/>
      <c r="ET36" s="1085"/>
      <c r="EU36" s="514"/>
      <c r="EV36" s="515"/>
      <c r="EW36" s="514"/>
      <c r="EX36" s="516"/>
      <c r="EY36" s="516"/>
      <c r="EZ36" s="516"/>
      <c r="FA36" s="516"/>
      <c r="FB36" s="516"/>
      <c r="FC36" s="516"/>
      <c r="FD36" s="516"/>
      <c r="FE36" s="516"/>
      <c r="FF36" s="516"/>
      <c r="FG36" s="516"/>
      <c r="FH36" s="516"/>
      <c r="FI36" s="516"/>
      <c r="FJ36" s="516"/>
      <c r="FK36" s="516"/>
      <c r="FL36" s="516"/>
      <c r="FM36" s="516"/>
      <c r="FN36" s="516"/>
      <c r="FO36" s="516"/>
      <c r="FP36" s="516"/>
      <c r="FQ36" s="516"/>
      <c r="FR36" s="516">
        <f t="shared" si="6"/>
        <v>0</v>
      </c>
      <c r="FS36" s="1085"/>
    </row>
    <row r="37" spans="1:175" s="16" customFormat="1" ht="15" x14ac:dyDescent="0.2">
      <c r="A37" s="120" t="s">
        <v>1045</v>
      </c>
      <c r="B37" s="100"/>
      <c r="C37" s="45"/>
      <c r="D37" s="58"/>
      <c r="E37" s="25"/>
      <c r="F37" s="46"/>
      <c r="G37" s="58"/>
      <c r="H37" s="145"/>
      <c r="I37" s="165"/>
      <c r="J37" s="48"/>
      <c r="K37" s="165"/>
      <c r="L37" s="48"/>
      <c r="M37" s="165"/>
      <c r="N37" s="48"/>
      <c r="O37" s="165"/>
      <c r="P37" s="48"/>
      <c r="Q37" s="48"/>
      <c r="R37" s="17"/>
      <c r="S37" s="119"/>
      <c r="T37" s="134"/>
      <c r="U37" s="14"/>
      <c r="V37" s="106"/>
      <c r="W37" s="66"/>
      <c r="X37" s="57"/>
      <c r="Y37" s="80"/>
      <c r="Z37" s="57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72"/>
      <c r="AQ37" s="32"/>
      <c r="AR37" s="32"/>
      <c r="AS37" s="429"/>
      <c r="AT37" s="429"/>
      <c r="AU37" s="429"/>
      <c r="AV37" s="429"/>
      <c r="AW37" s="429"/>
      <c r="AX37" s="57"/>
      <c r="AY37" s="80"/>
      <c r="AZ37" s="57"/>
      <c r="BA37" s="55"/>
      <c r="BB37" s="55"/>
      <c r="BC37" s="429"/>
      <c r="BD37" s="429"/>
      <c r="BE37" s="429"/>
      <c r="BF37" s="429"/>
      <c r="BG37" s="32"/>
      <c r="BH37" s="32"/>
      <c r="BI37" s="32"/>
      <c r="BJ37" s="429"/>
      <c r="BK37" s="439"/>
      <c r="BL37" s="32"/>
      <c r="BM37" s="32"/>
      <c r="BN37" s="32"/>
      <c r="BO37" s="32"/>
      <c r="BP37" s="32"/>
      <c r="BQ37" s="57"/>
      <c r="BR37" s="80"/>
      <c r="BS37" s="57"/>
      <c r="BT37" s="55"/>
      <c r="BU37" s="55"/>
      <c r="BV37" s="429"/>
      <c r="BW37" s="429"/>
      <c r="BX37" s="429"/>
      <c r="BY37" s="429"/>
      <c r="BZ37" s="32"/>
      <c r="CA37" s="32"/>
      <c r="CB37" s="32"/>
      <c r="CC37" s="429"/>
      <c r="CD37" s="439"/>
      <c r="CE37" s="58"/>
      <c r="CF37" s="25"/>
      <c r="CG37" s="46"/>
      <c r="CH37" s="58"/>
      <c r="CI37" s="145"/>
      <c r="CJ37" s="165"/>
      <c r="CK37" s="48"/>
      <c r="CL37" s="165"/>
      <c r="CM37" s="48"/>
      <c r="CN37" s="165"/>
      <c r="CO37" s="48"/>
      <c r="CP37" s="165"/>
      <c r="CQ37" s="48"/>
      <c r="CR37" s="48"/>
      <c r="CS37" s="17"/>
      <c r="CT37" s="119"/>
      <c r="CU37" s="134"/>
      <c r="CV37" s="14"/>
      <c r="CW37" s="106"/>
      <c r="CX37" s="66"/>
      <c r="CY37" s="57"/>
      <c r="CZ37" s="80"/>
      <c r="DA37" s="57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5"/>
      <c r="DM37" s="55"/>
      <c r="DN37" s="55"/>
      <c r="DO37" s="55"/>
      <c r="DP37" s="55"/>
      <c r="DQ37" s="72"/>
      <c r="DR37" s="32"/>
      <c r="DS37" s="32"/>
      <c r="DT37" s="429"/>
      <c r="DU37" s="429"/>
      <c r="DV37" s="429"/>
      <c r="DW37" s="429"/>
      <c r="DX37" s="429"/>
      <c r="DY37" s="725"/>
      <c r="DZ37" s="57"/>
      <c r="EA37" s="80"/>
      <c r="EB37" s="57"/>
      <c r="EC37" s="55"/>
      <c r="ED37" s="55"/>
      <c r="EE37" s="55"/>
      <c r="EF37" s="55"/>
      <c r="EG37" s="55"/>
      <c r="EH37" s="55"/>
      <c r="EI37" s="55"/>
      <c r="EJ37" s="55"/>
      <c r="EK37" s="55"/>
      <c r="EL37" s="429"/>
      <c r="EM37" s="439"/>
      <c r="EN37" s="55"/>
      <c r="EO37" s="55"/>
      <c r="EP37" s="55"/>
      <c r="EQ37" s="55"/>
      <c r="ER37" s="55"/>
      <c r="ES37" s="511"/>
      <c r="ET37" s="1085"/>
      <c r="EU37" s="514"/>
      <c r="EV37" s="515"/>
      <c r="EW37" s="514"/>
      <c r="EX37" s="516"/>
      <c r="EY37" s="516"/>
      <c r="EZ37" s="516"/>
      <c r="FA37" s="516"/>
      <c r="FB37" s="516"/>
      <c r="FC37" s="516"/>
      <c r="FD37" s="516"/>
      <c r="FE37" s="516"/>
      <c r="FF37" s="516"/>
      <c r="FG37" s="516"/>
      <c r="FH37" s="516"/>
      <c r="FI37" s="516"/>
      <c r="FJ37" s="516"/>
      <c r="FK37" s="516"/>
      <c r="FL37" s="516"/>
      <c r="FM37" s="516"/>
      <c r="FN37" s="516"/>
      <c r="FO37" s="516"/>
      <c r="FP37" s="516"/>
      <c r="FQ37" s="516"/>
      <c r="FR37" s="516">
        <f t="shared" si="6"/>
        <v>0</v>
      </c>
      <c r="FS37" s="1085"/>
    </row>
    <row r="38" spans="1:175" s="16" customFormat="1" ht="15" x14ac:dyDescent="0.2">
      <c r="A38" s="9" t="s">
        <v>234</v>
      </c>
      <c r="B38" s="100" t="s">
        <v>1046</v>
      </c>
      <c r="C38" s="45" t="s">
        <v>316</v>
      </c>
      <c r="D38" s="58">
        <v>3</v>
      </c>
      <c r="E38" s="25">
        <v>0.33329999999999999</v>
      </c>
      <c r="F38" s="46">
        <v>42614</v>
      </c>
      <c r="G38" s="58">
        <v>36</v>
      </c>
      <c r="H38" s="145">
        <f>100/G38</f>
        <v>2.7777777777777777</v>
      </c>
      <c r="I38" s="165">
        <f>H38*J38</f>
        <v>0</v>
      </c>
      <c r="J38" s="48">
        <v>0</v>
      </c>
      <c r="K38" s="165">
        <f>L38*H38</f>
        <v>100</v>
      </c>
      <c r="L38" s="48">
        <f>G38-J38</f>
        <v>36</v>
      </c>
      <c r="M38" s="165">
        <f>N38*H38</f>
        <v>0</v>
      </c>
      <c r="N38" s="48">
        <v>0</v>
      </c>
      <c r="O38" s="165">
        <f>P38*H38</f>
        <v>100</v>
      </c>
      <c r="P38" s="48">
        <f>L38-N38</f>
        <v>36</v>
      </c>
      <c r="Q38" s="48"/>
      <c r="R38" s="125" t="s">
        <v>1047</v>
      </c>
      <c r="S38" s="119">
        <v>42614</v>
      </c>
      <c r="T38" s="134">
        <v>6786</v>
      </c>
      <c r="U38" s="14">
        <v>3548.14</v>
      </c>
      <c r="V38" s="106">
        <v>933.55</v>
      </c>
      <c r="W38" s="66"/>
      <c r="X38" s="57"/>
      <c r="Y38" s="80"/>
      <c r="Z38" s="57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>
        <f>SUM(AC38:AN38)</f>
        <v>0</v>
      </c>
      <c r="AP38" s="72">
        <v>6786</v>
      </c>
      <c r="AQ38" s="32"/>
      <c r="AR38" s="32"/>
      <c r="AS38" s="429">
        <f t="shared" si="9"/>
        <v>0</v>
      </c>
      <c r="AT38" s="429">
        <f t="shared" si="9"/>
        <v>0</v>
      </c>
      <c r="AU38" s="429">
        <f t="shared" si="9"/>
        <v>0</v>
      </c>
      <c r="AV38" s="429">
        <f t="shared" si="9"/>
        <v>0</v>
      </c>
      <c r="AW38" s="429">
        <f t="shared" si="9"/>
        <v>0</v>
      </c>
      <c r="AX38" s="57">
        <v>118.901</v>
      </c>
      <c r="AY38" s="80">
        <v>120.277</v>
      </c>
      <c r="AZ38" s="57">
        <f>AX38/AY38</f>
        <v>0.98855974126391577</v>
      </c>
      <c r="BA38" s="55">
        <f>T38/(D38*12)</f>
        <v>188.5</v>
      </c>
      <c r="BB38" s="55">
        <f>BA38*AZ38</f>
        <v>186.34351122824813</v>
      </c>
      <c r="BC38" s="429"/>
      <c r="BD38" s="429"/>
      <c r="BE38" s="429"/>
      <c r="BF38" s="429"/>
      <c r="BG38" s="32">
        <v>186.34</v>
      </c>
      <c r="BH38" s="32">
        <v>186.34</v>
      </c>
      <c r="BI38" s="32">
        <v>186.34</v>
      </c>
      <c r="BJ38" s="429">
        <f>SUM((AS38:AW38),(BC38:BI38))</f>
        <v>559.02</v>
      </c>
      <c r="BK38" s="439">
        <f>(AP38-BJ38)</f>
        <v>6226.98</v>
      </c>
      <c r="BL38" s="32">
        <v>186.34</v>
      </c>
      <c r="BM38" s="32">
        <v>186.34</v>
      </c>
      <c r="BN38" s="32">
        <v>186.34</v>
      </c>
      <c r="BO38" s="32">
        <v>186.34</v>
      </c>
      <c r="BP38" s="32">
        <v>186.34</v>
      </c>
      <c r="BQ38" s="57">
        <v>118.901</v>
      </c>
      <c r="BR38" s="80">
        <v>120.277</v>
      </c>
      <c r="BS38" s="57">
        <f>BQ38/BR38</f>
        <v>0.98855974126391577</v>
      </c>
      <c r="BT38" s="55"/>
      <c r="BU38" s="55"/>
      <c r="BV38" s="429"/>
      <c r="BW38" s="429"/>
      <c r="BX38" s="429"/>
      <c r="BY38" s="429"/>
      <c r="BZ38" s="32"/>
      <c r="CA38" s="32"/>
      <c r="CB38" s="32"/>
      <c r="CC38" s="429">
        <f>SUM((BL38:BP38),(BV38:CB38))</f>
        <v>931.7</v>
      </c>
      <c r="CD38" s="439">
        <f>BK38-CC38</f>
        <v>5295.28</v>
      </c>
      <c r="CE38" s="58">
        <v>3</v>
      </c>
      <c r="CF38" s="25">
        <v>0.33329999999999999</v>
      </c>
      <c r="CG38" s="46">
        <v>43281</v>
      </c>
      <c r="CH38" s="58">
        <v>36</v>
      </c>
      <c r="CI38" s="145">
        <f>100/CH38</f>
        <v>2.7777777777777777</v>
      </c>
      <c r="CJ38" s="165">
        <f>CI38*CK38</f>
        <v>58.333333333333329</v>
      </c>
      <c r="CK38" s="48">
        <f>(YEAR(CG38)-YEAR(CT38))*12+MONTH(CG38)-MONTH(CT38)</f>
        <v>21</v>
      </c>
      <c r="CL38" s="165">
        <f>CM38*CI38</f>
        <v>41.666666666666664</v>
      </c>
      <c r="CM38" s="48">
        <f>CH38-CK38</f>
        <v>15</v>
      </c>
      <c r="CN38" s="165">
        <f>CO38*CI38</f>
        <v>0</v>
      </c>
      <c r="CO38" s="48"/>
      <c r="CP38" s="165">
        <f>CQ38*CI38</f>
        <v>41.666666666666664</v>
      </c>
      <c r="CQ38" s="48">
        <f>CM38-CO38</f>
        <v>15</v>
      </c>
      <c r="CR38" s="462">
        <f>DATE(YEAR(CT38),MONTH(CT38)+CH38,DAY(CT38))</f>
        <v>43709</v>
      </c>
      <c r="CS38" s="125" t="s">
        <v>1047</v>
      </c>
      <c r="CT38" s="119">
        <v>42614</v>
      </c>
      <c r="CU38" s="134">
        <v>6786</v>
      </c>
      <c r="CV38" s="14">
        <v>3548.14</v>
      </c>
      <c r="CW38" s="106">
        <v>933.55</v>
      </c>
      <c r="CX38" s="66"/>
      <c r="CY38" s="57"/>
      <c r="CZ38" s="80"/>
      <c r="DA38" s="57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>
        <f>SUM(DD38:DO38)</f>
        <v>0</v>
      </c>
      <c r="DQ38" s="72">
        <v>6786</v>
      </c>
      <c r="DR38" s="32"/>
      <c r="DS38" s="32"/>
      <c r="DT38" s="429">
        <f t="shared" si="10"/>
        <v>0</v>
      </c>
      <c r="DU38" s="429">
        <f t="shared" si="10"/>
        <v>0</v>
      </c>
      <c r="DV38" s="429">
        <f t="shared" si="10"/>
        <v>0</v>
      </c>
      <c r="DW38" s="429">
        <f t="shared" si="10"/>
        <v>0</v>
      </c>
      <c r="DX38" s="429">
        <f t="shared" si="10"/>
        <v>0</v>
      </c>
      <c r="DY38" s="725">
        <v>5295.28</v>
      </c>
      <c r="DZ38" s="57">
        <v>126.408</v>
      </c>
      <c r="EA38" s="80">
        <v>120.277</v>
      </c>
      <c r="EB38" s="57">
        <f>DZ38/EA38</f>
        <v>1.0509740016794566</v>
      </c>
      <c r="EC38" s="55">
        <f>DY38/CM38</f>
        <v>353.01866666666666</v>
      </c>
      <c r="ED38" s="55">
        <f>EC38*EB38</f>
        <v>371.01344077421288</v>
      </c>
      <c r="EE38" s="55">
        <v>154.58893365592203</v>
      </c>
      <c r="EF38" s="55">
        <v>154.58893365592203</v>
      </c>
      <c r="EG38" s="55">
        <v>154.58893365592203</v>
      </c>
      <c r="EH38" s="55">
        <v>154.58893365592203</v>
      </c>
      <c r="EI38" s="55">
        <v>154.58893365592203</v>
      </c>
      <c r="EJ38" s="55">
        <v>154.58893365592203</v>
      </c>
      <c r="EK38" s="55">
        <v>154.58893365592203</v>
      </c>
      <c r="EL38" s="429">
        <f>SUM(EE38:EK38)</f>
        <v>1082.1225355914542</v>
      </c>
      <c r="EM38" s="439">
        <f>DY38-EL38</f>
        <v>4213.1574644085458</v>
      </c>
      <c r="EN38" s="55">
        <v>154.58893365592203</v>
      </c>
      <c r="EO38" s="55">
        <v>154.58893365592203</v>
      </c>
      <c r="EP38" s="55">
        <v>154.58893365592203</v>
      </c>
      <c r="EQ38" s="55">
        <v>154.58893365592203</v>
      </c>
      <c r="ER38" s="55">
        <v>154.58893365592203</v>
      </c>
      <c r="ES38" s="511">
        <f>SUM(EN38:ER38)</f>
        <v>772.94466827961014</v>
      </c>
      <c r="ET38" s="1085">
        <f>EM38-ES38</f>
        <v>3440.2127961289357</v>
      </c>
      <c r="EU38" s="514">
        <v>132.28200000000001</v>
      </c>
      <c r="EV38" s="515">
        <v>120.277</v>
      </c>
      <c r="EW38" s="514">
        <f>EU38/EV38</f>
        <v>1.0998112689874209</v>
      </c>
      <c r="EX38" s="516">
        <f>ET38/CK38</f>
        <v>163.81965695852074</v>
      </c>
      <c r="EY38" s="516">
        <f>EX38*EW38</f>
        <v>180.17070480463465</v>
      </c>
      <c r="EZ38" s="516">
        <v>180.17070480463465</v>
      </c>
      <c r="FA38" s="516">
        <v>180.17070480463465</v>
      </c>
      <c r="FB38" s="516">
        <v>180.17070480463465</v>
      </c>
      <c r="FC38" s="516">
        <v>180.17070480463465</v>
      </c>
      <c r="FD38" s="516">
        <v>180.17070480463465</v>
      </c>
      <c r="FE38" s="516">
        <v>180.17070480463465</v>
      </c>
      <c r="FF38" s="516">
        <v>180.17070480463465</v>
      </c>
      <c r="FG38" s="516">
        <v>180.17070480463465</v>
      </c>
      <c r="FH38" s="516">
        <v>180.17070480463465</v>
      </c>
      <c r="FI38" s="516">
        <v>180.17070480463465</v>
      </c>
      <c r="FJ38" s="516">
        <v>180.17070480463465</v>
      </c>
      <c r="FK38" s="516">
        <v>180.17070480463465</v>
      </c>
      <c r="FL38" s="516">
        <v>180.17070480463465</v>
      </c>
      <c r="FM38" s="516">
        <v>180.17070480463465</v>
      </c>
      <c r="FN38" s="516">
        <v>180.17070480463465</v>
      </c>
      <c r="FO38" s="516">
        <v>180.17070480463465</v>
      </c>
      <c r="FP38" s="516">
        <v>180.17070480463465</v>
      </c>
      <c r="FQ38" s="516">
        <v>180.17070480463465</v>
      </c>
      <c r="FR38" s="516">
        <f t="shared" si="6"/>
        <v>3243.0726864834237</v>
      </c>
      <c r="FS38" s="1085">
        <f>ET38-FR38</f>
        <v>197.14010964551198</v>
      </c>
    </row>
    <row r="39" spans="1:175" s="16" customFormat="1" ht="15" x14ac:dyDescent="0.2">
      <c r="A39" s="26" t="s">
        <v>71</v>
      </c>
      <c r="B39" s="120" t="s">
        <v>678</v>
      </c>
      <c r="C39" s="100"/>
      <c r="D39" s="58"/>
      <c r="E39" s="25"/>
      <c r="F39" s="46"/>
      <c r="G39" s="58"/>
      <c r="H39" s="145"/>
      <c r="I39" s="165"/>
      <c r="J39" s="48"/>
      <c r="K39" s="165"/>
      <c r="L39" s="48"/>
      <c r="M39" s="165"/>
      <c r="N39" s="48"/>
      <c r="O39" s="165"/>
      <c r="P39" s="48"/>
      <c r="Q39" s="48"/>
      <c r="R39" s="20"/>
      <c r="S39" s="119"/>
      <c r="T39" s="134"/>
      <c r="U39" s="14"/>
      <c r="V39" s="106"/>
      <c r="W39" s="165"/>
      <c r="X39" s="57"/>
      <c r="Y39" s="80"/>
      <c r="Z39" s="57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72"/>
      <c r="AQ39" s="32"/>
      <c r="AR39" s="32"/>
      <c r="AS39" s="429">
        <f t="shared" si="9"/>
        <v>0</v>
      </c>
      <c r="AT39" s="429">
        <f t="shared" si="9"/>
        <v>0</v>
      </c>
      <c r="AU39" s="429">
        <f t="shared" si="9"/>
        <v>0</v>
      </c>
      <c r="AV39" s="429">
        <f t="shared" si="9"/>
        <v>0</v>
      </c>
      <c r="AW39" s="429">
        <f t="shared" si="9"/>
        <v>0</v>
      </c>
      <c r="AX39" s="57"/>
      <c r="AY39" s="80"/>
      <c r="AZ39" s="57"/>
      <c r="BA39" s="55"/>
      <c r="BB39" s="55"/>
      <c r="BC39" s="429"/>
      <c r="BD39" s="429"/>
      <c r="BE39" s="429"/>
      <c r="BF39" s="429"/>
      <c r="BG39" s="32"/>
      <c r="BH39" s="32"/>
      <c r="BI39" s="32"/>
      <c r="BJ39" s="429"/>
      <c r="BK39" s="439"/>
      <c r="BL39" s="32"/>
      <c r="BM39" s="32"/>
      <c r="BN39" s="32"/>
      <c r="BO39" s="32"/>
      <c r="BP39" s="32"/>
      <c r="BQ39" s="57"/>
      <c r="BR39" s="80"/>
      <c r="BS39" s="57"/>
      <c r="BT39" s="55"/>
      <c r="BU39" s="55"/>
      <c r="BV39" s="429"/>
      <c r="BW39" s="429"/>
      <c r="BX39" s="429"/>
      <c r="BY39" s="429"/>
      <c r="BZ39" s="32"/>
      <c r="CA39" s="32"/>
      <c r="CB39" s="32"/>
      <c r="CC39" s="429"/>
      <c r="CD39" s="439"/>
      <c r="CE39" s="58"/>
      <c r="CF39" s="25"/>
      <c r="CG39" s="46"/>
      <c r="CH39" s="58"/>
      <c r="CI39" s="145"/>
      <c r="CJ39" s="165"/>
      <c r="CK39" s="48"/>
      <c r="CL39" s="165"/>
      <c r="CM39" s="48"/>
      <c r="CN39" s="165"/>
      <c r="CO39" s="48"/>
      <c r="CP39" s="165"/>
      <c r="CQ39" s="48"/>
      <c r="CR39" s="462"/>
      <c r="CS39" s="20"/>
      <c r="CT39" s="119"/>
      <c r="CU39" s="134"/>
      <c r="CV39" s="14"/>
      <c r="CW39" s="106"/>
      <c r="CX39" s="165"/>
      <c r="CY39" s="57"/>
      <c r="CZ39" s="80"/>
      <c r="DA39" s="57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72"/>
      <c r="DR39" s="32"/>
      <c r="DS39" s="32"/>
      <c r="DT39" s="429">
        <f t="shared" si="10"/>
        <v>0</v>
      </c>
      <c r="DU39" s="429">
        <f t="shared" si="10"/>
        <v>0</v>
      </c>
      <c r="DV39" s="429">
        <f t="shared" si="10"/>
        <v>0</v>
      </c>
      <c r="DW39" s="429">
        <f t="shared" si="10"/>
        <v>0</v>
      </c>
      <c r="DX39" s="429">
        <f t="shared" si="10"/>
        <v>0</v>
      </c>
      <c r="DY39" s="725"/>
      <c r="DZ39" s="57"/>
      <c r="EA39" s="80"/>
      <c r="EB39" s="57"/>
      <c r="EC39" s="55"/>
      <c r="ED39" s="55"/>
      <c r="EE39" s="55"/>
      <c r="EF39" s="55"/>
      <c r="EG39" s="55"/>
      <c r="EH39" s="55"/>
      <c r="EI39" s="55"/>
      <c r="EJ39" s="55"/>
      <c r="EK39" s="55"/>
      <c r="EL39" s="429"/>
      <c r="EM39" s="439"/>
      <c r="EN39" s="55"/>
      <c r="EO39" s="55"/>
      <c r="EP39" s="55"/>
      <c r="EQ39" s="55"/>
      <c r="ER39" s="55"/>
      <c r="ES39" s="511"/>
      <c r="ET39" s="1085"/>
      <c r="EU39" s="514"/>
      <c r="EV39" s="515"/>
      <c r="EW39" s="514"/>
      <c r="EX39" s="516"/>
      <c r="EY39" s="516"/>
      <c r="EZ39" s="516"/>
      <c r="FA39" s="516"/>
      <c r="FB39" s="516"/>
      <c r="FC39" s="516"/>
      <c r="FD39" s="516"/>
      <c r="FE39" s="516"/>
      <c r="FF39" s="516"/>
      <c r="FG39" s="516"/>
      <c r="FH39" s="516"/>
      <c r="FI39" s="516"/>
      <c r="FJ39" s="516"/>
      <c r="FK39" s="516"/>
      <c r="FL39" s="516"/>
      <c r="FM39" s="516"/>
      <c r="FN39" s="516"/>
      <c r="FO39" s="516"/>
      <c r="FP39" s="516"/>
      <c r="FQ39" s="516"/>
      <c r="FR39" s="516">
        <f t="shared" si="6"/>
        <v>0</v>
      </c>
      <c r="FS39" s="1085"/>
    </row>
    <row r="40" spans="1:175" s="16" customFormat="1" ht="15" x14ac:dyDescent="0.2">
      <c r="A40" s="120" t="s">
        <v>679</v>
      </c>
      <c r="B40" s="9"/>
      <c r="C40" s="100"/>
      <c r="D40" s="58"/>
      <c r="E40" s="25"/>
      <c r="F40" s="46"/>
      <c r="G40" s="58"/>
      <c r="H40" s="145"/>
      <c r="I40" s="48"/>
      <c r="J40" s="48"/>
      <c r="K40" s="48"/>
      <c r="L40" s="48"/>
      <c r="M40" s="48"/>
      <c r="N40" s="48"/>
      <c r="O40" s="48"/>
      <c r="P40" s="48"/>
      <c r="Q40" s="48"/>
      <c r="R40" s="46"/>
      <c r="S40" s="119"/>
      <c r="T40" s="134"/>
      <c r="U40" s="47"/>
      <c r="V40" s="106"/>
      <c r="W40" s="165"/>
      <c r="X40" s="57"/>
      <c r="Y40" s="80"/>
      <c r="Z40" s="57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72"/>
      <c r="AQ40" s="32"/>
      <c r="AR40" s="32"/>
      <c r="AS40" s="429">
        <f t="shared" si="9"/>
        <v>0</v>
      </c>
      <c r="AT40" s="429">
        <f t="shared" si="9"/>
        <v>0</v>
      </c>
      <c r="AU40" s="429">
        <f t="shared" si="9"/>
        <v>0</v>
      </c>
      <c r="AV40" s="429">
        <f t="shared" si="9"/>
        <v>0</v>
      </c>
      <c r="AW40" s="429">
        <f t="shared" si="9"/>
        <v>0</v>
      </c>
      <c r="AX40" s="57"/>
      <c r="AY40" s="80"/>
      <c r="AZ40" s="57"/>
      <c r="BA40" s="55"/>
      <c r="BB40" s="55"/>
      <c r="BC40" s="429"/>
      <c r="BD40" s="429"/>
      <c r="BE40" s="429"/>
      <c r="BF40" s="429"/>
      <c r="BG40" s="32"/>
      <c r="BH40" s="32"/>
      <c r="BI40" s="32"/>
      <c r="BJ40" s="429"/>
      <c r="BK40" s="439"/>
      <c r="BL40" s="32"/>
      <c r="BM40" s="32"/>
      <c r="BN40" s="32"/>
      <c r="BO40" s="32"/>
      <c r="BP40" s="32"/>
      <c r="BQ40" s="57"/>
      <c r="BR40" s="80"/>
      <c r="BS40" s="57"/>
      <c r="BT40" s="55"/>
      <c r="BU40" s="55"/>
      <c r="BV40" s="429"/>
      <c r="BW40" s="429"/>
      <c r="BX40" s="429"/>
      <c r="BY40" s="429"/>
      <c r="BZ40" s="32"/>
      <c r="CA40" s="32"/>
      <c r="CB40" s="32"/>
      <c r="CC40" s="429"/>
      <c r="CD40" s="439"/>
      <c r="CE40" s="58"/>
      <c r="CF40" s="25"/>
      <c r="CG40" s="46"/>
      <c r="CH40" s="58"/>
      <c r="CI40" s="145"/>
      <c r="CJ40" s="48"/>
      <c r="CK40" s="48"/>
      <c r="CL40" s="48"/>
      <c r="CM40" s="48"/>
      <c r="CN40" s="48"/>
      <c r="CO40" s="48"/>
      <c r="CP40" s="48"/>
      <c r="CQ40" s="48"/>
      <c r="CR40" s="48"/>
      <c r="CS40" s="46"/>
      <c r="CT40" s="119"/>
      <c r="CU40" s="134"/>
      <c r="CV40" s="47"/>
      <c r="CW40" s="106"/>
      <c r="CX40" s="165"/>
      <c r="CY40" s="57"/>
      <c r="CZ40" s="80"/>
      <c r="DA40" s="57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72"/>
      <c r="DR40" s="32"/>
      <c r="DS40" s="32"/>
      <c r="DT40" s="429">
        <f t="shared" si="10"/>
        <v>0</v>
      </c>
      <c r="DU40" s="429">
        <f t="shared" si="10"/>
        <v>0</v>
      </c>
      <c r="DV40" s="429">
        <f t="shared" si="10"/>
        <v>0</v>
      </c>
      <c r="DW40" s="429">
        <f t="shared" si="10"/>
        <v>0</v>
      </c>
      <c r="DX40" s="429">
        <f t="shared" si="10"/>
        <v>0</v>
      </c>
      <c r="DY40" s="725"/>
      <c r="DZ40" s="57"/>
      <c r="EA40" s="80"/>
      <c r="EB40" s="57"/>
      <c r="EC40" s="55"/>
      <c r="ED40" s="55"/>
      <c r="EE40" s="55"/>
      <c r="EF40" s="55"/>
      <c r="EG40" s="55"/>
      <c r="EH40" s="55"/>
      <c r="EI40" s="55"/>
      <c r="EJ40" s="55"/>
      <c r="EK40" s="55"/>
      <c r="EL40" s="429"/>
      <c r="EM40" s="439"/>
      <c r="EN40" s="55"/>
      <c r="EO40" s="55"/>
      <c r="EP40" s="55"/>
      <c r="EQ40" s="55"/>
      <c r="ER40" s="55"/>
      <c r="ES40" s="511"/>
      <c r="ET40" s="1085"/>
      <c r="EU40" s="514"/>
      <c r="EV40" s="515"/>
      <c r="EW40" s="514"/>
      <c r="EX40" s="516"/>
      <c r="EY40" s="516"/>
      <c r="EZ40" s="516"/>
      <c r="FA40" s="516"/>
      <c r="FB40" s="516"/>
      <c r="FC40" s="516"/>
      <c r="FD40" s="516"/>
      <c r="FE40" s="516"/>
      <c r="FF40" s="516"/>
      <c r="FG40" s="516"/>
      <c r="FH40" s="516"/>
      <c r="FI40" s="516"/>
      <c r="FJ40" s="516"/>
      <c r="FK40" s="516"/>
      <c r="FL40" s="516"/>
      <c r="FM40" s="516"/>
      <c r="FN40" s="516"/>
      <c r="FO40" s="516"/>
      <c r="FP40" s="516"/>
      <c r="FQ40" s="516"/>
      <c r="FR40" s="516">
        <f t="shared" si="6"/>
        <v>0</v>
      </c>
      <c r="FS40" s="1085"/>
    </row>
    <row r="41" spans="1:175" s="35" customFormat="1" ht="15" x14ac:dyDescent="0.2">
      <c r="A41" s="100" t="s">
        <v>680</v>
      </c>
      <c r="B41" s="100" t="s">
        <v>681</v>
      </c>
      <c r="C41" s="100" t="s">
        <v>316</v>
      </c>
      <c r="D41" s="8">
        <v>10</v>
      </c>
      <c r="E41" s="130">
        <v>0.1</v>
      </c>
      <c r="F41" s="119">
        <v>42185</v>
      </c>
      <c r="G41" s="8">
        <v>120</v>
      </c>
      <c r="H41" s="146">
        <f>100/G41</f>
        <v>0.83333333333333337</v>
      </c>
      <c r="I41" s="1167">
        <f>H41*J41</f>
        <v>0</v>
      </c>
      <c r="J41" s="125">
        <v>0</v>
      </c>
      <c r="K41" s="1167">
        <f>L41*H41</f>
        <v>100</v>
      </c>
      <c r="L41" s="125">
        <f>G41-J41</f>
        <v>120</v>
      </c>
      <c r="M41" s="1167">
        <f>N41*H41</f>
        <v>0.83333333333333337</v>
      </c>
      <c r="N41" s="125">
        <v>1</v>
      </c>
      <c r="O41" s="1167">
        <f>P41*H41</f>
        <v>99.166666666666671</v>
      </c>
      <c r="P41" s="125">
        <f>L41-N41</f>
        <v>119</v>
      </c>
      <c r="Q41" s="125"/>
      <c r="R41" s="119" t="s">
        <v>682</v>
      </c>
      <c r="S41" s="119">
        <v>42333</v>
      </c>
      <c r="T41" s="134">
        <v>1638</v>
      </c>
      <c r="U41" s="134">
        <v>0</v>
      </c>
      <c r="V41" s="7">
        <v>0</v>
      </c>
      <c r="W41" s="64"/>
      <c r="X41" s="64">
        <v>115.958</v>
      </c>
      <c r="Y41" s="82">
        <v>118.051</v>
      </c>
      <c r="Z41" s="64">
        <f>X41/Y41</f>
        <v>0.98227037466857536</v>
      </c>
      <c r="AA41" s="62">
        <f>T41*M41/100/K41*100/1</f>
        <v>13.65</v>
      </c>
      <c r="AB41" s="1191">
        <f>AA41*Z41</f>
        <v>13.407990614226055</v>
      </c>
      <c r="AC41" s="62"/>
      <c r="AD41" s="62"/>
      <c r="AE41" s="62"/>
      <c r="AF41" s="62"/>
      <c r="AG41" s="62"/>
      <c r="AH41" s="62">
        <v>0</v>
      </c>
      <c r="AI41" s="62">
        <v>0</v>
      </c>
      <c r="AJ41" s="62">
        <v>0</v>
      </c>
      <c r="AK41" s="62">
        <v>0</v>
      </c>
      <c r="AL41" s="62">
        <v>0</v>
      </c>
      <c r="AM41" s="62">
        <v>0</v>
      </c>
      <c r="AN41" s="62">
        <v>13.4</v>
      </c>
      <c r="AO41" s="62">
        <f>SUM(AC41:AN41)</f>
        <v>13.4</v>
      </c>
      <c r="AP41" s="1169">
        <f>T41-AO41</f>
        <v>1624.6</v>
      </c>
      <c r="AQ41" s="509"/>
      <c r="AR41" s="509"/>
      <c r="AS41" s="510">
        <f>$AN41</f>
        <v>13.4</v>
      </c>
      <c r="AT41" s="510">
        <f>$AN41</f>
        <v>13.4</v>
      </c>
      <c r="AU41" s="510">
        <f>$AN41</f>
        <v>13.4</v>
      </c>
      <c r="AV41" s="510">
        <f>$AN41</f>
        <v>13.4</v>
      </c>
      <c r="AW41" s="510">
        <f>$AN41</f>
        <v>13.4</v>
      </c>
      <c r="AX41" s="64">
        <v>118.901</v>
      </c>
      <c r="AY41" s="82">
        <v>118.051</v>
      </c>
      <c r="AZ41" s="64">
        <f>AX41/AY41</f>
        <v>1.0072002778460156</v>
      </c>
      <c r="BA41" s="62">
        <f>T41/(D41*12)</f>
        <v>13.65</v>
      </c>
      <c r="BB41" s="62">
        <f>BA41*AZ41</f>
        <v>13.748283792598114</v>
      </c>
      <c r="BC41" s="510">
        <f>$BB41</f>
        <v>13.748283792598114</v>
      </c>
      <c r="BD41" s="510">
        <f>$BB41</f>
        <v>13.748283792598114</v>
      </c>
      <c r="BE41" s="510">
        <f>$BB41</f>
        <v>13.748283792598114</v>
      </c>
      <c r="BF41" s="510">
        <f>$BB41</f>
        <v>13.748283792598114</v>
      </c>
      <c r="BG41" s="509">
        <v>13.75</v>
      </c>
      <c r="BH41" s="509">
        <v>13.75</v>
      </c>
      <c r="BI41" s="509">
        <v>13.75</v>
      </c>
      <c r="BJ41" s="510">
        <f>SUM((AS41:AW41),(BC41:BI41))</f>
        <v>163.24313517039246</v>
      </c>
      <c r="BK41" s="439">
        <f>(AP41-BJ41)</f>
        <v>1461.3568648296075</v>
      </c>
      <c r="BL41" s="509">
        <v>13.75</v>
      </c>
      <c r="BM41" s="509">
        <v>13.75</v>
      </c>
      <c r="BN41" s="509">
        <v>13.75</v>
      </c>
      <c r="BO41" s="509">
        <v>13.75</v>
      </c>
      <c r="BP41" s="509">
        <v>13.75</v>
      </c>
      <c r="BQ41" s="64">
        <v>118.901</v>
      </c>
      <c r="BR41" s="82">
        <v>118.051</v>
      </c>
      <c r="BS41" s="64">
        <f>BQ41/BR41</f>
        <v>1.0072002778460156</v>
      </c>
      <c r="BT41" s="62"/>
      <c r="BU41" s="62"/>
      <c r="BV41" s="510"/>
      <c r="BW41" s="510"/>
      <c r="BX41" s="510"/>
      <c r="BY41" s="510"/>
      <c r="BZ41" s="509"/>
      <c r="CA41" s="509"/>
      <c r="CB41" s="509"/>
      <c r="CC41" s="510">
        <f>SUM((BL41:BP41),(BV41:CB41))</f>
        <v>68.75</v>
      </c>
      <c r="CD41" s="439">
        <f>BK41-CC41</f>
        <v>1392.6068648296075</v>
      </c>
      <c r="CE41" s="8">
        <v>10</v>
      </c>
      <c r="CF41" s="130">
        <v>0.1</v>
      </c>
      <c r="CG41" s="119">
        <v>43281</v>
      </c>
      <c r="CH41" s="8">
        <v>120</v>
      </c>
      <c r="CI41" s="146">
        <f>100/CH41</f>
        <v>0.83333333333333337</v>
      </c>
      <c r="CJ41" s="1167">
        <f>CI41*CK41</f>
        <v>25.833333333333336</v>
      </c>
      <c r="CK41" s="125">
        <f>(YEAR(CG41)-YEAR(CT41))*12+MONTH(CG41)-MONTH(CT41)</f>
        <v>31</v>
      </c>
      <c r="CL41" s="1167">
        <f>CM41*CI41</f>
        <v>74.166666666666671</v>
      </c>
      <c r="CM41" s="125">
        <f>CH41-CK41</f>
        <v>89</v>
      </c>
      <c r="CN41" s="1167">
        <f>CO41*CI41</f>
        <v>0</v>
      </c>
      <c r="CO41" s="125"/>
      <c r="CP41" s="1167">
        <f>CQ41*CI41</f>
        <v>74.166666666666671</v>
      </c>
      <c r="CQ41" s="125">
        <f>CM41-CO41</f>
        <v>89</v>
      </c>
      <c r="CR41" s="367">
        <f>DATE(YEAR(CT41),MONTH(CT41)+CH41,DAY(CT41))</f>
        <v>45986</v>
      </c>
      <c r="CS41" s="119" t="s">
        <v>682</v>
      </c>
      <c r="CT41" s="119">
        <v>42333</v>
      </c>
      <c r="CU41" s="134">
        <v>1638</v>
      </c>
      <c r="CV41" s="134">
        <v>0</v>
      </c>
      <c r="CW41" s="7">
        <v>0</v>
      </c>
      <c r="CX41" s="64"/>
      <c r="CY41" s="64">
        <v>115.958</v>
      </c>
      <c r="CZ41" s="82">
        <v>118.051</v>
      </c>
      <c r="DA41" s="64">
        <f>CY41/CZ41</f>
        <v>0.98227037466857536</v>
      </c>
      <c r="DB41" s="62">
        <f>CU41*CN41/100/CL41*100/1</f>
        <v>0</v>
      </c>
      <c r="DC41" s="1191">
        <f>DB41*DA41</f>
        <v>0</v>
      </c>
      <c r="DD41" s="62"/>
      <c r="DE41" s="62"/>
      <c r="DF41" s="62"/>
      <c r="DG41" s="62"/>
      <c r="DH41" s="62"/>
      <c r="DI41" s="62">
        <v>0</v>
      </c>
      <c r="DJ41" s="62">
        <v>0</v>
      </c>
      <c r="DK41" s="62">
        <v>0</v>
      </c>
      <c r="DL41" s="62">
        <v>0</v>
      </c>
      <c r="DM41" s="62">
        <v>0</v>
      </c>
      <c r="DN41" s="62">
        <v>0</v>
      </c>
      <c r="DO41" s="62">
        <v>13.4</v>
      </c>
      <c r="DP41" s="62">
        <f>SUM(DD41:DO41)</f>
        <v>13.4</v>
      </c>
      <c r="DQ41" s="1169">
        <f>CU41-DP41</f>
        <v>1624.6</v>
      </c>
      <c r="DR41" s="509"/>
      <c r="DS41" s="509"/>
      <c r="DT41" s="510">
        <f>$AN41</f>
        <v>13.4</v>
      </c>
      <c r="DU41" s="510">
        <f>$AN41</f>
        <v>13.4</v>
      </c>
      <c r="DV41" s="510">
        <f>$AN41</f>
        <v>13.4</v>
      </c>
      <c r="DW41" s="510">
        <f>$AN41</f>
        <v>13.4</v>
      </c>
      <c r="DX41" s="510">
        <f>$AN41</f>
        <v>13.4</v>
      </c>
      <c r="DY41" s="960">
        <v>1392.6068648296075</v>
      </c>
      <c r="DZ41" s="64">
        <v>126.408</v>
      </c>
      <c r="EA41" s="82">
        <v>118.051</v>
      </c>
      <c r="EB41" s="64">
        <f>DZ41/EA41</f>
        <v>1.0707914375990037</v>
      </c>
      <c r="EC41" s="62">
        <f>DY41/CM41</f>
        <v>15.647268144152893</v>
      </c>
      <c r="ED41" s="62">
        <f>EC41*EB41</f>
        <v>16.754960750574572</v>
      </c>
      <c r="EE41" s="62">
        <v>12.426595890009473</v>
      </c>
      <c r="EF41" s="62">
        <v>12.426595890009473</v>
      </c>
      <c r="EG41" s="62">
        <v>12.426595890009473</v>
      </c>
      <c r="EH41" s="62">
        <v>12.426595890009473</v>
      </c>
      <c r="EI41" s="62">
        <v>12.426595890009473</v>
      </c>
      <c r="EJ41" s="62">
        <v>12.426595890009473</v>
      </c>
      <c r="EK41" s="62">
        <v>12.426595890009473</v>
      </c>
      <c r="EL41" s="510">
        <f>SUM(EE41:EK41)</f>
        <v>86.986171230066304</v>
      </c>
      <c r="EM41" s="439">
        <f>DY41-EL41</f>
        <v>1305.6206935995413</v>
      </c>
      <c r="EN41" s="62">
        <v>12.426595890009473</v>
      </c>
      <c r="EO41" s="62">
        <v>12.426595890009473</v>
      </c>
      <c r="EP41" s="62">
        <v>12.426595890009473</v>
      </c>
      <c r="EQ41" s="62">
        <v>12.426595890009473</v>
      </c>
      <c r="ER41" s="62">
        <v>12.426595890009473</v>
      </c>
      <c r="ES41" s="510">
        <f>SUM(EN41:ER41)</f>
        <v>62.132979450047365</v>
      </c>
      <c r="ET41" s="1085">
        <f>EM41-ES41</f>
        <v>1243.487714149494</v>
      </c>
      <c r="EU41" s="1190">
        <v>132.28200000000001</v>
      </c>
      <c r="EV41" s="690">
        <v>118.051</v>
      </c>
      <c r="EW41" s="1190">
        <f>EU41/EV41</f>
        <v>1.1205495929725289</v>
      </c>
      <c r="EX41" s="538">
        <f>ET41/CK41</f>
        <v>40.112506908048189</v>
      </c>
      <c r="EY41" s="538">
        <f>EX41*EW41</f>
        <v>44.948053288921152</v>
      </c>
      <c r="EZ41" s="538">
        <v>44.948053288921152</v>
      </c>
      <c r="FA41" s="538">
        <v>44.948053288921152</v>
      </c>
      <c r="FB41" s="538">
        <v>44.948053288921152</v>
      </c>
      <c r="FC41" s="538">
        <v>44.948053288921152</v>
      </c>
      <c r="FD41" s="538">
        <v>44.948053288921152</v>
      </c>
      <c r="FE41" s="538">
        <v>44.948053288921152</v>
      </c>
      <c r="FF41" s="538">
        <v>44.948053288921152</v>
      </c>
      <c r="FG41" s="538">
        <v>44.948053288921152</v>
      </c>
      <c r="FH41" s="538">
        <v>44.948053288921152</v>
      </c>
      <c r="FI41" s="538">
        <v>44.948053288921152</v>
      </c>
      <c r="FJ41" s="538">
        <v>44.948053288921152</v>
      </c>
      <c r="FK41" s="538">
        <v>44.948053288921152</v>
      </c>
      <c r="FL41" s="538">
        <v>44.948053288921152</v>
      </c>
      <c r="FM41" s="538">
        <v>44.948053288921152</v>
      </c>
      <c r="FN41" s="538">
        <v>44.948053288921152</v>
      </c>
      <c r="FO41" s="538">
        <v>44.948053288921152</v>
      </c>
      <c r="FP41" s="538">
        <v>44.948053288921152</v>
      </c>
      <c r="FQ41" s="538">
        <v>44.948053288921152</v>
      </c>
      <c r="FR41" s="538">
        <f t="shared" si="6"/>
        <v>809.0649592005808</v>
      </c>
      <c r="FS41" s="1085">
        <f>ET41-FR41</f>
        <v>434.42275494891317</v>
      </c>
    </row>
    <row r="42" spans="1:175" s="16" customFormat="1" ht="15" x14ac:dyDescent="0.2">
      <c r="A42" s="26" t="s">
        <v>71</v>
      </c>
      <c r="B42" s="9"/>
      <c r="C42" s="100"/>
      <c r="D42" s="58"/>
      <c r="E42" s="25"/>
      <c r="F42" s="46"/>
      <c r="G42" s="58"/>
      <c r="H42" s="145"/>
      <c r="I42" s="48"/>
      <c r="J42" s="48"/>
      <c r="K42" s="48"/>
      <c r="L42" s="48"/>
      <c r="M42" s="48"/>
      <c r="N42" s="48"/>
      <c r="O42" s="48"/>
      <c r="P42" s="48"/>
      <c r="Q42" s="48"/>
      <c r="R42" s="46"/>
      <c r="S42" s="119"/>
      <c r="T42" s="134"/>
      <c r="U42" s="47"/>
      <c r="V42" s="106"/>
      <c r="W42" s="165"/>
      <c r="X42" s="57"/>
      <c r="Y42" s="80"/>
      <c r="Z42" s="57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72"/>
      <c r="AQ42" s="32"/>
      <c r="AR42" s="32"/>
      <c r="AS42" s="429"/>
      <c r="AT42" s="429"/>
      <c r="AU42" s="429"/>
      <c r="AV42" s="429"/>
      <c r="AW42" s="429"/>
      <c r="AX42" s="57"/>
      <c r="AY42" s="80"/>
      <c r="AZ42" s="57"/>
      <c r="BA42" s="55"/>
      <c r="BB42" s="55"/>
      <c r="BC42" s="429"/>
      <c r="BD42" s="429"/>
      <c r="BE42" s="429"/>
      <c r="BF42" s="429"/>
      <c r="BG42" s="32"/>
      <c r="BH42" s="32"/>
      <c r="BI42" s="32"/>
      <c r="BJ42" s="429"/>
      <c r="BK42" s="439"/>
      <c r="BL42" s="32"/>
      <c r="BM42" s="32"/>
      <c r="BN42" s="32"/>
      <c r="BO42" s="32"/>
      <c r="BP42" s="32"/>
      <c r="BQ42" s="57"/>
      <c r="BR42" s="80"/>
      <c r="BS42" s="57"/>
      <c r="BT42" s="55"/>
      <c r="BU42" s="55"/>
      <c r="BV42" s="429"/>
      <c r="BW42" s="429"/>
      <c r="BX42" s="429"/>
      <c r="BY42" s="429"/>
      <c r="BZ42" s="32"/>
      <c r="CA42" s="32"/>
      <c r="CB42" s="32"/>
      <c r="CC42" s="429"/>
      <c r="CD42" s="439"/>
      <c r="CE42" s="58"/>
      <c r="CF42" s="25"/>
      <c r="CG42" s="46"/>
      <c r="CH42" s="58"/>
      <c r="CI42" s="145"/>
      <c r="CJ42" s="48"/>
      <c r="CK42" s="48"/>
      <c r="CL42" s="48"/>
      <c r="CM42" s="48"/>
      <c r="CN42" s="48"/>
      <c r="CO42" s="48"/>
      <c r="CP42" s="48"/>
      <c r="CQ42" s="48"/>
      <c r="CR42" s="48"/>
      <c r="CS42" s="46"/>
      <c r="CT42" s="119"/>
      <c r="CU42" s="134"/>
      <c r="CV42" s="47"/>
      <c r="CW42" s="106"/>
      <c r="CX42" s="165"/>
      <c r="CY42" s="57"/>
      <c r="CZ42" s="80"/>
      <c r="DA42" s="57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72"/>
      <c r="DR42" s="32"/>
      <c r="DS42" s="32"/>
      <c r="DT42" s="429"/>
      <c r="DU42" s="429"/>
      <c r="DV42" s="429"/>
      <c r="DW42" s="429"/>
      <c r="DX42" s="429"/>
      <c r="DY42" s="725"/>
      <c r="DZ42" s="57"/>
      <c r="EA42" s="80"/>
      <c r="EB42" s="57"/>
      <c r="EC42" s="55"/>
      <c r="ED42" s="55"/>
      <c r="EE42" s="55"/>
      <c r="EF42" s="55"/>
      <c r="EG42" s="55"/>
      <c r="EH42" s="55"/>
      <c r="EI42" s="55"/>
      <c r="EJ42" s="55"/>
      <c r="EK42" s="55"/>
      <c r="EL42" s="429"/>
      <c r="EM42" s="439"/>
      <c r="EN42" s="55"/>
      <c r="EO42" s="55"/>
      <c r="EP42" s="55"/>
      <c r="EQ42" s="55"/>
      <c r="ER42" s="55"/>
      <c r="ES42" s="511"/>
      <c r="ET42" s="1085"/>
      <c r="EU42" s="519"/>
      <c r="EV42" s="515"/>
      <c r="EW42" s="514"/>
      <c r="EX42" s="516"/>
      <c r="EY42" s="516"/>
      <c r="EZ42" s="516"/>
      <c r="FA42" s="516"/>
      <c r="FB42" s="516"/>
      <c r="FC42" s="516"/>
      <c r="FD42" s="516"/>
      <c r="FE42" s="516"/>
      <c r="FF42" s="516"/>
      <c r="FG42" s="516"/>
      <c r="FH42" s="516"/>
      <c r="FI42" s="516"/>
      <c r="FJ42" s="516"/>
      <c r="FK42" s="516"/>
      <c r="FL42" s="516"/>
      <c r="FM42" s="516"/>
      <c r="FN42" s="516"/>
      <c r="FO42" s="516"/>
      <c r="FP42" s="516"/>
      <c r="FQ42" s="516"/>
      <c r="FR42" s="516">
        <f t="shared" si="6"/>
        <v>0</v>
      </c>
      <c r="FS42" s="1085"/>
    </row>
    <row r="43" spans="1:175" s="16" customFormat="1" ht="15" x14ac:dyDescent="0.2">
      <c r="A43" s="120" t="s">
        <v>1238</v>
      </c>
      <c r="B43" s="9"/>
      <c r="C43" s="100"/>
      <c r="D43" s="58"/>
      <c r="E43" s="25"/>
      <c r="F43" s="46"/>
      <c r="G43" s="58"/>
      <c r="H43" s="145"/>
      <c r="I43" s="48"/>
      <c r="J43" s="48"/>
      <c r="K43" s="48"/>
      <c r="L43" s="48"/>
      <c r="M43" s="48"/>
      <c r="N43" s="48"/>
      <c r="O43" s="48"/>
      <c r="P43" s="48"/>
      <c r="Q43" s="48"/>
      <c r="R43" s="46"/>
      <c r="S43" s="119"/>
      <c r="T43" s="134"/>
      <c r="U43" s="47"/>
      <c r="V43" s="106"/>
      <c r="W43" s="165"/>
      <c r="X43" s="57"/>
      <c r="Y43" s="80"/>
      <c r="Z43" s="57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72"/>
      <c r="AQ43" s="32"/>
      <c r="AR43" s="32"/>
      <c r="AS43" s="429"/>
      <c r="AT43" s="429"/>
      <c r="AU43" s="429"/>
      <c r="AV43" s="429"/>
      <c r="AW43" s="429"/>
      <c r="AX43" s="57"/>
      <c r="AY43" s="80"/>
      <c r="AZ43" s="57"/>
      <c r="BA43" s="55"/>
      <c r="BB43" s="55"/>
      <c r="BC43" s="429"/>
      <c r="BD43" s="429"/>
      <c r="BE43" s="429"/>
      <c r="BF43" s="429"/>
      <c r="BG43" s="32"/>
      <c r="BH43" s="32"/>
      <c r="BI43" s="32"/>
      <c r="BJ43" s="429"/>
      <c r="BK43" s="439"/>
      <c r="BL43" s="32"/>
      <c r="BM43" s="32"/>
      <c r="BN43" s="32"/>
      <c r="BO43" s="32"/>
      <c r="BP43" s="32"/>
      <c r="BQ43" s="57"/>
      <c r="BR43" s="80"/>
      <c r="BS43" s="57"/>
      <c r="BT43" s="55"/>
      <c r="BU43" s="55"/>
      <c r="BV43" s="429"/>
      <c r="BW43" s="429"/>
      <c r="BX43" s="429"/>
      <c r="BY43" s="429"/>
      <c r="BZ43" s="32"/>
      <c r="CA43" s="32"/>
      <c r="CB43" s="32"/>
      <c r="CC43" s="429"/>
      <c r="CD43" s="439"/>
      <c r="CE43" s="58"/>
      <c r="CF43" s="25"/>
      <c r="CG43" s="46"/>
      <c r="CH43" s="58"/>
      <c r="CI43" s="145"/>
      <c r="CJ43" s="48"/>
      <c r="CK43" s="48"/>
      <c r="CL43" s="48"/>
      <c r="CM43" s="48"/>
      <c r="CN43" s="48"/>
      <c r="CO43" s="48"/>
      <c r="CP43" s="48"/>
      <c r="CQ43" s="48"/>
      <c r="CR43" s="48"/>
      <c r="CS43" s="46"/>
      <c r="CT43" s="119"/>
      <c r="CU43" s="134"/>
      <c r="CV43" s="47"/>
      <c r="CW43" s="106"/>
      <c r="CX43" s="165"/>
      <c r="CY43" s="57"/>
      <c r="CZ43" s="80"/>
      <c r="DA43" s="57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72"/>
      <c r="DR43" s="32"/>
      <c r="DS43" s="32"/>
      <c r="DT43" s="429"/>
      <c r="DU43" s="429"/>
      <c r="DV43" s="429"/>
      <c r="DW43" s="429"/>
      <c r="DX43" s="429"/>
      <c r="DY43" s="725"/>
      <c r="DZ43" s="57"/>
      <c r="EA43" s="80"/>
      <c r="EB43" s="57"/>
      <c r="EC43" s="55"/>
      <c r="ED43" s="55"/>
      <c r="EE43" s="55"/>
      <c r="EF43" s="55"/>
      <c r="EG43" s="55"/>
      <c r="EH43" s="55"/>
      <c r="EI43" s="55"/>
      <c r="EJ43" s="55"/>
      <c r="EK43" s="55"/>
      <c r="EL43" s="429"/>
      <c r="EM43" s="439"/>
      <c r="EN43" s="55"/>
      <c r="EO43" s="55"/>
      <c r="EP43" s="55"/>
      <c r="EQ43" s="55"/>
      <c r="ER43" s="55"/>
      <c r="ES43" s="511"/>
      <c r="ET43" s="1085"/>
      <c r="EU43" s="519"/>
      <c r="EV43" s="515"/>
      <c r="EW43" s="514"/>
      <c r="EX43" s="516"/>
      <c r="EY43" s="516"/>
      <c r="EZ43" s="516"/>
      <c r="FA43" s="516"/>
      <c r="FB43" s="516"/>
      <c r="FC43" s="516"/>
      <c r="FD43" s="516"/>
      <c r="FE43" s="516"/>
      <c r="FF43" s="516"/>
      <c r="FG43" s="516"/>
      <c r="FH43" s="516"/>
      <c r="FI43" s="516"/>
      <c r="FJ43" s="516"/>
      <c r="FK43" s="516"/>
      <c r="FL43" s="516"/>
      <c r="FM43" s="516"/>
      <c r="FN43" s="516"/>
      <c r="FO43" s="516"/>
      <c r="FP43" s="516"/>
      <c r="FQ43" s="516"/>
      <c r="FR43" s="516">
        <f t="shared" si="6"/>
        <v>0</v>
      </c>
      <c r="FS43" s="1085"/>
    </row>
    <row r="44" spans="1:175" s="213" customFormat="1" ht="15" x14ac:dyDescent="0.2">
      <c r="A44" s="876" t="s">
        <v>1239</v>
      </c>
      <c r="B44" s="876" t="s">
        <v>1240</v>
      </c>
      <c r="C44" s="216" t="s">
        <v>316</v>
      </c>
      <c r="D44" s="935"/>
      <c r="E44" s="935"/>
      <c r="F44" s="801"/>
      <c r="G44" s="801"/>
      <c r="H44" s="801"/>
      <c r="I44" s="801"/>
      <c r="J44" s="801"/>
      <c r="K44" s="801"/>
      <c r="L44" s="801"/>
      <c r="M44" s="801"/>
      <c r="N44" s="801"/>
      <c r="O44" s="801"/>
      <c r="P44" s="801"/>
      <c r="Q44" s="801"/>
      <c r="R44" s="936"/>
      <c r="S44" s="936"/>
      <c r="T44" s="876"/>
      <c r="U44" s="876"/>
      <c r="V44" s="877"/>
      <c r="W44" s="801"/>
      <c r="X44" s="801"/>
      <c r="Y44" s="878"/>
      <c r="Z44" s="801"/>
      <c r="AA44" s="801"/>
      <c r="AB44" s="801"/>
      <c r="AC44" s="801"/>
      <c r="AD44" s="801"/>
      <c r="AE44" s="801"/>
      <c r="AF44" s="801"/>
      <c r="AG44" s="801"/>
      <c r="AH44" s="801"/>
      <c r="AI44" s="801"/>
      <c r="AJ44" s="801"/>
      <c r="AK44" s="801"/>
      <c r="AL44" s="801"/>
      <c r="AM44" s="801"/>
      <c r="AN44" s="801"/>
      <c r="AO44" s="801"/>
      <c r="AP44" s="879"/>
      <c r="AQ44" s="801"/>
      <c r="AR44" s="801"/>
      <c r="AS44" s="801"/>
      <c r="AT44" s="801"/>
      <c r="AU44" s="801"/>
      <c r="AV44" s="801"/>
      <c r="AW44" s="801"/>
      <c r="AX44" s="801"/>
      <c r="AY44" s="878"/>
      <c r="AZ44" s="801"/>
      <c r="BA44" s="801"/>
      <c r="BB44" s="801"/>
      <c r="BC44" s="801"/>
      <c r="BD44" s="801"/>
      <c r="BE44" s="801"/>
      <c r="BF44" s="801"/>
      <c r="BG44" s="801"/>
      <c r="BH44" s="801"/>
      <c r="BI44" s="801"/>
      <c r="BJ44" s="801"/>
      <c r="BK44" s="801"/>
      <c r="BL44" s="801"/>
      <c r="BM44" s="801"/>
      <c r="BN44" s="801"/>
      <c r="BO44" s="801"/>
      <c r="BP44" s="801"/>
      <c r="BQ44" s="801"/>
      <c r="BR44" s="878"/>
      <c r="BS44" s="801"/>
      <c r="BT44" s="801"/>
      <c r="BU44" s="801"/>
      <c r="BV44" s="801"/>
      <c r="BW44" s="801"/>
      <c r="BX44" s="801"/>
      <c r="BY44" s="801"/>
      <c r="BZ44" s="801"/>
      <c r="CA44" s="801"/>
      <c r="CB44" s="801"/>
      <c r="CC44" s="801"/>
      <c r="CD44" s="801"/>
      <c r="CE44" s="217">
        <v>10</v>
      </c>
      <c r="CF44" s="827">
        <v>0.1</v>
      </c>
      <c r="CG44" s="46">
        <v>43281</v>
      </c>
      <c r="CH44" s="217">
        <v>120</v>
      </c>
      <c r="CI44" s="221">
        <f>100/CH44</f>
        <v>0.83333333333333337</v>
      </c>
      <c r="CJ44" s="222">
        <f>CI44*CK44</f>
        <v>5</v>
      </c>
      <c r="CK44" s="48">
        <f>(YEAR(CG44)-YEAR(CT44))*12+MONTH(CG44)-MONTH(CT44)</f>
        <v>6</v>
      </c>
      <c r="CL44" s="222">
        <f>CM44*CI44</f>
        <v>95</v>
      </c>
      <c r="CM44" s="48">
        <f>CH44-CK44</f>
        <v>114</v>
      </c>
      <c r="CN44" s="222">
        <f>CO44*CI44</f>
        <v>0</v>
      </c>
      <c r="CO44" s="801"/>
      <c r="CP44" s="801"/>
      <c r="CQ44" s="801"/>
      <c r="CR44" s="936">
        <v>46735</v>
      </c>
      <c r="CS44" s="937" t="s">
        <v>1248</v>
      </c>
      <c r="CT44" s="936">
        <v>43083</v>
      </c>
      <c r="CU44" s="938">
        <v>20880</v>
      </c>
      <c r="CV44" s="876"/>
      <c r="CW44" s="877"/>
      <c r="CX44" s="801"/>
      <c r="CY44" s="801"/>
      <c r="CZ44" s="878"/>
      <c r="DA44" s="801"/>
      <c r="DB44" s="801"/>
      <c r="DC44" s="801"/>
      <c r="DD44" s="801"/>
      <c r="DE44" s="801"/>
      <c r="DF44" s="801"/>
      <c r="DG44" s="801"/>
      <c r="DH44" s="801"/>
      <c r="DI44" s="801"/>
      <c r="DJ44" s="801"/>
      <c r="DK44" s="801"/>
      <c r="DL44" s="801"/>
      <c r="DM44" s="801"/>
      <c r="DN44" s="801"/>
      <c r="DO44" s="801"/>
      <c r="DP44" s="801"/>
      <c r="DQ44" s="879"/>
      <c r="DR44" s="801"/>
      <c r="DS44" s="801"/>
      <c r="DT44" s="801"/>
      <c r="DU44" s="801"/>
      <c r="DV44" s="801"/>
      <c r="DW44" s="801"/>
      <c r="DX44" s="801"/>
      <c r="DY44" s="938">
        <v>20880</v>
      </c>
      <c r="DZ44" s="225">
        <v>126.408</v>
      </c>
      <c r="EA44" s="878">
        <v>130.81299999999999</v>
      </c>
      <c r="EB44" s="225">
        <f>DZ44/EA44</f>
        <v>0.96632597677600862</v>
      </c>
      <c r="EC44" s="227">
        <f>DY44/CM44</f>
        <v>183.15789473684211</v>
      </c>
      <c r="ED44" s="227">
        <f>EC44*EB44</f>
        <v>176.99023153581632</v>
      </c>
      <c r="EE44" s="801"/>
      <c r="EF44" s="801"/>
      <c r="EG44" s="801"/>
      <c r="EH44" s="801"/>
      <c r="EI44" s="801"/>
      <c r="EJ44" s="801"/>
      <c r="EK44" s="801">
        <v>0</v>
      </c>
      <c r="EL44" s="802">
        <f>SUM(EE44:EK44)</f>
        <v>0</v>
      </c>
      <c r="EM44" s="803">
        <f>DY44-EL44</f>
        <v>20880</v>
      </c>
      <c r="EN44" s="801">
        <v>168.14</v>
      </c>
      <c r="EO44" s="801">
        <v>168.14</v>
      </c>
      <c r="EP44" s="801">
        <v>168.14</v>
      </c>
      <c r="EQ44" s="801">
        <v>168.14</v>
      </c>
      <c r="ER44" s="801">
        <v>168.14</v>
      </c>
      <c r="ES44" s="511">
        <f>SUM(EN44:ER44)</f>
        <v>840.69999999999993</v>
      </c>
      <c r="ET44" s="1085">
        <f>EM44-ES44</f>
        <v>20039.3</v>
      </c>
      <c r="EU44" s="514">
        <v>132.28200000000001</v>
      </c>
      <c r="EV44" s="1132">
        <v>130.81299999999999</v>
      </c>
      <c r="EW44" s="514">
        <f>EU44/EV44</f>
        <v>1.0112297707414402</v>
      </c>
      <c r="EX44" s="516">
        <f>ET44/CK44</f>
        <v>3339.8833333333332</v>
      </c>
      <c r="EY44" s="516">
        <f>EX44*EW44</f>
        <v>3377.3894574698234</v>
      </c>
      <c r="EZ44" s="516">
        <v>3377.3894574698234</v>
      </c>
      <c r="FA44" s="516">
        <v>3377.3894574698234</v>
      </c>
      <c r="FB44" s="516">
        <v>3377.3894574698234</v>
      </c>
      <c r="FC44" s="516">
        <v>3377.3894574698234</v>
      </c>
      <c r="FD44" s="516">
        <v>3377.3894574698234</v>
      </c>
      <c r="FE44" s="516">
        <v>3151.35</v>
      </c>
      <c r="FF44" s="516">
        <v>0</v>
      </c>
      <c r="FG44" s="516">
        <v>0</v>
      </c>
      <c r="FH44" s="516">
        <v>0</v>
      </c>
      <c r="FI44" s="516">
        <v>0</v>
      </c>
      <c r="FJ44" s="516">
        <v>0</v>
      </c>
      <c r="FK44" s="516">
        <v>0</v>
      </c>
      <c r="FL44" s="516">
        <v>0</v>
      </c>
      <c r="FM44" s="516">
        <v>0</v>
      </c>
      <c r="FN44" s="516">
        <v>0</v>
      </c>
      <c r="FO44" s="516">
        <v>0</v>
      </c>
      <c r="FP44" s="516">
        <v>0</v>
      </c>
      <c r="FQ44" s="516">
        <v>0</v>
      </c>
      <c r="FR44" s="516">
        <f t="shared" si="6"/>
        <v>20038.297287349116</v>
      </c>
      <c r="FS44" s="1085">
        <f>ET44-FR44</f>
        <v>1.0027126508830406</v>
      </c>
    </row>
    <row r="45" spans="1:175" ht="15" x14ac:dyDescent="0.2">
      <c r="R45" s="175"/>
      <c r="V45" s="195"/>
      <c r="AB45" s="195"/>
      <c r="AH45" s="195">
        <f>SUM(AH15:AH35)</f>
        <v>650.93000000000006</v>
      </c>
      <c r="AI45" s="195"/>
      <c r="AJ45" s="195"/>
      <c r="AK45" s="195"/>
      <c r="AL45" s="195"/>
      <c r="AM45" s="195"/>
      <c r="AN45" s="288">
        <f>SUM(AN15:AN43)</f>
        <v>676.34644091677887</v>
      </c>
      <c r="AO45" s="288">
        <f>SUM(AO15:AO43)</f>
        <v>4581.926440916779</v>
      </c>
      <c r="AP45" s="288">
        <f>SUM(AP15:AP43)</f>
        <v>29364.983559083226</v>
      </c>
      <c r="AS45" s="455">
        <f>SUM(AS14:AS43)</f>
        <v>523.54644091677892</v>
      </c>
      <c r="AT45" s="455">
        <f>SUM(AT14:AT43)</f>
        <v>407.64644091677889</v>
      </c>
      <c r="AU45" s="455">
        <f>SUM(AU14:AU43)</f>
        <v>407.64644091677889</v>
      </c>
      <c r="AV45" s="455">
        <f>SUM(AV14:AV43)</f>
        <v>407.64644091677889</v>
      </c>
      <c r="AW45" s="455">
        <f>SUM(AW14:AW43)</f>
        <v>407.64644091677889</v>
      </c>
      <c r="BB45" s="455">
        <f t="shared" ref="BB45:BJ45" si="11">SUM(BB14:BB43)</f>
        <v>649.23456399401789</v>
      </c>
      <c r="BC45" s="455">
        <f t="shared" si="11"/>
        <v>426.77566206870733</v>
      </c>
      <c r="BD45" s="455">
        <f t="shared" si="11"/>
        <v>426.77566206870733</v>
      </c>
      <c r="BE45" s="455">
        <f t="shared" si="11"/>
        <v>426.77566206870733</v>
      </c>
      <c r="BF45" s="455">
        <f t="shared" si="11"/>
        <v>426.77566206870733</v>
      </c>
      <c r="BG45" s="455">
        <f t="shared" si="11"/>
        <v>613.1126269191135</v>
      </c>
      <c r="BH45" s="455">
        <f t="shared" si="11"/>
        <v>613.1126269191135</v>
      </c>
      <c r="BI45" s="455">
        <f t="shared" si="11"/>
        <v>593.67262691911355</v>
      </c>
      <c r="BJ45" s="455">
        <f t="shared" si="11"/>
        <v>5681.1327336160648</v>
      </c>
      <c r="BK45" s="458">
        <f>SUM(BK13:BK43)</f>
        <v>23683.850825467154</v>
      </c>
      <c r="BL45" s="455">
        <f>SUM(BL14:BL43)</f>
        <v>414.32998044865428</v>
      </c>
      <c r="BM45" s="455">
        <f>SUM(BM14:BM43)</f>
        <v>412.76998044865422</v>
      </c>
      <c r="BN45" s="455">
        <f>SUM(BN14:BN43)</f>
        <v>412.76998044865422</v>
      </c>
      <c r="BO45" s="455">
        <f>SUM(BO14:BO43)</f>
        <v>412.76998044865422</v>
      </c>
      <c r="BP45" s="455">
        <f>SUM(BP14:BP43)</f>
        <v>412.76998044865422</v>
      </c>
      <c r="BU45" s="195"/>
      <c r="BV45" s="512">
        <f t="shared" ref="BV45:CC45" si="12">SUM(BV14:BV43)</f>
        <v>0</v>
      </c>
      <c r="BW45" s="512">
        <f t="shared" si="12"/>
        <v>0</v>
      </c>
      <c r="BX45" s="512">
        <f t="shared" si="12"/>
        <v>0</v>
      </c>
      <c r="BY45" s="512">
        <f t="shared" si="12"/>
        <v>0</v>
      </c>
      <c r="BZ45" s="512">
        <f t="shared" si="12"/>
        <v>0</v>
      </c>
      <c r="CA45" s="512">
        <f t="shared" si="12"/>
        <v>0</v>
      </c>
      <c r="CB45" s="455">
        <f t="shared" si="12"/>
        <v>0</v>
      </c>
      <c r="CC45" s="455">
        <f t="shared" si="12"/>
        <v>2065.4099022432711</v>
      </c>
      <c r="CD45" s="458">
        <f>SUM(CD13:CD43)</f>
        <v>21618.440923223883</v>
      </c>
      <c r="CS45" s="175"/>
      <c r="CW45" s="195"/>
      <c r="DC45" s="195"/>
      <c r="DI45" s="195">
        <f>SUM(DI15:DI35)</f>
        <v>650.93000000000006</v>
      </c>
      <c r="DJ45" s="195"/>
      <c r="DK45" s="195"/>
      <c r="DL45" s="195"/>
      <c r="DM45" s="195"/>
      <c r="DN45" s="195"/>
      <c r="DO45" s="288">
        <f>SUM(DO15:DO43)</f>
        <v>676.34644091677887</v>
      </c>
      <c r="DP45" s="288">
        <f>SUM(DP15:DP43)</f>
        <v>4581.926440916779</v>
      </c>
      <c r="DQ45" s="288">
        <f>SUM(DQ15:DQ43)</f>
        <v>29364.983559083226</v>
      </c>
      <c r="DT45" s="455">
        <f t="shared" ref="DT45:DY45" si="13">SUM(DT14:DT43)</f>
        <v>523.54644091677892</v>
      </c>
      <c r="DU45" s="455">
        <f t="shared" si="13"/>
        <v>407.64644091677889</v>
      </c>
      <c r="DV45" s="455">
        <f t="shared" si="13"/>
        <v>407.64644091677889</v>
      </c>
      <c r="DW45" s="455">
        <f t="shared" si="13"/>
        <v>407.64644091677889</v>
      </c>
      <c r="DX45" s="455">
        <f t="shared" si="13"/>
        <v>407.64644091677889</v>
      </c>
      <c r="DY45" s="609">
        <f t="shared" si="13"/>
        <v>21618.440923223883</v>
      </c>
      <c r="DZ45" s="609"/>
      <c r="EA45" s="609"/>
      <c r="EB45" s="609"/>
      <c r="EC45" s="455"/>
      <c r="ED45" s="455">
        <f>SUM(ED14:ED43)</f>
        <v>646.67283324959703</v>
      </c>
      <c r="EE45" s="455">
        <f>SUM(EE14:EE43)</f>
        <v>397.48323452935415</v>
      </c>
      <c r="EF45" s="455">
        <f>SUM(EF14:EF43)</f>
        <v>397.48323452935415</v>
      </c>
      <c r="EG45" s="455">
        <f>SUM(EG14:EG43)</f>
        <v>397.48323452935415</v>
      </c>
      <c r="EH45" s="455">
        <f>SUM(EH13:EH43)</f>
        <v>397.48323452935415</v>
      </c>
      <c r="EI45" s="455">
        <f>SUM(EI13:EI43)</f>
        <v>397.48323452935415</v>
      </c>
      <c r="EJ45" s="929">
        <f>SUM(EJ14:EJ43)</f>
        <v>397.48323452935415</v>
      </c>
      <c r="EK45" s="455">
        <f>SUM(EK14:EK43)</f>
        <v>396.29306293305035</v>
      </c>
      <c r="EL45" s="455">
        <f>SUM(EL14:EL43)</f>
        <v>2781.1924701091748</v>
      </c>
      <c r="EM45" s="458">
        <f t="shared" ref="EM45:ES45" si="14">SUM(EM13:EM43)</f>
        <v>18837.248453114709</v>
      </c>
      <c r="EN45" s="988">
        <f t="shared" si="14"/>
        <v>384.05306293305023</v>
      </c>
      <c r="EO45" s="988">
        <f t="shared" si="14"/>
        <v>384.05306293305023</v>
      </c>
      <c r="EP45" s="929">
        <f t="shared" si="14"/>
        <v>384.05306293305023</v>
      </c>
      <c r="EQ45" s="929">
        <f t="shared" si="14"/>
        <v>384.05306293305023</v>
      </c>
      <c r="ER45" s="929">
        <f t="shared" si="14"/>
        <v>384.05306293305023</v>
      </c>
      <c r="ES45" s="1130">
        <f t="shared" si="14"/>
        <v>1920.2653146652513</v>
      </c>
      <c r="ET45" s="1128">
        <f>SUM(ET13:ET44)</f>
        <v>36956.283138449457</v>
      </c>
      <c r="EU45" s="1127"/>
      <c r="EV45" s="1133"/>
      <c r="EW45" s="1127"/>
      <c r="EX45" s="1024"/>
      <c r="EY45" s="1024">
        <f>SUM(EY13:EY44)</f>
        <v>3966.6520794267881</v>
      </c>
      <c r="EZ45" s="1024">
        <f t="shared" ref="EZ45:FR45" si="15">SUM(EZ13:EZ44)</f>
        <v>3966.6520794267881</v>
      </c>
      <c r="FA45" s="1024">
        <f t="shared" si="15"/>
        <v>3966.6520794267881</v>
      </c>
      <c r="FB45" s="1024">
        <f t="shared" si="15"/>
        <v>3966.6520794267881</v>
      </c>
      <c r="FC45" s="1024">
        <f t="shared" si="15"/>
        <v>3966.6520794267881</v>
      </c>
      <c r="FD45" s="1024">
        <f t="shared" si="15"/>
        <v>3966.6520794267881</v>
      </c>
      <c r="FE45" s="1024">
        <f t="shared" si="15"/>
        <v>3740.6126219569646</v>
      </c>
      <c r="FF45" s="1024">
        <f t="shared" si="15"/>
        <v>589.26262195696484</v>
      </c>
      <c r="FG45" s="1024">
        <f t="shared" ref="FG45:FH45" si="16">SUM(FG13:FG44)</f>
        <v>589.26262195696484</v>
      </c>
      <c r="FH45" s="1024">
        <f t="shared" si="16"/>
        <v>589.26262195696484</v>
      </c>
      <c r="FI45" s="1024">
        <f t="shared" ref="FI45:FJ45" si="17">SUM(FI13:FI44)</f>
        <v>589.26262195696484</v>
      </c>
      <c r="FJ45" s="1024">
        <f t="shared" si="17"/>
        <v>589.26262195696484</v>
      </c>
      <c r="FK45" s="1024">
        <f t="shared" ref="FK45:FQ45" si="18">SUM(FK13:FK44)</f>
        <v>589.26262195696484</v>
      </c>
      <c r="FL45" s="1024">
        <f t="shared" ref="FL45:FP45" si="19">SUM(FL13:FL44)</f>
        <v>589.26262195696484</v>
      </c>
      <c r="FM45" s="1024">
        <f t="shared" si="19"/>
        <v>589.26262195696484</v>
      </c>
      <c r="FN45" s="1024">
        <f t="shared" si="19"/>
        <v>589.26262195696484</v>
      </c>
      <c r="FO45" s="1024">
        <f t="shared" si="19"/>
        <v>589.26262195696484</v>
      </c>
      <c r="FP45" s="1024">
        <f t="shared" si="19"/>
        <v>589.26262195696484</v>
      </c>
      <c r="FQ45" s="1024">
        <f t="shared" si="18"/>
        <v>589.26262195696484</v>
      </c>
      <c r="FR45" s="1024">
        <f t="shared" si="15"/>
        <v>30645.024482574481</v>
      </c>
      <c r="FS45" s="1128"/>
    </row>
    <row r="46" spans="1:175" s="104" customFormat="1" ht="15" x14ac:dyDescent="0.2">
      <c r="A46" s="110" t="s">
        <v>315</v>
      </c>
      <c r="B46" s="87"/>
      <c r="C46" s="87"/>
      <c r="D46" s="88"/>
      <c r="E46" s="88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9"/>
      <c r="S46" s="89"/>
      <c r="T46" s="90"/>
      <c r="U46" s="90"/>
      <c r="W46"/>
      <c r="X46"/>
      <c r="Y46" s="77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 s="69"/>
      <c r="AQ46" s="103"/>
      <c r="AR46" s="103"/>
      <c r="AS46" s="103"/>
      <c r="AT46" s="103"/>
      <c r="AX46"/>
      <c r="AY46" s="77"/>
      <c r="AZ46"/>
      <c r="BA46"/>
      <c r="BB46"/>
      <c r="BK46" s="104">
        <f>BK45-BL45-BM45</f>
        <v>22856.750864569844</v>
      </c>
      <c r="BL46" s="103"/>
      <c r="BM46" s="103"/>
      <c r="BQ46"/>
      <c r="BR46" s="77"/>
      <c r="BS46"/>
      <c r="BT46"/>
      <c r="BU46"/>
      <c r="CE46" s="88"/>
      <c r="CF46" s="88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9"/>
      <c r="CT46" s="89"/>
      <c r="CU46" s="90"/>
      <c r="CV46" s="90"/>
      <c r="CX46"/>
      <c r="CY46"/>
      <c r="CZ46" s="77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 s="69"/>
      <c r="DR46" s="103"/>
      <c r="DS46" s="103"/>
      <c r="DT46" s="103"/>
      <c r="DU46" s="103"/>
      <c r="DZ46"/>
      <c r="EA46" s="77"/>
      <c r="EB46"/>
      <c r="EC46"/>
      <c r="ED46"/>
      <c r="EM46" s="104">
        <f>DY45-EL45</f>
        <v>18837.248453114709</v>
      </c>
      <c r="EN46" s="479"/>
      <c r="EO46" s="958"/>
      <c r="EP46" s="958"/>
      <c r="EQ46" s="958"/>
      <c r="ER46" s="958"/>
      <c r="ES46" s="958"/>
      <c r="ET46" s="1128"/>
      <c r="EU46" s="1127"/>
      <c r="EV46" s="1133"/>
      <c r="EW46" s="1127"/>
      <c r="EX46" s="1024"/>
      <c r="EY46" s="1024"/>
      <c r="EZ46" s="1024"/>
      <c r="FA46" s="1024"/>
      <c r="FB46" s="1024"/>
      <c r="FC46" s="1024"/>
      <c r="FD46" s="1024"/>
      <c r="FE46" s="1024"/>
      <c r="FF46" s="1024"/>
      <c r="FG46" s="1024"/>
      <c r="FH46" s="1024"/>
      <c r="FI46" s="1024"/>
      <c r="FJ46" s="1024"/>
      <c r="FK46" s="1024"/>
      <c r="FL46" s="1024"/>
      <c r="FM46" s="1024"/>
      <c r="FN46" s="1024"/>
      <c r="FO46" s="1024"/>
      <c r="FP46" s="1024"/>
      <c r="FQ46" s="1024"/>
      <c r="FR46" s="1024"/>
      <c r="FS46" s="1128">
        <f>SUM(FS13:FS45)</f>
        <v>6311.2586558749763</v>
      </c>
    </row>
    <row r="47" spans="1:175" s="104" customFormat="1" ht="15" x14ac:dyDescent="0.2">
      <c r="A47" s="10"/>
      <c r="B47"/>
      <c r="C47"/>
      <c r="D47" s="18"/>
      <c r="E47" s="18"/>
      <c r="F47"/>
      <c r="G47"/>
      <c r="H47"/>
      <c r="I47"/>
      <c r="J47"/>
      <c r="K47"/>
      <c r="L47"/>
      <c r="M47"/>
      <c r="N47"/>
      <c r="O47"/>
      <c r="P47"/>
      <c r="Q47"/>
      <c r="R47" s="19"/>
      <c r="S47" s="19"/>
      <c r="T47" s="12"/>
      <c r="U47" s="12"/>
      <c r="W47"/>
      <c r="X47"/>
      <c r="Y47" s="7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 s="69"/>
      <c r="AQ47" s="103"/>
      <c r="AR47" s="103"/>
      <c r="AS47" s="103"/>
      <c r="AT47" s="103"/>
      <c r="AX47"/>
      <c r="AY47" s="77"/>
      <c r="AZ47"/>
      <c r="BA47"/>
      <c r="BB47"/>
      <c r="BL47" s="103"/>
      <c r="BM47" s="103"/>
      <c r="BQ47"/>
      <c r="BR47" s="77"/>
      <c r="BS47"/>
      <c r="BT47"/>
      <c r="BU47"/>
      <c r="CE47" s="18"/>
      <c r="CF47" s="18"/>
      <c r="CG47"/>
      <c r="CH47"/>
      <c r="CI47"/>
      <c r="CJ47"/>
      <c r="CK47"/>
      <c r="CL47"/>
      <c r="CM47"/>
      <c r="CN47"/>
      <c r="CO47"/>
      <c r="CP47"/>
      <c r="CQ47"/>
      <c r="CR47"/>
      <c r="CS47" s="19"/>
      <c r="CT47" s="19"/>
      <c r="CU47" s="12"/>
      <c r="CV47" s="12"/>
      <c r="CX47"/>
      <c r="CY47"/>
      <c r="CZ47" s="7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 s="69"/>
      <c r="DR47" s="103"/>
      <c r="DS47" s="103"/>
      <c r="DT47" s="103"/>
      <c r="DU47" s="103"/>
      <c r="DZ47"/>
      <c r="EA47" s="77"/>
      <c r="EB47"/>
      <c r="EC47"/>
      <c r="ED47"/>
      <c r="EN47" s="479"/>
      <c r="EO47" s="958"/>
      <c r="EP47" s="958"/>
      <c r="EQ47" s="958"/>
      <c r="ER47" s="958"/>
      <c r="ES47" s="958"/>
      <c r="ET47" s="1128"/>
      <c r="EU47" s="1127"/>
      <c r="EV47" s="1133"/>
      <c r="EW47" s="1127"/>
      <c r="EX47" s="1024"/>
      <c r="EY47" s="1024"/>
      <c r="EZ47" s="1024"/>
      <c r="FA47" s="1024"/>
      <c r="FB47" s="1024"/>
      <c r="FC47" s="1024"/>
      <c r="FD47" s="1024"/>
      <c r="FE47" s="1024"/>
      <c r="FF47" s="1024"/>
      <c r="FG47" s="1024"/>
      <c r="FH47" s="1024"/>
      <c r="FI47" s="1024"/>
      <c r="FJ47" s="1024"/>
      <c r="FK47" s="1024"/>
      <c r="FL47" s="1024"/>
      <c r="FM47" s="1024"/>
      <c r="FN47" s="1024"/>
      <c r="FO47" s="1024"/>
      <c r="FP47" s="1024"/>
      <c r="FQ47" s="1024"/>
      <c r="FR47" s="1024"/>
      <c r="FS47" s="1128">
        <f>ET45-FR45</f>
        <v>6311.2586558749754</v>
      </c>
    </row>
    <row r="48" spans="1:175" ht="30.75" hidden="1" customHeight="1" x14ac:dyDescent="0.2">
      <c r="A48" s="1271" t="s">
        <v>462</v>
      </c>
      <c r="B48" s="1271"/>
      <c r="C48" s="1271"/>
      <c r="D48" s="1271"/>
      <c r="E48" s="1271"/>
      <c r="F48" s="1271"/>
      <c r="G48" s="1271"/>
      <c r="H48" s="1271"/>
      <c r="I48" s="1271"/>
      <c r="J48" s="1271"/>
      <c r="K48" s="1271"/>
      <c r="L48" s="1271"/>
      <c r="M48" s="1271"/>
      <c r="N48" s="1271"/>
      <c r="O48" s="1271"/>
      <c r="P48" s="1271"/>
      <c r="Q48" s="1271"/>
      <c r="R48" s="1271"/>
      <c r="S48" s="1271"/>
      <c r="T48" s="1271"/>
      <c r="U48" s="1271"/>
      <c r="V48" s="1271"/>
      <c r="W48" s="1271"/>
      <c r="X48" s="1271"/>
      <c r="Y48" s="171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Y48" s="171"/>
      <c r="AZ48" s="170"/>
      <c r="BA48" s="170"/>
      <c r="BB48" s="170"/>
      <c r="BR48" s="171"/>
      <c r="BS48" s="170"/>
      <c r="BT48" s="170"/>
      <c r="BU48" s="170"/>
      <c r="CE48"/>
      <c r="CF48"/>
      <c r="CS48"/>
      <c r="CT48"/>
      <c r="CU48"/>
      <c r="CV48"/>
      <c r="CW48"/>
      <c r="CZ48" s="171"/>
      <c r="DA48" s="170"/>
      <c r="DB48" s="170"/>
      <c r="DC48" s="170"/>
      <c r="DD48" s="170"/>
      <c r="DE48" s="170"/>
      <c r="DF48" s="170"/>
      <c r="DG48" s="170"/>
      <c r="DH48" s="170"/>
      <c r="DI48" s="170"/>
      <c r="DJ48" s="170"/>
      <c r="DK48" s="170"/>
      <c r="DL48" s="170"/>
      <c r="DM48" s="170"/>
      <c r="DN48" s="170"/>
      <c r="DO48" s="170"/>
      <c r="DP48" s="170"/>
      <c r="DQ48" s="170"/>
      <c r="EA48" s="171"/>
      <c r="EB48" s="170"/>
      <c r="EC48" s="170"/>
      <c r="ED48" s="170"/>
      <c r="EN48" s="479"/>
      <c r="EO48" s="958"/>
      <c r="EP48" s="958"/>
      <c r="EQ48" s="958"/>
      <c r="ER48" s="958"/>
      <c r="ES48" s="958"/>
      <c r="ET48" s="961"/>
      <c r="EU48" s="959"/>
      <c r="EV48" s="963"/>
      <c r="EW48" s="959"/>
      <c r="EX48" s="958"/>
      <c r="EY48" s="958"/>
      <c r="EZ48" s="958"/>
      <c r="FA48" s="958"/>
      <c r="FB48" s="958"/>
      <c r="FC48" s="958"/>
      <c r="FD48" s="958"/>
      <c r="FE48" s="958"/>
      <c r="FF48" s="958"/>
      <c r="FG48" s="958"/>
      <c r="FH48" s="958"/>
      <c r="FI48" s="958"/>
      <c r="FJ48" s="958"/>
      <c r="FK48" s="958"/>
      <c r="FL48" s="958"/>
      <c r="FM48" s="958"/>
      <c r="FN48" s="958"/>
      <c r="FO48" s="958"/>
      <c r="FP48" s="958"/>
      <c r="FQ48" s="958"/>
      <c r="FR48" s="958"/>
      <c r="FS48" s="962"/>
    </row>
    <row r="49" spans="1:175" hidden="1" x14ac:dyDescent="0.2">
      <c r="A49" s="1271"/>
      <c r="B49" s="1271"/>
      <c r="C49" s="1271"/>
      <c r="D49" s="1271"/>
      <c r="E49" s="1271"/>
      <c r="F49" s="1271"/>
      <c r="G49" s="1271"/>
      <c r="H49" s="1271"/>
      <c r="I49" s="1271"/>
      <c r="J49" s="1271"/>
      <c r="K49" s="1271"/>
      <c r="L49" s="1271"/>
      <c r="M49" s="1271"/>
      <c r="N49" s="1271"/>
      <c r="O49" s="1271"/>
      <c r="P49" s="1271"/>
      <c r="Q49" s="1271"/>
      <c r="R49" s="1271"/>
      <c r="S49" s="1271"/>
      <c r="T49" s="1271"/>
      <c r="U49" s="1271"/>
      <c r="V49" s="1271"/>
      <c r="W49" s="1271"/>
      <c r="X49" s="1271"/>
      <c r="CE49"/>
      <c r="CF49"/>
      <c r="CS49"/>
      <c r="CT49"/>
      <c r="CU49"/>
      <c r="CV49"/>
      <c r="CW49"/>
      <c r="EN49" s="479"/>
      <c r="EO49" s="958"/>
      <c r="EP49" s="958"/>
      <c r="EQ49" s="958"/>
      <c r="ER49" s="958"/>
      <c r="ES49" s="958"/>
      <c r="ET49" s="961"/>
      <c r="EU49" s="983"/>
      <c r="EV49" s="964"/>
      <c r="EW49" s="959"/>
      <c r="EX49" s="958"/>
      <c r="EY49" s="958"/>
      <c r="EZ49" s="958"/>
      <c r="FA49" s="958"/>
      <c r="FB49" s="958"/>
      <c r="FC49" s="958"/>
      <c r="FD49" s="958"/>
      <c r="FE49" s="958"/>
      <c r="FF49" s="958"/>
      <c r="FG49" s="958"/>
      <c r="FH49" s="958"/>
      <c r="FI49" s="958"/>
      <c r="FJ49" s="958"/>
      <c r="FK49" s="958"/>
      <c r="FL49" s="958"/>
      <c r="FM49" s="958"/>
      <c r="FN49" s="958"/>
      <c r="FO49" s="958"/>
      <c r="FP49" s="958"/>
      <c r="FQ49" s="958"/>
      <c r="FR49" s="958"/>
      <c r="FS49" s="962"/>
    </row>
    <row r="50" spans="1:175" x14ac:dyDescent="0.2">
      <c r="EN50" s="479"/>
      <c r="EO50" s="958"/>
      <c r="EP50" s="958"/>
      <c r="EQ50" s="958"/>
      <c r="ER50" s="958"/>
      <c r="ES50" s="958"/>
      <c r="ET50" s="961"/>
      <c r="EU50" s="959"/>
      <c r="EV50" s="963"/>
      <c r="EW50" s="959"/>
      <c r="EX50" s="958"/>
      <c r="EY50" s="958"/>
      <c r="EZ50" s="958"/>
      <c r="FA50" s="958"/>
      <c r="FB50" s="958"/>
      <c r="FC50" s="958"/>
      <c r="FD50" s="958"/>
      <c r="FE50" s="958"/>
      <c r="FF50" s="958"/>
      <c r="FG50" s="958"/>
      <c r="FH50" s="958"/>
      <c r="FI50" s="958"/>
      <c r="FJ50" s="958"/>
      <c r="FK50" s="958"/>
      <c r="FL50" s="958"/>
      <c r="FM50" s="958"/>
      <c r="FN50" s="958"/>
      <c r="FO50" s="958"/>
      <c r="FP50" s="958"/>
      <c r="FQ50" s="958"/>
      <c r="FR50" s="958"/>
    </row>
    <row r="51" spans="1:175" x14ac:dyDescent="0.2">
      <c r="V51" s="1266"/>
      <c r="W51" s="1270"/>
      <c r="X51" s="1270"/>
      <c r="Y51" s="1270"/>
      <c r="Z51" s="1270"/>
      <c r="AA51" s="12"/>
      <c r="AN51" s="398">
        <f>SUM(AN45-AN41-AN25-AN24)</f>
        <v>650.92999999999995</v>
      </c>
      <c r="AO51" s="291"/>
      <c r="AY51"/>
      <c r="BA51" s="12"/>
      <c r="BR51"/>
      <c r="BT51" s="12"/>
      <c r="CW51" s="1266"/>
      <c r="CX51" s="1270"/>
      <c r="CY51" s="1270"/>
      <c r="CZ51" s="1270"/>
      <c r="DA51" s="1270"/>
      <c r="DB51" s="12"/>
      <c r="DO51" s="398">
        <f>SUM(DO45-DO41-DO25-DO24)</f>
        <v>650.92999999999995</v>
      </c>
      <c r="DP51" s="291"/>
      <c r="EA51"/>
      <c r="EC51" s="12"/>
      <c r="EN51" s="479"/>
      <c r="EO51" s="958"/>
      <c r="EP51" s="958"/>
      <c r="EQ51" s="958"/>
      <c r="ER51" s="958"/>
      <c r="ES51" s="958"/>
      <c r="ET51" s="961"/>
      <c r="EU51" s="959"/>
      <c r="EV51" s="963"/>
      <c r="EW51" s="959"/>
      <c r="EX51" s="958"/>
      <c r="EY51" s="958"/>
      <c r="EZ51" s="958"/>
      <c r="FA51" s="958"/>
      <c r="FB51" s="958"/>
      <c r="FC51" s="958"/>
      <c r="FD51" s="958"/>
      <c r="FE51" s="958"/>
      <c r="FF51" s="958"/>
      <c r="FG51" s="958"/>
      <c r="FH51" s="958"/>
      <c r="FI51" s="958"/>
      <c r="FJ51" s="958"/>
      <c r="FK51" s="958"/>
      <c r="FL51" s="958"/>
      <c r="FM51" s="958"/>
      <c r="FN51" s="958"/>
      <c r="FO51" s="958"/>
      <c r="FP51" s="958"/>
      <c r="FQ51" s="958"/>
      <c r="FR51" s="958"/>
      <c r="FS51" s="962"/>
    </row>
    <row r="52" spans="1:175" x14ac:dyDescent="0.2">
      <c r="V52" s="1270"/>
      <c r="W52" s="1270"/>
      <c r="X52" s="1270"/>
      <c r="Y52" s="1270"/>
      <c r="Z52" s="1270"/>
      <c r="AB52" s="12"/>
      <c r="AN52" s="13"/>
      <c r="AY52"/>
      <c r="BB52" s="12"/>
      <c r="BR52"/>
      <c r="BU52" s="12"/>
      <c r="CW52" s="1270"/>
      <c r="CX52" s="1270"/>
      <c r="CY52" s="1270"/>
      <c r="CZ52" s="1270"/>
      <c r="DA52" s="1270"/>
      <c r="DC52" s="12"/>
      <c r="DO52" s="13"/>
      <c r="EA52"/>
      <c r="ED52" s="12"/>
      <c r="EN52" s="479"/>
      <c r="EO52" s="958"/>
      <c r="EP52" s="958"/>
      <c r="EQ52" s="958"/>
      <c r="ER52" s="958"/>
      <c r="ES52" s="958"/>
      <c r="ET52" s="961"/>
      <c r="EU52" s="959"/>
      <c r="EV52" s="963"/>
      <c r="EW52" s="959"/>
      <c r="EX52" s="958"/>
      <c r="EY52" s="958"/>
      <c r="EZ52" s="958"/>
      <c r="FA52" s="958"/>
      <c r="FB52" s="958"/>
      <c r="FC52" s="958"/>
      <c r="FD52" s="958"/>
      <c r="FE52" s="958"/>
      <c r="FF52" s="958"/>
      <c r="FG52" s="958"/>
      <c r="FH52" s="958"/>
      <c r="FI52" s="958"/>
      <c r="FJ52" s="958"/>
      <c r="FK52" s="958"/>
      <c r="FL52" s="958"/>
      <c r="FM52" s="958"/>
      <c r="FN52" s="958"/>
      <c r="FO52" s="958"/>
      <c r="FP52" s="958"/>
      <c r="FQ52" s="958"/>
      <c r="FR52" s="958"/>
      <c r="FS52" s="962"/>
    </row>
    <row r="53" spans="1:175" x14ac:dyDescent="0.2">
      <c r="V53" s="1270"/>
      <c r="W53" s="1270"/>
      <c r="X53" s="1270"/>
      <c r="Y53" s="1270"/>
      <c r="Z53" s="1270"/>
      <c r="AY53"/>
      <c r="BR53"/>
      <c r="CW53" s="1270"/>
      <c r="CX53" s="1270"/>
      <c r="CY53" s="1270"/>
      <c r="CZ53" s="1270"/>
      <c r="DA53" s="1270"/>
      <c r="EA53"/>
      <c r="EN53" s="479"/>
      <c r="EO53" s="958"/>
      <c r="EP53" s="958"/>
      <c r="EQ53" s="958"/>
      <c r="ER53" s="958"/>
      <c r="ES53" s="958"/>
      <c r="ET53" s="961"/>
      <c r="EU53" s="959"/>
      <c r="EV53" s="963"/>
      <c r="EW53" s="959"/>
      <c r="EX53" s="958"/>
      <c r="EY53" s="958"/>
      <c r="EZ53" s="958"/>
      <c r="FA53" s="958"/>
      <c r="FB53" s="958"/>
      <c r="FC53" s="958"/>
      <c r="FD53" s="958"/>
      <c r="FE53" s="958"/>
      <c r="FF53" s="958"/>
      <c r="FG53" s="958"/>
      <c r="FH53" s="958"/>
      <c r="FI53" s="958"/>
      <c r="FJ53" s="958"/>
      <c r="FK53" s="958"/>
      <c r="FL53" s="958"/>
      <c r="FM53" s="958"/>
      <c r="FN53" s="958"/>
      <c r="FO53" s="958"/>
      <c r="FP53" s="958"/>
      <c r="FQ53" s="958"/>
      <c r="FR53" s="958"/>
      <c r="FS53" s="962"/>
    </row>
    <row r="54" spans="1:175" x14ac:dyDescent="0.2">
      <c r="V54" s="1270"/>
      <c r="W54" s="1270"/>
      <c r="X54" s="1270"/>
      <c r="Y54" s="1270"/>
      <c r="Z54" s="1270"/>
      <c r="AY54"/>
      <c r="BR54"/>
      <c r="CW54" s="1270"/>
      <c r="CX54" s="1270"/>
      <c r="CY54" s="1270"/>
      <c r="CZ54" s="1270"/>
      <c r="DA54" s="1270"/>
      <c r="EA54"/>
      <c r="EN54" s="984"/>
      <c r="EO54" s="984"/>
      <c r="EP54" s="984"/>
      <c r="EQ54" s="984"/>
      <c r="ER54" s="984"/>
      <c r="ES54" s="984"/>
      <c r="ET54" s="961"/>
      <c r="EU54" s="959"/>
      <c r="EV54" s="963"/>
      <c r="EW54" s="959"/>
      <c r="EX54" s="958"/>
      <c r="EY54" s="958"/>
      <c r="EZ54" s="958"/>
      <c r="FA54" s="958"/>
      <c r="FB54" s="958"/>
      <c r="FC54" s="958"/>
      <c r="FD54" s="958"/>
      <c r="FE54" s="958"/>
      <c r="FF54" s="958"/>
      <c r="FG54" s="958"/>
      <c r="FH54" s="958"/>
      <c r="FI54" s="958"/>
      <c r="FJ54" s="958"/>
      <c r="FK54" s="958"/>
      <c r="FL54" s="958"/>
      <c r="FM54" s="958"/>
      <c r="FN54" s="958"/>
      <c r="FO54" s="958"/>
      <c r="FP54" s="958"/>
      <c r="FQ54" s="958"/>
      <c r="FR54" s="958"/>
      <c r="FS54" s="962"/>
    </row>
    <row r="55" spans="1:175" x14ac:dyDescent="0.2">
      <c r="EN55" s="434"/>
      <c r="EO55" s="958"/>
      <c r="EP55" s="958"/>
      <c r="EQ55" s="958"/>
      <c r="ER55" s="958"/>
      <c r="ES55" s="958"/>
      <c r="ET55" s="961"/>
      <c r="EU55" s="959"/>
      <c r="EV55" s="963"/>
      <c r="EW55" s="959"/>
      <c r="EX55" s="958"/>
      <c r="EY55" s="958"/>
      <c r="EZ55" s="958"/>
      <c r="FA55" s="958"/>
      <c r="FB55" s="958"/>
      <c r="FC55" s="958"/>
      <c r="FD55" s="958"/>
      <c r="FE55" s="958"/>
      <c r="FF55" s="958"/>
      <c r="FG55" s="958"/>
      <c r="FH55" s="958"/>
      <c r="FI55" s="958"/>
      <c r="FJ55" s="958"/>
      <c r="FK55" s="958"/>
      <c r="FL55" s="958"/>
      <c r="FM55" s="958"/>
      <c r="FN55" s="958"/>
      <c r="FO55" s="958"/>
      <c r="FP55" s="958"/>
      <c r="FQ55" s="958"/>
      <c r="FR55" s="958"/>
      <c r="FS55" s="962"/>
    </row>
    <row r="56" spans="1:175" x14ac:dyDescent="0.2">
      <c r="EN56" s="434"/>
      <c r="EO56" s="434"/>
      <c r="EP56" s="434"/>
      <c r="EQ56" s="434"/>
      <c r="ER56" s="434"/>
      <c r="ES56" s="434"/>
      <c r="ET56" s="434"/>
      <c r="EU56" s="434"/>
      <c r="EV56" s="434"/>
      <c r="EW56" s="434"/>
      <c r="EX56" s="434"/>
      <c r="EY56" s="434"/>
      <c r="EZ56" s="434"/>
      <c r="FA56" s="434"/>
      <c r="FB56" s="434"/>
      <c r="FC56" s="434"/>
      <c r="FD56" s="434"/>
      <c r="FE56" s="434"/>
      <c r="FF56" s="434"/>
      <c r="FG56" s="434"/>
      <c r="FH56" s="434"/>
      <c r="FI56" s="434"/>
      <c r="FJ56" s="434"/>
      <c r="FK56" s="434"/>
      <c r="FL56" s="434"/>
      <c r="FM56" s="434"/>
      <c r="FN56" s="434"/>
      <c r="FO56" s="434"/>
      <c r="FP56" s="434"/>
      <c r="FQ56" s="434"/>
      <c r="FR56" s="434"/>
      <c r="FS56" s="434"/>
    </row>
    <row r="57" spans="1:175" x14ac:dyDescent="0.2">
      <c r="EN57" s="434"/>
      <c r="EO57" s="434"/>
      <c r="EP57" s="434"/>
      <c r="EQ57" s="434"/>
      <c r="ER57" s="434"/>
      <c r="ES57" s="434"/>
      <c r="ET57" s="434"/>
      <c r="EU57" s="434"/>
      <c r="EV57" s="434"/>
      <c r="EW57" s="434"/>
      <c r="EX57" s="434"/>
      <c r="EY57" s="434"/>
      <c r="EZ57" s="434"/>
      <c r="FA57" s="434"/>
      <c r="FB57" s="434"/>
      <c r="FC57" s="434"/>
      <c r="FD57" s="434"/>
      <c r="FE57" s="434"/>
      <c r="FF57" s="434"/>
      <c r="FG57" s="434"/>
      <c r="FH57" s="434"/>
      <c r="FI57" s="434"/>
      <c r="FJ57" s="434"/>
      <c r="FK57" s="434"/>
      <c r="FL57" s="434"/>
      <c r="FM57" s="434"/>
      <c r="FN57" s="434"/>
      <c r="FO57" s="434"/>
      <c r="FP57" s="434"/>
      <c r="FQ57" s="434"/>
      <c r="FR57" s="434"/>
      <c r="FS57" s="434"/>
    </row>
    <row r="58" spans="1:175" x14ac:dyDescent="0.2">
      <c r="EN58" s="434"/>
      <c r="EO58" s="434"/>
      <c r="EP58" s="434"/>
      <c r="EQ58" s="434"/>
      <c r="ER58" s="434"/>
      <c r="ES58" s="434"/>
      <c r="ET58" s="434"/>
      <c r="EU58" s="434"/>
      <c r="EV58" s="434"/>
      <c r="EW58" s="434"/>
      <c r="EX58" s="434"/>
      <c r="EY58" s="434"/>
      <c r="EZ58" s="434"/>
      <c r="FA58" s="434"/>
      <c r="FB58" s="434"/>
      <c r="FC58" s="434"/>
      <c r="FD58" s="434"/>
      <c r="FE58" s="434"/>
      <c r="FF58" s="434"/>
      <c r="FG58" s="434"/>
      <c r="FH58" s="434"/>
      <c r="FI58" s="434"/>
      <c r="FJ58" s="434"/>
      <c r="FK58" s="434"/>
      <c r="FL58" s="434"/>
      <c r="FM58" s="434"/>
      <c r="FN58" s="434"/>
      <c r="FO58" s="434"/>
      <c r="FP58" s="434"/>
      <c r="FQ58" s="434"/>
      <c r="FR58" s="434"/>
      <c r="FS58" s="434"/>
    </row>
    <row r="59" spans="1:175" x14ac:dyDescent="0.2">
      <c r="EN59" s="434"/>
      <c r="EO59" s="434"/>
      <c r="EP59" s="434"/>
      <c r="EQ59" s="434"/>
      <c r="ER59" s="434"/>
      <c r="ES59" s="434"/>
      <c r="ET59" s="434"/>
      <c r="EU59" s="434"/>
      <c r="EV59" s="434"/>
      <c r="EW59" s="434"/>
      <c r="EX59" s="434"/>
      <c r="EY59" s="434"/>
      <c r="EZ59" s="434"/>
      <c r="FA59" s="434"/>
      <c r="FB59" s="434"/>
      <c r="FC59" s="434"/>
      <c r="FD59" s="434"/>
      <c r="FE59" s="434"/>
      <c r="FF59" s="434"/>
      <c r="FG59" s="434"/>
      <c r="FH59" s="434"/>
      <c r="FI59" s="434"/>
      <c r="FJ59" s="434"/>
      <c r="FK59" s="434"/>
      <c r="FL59" s="434"/>
      <c r="FM59" s="434"/>
      <c r="FN59" s="434"/>
      <c r="FO59" s="434"/>
      <c r="FP59" s="434"/>
      <c r="FQ59" s="434"/>
      <c r="FR59" s="434"/>
      <c r="FS59" s="434"/>
    </row>
  </sheetData>
  <mergeCells count="66">
    <mergeCell ref="FS11:FS12"/>
    <mergeCell ref="ES11:ES12"/>
    <mergeCell ref="ET11:ET12"/>
    <mergeCell ref="EX11:EX12"/>
    <mergeCell ref="EY11:EY12"/>
    <mergeCell ref="FR11:FR12"/>
    <mergeCell ref="BT11:BT12"/>
    <mergeCell ref="BU11:BU12"/>
    <mergeCell ref="A11:A12"/>
    <mergeCell ref="B11:B12"/>
    <mergeCell ref="E11:E12"/>
    <mergeCell ref="F11:F12"/>
    <mergeCell ref="G11:G12"/>
    <mergeCell ref="O11:O12"/>
    <mergeCell ref="Q11:Q12"/>
    <mergeCell ref="BA11:BA12"/>
    <mergeCell ref="BB11:BB12"/>
    <mergeCell ref="AQ11:AQ12"/>
    <mergeCell ref="AR11:AR12"/>
    <mergeCell ref="D10:P10"/>
    <mergeCell ref="R10:T10"/>
    <mergeCell ref="U10:AP10"/>
    <mergeCell ref="H11:H12"/>
    <mergeCell ref="I11:I12"/>
    <mergeCell ref="AA11:AA12"/>
    <mergeCell ref="AB11:AB12"/>
    <mergeCell ref="V51:Z54"/>
    <mergeCell ref="A48:X49"/>
    <mergeCell ref="R11:R12"/>
    <mergeCell ref="S11:S12"/>
    <mergeCell ref="T11:T12"/>
    <mergeCell ref="U11:U12"/>
    <mergeCell ref="V11:V12"/>
    <mergeCell ref="W11:W12"/>
    <mergeCell ref="J11:J12"/>
    <mergeCell ref="K11:K12"/>
    <mergeCell ref="L11:L12"/>
    <mergeCell ref="M11:M12"/>
    <mergeCell ref="CE10:CQ10"/>
    <mergeCell ref="CS10:CU10"/>
    <mergeCell ref="CV10:DQ10"/>
    <mergeCell ref="CF11:CF12"/>
    <mergeCell ref="CG11:CG12"/>
    <mergeCell ref="CH11:CH12"/>
    <mergeCell ref="CI11:CI12"/>
    <mergeCell ref="CJ11:CJ12"/>
    <mergeCell ref="CK11:CK12"/>
    <mergeCell ref="CL11:CL12"/>
    <mergeCell ref="CM11:CM12"/>
    <mergeCell ref="CN11:CN12"/>
    <mergeCell ref="CP11:CP12"/>
    <mergeCell ref="CR11:CR12"/>
    <mergeCell ref="CS11:CS12"/>
    <mergeCell ref="CT11:CT12"/>
    <mergeCell ref="EC11:EC12"/>
    <mergeCell ref="ED11:ED12"/>
    <mergeCell ref="CU11:CU12"/>
    <mergeCell ref="CV11:CV12"/>
    <mergeCell ref="CW11:CW12"/>
    <mergeCell ref="CX11:CX12"/>
    <mergeCell ref="DB11:DB12"/>
    <mergeCell ref="CW51:DA54"/>
    <mergeCell ref="DY11:DY12"/>
    <mergeCell ref="DC11:DC12"/>
    <mergeCell ref="DR11:DR12"/>
    <mergeCell ref="DS11:DS12"/>
  </mergeCells>
  <printOptions horizontalCentered="1"/>
  <pageMargins left="0.39370078740157483" right="0.19685039370078741" top="0.39370078740157483" bottom="0.39370078740157483" header="0" footer="0"/>
  <pageSetup scale="40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BD29"/>
  <sheetViews>
    <sheetView topLeftCell="O3" zoomScale="110" zoomScaleNormal="110" workbookViewId="0">
      <selection activeCell="AO11" sqref="AO11"/>
    </sheetView>
  </sheetViews>
  <sheetFormatPr baseColWidth="10" defaultRowHeight="12.75" x14ac:dyDescent="0.2"/>
  <cols>
    <col min="1" max="1" width="27.5703125" customWidth="1"/>
    <col min="2" max="2" width="32.140625" customWidth="1"/>
    <col min="3" max="3" width="15" customWidth="1"/>
    <col min="4" max="4" width="6.7109375" style="18" customWidth="1"/>
    <col min="5" max="5" width="7.42578125" style="18" customWidth="1"/>
    <col min="6" max="6" width="9.7109375" customWidth="1"/>
    <col min="7" max="11" width="8.5703125" customWidth="1"/>
    <col min="12" max="12" width="5.140625" customWidth="1"/>
    <col min="13" max="13" width="8.5703125" customWidth="1"/>
    <col min="14" max="14" width="8.85546875" customWidth="1"/>
    <col min="15" max="15" width="8.42578125" customWidth="1"/>
    <col min="16" max="16" width="7.28515625" customWidth="1"/>
    <col min="17" max="17" width="11" customWidth="1"/>
    <col min="18" max="18" width="9.7109375" style="19" customWidth="1"/>
    <col min="19" max="19" width="9.5703125" style="19" customWidth="1"/>
    <col min="20" max="21" width="8.42578125" style="12" customWidth="1"/>
    <col min="22" max="22" width="8.42578125" style="104" customWidth="1"/>
    <col min="23" max="23" width="8.7109375" hidden="1" customWidth="1"/>
    <col min="24" max="24" width="8.7109375" customWidth="1"/>
    <col min="25" max="25" width="7.28515625" style="77" customWidth="1"/>
    <col min="26" max="26" width="7.42578125" customWidth="1"/>
    <col min="27" max="27" width="9.140625" customWidth="1"/>
    <col min="28" max="28" width="7.5703125" customWidth="1"/>
    <col min="29" max="33" width="7.7109375" hidden="1" customWidth="1"/>
    <col min="34" max="34" width="11.28515625" hidden="1" customWidth="1"/>
    <col min="35" max="36" width="7.7109375" hidden="1" customWidth="1"/>
    <col min="37" max="37" width="8.42578125" hidden="1" customWidth="1"/>
    <col min="38" max="39" width="7.7109375" hidden="1" customWidth="1"/>
    <col min="40" max="41" width="7.7109375" customWidth="1"/>
    <col min="42" max="42" width="7.5703125" style="69" customWidth="1"/>
    <col min="43" max="56" width="0" hidden="1" customWidth="1"/>
  </cols>
  <sheetData>
    <row r="1" spans="1:56" x14ac:dyDescent="0.2">
      <c r="A1" s="556"/>
      <c r="B1" s="549" t="s">
        <v>27</v>
      </c>
      <c r="C1" s="556"/>
      <c r="D1" s="569"/>
      <c r="E1" s="569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70"/>
      <c r="S1" s="570"/>
      <c r="T1" s="556"/>
      <c r="U1" s="556"/>
      <c r="V1" s="571"/>
      <c r="W1" s="572"/>
      <c r="X1" s="572"/>
      <c r="Y1" s="573"/>
      <c r="Z1" s="572"/>
      <c r="AA1" s="572"/>
      <c r="AB1" s="572"/>
      <c r="AC1" s="572"/>
      <c r="AD1" s="556"/>
      <c r="AE1" s="556"/>
      <c r="AF1" s="556"/>
      <c r="AG1" s="556"/>
      <c r="AH1" s="556"/>
      <c r="AI1" s="556"/>
      <c r="AJ1" s="556"/>
      <c r="AK1" s="556"/>
      <c r="AL1" s="556"/>
      <c r="AM1" s="556"/>
      <c r="AN1" s="572"/>
      <c r="AO1" s="556"/>
      <c r="AP1" s="574"/>
    </row>
    <row r="2" spans="1:56" x14ac:dyDescent="0.2">
      <c r="A2" s="556"/>
      <c r="B2" s="549" t="s">
        <v>1061</v>
      </c>
      <c r="C2" s="556"/>
      <c r="D2" s="569"/>
      <c r="E2" s="569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70"/>
      <c r="S2" s="570"/>
      <c r="T2" s="556"/>
      <c r="U2" s="556"/>
      <c r="V2" s="571"/>
      <c r="W2" s="572"/>
      <c r="X2" s="572"/>
      <c r="Y2" s="573"/>
      <c r="Z2" s="572"/>
      <c r="AA2" s="572"/>
      <c r="AB2" s="572"/>
      <c r="AC2" s="572"/>
      <c r="AD2" s="556"/>
      <c r="AE2" s="556"/>
      <c r="AF2" s="556"/>
      <c r="AG2" s="556"/>
      <c r="AH2" s="556"/>
      <c r="AI2" s="556"/>
      <c r="AJ2" s="556"/>
      <c r="AK2" s="556"/>
      <c r="AL2" s="556"/>
      <c r="AM2" s="556"/>
      <c r="AN2" s="556"/>
      <c r="AO2" s="556"/>
      <c r="AP2" s="574"/>
    </row>
    <row r="3" spans="1:56" x14ac:dyDescent="0.2">
      <c r="A3" s="556"/>
      <c r="B3" s="556"/>
      <c r="C3" s="549"/>
      <c r="D3" s="575"/>
      <c r="E3" s="569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49"/>
      <c r="S3" s="549"/>
      <c r="T3" s="561"/>
      <c r="U3" s="561"/>
      <c r="V3" s="576"/>
      <c r="W3" s="572"/>
      <c r="X3" s="572"/>
      <c r="Y3" s="573"/>
      <c r="Z3" s="572"/>
      <c r="AA3" s="572"/>
      <c r="AB3" s="572"/>
      <c r="AC3" s="572"/>
      <c r="AD3" s="556"/>
      <c r="AE3" s="556"/>
      <c r="AF3" s="556"/>
      <c r="AG3" s="556"/>
      <c r="AH3" s="556"/>
      <c r="AI3" s="556"/>
      <c r="AJ3" s="556"/>
      <c r="AK3" s="556"/>
      <c r="AL3" s="556"/>
      <c r="AM3" s="556"/>
      <c r="AN3" s="556"/>
      <c r="AO3" s="556"/>
      <c r="AP3" s="574"/>
    </row>
    <row r="4" spans="1:56" x14ac:dyDescent="0.2">
      <c r="A4" s="556"/>
      <c r="B4" s="556" t="s">
        <v>309</v>
      </c>
      <c r="C4" s="549"/>
      <c r="D4" s="575"/>
      <c r="E4" s="569"/>
      <c r="F4" s="561"/>
      <c r="G4" s="561"/>
      <c r="H4" s="561"/>
      <c r="I4" s="561"/>
      <c r="J4" s="561"/>
      <c r="K4" s="561"/>
      <c r="L4" s="561"/>
      <c r="M4" s="561"/>
      <c r="N4" s="561"/>
      <c r="O4" s="561"/>
      <c r="P4" s="561"/>
      <c r="Q4" s="561"/>
      <c r="R4" s="549"/>
      <c r="S4" s="549"/>
      <c r="T4" s="561"/>
      <c r="U4" s="561"/>
      <c r="V4" s="576"/>
      <c r="W4" s="572"/>
      <c r="X4" s="572"/>
      <c r="Y4" s="573"/>
      <c r="Z4" s="572"/>
      <c r="AA4" s="572"/>
      <c r="AB4" s="572"/>
      <c r="AC4" s="572"/>
      <c r="AD4" s="556"/>
      <c r="AE4" s="556"/>
      <c r="AF4" s="556"/>
      <c r="AG4" s="556"/>
      <c r="AH4" s="556"/>
      <c r="AI4" s="556"/>
      <c r="AJ4" s="556"/>
      <c r="AK4" s="556"/>
      <c r="AL4" s="556"/>
      <c r="AM4" s="556"/>
      <c r="AN4" s="556"/>
      <c r="AO4" s="556"/>
      <c r="AP4" s="574"/>
    </row>
    <row r="5" spans="1:56" x14ac:dyDescent="0.2">
      <c r="A5" s="556"/>
      <c r="B5" s="561" t="s">
        <v>336</v>
      </c>
      <c r="C5" s="556"/>
      <c r="D5" s="569"/>
      <c r="E5" s="569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70"/>
      <c r="S5" s="570"/>
      <c r="T5" s="556"/>
      <c r="U5" s="556"/>
      <c r="V5" s="571"/>
      <c r="W5" s="572"/>
      <c r="X5" s="572"/>
      <c r="Y5" s="573"/>
      <c r="Z5" s="572"/>
      <c r="AA5" s="572"/>
      <c r="AB5" s="572"/>
      <c r="AC5" s="572"/>
      <c r="AD5" s="556"/>
      <c r="AE5" s="556"/>
      <c r="AF5" s="556"/>
      <c r="AG5" s="556"/>
      <c r="AH5" s="556"/>
      <c r="AI5" s="556"/>
      <c r="AJ5" s="556"/>
      <c r="AK5" s="556"/>
      <c r="AL5" s="556"/>
      <c r="AM5" s="556"/>
      <c r="AN5" s="556"/>
      <c r="AO5" s="556"/>
      <c r="AP5" s="574"/>
    </row>
    <row r="6" spans="1:56" x14ac:dyDescent="0.2">
      <c r="A6" s="556"/>
      <c r="B6" s="556" t="s">
        <v>706</v>
      </c>
      <c r="C6" s="556"/>
      <c r="D6" s="569"/>
      <c r="E6" s="569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70"/>
      <c r="S6" s="570"/>
      <c r="T6" s="556"/>
      <c r="U6" s="556"/>
      <c r="V6" s="571"/>
      <c r="W6" s="572"/>
      <c r="X6" s="572"/>
      <c r="Y6" s="573"/>
      <c r="Z6" s="572"/>
      <c r="AA6" s="572"/>
      <c r="AB6" s="572"/>
      <c r="AC6" s="572"/>
      <c r="AD6" s="556"/>
      <c r="AE6" s="556"/>
      <c r="AF6" s="556"/>
      <c r="AG6" s="556"/>
      <c r="AH6" s="556"/>
      <c r="AI6" s="556"/>
      <c r="AJ6" s="556"/>
      <c r="AK6" s="556"/>
      <c r="AL6" s="556"/>
      <c r="AM6" s="556"/>
      <c r="AN6" s="556"/>
      <c r="AO6" s="556"/>
      <c r="AP6" s="574"/>
    </row>
    <row r="7" spans="1:56" x14ac:dyDescent="0.2">
      <c r="A7" s="556"/>
      <c r="B7" s="556"/>
      <c r="C7" s="556"/>
      <c r="D7" s="569"/>
      <c r="E7" s="569"/>
      <c r="F7" s="556"/>
      <c r="G7" s="556"/>
      <c r="H7" s="556"/>
      <c r="I7" s="556"/>
      <c r="J7" s="556"/>
      <c r="K7" s="556"/>
      <c r="L7" s="556"/>
      <c r="M7" s="556"/>
      <c r="N7" s="556"/>
      <c r="O7" s="556"/>
      <c r="P7" s="556"/>
      <c r="Q7" s="556"/>
      <c r="R7" s="570"/>
      <c r="S7" s="570"/>
      <c r="T7" s="556"/>
      <c r="U7" s="556"/>
      <c r="V7" s="571"/>
      <c r="W7" s="572"/>
      <c r="X7" s="572"/>
      <c r="Y7" s="573"/>
      <c r="Z7" s="572"/>
      <c r="AA7" s="572"/>
      <c r="AB7" s="572"/>
      <c r="AC7" s="572"/>
      <c r="AD7" s="556"/>
      <c r="AE7" s="556"/>
      <c r="AF7" s="556"/>
      <c r="AG7" s="556"/>
      <c r="AH7" s="556"/>
      <c r="AI7" s="556"/>
      <c r="AJ7" s="556"/>
      <c r="AK7" s="556"/>
      <c r="AL7" s="556"/>
      <c r="AM7" s="556"/>
      <c r="AN7" s="556"/>
      <c r="AO7" s="556"/>
      <c r="AP7" s="574"/>
    </row>
    <row r="8" spans="1:56" s="16" customFormat="1" x14ac:dyDescent="0.2">
      <c r="D8" s="38"/>
      <c r="E8" s="38"/>
      <c r="R8" s="37"/>
      <c r="S8" s="37"/>
      <c r="T8" s="35"/>
      <c r="U8" s="35"/>
      <c r="V8" s="103"/>
      <c r="W8" s="39"/>
      <c r="X8" s="39"/>
      <c r="Y8" s="76"/>
      <c r="Z8" s="39"/>
      <c r="AA8" s="39"/>
      <c r="AB8" s="39"/>
      <c r="AC8" s="39"/>
      <c r="AP8" s="68"/>
    </row>
    <row r="9" spans="1:56" s="16" customFormat="1" ht="20.25" customHeight="1" x14ac:dyDescent="0.2">
      <c r="D9" s="38"/>
      <c r="E9" s="38"/>
      <c r="R9" s="37"/>
      <c r="S9" s="37"/>
      <c r="T9" s="35"/>
      <c r="U9" s="35"/>
      <c r="V9" s="103"/>
      <c r="W9" s="39"/>
      <c r="X9" s="39"/>
      <c r="Y9" s="76"/>
      <c r="Z9" s="39"/>
      <c r="AA9" s="39"/>
      <c r="AB9" s="39"/>
      <c r="AC9" s="39"/>
      <c r="AP9" s="68"/>
    </row>
    <row r="10" spans="1:56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1260" t="s">
        <v>450</v>
      </c>
      <c r="V10" s="1260"/>
      <c r="W10" s="1260"/>
      <c r="X10" s="1260"/>
      <c r="Y10" s="1260"/>
      <c r="Z10" s="1260"/>
      <c r="AA10" s="1260"/>
      <c r="AB10" s="1260"/>
      <c r="AC10" s="1260"/>
      <c r="AD10" s="1260"/>
      <c r="AE10" s="1260"/>
      <c r="AF10" s="1260"/>
      <c r="AG10" s="1260"/>
      <c r="AH10" s="1260"/>
      <c r="AI10" s="1260"/>
      <c r="AJ10" s="1260"/>
      <c r="AK10" s="1260"/>
      <c r="AL10" s="1260"/>
      <c r="AM10" s="1260"/>
      <c r="AN10" s="1260"/>
      <c r="AO10" s="1260"/>
      <c r="AP10" s="1260"/>
    </row>
    <row r="11" spans="1:56" ht="54" customHeight="1" x14ac:dyDescent="0.25">
      <c r="A11" s="1261" t="s">
        <v>57</v>
      </c>
      <c r="B11" s="1261" t="s">
        <v>0</v>
      </c>
      <c r="C11" s="201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526</v>
      </c>
      <c r="J11" s="1254" t="s">
        <v>525</v>
      </c>
      <c r="K11" s="1254" t="s">
        <v>534</v>
      </c>
      <c r="L11" s="1254" t="s">
        <v>493</v>
      </c>
      <c r="M11" s="1254" t="s">
        <v>535</v>
      </c>
      <c r="N11" s="200" t="s">
        <v>529</v>
      </c>
      <c r="O11" s="1254" t="s">
        <v>492</v>
      </c>
      <c r="P11" s="202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1278" t="s">
        <v>447</v>
      </c>
      <c r="V11" s="1280" t="s">
        <v>452</v>
      </c>
      <c r="W11" s="1278" t="s">
        <v>439</v>
      </c>
      <c r="X11" s="742" t="s">
        <v>15</v>
      </c>
      <c r="Y11" s="743" t="s">
        <v>15</v>
      </c>
      <c r="Z11" s="742" t="s">
        <v>16</v>
      </c>
      <c r="AA11" s="1245" t="s">
        <v>1262</v>
      </c>
      <c r="AB11" s="1278" t="s">
        <v>536</v>
      </c>
      <c r="AC11" s="742" t="s">
        <v>3</v>
      </c>
      <c r="AD11" s="742" t="s">
        <v>4</v>
      </c>
      <c r="AE11" s="742" t="s">
        <v>5</v>
      </c>
      <c r="AF11" s="742" t="s">
        <v>6</v>
      </c>
      <c r="AG11" s="742" t="s">
        <v>7</v>
      </c>
      <c r="AH11" s="742" t="s">
        <v>8</v>
      </c>
      <c r="AI11" s="742" t="s">
        <v>9</v>
      </c>
      <c r="AJ11" s="742" t="s">
        <v>10</v>
      </c>
      <c r="AK11" s="742" t="s">
        <v>11</v>
      </c>
      <c r="AL11" s="742" t="s">
        <v>12</v>
      </c>
      <c r="AM11" s="742" t="s">
        <v>13</v>
      </c>
      <c r="AN11" s="742" t="s">
        <v>14</v>
      </c>
      <c r="AO11" s="744" t="s">
        <v>531</v>
      </c>
      <c r="AP11" s="745" t="s">
        <v>63</v>
      </c>
      <c r="AQ11" s="1245" t="s">
        <v>976</v>
      </c>
      <c r="AR11" s="1245" t="s">
        <v>536</v>
      </c>
      <c r="AS11" s="158" t="s">
        <v>3</v>
      </c>
      <c r="AT11" s="158" t="s">
        <v>4</v>
      </c>
      <c r="AU11" s="158" t="s">
        <v>5</v>
      </c>
      <c r="AV11" s="158" t="s">
        <v>6</v>
      </c>
      <c r="AW11" s="158" t="s">
        <v>7</v>
      </c>
      <c r="AX11" s="158" t="s">
        <v>8</v>
      </c>
      <c r="AY11" s="158" t="s">
        <v>9</v>
      </c>
      <c r="AZ11" s="158" t="s">
        <v>10</v>
      </c>
      <c r="BA11" s="158" t="s">
        <v>11</v>
      </c>
      <c r="BB11" s="158" t="s">
        <v>12</v>
      </c>
      <c r="BC11" s="158" t="s">
        <v>13</v>
      </c>
      <c r="BD11" s="158" t="s">
        <v>14</v>
      </c>
    </row>
    <row r="12" spans="1:56" ht="32.25" customHeight="1" x14ac:dyDescent="0.25">
      <c r="A12" s="1262"/>
      <c r="B12" s="1262"/>
      <c r="C12" s="211" t="s">
        <v>336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1267"/>
      <c r="V12" s="1281"/>
      <c r="W12" s="1279"/>
      <c r="X12" s="746" t="s">
        <v>20</v>
      </c>
      <c r="Y12" s="747" t="s">
        <v>21</v>
      </c>
      <c r="Z12" s="746" t="s">
        <v>22</v>
      </c>
      <c r="AA12" s="1246"/>
      <c r="AB12" s="1279"/>
      <c r="AC12" s="746">
        <v>2015</v>
      </c>
      <c r="AD12" s="746">
        <v>2015</v>
      </c>
      <c r="AE12" s="746">
        <v>2015</v>
      </c>
      <c r="AF12" s="746">
        <v>2015</v>
      </c>
      <c r="AG12" s="746">
        <v>2015</v>
      </c>
      <c r="AH12" s="746">
        <v>2015</v>
      </c>
      <c r="AI12" s="746">
        <v>2015</v>
      </c>
      <c r="AJ12" s="746">
        <v>2015</v>
      </c>
      <c r="AK12" s="746">
        <v>2015</v>
      </c>
      <c r="AL12" s="746">
        <v>2015</v>
      </c>
      <c r="AM12" s="746">
        <v>2015</v>
      </c>
      <c r="AN12" s="746">
        <v>2015</v>
      </c>
      <c r="AO12" s="746">
        <v>2015</v>
      </c>
      <c r="AP12" s="746" t="s">
        <v>64</v>
      </c>
      <c r="AQ12" s="1246"/>
      <c r="AR12" s="1246"/>
      <c r="AS12" s="162">
        <v>2016</v>
      </c>
      <c r="AT12" s="162">
        <v>2016</v>
      </c>
      <c r="AU12" s="162">
        <v>2016</v>
      </c>
      <c r="AV12" s="162">
        <v>2016</v>
      </c>
      <c r="AW12" s="162">
        <v>2016</v>
      </c>
      <c r="AX12" s="162">
        <v>2016</v>
      </c>
      <c r="AY12" s="162">
        <v>2016</v>
      </c>
      <c r="AZ12" s="162">
        <v>2016</v>
      </c>
      <c r="BA12" s="162">
        <v>2016</v>
      </c>
      <c r="BB12" s="162">
        <v>2016</v>
      </c>
      <c r="BC12" s="162">
        <v>2016</v>
      </c>
      <c r="BD12" s="162">
        <v>2016</v>
      </c>
    </row>
    <row r="13" spans="1:56" s="16" customFormat="1" x14ac:dyDescent="0.2">
      <c r="A13" s="26" t="s">
        <v>71</v>
      </c>
      <c r="B13" s="26" t="s">
        <v>84</v>
      </c>
      <c r="C13" s="45"/>
      <c r="D13" s="58"/>
      <c r="E13" s="30"/>
      <c r="F13" s="46"/>
      <c r="G13" s="58"/>
      <c r="H13" s="145"/>
      <c r="I13" s="165"/>
      <c r="J13" s="48"/>
      <c r="K13" s="165"/>
      <c r="L13" s="48"/>
      <c r="M13" s="165"/>
      <c r="N13" s="48"/>
      <c r="O13" s="165"/>
      <c r="P13" s="48"/>
      <c r="Q13" s="48"/>
      <c r="R13" s="119"/>
      <c r="S13" s="119"/>
      <c r="T13" s="134"/>
      <c r="U13" s="14"/>
      <c r="V13" s="106"/>
      <c r="W13" s="66"/>
      <c r="X13" s="57"/>
      <c r="Y13" s="80"/>
      <c r="Z13" s="57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72"/>
    </row>
    <row r="14" spans="1:56" s="16" customFormat="1" x14ac:dyDescent="0.2">
      <c r="A14" s="26" t="s">
        <v>97</v>
      </c>
      <c r="B14" s="9"/>
      <c r="C14" s="29"/>
      <c r="D14" s="58"/>
      <c r="E14" s="30"/>
      <c r="F14" s="46"/>
      <c r="G14" s="58"/>
      <c r="H14" s="145"/>
      <c r="I14" s="165"/>
      <c r="J14" s="48"/>
      <c r="K14" s="165"/>
      <c r="L14" s="48"/>
      <c r="M14" s="165"/>
      <c r="N14" s="48"/>
      <c r="O14" s="165"/>
      <c r="P14" s="48"/>
      <c r="Q14" s="48"/>
      <c r="R14" s="46"/>
      <c r="S14" s="119"/>
      <c r="T14" s="134"/>
      <c r="U14" s="14"/>
      <c r="V14" s="106"/>
      <c r="W14" s="165"/>
      <c r="X14" s="57"/>
      <c r="Y14" s="80"/>
      <c r="Z14" s="57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72"/>
    </row>
    <row r="15" spans="1:56" s="16" customFormat="1" x14ac:dyDescent="0.2">
      <c r="A15" s="50" t="s">
        <v>129</v>
      </c>
      <c r="B15" s="51" t="s">
        <v>35</v>
      </c>
      <c r="C15" s="42" t="s">
        <v>333</v>
      </c>
      <c r="D15" s="61">
        <v>10</v>
      </c>
      <c r="E15" s="52">
        <v>0.1</v>
      </c>
      <c r="F15" s="46">
        <v>42916</v>
      </c>
      <c r="G15" s="58">
        <v>120</v>
      </c>
      <c r="H15" s="145">
        <f>100/G15</f>
        <v>0.83333333333333337</v>
      </c>
      <c r="I15" s="165">
        <f>H15*J15</f>
        <v>174.16666666666669</v>
      </c>
      <c r="J15" s="48">
        <f>(YEAR(F15)-YEAR(S15))*12+MONTH(F15)-MONTH(S15)</f>
        <v>209</v>
      </c>
      <c r="K15" s="165">
        <f>L15*H15</f>
        <v>0</v>
      </c>
      <c r="L15" s="48">
        <v>0</v>
      </c>
      <c r="M15" s="165">
        <f>N15*H15</f>
        <v>5.8333333333333339</v>
      </c>
      <c r="N15" s="48">
        <v>7</v>
      </c>
      <c r="O15" s="165">
        <f>P15*H15</f>
        <v>0</v>
      </c>
      <c r="P15" s="48">
        <v>0</v>
      </c>
      <c r="Q15" s="462">
        <f>DATE(YEAR(S15),MONTH(S15)+G15,DAY(S15))</f>
        <v>40179</v>
      </c>
      <c r="R15" s="46" t="s">
        <v>445</v>
      </c>
      <c r="S15" s="128">
        <v>36526</v>
      </c>
      <c r="T15" s="121">
        <v>1650</v>
      </c>
      <c r="U15" s="47">
        <v>96.25</v>
      </c>
      <c r="V15" s="106">
        <v>68.75</v>
      </c>
      <c r="W15" s="165"/>
      <c r="X15" s="57">
        <v>115.958</v>
      </c>
      <c r="Y15" s="80">
        <v>86.73</v>
      </c>
      <c r="Z15" s="57">
        <f>X15/Y15</f>
        <v>1.3369998846996425</v>
      </c>
      <c r="AA15" s="55">
        <f>U15/7</f>
        <v>13.75</v>
      </c>
      <c r="AB15" s="55">
        <f>Z15*AA15</f>
        <v>18.383748414620083</v>
      </c>
      <c r="AC15" s="55"/>
      <c r="AD15" s="55"/>
      <c r="AE15" s="55"/>
      <c r="AF15" s="55"/>
      <c r="AG15" s="55"/>
      <c r="AH15" s="55">
        <v>18.38</v>
      </c>
      <c r="AI15" s="55">
        <v>18.38</v>
      </c>
      <c r="AJ15" s="55">
        <v>18.38</v>
      </c>
      <c r="AK15" s="55">
        <v>18.38</v>
      </c>
      <c r="AL15" s="55">
        <v>18.38</v>
      </c>
      <c r="AM15" s="55">
        <v>3.35</v>
      </c>
      <c r="AN15" s="55"/>
      <c r="AO15" s="55">
        <f>SUM(AH15:AN15)</f>
        <v>95.249999999999986</v>
      </c>
      <c r="AP15" s="72">
        <f>U15-AO15</f>
        <v>1.0000000000000142</v>
      </c>
    </row>
    <row r="16" spans="1:56" s="16" customFormat="1" x14ac:dyDescent="0.2">
      <c r="A16" s="26" t="s">
        <v>65</v>
      </c>
      <c r="B16" s="26" t="s">
        <v>131</v>
      </c>
      <c r="C16" s="45"/>
      <c r="D16" s="58"/>
      <c r="E16" s="25"/>
      <c r="F16" s="46"/>
      <c r="G16" s="58"/>
      <c r="H16" s="145"/>
      <c r="I16" s="165"/>
      <c r="J16" s="48"/>
      <c r="K16" s="165"/>
      <c r="L16" s="48"/>
      <c r="M16" s="165"/>
      <c r="N16" s="48"/>
      <c r="O16" s="165"/>
      <c r="P16" s="48"/>
      <c r="Q16" s="48"/>
      <c r="R16" s="46"/>
      <c r="S16" s="33"/>
      <c r="T16" s="121"/>
      <c r="U16" s="47"/>
      <c r="V16" s="106"/>
      <c r="W16" s="165"/>
      <c r="X16" s="57"/>
      <c r="Y16" s="80"/>
      <c r="Z16" s="57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72"/>
    </row>
    <row r="17" spans="1:42" s="16" customFormat="1" x14ac:dyDescent="0.2">
      <c r="A17" s="26" t="s">
        <v>130</v>
      </c>
      <c r="B17" s="34"/>
      <c r="C17" s="29"/>
      <c r="D17" s="27"/>
      <c r="E17" s="25"/>
      <c r="F17" s="46"/>
      <c r="G17" s="58"/>
      <c r="H17" s="145"/>
      <c r="I17" s="165"/>
      <c r="J17" s="48"/>
      <c r="K17" s="165"/>
      <c r="L17" s="48"/>
      <c r="M17" s="165"/>
      <c r="N17" s="48"/>
      <c r="O17" s="165"/>
      <c r="P17" s="48"/>
      <c r="Q17" s="48"/>
      <c r="R17" s="46"/>
      <c r="S17" s="20"/>
      <c r="T17" s="5"/>
      <c r="U17" s="47"/>
      <c r="V17" s="106"/>
      <c r="W17" s="165"/>
      <c r="X17" s="57"/>
      <c r="Y17" s="83"/>
      <c r="Z17" s="64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72"/>
    </row>
    <row r="18" spans="1:42" s="16" customFormat="1" x14ac:dyDescent="0.2">
      <c r="A18" s="20" t="s">
        <v>132</v>
      </c>
      <c r="B18" s="9" t="s">
        <v>36</v>
      </c>
      <c r="C18" s="45" t="s">
        <v>333</v>
      </c>
      <c r="D18" s="58">
        <v>10</v>
      </c>
      <c r="E18" s="25">
        <v>0.1</v>
      </c>
      <c r="F18" s="46">
        <v>42185</v>
      </c>
      <c r="G18" s="58">
        <v>120</v>
      </c>
      <c r="H18" s="145">
        <f>100/G18</f>
        <v>0.83333333333333337</v>
      </c>
      <c r="I18" s="165">
        <f>H18*J18</f>
        <v>111.66666666666667</v>
      </c>
      <c r="J18" s="48">
        <f>(YEAR(F18)-YEAR(S18))*12+MONTH(F18)-MONTH(S18)</f>
        <v>134</v>
      </c>
      <c r="K18" s="165">
        <f>L18*H18</f>
        <v>0</v>
      </c>
      <c r="L18" s="48">
        <v>0</v>
      </c>
      <c r="M18" s="165">
        <f>N18*H18</f>
        <v>5.8333333333333339</v>
      </c>
      <c r="N18" s="48">
        <v>7</v>
      </c>
      <c r="O18" s="165">
        <f>P18*H18</f>
        <v>0</v>
      </c>
      <c r="P18" s="48">
        <v>0</v>
      </c>
      <c r="Q18" s="462">
        <f>DATE(YEAR(S18),MONTH(S18)+G18,DAY(S18))</f>
        <v>41755</v>
      </c>
      <c r="R18" s="46" t="s">
        <v>548</v>
      </c>
      <c r="S18" s="33">
        <v>38103</v>
      </c>
      <c r="T18" s="5">
        <v>2300</v>
      </c>
      <c r="U18" s="47">
        <v>57.46</v>
      </c>
      <c r="V18" s="106">
        <v>95.85</v>
      </c>
      <c r="W18" s="165"/>
      <c r="X18" s="57">
        <v>115.958</v>
      </c>
      <c r="Y18" s="80">
        <v>108.836</v>
      </c>
      <c r="Z18" s="57">
        <f>X18/Y18</f>
        <v>1.0654379065750303</v>
      </c>
      <c r="AA18" s="55">
        <f>U18/7</f>
        <v>8.2085714285714282</v>
      </c>
      <c r="AB18" s="55">
        <f>Z18*AA18</f>
        <v>8.7457231588287492</v>
      </c>
      <c r="AC18" s="55"/>
      <c r="AD18" s="55"/>
      <c r="AE18" s="55"/>
      <c r="AF18" s="55"/>
      <c r="AG18" s="55"/>
      <c r="AH18" s="55">
        <v>8.75</v>
      </c>
      <c r="AI18" s="55">
        <v>8.75</v>
      </c>
      <c r="AJ18" s="55">
        <v>8.75</v>
      </c>
      <c r="AK18" s="55">
        <v>8.75</v>
      </c>
      <c r="AL18" s="55">
        <v>8.75</v>
      </c>
      <c r="AM18" s="55">
        <v>8.75</v>
      </c>
      <c r="AN18" s="55">
        <v>3.96</v>
      </c>
      <c r="AO18" s="55">
        <f>SUM(AH18:AN18)</f>
        <v>56.46</v>
      </c>
      <c r="AP18" s="72">
        <f>U18-AO18</f>
        <v>1</v>
      </c>
    </row>
    <row r="19" spans="1:42" x14ac:dyDescent="0.2">
      <c r="R19" s="175"/>
      <c r="V19" s="195"/>
      <c r="AB19" s="195"/>
      <c r="AH19" s="195">
        <f t="shared" ref="AH19:AO19" si="0">SUM(AH13:AH18)</f>
        <v>27.13</v>
      </c>
      <c r="AI19" s="195"/>
      <c r="AJ19" s="195"/>
      <c r="AK19" s="195"/>
      <c r="AL19" s="195"/>
      <c r="AM19" s="195">
        <f t="shared" si="0"/>
        <v>12.1</v>
      </c>
      <c r="AN19" s="195">
        <f t="shared" si="0"/>
        <v>3.96</v>
      </c>
      <c r="AO19" s="195">
        <f t="shared" si="0"/>
        <v>151.70999999999998</v>
      </c>
      <c r="AP19" s="195">
        <f>SUM(AP13:AP18)</f>
        <v>2.0000000000000142</v>
      </c>
    </row>
    <row r="20" spans="1:42" s="104" customFormat="1" x14ac:dyDescent="0.2">
      <c r="A20" s="110" t="s">
        <v>315</v>
      </c>
      <c r="B20" s="87"/>
      <c r="C20" s="87"/>
      <c r="D20" s="88"/>
      <c r="E20" s="88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9"/>
      <c r="S20" s="89"/>
      <c r="T20" s="90"/>
      <c r="U20" s="90"/>
      <c r="W20"/>
      <c r="X20"/>
      <c r="Y20" s="77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 s="69"/>
    </row>
    <row r="21" spans="1:42" s="104" customFormat="1" x14ac:dyDescent="0.2">
      <c r="A21" s="10"/>
      <c r="B21"/>
      <c r="C21"/>
      <c r="D21" s="18"/>
      <c r="E21" s="18"/>
      <c r="F21"/>
      <c r="G21"/>
      <c r="H21"/>
      <c r="I21"/>
      <c r="J21"/>
      <c r="K21"/>
      <c r="L21"/>
      <c r="M21"/>
      <c r="N21"/>
      <c r="O21"/>
      <c r="P21"/>
      <c r="Q21"/>
      <c r="R21" s="19"/>
      <c r="S21" s="19"/>
      <c r="T21" s="12"/>
      <c r="U21" s="12"/>
      <c r="W21"/>
      <c r="X21"/>
      <c r="Y21" s="77"/>
      <c r="Z21"/>
      <c r="AA21" s="12"/>
      <c r="AB21"/>
      <c r="AC21"/>
      <c r="AD21"/>
      <c r="AE21"/>
      <c r="AF21"/>
      <c r="AG21"/>
      <c r="AH21"/>
      <c r="AI21"/>
      <c r="AJ21"/>
      <c r="AK21"/>
      <c r="AL21"/>
      <c r="AM21"/>
      <c r="AN21"/>
      <c r="AP21" s="69"/>
    </row>
    <row r="22" spans="1:42" ht="30.75" hidden="1" customHeight="1" x14ac:dyDescent="0.2">
      <c r="A22" s="1271" t="s">
        <v>462</v>
      </c>
      <c r="B22" s="1271"/>
      <c r="C22" s="1271"/>
      <c r="D22" s="1271"/>
      <c r="E22" s="1271"/>
      <c r="F22" s="1271"/>
      <c r="G22" s="1271"/>
      <c r="H22" s="1271"/>
      <c r="I22" s="1271"/>
      <c r="J22" s="1271"/>
      <c r="K22" s="1271"/>
      <c r="L22" s="1271"/>
      <c r="M22" s="1271"/>
      <c r="N22" s="1271"/>
      <c r="O22" s="1271"/>
      <c r="P22" s="1271"/>
      <c r="Q22" s="1271"/>
      <c r="R22" s="1271"/>
      <c r="S22" s="1271"/>
      <c r="T22" s="1271"/>
      <c r="U22" s="1271"/>
      <c r="V22" s="1271"/>
      <c r="W22" s="1271"/>
      <c r="X22" s="1271"/>
      <c r="Y22" s="171"/>
      <c r="Z22" s="170"/>
      <c r="AA22" s="170"/>
      <c r="AB22" s="170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</row>
    <row r="23" spans="1:42" hidden="1" x14ac:dyDescent="0.2">
      <c r="A23" s="1271"/>
      <c r="B23" s="1271"/>
      <c r="C23" s="1271"/>
      <c r="D23" s="1271"/>
      <c r="E23" s="1271"/>
      <c r="F23" s="1271"/>
      <c r="G23" s="1271"/>
      <c r="H23" s="1271"/>
      <c r="I23" s="1271"/>
      <c r="J23" s="1271"/>
      <c r="K23" s="1271"/>
      <c r="L23" s="1271"/>
      <c r="M23" s="1271"/>
      <c r="N23" s="1271"/>
      <c r="O23" s="1271"/>
      <c r="P23" s="1271"/>
      <c r="Q23" s="1271"/>
      <c r="R23" s="1271"/>
      <c r="S23" s="1271"/>
      <c r="T23" s="1271"/>
      <c r="U23" s="1271"/>
      <c r="V23" s="1271"/>
      <c r="W23" s="1271"/>
      <c r="X23" s="1271"/>
    </row>
    <row r="26" spans="1:42" x14ac:dyDescent="0.2">
      <c r="U26" s="1266"/>
      <c r="V26" s="1270"/>
      <c r="W26" s="1270"/>
      <c r="X26" s="1270"/>
      <c r="Y26" s="1270"/>
    </row>
    <row r="27" spans="1:42" x14ac:dyDescent="0.2">
      <c r="U27" s="1270"/>
      <c r="V27" s="1270"/>
      <c r="W27" s="1270"/>
      <c r="X27" s="1270"/>
      <c r="Y27" s="1270"/>
    </row>
    <row r="28" spans="1:42" x14ac:dyDescent="0.2">
      <c r="U28" s="1270"/>
      <c r="V28" s="1270"/>
      <c r="W28" s="1270"/>
      <c r="X28" s="1270"/>
      <c r="Y28" s="1270"/>
    </row>
    <row r="29" spans="1:42" x14ac:dyDescent="0.2">
      <c r="U29" s="1270"/>
      <c r="V29" s="1270"/>
      <c r="W29" s="1270"/>
      <c r="X29" s="1270"/>
      <c r="Y29" s="1270"/>
    </row>
  </sheetData>
  <mergeCells count="28">
    <mergeCell ref="W11:W12"/>
    <mergeCell ref="J11:J12"/>
    <mergeCell ref="K11:K12"/>
    <mergeCell ref="L11:L12"/>
    <mergeCell ref="M11:M12"/>
    <mergeCell ref="O11:O12"/>
    <mergeCell ref="Q11:Q12"/>
    <mergeCell ref="A11:A12"/>
    <mergeCell ref="B11:B12"/>
    <mergeCell ref="E11:E12"/>
    <mergeCell ref="F11:F12"/>
    <mergeCell ref="G11:G12"/>
    <mergeCell ref="AQ11:AQ12"/>
    <mergeCell ref="AR11:AR12"/>
    <mergeCell ref="U26:Y29"/>
    <mergeCell ref="D10:P10"/>
    <mergeCell ref="R10:T10"/>
    <mergeCell ref="U10:AP10"/>
    <mergeCell ref="H11:H12"/>
    <mergeCell ref="I11:I12"/>
    <mergeCell ref="AA11:AA12"/>
    <mergeCell ref="AB11:AB12"/>
    <mergeCell ref="A22:X23"/>
    <mergeCell ref="R11:R12"/>
    <mergeCell ref="S11:S12"/>
    <mergeCell ref="T11:T12"/>
    <mergeCell ref="U11:U12"/>
    <mergeCell ref="V11:V12"/>
  </mergeCells>
  <printOptions horizontalCentered="1"/>
  <pageMargins left="0.39370078740157483" right="0.19685039370078741" top="0.39370078740157483" bottom="0.39370078740157483" header="0" footer="0"/>
  <pageSetup scale="45" orientation="landscape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FC285"/>
  <sheetViews>
    <sheetView topLeftCell="A4" zoomScale="90" zoomScaleNormal="90" workbookViewId="0">
      <selection activeCell="A25" sqref="A25:XFD25"/>
    </sheetView>
  </sheetViews>
  <sheetFormatPr baseColWidth="10" defaultRowHeight="12.75" x14ac:dyDescent="0.2"/>
  <cols>
    <col min="1" max="1" width="16.85546875" customWidth="1"/>
    <col min="2" max="2" width="20.42578125" customWidth="1"/>
    <col min="3" max="3" width="15.42578125" customWidth="1"/>
    <col min="4" max="4" width="6.7109375" style="18" hidden="1" customWidth="1"/>
    <col min="5" max="5" width="7.42578125" style="18" hidden="1" customWidth="1"/>
    <col min="6" max="6" width="9.7109375" hidden="1" customWidth="1"/>
    <col min="7" max="14" width="8.5703125" hidden="1" customWidth="1"/>
    <col min="15" max="15" width="8.42578125" hidden="1" customWidth="1"/>
    <col min="16" max="16" width="8.5703125" hidden="1" customWidth="1"/>
    <col min="17" max="17" width="11" hidden="1" customWidth="1"/>
    <col min="18" max="18" width="10.28515625" style="19" hidden="1" customWidth="1"/>
    <col min="19" max="19" width="9.5703125" style="19" hidden="1" customWidth="1"/>
    <col min="20" max="21" width="8.42578125" style="12" hidden="1" customWidth="1"/>
    <col min="22" max="22" width="10.140625" style="104" hidden="1" customWidth="1"/>
    <col min="23" max="24" width="8.7109375" hidden="1" customWidth="1"/>
    <col min="25" max="25" width="8.7109375" style="77" hidden="1" customWidth="1"/>
    <col min="26" max="26" width="7.42578125" hidden="1" customWidth="1"/>
    <col min="27" max="27" width="8.85546875" hidden="1" customWidth="1"/>
    <col min="28" max="28" width="8.7109375" hidden="1" customWidth="1"/>
    <col min="29" max="33" width="7.7109375" hidden="1" customWidth="1"/>
    <col min="34" max="34" width="11.28515625" hidden="1" customWidth="1"/>
    <col min="35" max="36" width="7.7109375" hidden="1" customWidth="1"/>
    <col min="37" max="37" width="8.42578125" hidden="1" customWidth="1"/>
    <col min="38" max="40" width="7.7109375" hidden="1" customWidth="1"/>
    <col min="41" max="41" width="9.28515625" hidden="1" customWidth="1"/>
    <col min="42" max="42" width="10" style="69" hidden="1" customWidth="1"/>
    <col min="43" max="43" width="7.7109375" hidden="1" customWidth="1"/>
    <col min="44" max="44" width="7" hidden="1" customWidth="1"/>
    <col min="45" max="45" width="8.7109375" hidden="1" customWidth="1"/>
    <col min="46" max="46" width="9" hidden="1" customWidth="1"/>
    <col min="47" max="47" width="9.140625" hidden="1" customWidth="1"/>
    <col min="48" max="48" width="8.7109375" hidden="1" customWidth="1"/>
    <col min="49" max="49" width="10.28515625" hidden="1" customWidth="1"/>
    <col min="50" max="50" width="10.85546875" hidden="1" customWidth="1"/>
    <col min="51" max="51" width="8.7109375" style="77" hidden="1" customWidth="1"/>
    <col min="52" max="52" width="7.42578125" hidden="1" customWidth="1"/>
    <col min="53" max="53" width="8.85546875" hidden="1" customWidth="1"/>
    <col min="54" max="54" width="8.7109375" hidden="1" customWidth="1"/>
    <col min="55" max="59" width="9" hidden="1" customWidth="1"/>
    <col min="60" max="61" width="11.42578125" hidden="1" customWidth="1"/>
    <col min="62" max="62" width="10.85546875" hidden="1" customWidth="1"/>
    <col min="63" max="64" width="9.140625" hidden="1" customWidth="1"/>
    <col min="65" max="65" width="9" hidden="1" customWidth="1"/>
    <col min="66" max="66" width="9.140625" hidden="1" customWidth="1"/>
    <col min="67" max="67" width="8.7109375" hidden="1" customWidth="1"/>
    <col min="68" max="68" width="10.28515625" hidden="1" customWidth="1"/>
    <col min="69" max="69" width="8.7109375" hidden="1" customWidth="1"/>
    <col min="70" max="70" width="8.7109375" style="77" hidden="1" customWidth="1"/>
    <col min="71" max="71" width="7.42578125" hidden="1" customWidth="1"/>
    <col min="72" max="72" width="8.85546875" hidden="1" customWidth="1"/>
    <col min="73" max="73" width="8.7109375" hidden="1" customWidth="1"/>
    <col min="74" max="78" width="9" hidden="1" customWidth="1"/>
    <col min="79" max="80" width="11.42578125" hidden="1" customWidth="1"/>
    <col min="81" max="81" width="8.5703125" hidden="1" customWidth="1"/>
    <col min="82" max="82" width="10.42578125" hidden="1" customWidth="1"/>
    <col min="83" max="83" width="6.7109375" style="18" hidden="1" customWidth="1"/>
    <col min="84" max="84" width="7.42578125" style="18" hidden="1" customWidth="1"/>
    <col min="85" max="85" width="9.7109375" hidden="1" customWidth="1"/>
    <col min="86" max="93" width="8.5703125" hidden="1" customWidth="1"/>
    <col min="94" max="94" width="8.42578125" hidden="1" customWidth="1"/>
    <col min="95" max="95" width="8.5703125" hidden="1" customWidth="1"/>
    <col min="96" max="96" width="11" hidden="1" customWidth="1"/>
    <col min="97" max="97" width="10.28515625" style="19" hidden="1" customWidth="1"/>
    <col min="98" max="98" width="9.5703125" style="19" hidden="1" customWidth="1"/>
    <col min="99" max="99" width="8.42578125" style="12" hidden="1" customWidth="1"/>
    <col min="100" max="100" width="12.28515625" hidden="1" customWidth="1"/>
    <col min="101" max="101" width="10.85546875" hidden="1" customWidth="1"/>
    <col min="102" max="102" width="8.7109375" style="77" hidden="1" customWidth="1"/>
    <col min="103" max="103" width="7.42578125" hidden="1" customWidth="1"/>
    <col min="104" max="104" width="8.85546875" hidden="1" customWidth="1"/>
    <col min="105" max="105" width="8.7109375" hidden="1" customWidth="1"/>
    <col min="106" max="110" width="9" hidden="1" customWidth="1"/>
    <col min="111" max="112" width="11.42578125" hidden="1" customWidth="1"/>
    <col min="113" max="113" width="12.28515625" hidden="1" customWidth="1"/>
    <col min="114" max="114" width="12" hidden="1" customWidth="1"/>
    <col min="115" max="115" width="9.140625" hidden="1" customWidth="1"/>
    <col min="116" max="116" width="9" hidden="1" customWidth="1"/>
    <col min="117" max="117" width="9.140625" hidden="1" customWidth="1"/>
    <col min="118" max="118" width="8.7109375" hidden="1" customWidth="1"/>
    <col min="119" max="119" width="6.7109375" style="18" customWidth="1"/>
    <col min="120" max="120" width="7.42578125" style="18" customWidth="1"/>
    <col min="121" max="121" width="9.7109375" customWidth="1"/>
    <col min="122" max="128" width="8.5703125" customWidth="1"/>
    <col min="129" max="129" width="8.5703125" hidden="1" customWidth="1"/>
    <col min="130" max="130" width="8.42578125" hidden="1" customWidth="1"/>
    <col min="131" max="131" width="8.5703125" hidden="1" customWidth="1"/>
    <col min="132" max="132" width="11" customWidth="1"/>
    <col min="133" max="133" width="10.28515625" style="19" customWidth="1"/>
    <col min="134" max="134" width="9.5703125" style="19" customWidth="1"/>
    <col min="135" max="135" width="8.42578125" style="12" customWidth="1"/>
    <col min="136" max="136" width="12.28515625" customWidth="1"/>
    <col min="137" max="137" width="10.85546875" hidden="1" customWidth="1"/>
    <col min="138" max="138" width="8.7109375" style="77" hidden="1" customWidth="1"/>
    <col min="139" max="139" width="7.42578125" hidden="1" customWidth="1"/>
    <col min="140" max="140" width="8.85546875" hidden="1" customWidth="1"/>
    <col min="141" max="141" width="8.7109375" hidden="1" customWidth="1"/>
    <col min="142" max="146" width="9" hidden="1" customWidth="1"/>
    <col min="147" max="149" width="11.42578125" hidden="1" customWidth="1"/>
    <col min="150" max="150" width="12.28515625" hidden="1" customWidth="1"/>
    <col min="151" max="151" width="12" customWidth="1"/>
  </cols>
  <sheetData>
    <row r="1" spans="1:151" x14ac:dyDescent="0.2">
      <c r="A1" s="556"/>
      <c r="B1" s="549" t="s">
        <v>27</v>
      </c>
      <c r="C1" s="556"/>
      <c r="D1" s="569"/>
      <c r="E1" s="569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70"/>
      <c r="S1" s="570"/>
      <c r="T1" s="556"/>
      <c r="U1" s="556"/>
      <c r="V1" s="571"/>
      <c r="W1" s="572"/>
      <c r="X1" s="572"/>
      <c r="Y1" s="573"/>
      <c r="Z1" s="572"/>
      <c r="AA1" s="572"/>
      <c r="AB1" s="572"/>
      <c r="AC1" s="572"/>
      <c r="AD1" s="556"/>
      <c r="AE1" s="556"/>
      <c r="AF1" s="556"/>
      <c r="AG1" s="556"/>
      <c r="AH1" s="556"/>
      <c r="AI1" s="556"/>
      <c r="AJ1" s="556"/>
      <c r="AK1" s="556"/>
      <c r="AL1" s="556"/>
      <c r="AM1" s="556"/>
      <c r="AN1" s="572" t="s">
        <v>1072</v>
      </c>
      <c r="AO1" s="556"/>
      <c r="AP1" s="574"/>
      <c r="AQ1" s="556"/>
      <c r="AR1" s="556"/>
      <c r="AS1" s="556"/>
      <c r="AT1" s="556"/>
      <c r="AU1" s="556"/>
      <c r="AV1" s="556"/>
      <c r="AW1" s="556"/>
      <c r="AX1" s="572"/>
      <c r="AY1" s="573"/>
      <c r="AZ1" s="572"/>
      <c r="BA1" s="572"/>
      <c r="BB1" s="94"/>
      <c r="BQ1" s="94"/>
      <c r="BR1" s="95"/>
      <c r="BS1" s="94"/>
      <c r="BT1" s="94"/>
      <c r="BU1" s="94"/>
      <c r="CE1" s="569"/>
      <c r="CF1" s="569"/>
      <c r="CG1" s="556"/>
      <c r="CH1" s="556"/>
      <c r="CI1" s="556"/>
      <c r="CJ1" s="556"/>
      <c r="CK1" s="556"/>
      <c r="CL1" s="556"/>
      <c r="CM1" s="556"/>
      <c r="CN1" s="556"/>
      <c r="CO1" s="556"/>
      <c r="CP1" s="556"/>
      <c r="CQ1" s="556"/>
      <c r="CR1" s="556"/>
      <c r="CS1" s="570"/>
      <c r="CT1" s="570"/>
      <c r="CU1" s="556"/>
      <c r="CW1" s="572"/>
      <c r="CX1" s="573"/>
      <c r="CY1" s="572"/>
      <c r="CZ1" s="572"/>
      <c r="DA1" s="94"/>
      <c r="DO1" s="569"/>
      <c r="DP1" s="569"/>
      <c r="DQ1" s="556"/>
      <c r="DR1" s="556"/>
      <c r="DS1" s="556"/>
      <c r="DT1" s="556"/>
      <c r="DU1" s="556"/>
      <c r="DV1" s="556"/>
      <c r="DW1" s="556"/>
      <c r="DX1" s="556"/>
      <c r="DY1" s="556"/>
      <c r="DZ1" s="556"/>
      <c r="EA1" s="556"/>
      <c r="EB1" s="556"/>
      <c r="EC1" s="570"/>
      <c r="ED1" s="570"/>
      <c r="EE1" s="556"/>
      <c r="EG1" s="748"/>
      <c r="EH1" s="749"/>
      <c r="EI1" s="748"/>
      <c r="EJ1" s="748"/>
      <c r="EK1" s="541"/>
    </row>
    <row r="2" spans="1:151" x14ac:dyDescent="0.2">
      <c r="A2" s="556"/>
      <c r="B2" s="549" t="s">
        <v>1273</v>
      </c>
      <c r="C2" s="556"/>
      <c r="D2" s="569"/>
      <c r="E2" s="569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70"/>
      <c r="S2" s="570"/>
      <c r="T2" s="556"/>
      <c r="U2" s="556"/>
      <c r="V2" s="571"/>
      <c r="W2" s="572"/>
      <c r="X2" s="572"/>
      <c r="Y2" s="573"/>
      <c r="Z2" s="572"/>
      <c r="AA2" s="572"/>
      <c r="AB2" s="572"/>
      <c r="AC2" s="572"/>
      <c r="AD2" s="556"/>
      <c r="AE2" s="556"/>
      <c r="AF2" s="556"/>
      <c r="AG2" s="556"/>
      <c r="AH2" s="556"/>
      <c r="AI2" s="556"/>
      <c r="AJ2" s="556"/>
      <c r="AK2" s="556"/>
      <c r="AL2" s="556"/>
      <c r="AM2" s="556"/>
      <c r="AN2" s="556"/>
      <c r="AO2" s="556"/>
      <c r="AP2" s="574"/>
      <c r="AQ2" s="556"/>
      <c r="AR2" s="556"/>
      <c r="AS2" s="556"/>
      <c r="AT2" s="556"/>
      <c r="AU2" s="556"/>
      <c r="AV2" s="556"/>
      <c r="AW2" s="556"/>
      <c r="AX2" s="572"/>
      <c r="AY2" s="573"/>
      <c r="AZ2" s="572"/>
      <c r="BA2" s="572"/>
      <c r="BB2" s="94"/>
      <c r="BQ2" s="94"/>
      <c r="BR2" s="95"/>
      <c r="BS2" s="94"/>
      <c r="BT2" s="94"/>
      <c r="BU2" s="94"/>
      <c r="CE2" s="569"/>
      <c r="CF2" s="569"/>
      <c r="CG2" s="556"/>
      <c r="CH2" s="556"/>
      <c r="CI2" s="556"/>
      <c r="CJ2" s="556"/>
      <c r="CK2" s="556"/>
      <c r="CL2" s="556"/>
      <c r="CM2" s="556"/>
      <c r="CN2" s="556"/>
      <c r="CO2" s="556"/>
      <c r="CP2" s="556"/>
      <c r="CQ2" s="556"/>
      <c r="CR2" s="556"/>
      <c r="CS2" s="570"/>
      <c r="CT2" s="570"/>
      <c r="CU2" s="556"/>
      <c r="CW2" s="572"/>
      <c r="CX2" s="573"/>
      <c r="CY2" s="572"/>
      <c r="CZ2" s="572"/>
      <c r="DA2" s="94"/>
      <c r="DO2" s="569"/>
      <c r="DP2" s="569"/>
      <c r="DQ2" s="556"/>
      <c r="DR2" s="556"/>
      <c r="DS2" s="556"/>
      <c r="DT2" s="556"/>
      <c r="DU2" s="556"/>
      <c r="DV2" s="556"/>
      <c r="DW2" s="556"/>
      <c r="DX2" s="556"/>
      <c r="DY2" s="556"/>
      <c r="DZ2" s="556"/>
      <c r="EA2" s="556"/>
      <c r="EB2" s="556"/>
      <c r="EC2" s="570"/>
      <c r="ED2" s="570"/>
      <c r="EE2" s="556"/>
      <c r="EG2" s="748"/>
      <c r="EH2" s="749"/>
      <c r="EI2" s="748"/>
      <c r="EJ2" s="748"/>
      <c r="EK2" s="541"/>
    </row>
    <row r="3" spans="1:151" x14ac:dyDescent="0.2">
      <c r="A3" s="556"/>
      <c r="B3" s="556"/>
      <c r="C3" s="549"/>
      <c r="D3" s="575"/>
      <c r="E3" s="569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49"/>
      <c r="S3" s="549"/>
      <c r="T3" s="561"/>
      <c r="U3" s="561"/>
      <c r="V3" s="576"/>
      <c r="W3" s="572"/>
      <c r="X3" s="572"/>
      <c r="Y3" s="573"/>
      <c r="Z3" s="572"/>
      <c r="AA3" s="572"/>
      <c r="AB3" s="572"/>
      <c r="AC3" s="572"/>
      <c r="AD3" s="556"/>
      <c r="AE3" s="556"/>
      <c r="AF3" s="556"/>
      <c r="AG3" s="556"/>
      <c r="AH3" s="556"/>
      <c r="AI3" s="556"/>
      <c r="AJ3" s="556"/>
      <c r="AK3" s="556"/>
      <c r="AL3" s="556"/>
      <c r="AM3" s="556"/>
      <c r="AN3" s="556"/>
      <c r="AO3" s="556"/>
      <c r="AP3" s="574"/>
      <c r="AQ3" s="556"/>
      <c r="AR3" s="556"/>
      <c r="AS3" s="556"/>
      <c r="AT3" s="556"/>
      <c r="AU3" s="556"/>
      <c r="AV3" s="556"/>
      <c r="AW3" s="556"/>
      <c r="AX3" s="572"/>
      <c r="AY3" s="573"/>
      <c r="AZ3" s="572"/>
      <c r="BA3" s="572"/>
      <c r="BB3" s="94"/>
      <c r="BQ3" s="94"/>
      <c r="BR3" s="95"/>
      <c r="BS3" s="94"/>
      <c r="BT3" s="94"/>
      <c r="BU3" s="94"/>
      <c r="CE3" s="575"/>
      <c r="CF3" s="569"/>
      <c r="CG3" s="561"/>
      <c r="CH3" s="561"/>
      <c r="CI3" s="561"/>
      <c r="CJ3" s="561"/>
      <c r="CK3" s="561"/>
      <c r="CL3" s="561"/>
      <c r="CM3" s="561"/>
      <c r="CN3" s="561"/>
      <c r="CO3" s="561"/>
      <c r="CP3" s="561"/>
      <c r="CQ3" s="561"/>
      <c r="CR3" s="561"/>
      <c r="CS3" s="549"/>
      <c r="CT3" s="549"/>
      <c r="CU3" s="561"/>
      <c r="CW3" s="572"/>
      <c r="CX3" s="573"/>
      <c r="CY3" s="572"/>
      <c r="CZ3" s="572"/>
      <c r="DA3" s="94"/>
      <c r="DO3" s="575"/>
      <c r="DP3" s="569"/>
      <c r="DQ3" s="561"/>
      <c r="DR3" s="561"/>
      <c r="DS3" s="561"/>
      <c r="DT3" s="561"/>
      <c r="DU3" s="561"/>
      <c r="DV3" s="561"/>
      <c r="DW3" s="561"/>
      <c r="DX3" s="561"/>
      <c r="DY3" s="561"/>
      <c r="DZ3" s="561"/>
      <c r="EA3" s="561"/>
      <c r="EB3" s="561"/>
      <c r="EC3" s="549"/>
      <c r="ED3" s="549"/>
      <c r="EE3" s="561"/>
      <c r="EG3" s="748"/>
      <c r="EH3" s="749"/>
      <c r="EI3" s="748"/>
      <c r="EJ3" s="748"/>
      <c r="EK3" s="541"/>
    </row>
    <row r="4" spans="1:151" x14ac:dyDescent="0.2">
      <c r="A4" s="556"/>
      <c r="B4" s="556" t="s">
        <v>309</v>
      </c>
      <c r="C4" s="549"/>
      <c r="D4" s="575"/>
      <c r="E4" s="569"/>
      <c r="F4" s="561"/>
      <c r="G4" s="561"/>
      <c r="H4" s="561"/>
      <c r="I4" s="561"/>
      <c r="J4" s="561"/>
      <c r="K4" s="561"/>
      <c r="L4" s="561"/>
      <c r="M4" s="561"/>
      <c r="N4" s="561"/>
      <c r="O4" s="561"/>
      <c r="P4" s="561"/>
      <c r="Q4" s="561"/>
      <c r="R4" s="549"/>
      <c r="S4" s="549"/>
      <c r="T4" s="561"/>
      <c r="U4" s="561"/>
      <c r="V4" s="576"/>
      <c r="W4" s="572"/>
      <c r="X4" s="572"/>
      <c r="Y4" s="573"/>
      <c r="Z4" s="572"/>
      <c r="AA4" s="572"/>
      <c r="AB4" s="572"/>
      <c r="AC4" s="572"/>
      <c r="AD4" s="556"/>
      <c r="AE4" s="556"/>
      <c r="AF4" s="556"/>
      <c r="AG4" s="556"/>
      <c r="AH4" s="556"/>
      <c r="AI4" s="556"/>
      <c r="AJ4" s="556"/>
      <c r="AK4" s="556"/>
      <c r="AL4" s="556"/>
      <c r="AM4" s="556"/>
      <c r="AN4" s="556"/>
      <c r="AO4" s="556"/>
      <c r="AP4" s="574"/>
      <c r="AQ4" s="556"/>
      <c r="AR4" s="556"/>
      <c r="AS4" s="556"/>
      <c r="AT4" s="556"/>
      <c r="AU4" s="556"/>
      <c r="AV4" s="556"/>
      <c r="AW4" s="556"/>
      <c r="AX4" s="572"/>
      <c r="AY4" s="573"/>
      <c r="AZ4" s="572"/>
      <c r="BA4" s="572"/>
      <c r="BB4" s="94"/>
      <c r="BQ4" s="94"/>
      <c r="BR4" s="95"/>
      <c r="BS4" s="94"/>
      <c r="BT4" s="94"/>
      <c r="BU4" s="94"/>
      <c r="CE4" s="575"/>
      <c r="CF4" s="569"/>
      <c r="CG4" s="561"/>
      <c r="CH4" s="561"/>
      <c r="CI4" s="561"/>
      <c r="CJ4" s="561"/>
      <c r="CK4" s="561"/>
      <c r="CL4" s="561"/>
      <c r="CM4" s="561"/>
      <c r="CN4" s="561"/>
      <c r="CO4" s="561"/>
      <c r="CP4" s="561"/>
      <c r="CQ4" s="561"/>
      <c r="CR4" s="561"/>
      <c r="CS4" s="549"/>
      <c r="CT4" s="549"/>
      <c r="CU4" s="561"/>
      <c r="CW4" s="572"/>
      <c r="CX4" s="573"/>
      <c r="CY4" s="572"/>
      <c r="CZ4" s="572"/>
      <c r="DA4" s="94"/>
      <c r="DO4" s="575"/>
      <c r="DP4" s="569"/>
      <c r="DQ4" s="561"/>
      <c r="DR4" s="561"/>
      <c r="DS4" s="561"/>
      <c r="DT4" s="561"/>
      <c r="DU4" s="561"/>
      <c r="DV4" s="561"/>
      <c r="DW4" s="561"/>
      <c r="DX4" s="561"/>
      <c r="DY4" s="561"/>
      <c r="DZ4" s="561"/>
      <c r="EA4" s="561"/>
      <c r="EB4" s="561"/>
      <c r="EC4" s="549"/>
      <c r="ED4" s="549"/>
      <c r="EE4" s="561"/>
      <c r="EG4" s="748"/>
      <c r="EH4" s="749"/>
      <c r="EI4" s="748"/>
      <c r="EJ4" s="748"/>
      <c r="EK4" s="541"/>
    </row>
    <row r="5" spans="1:151" x14ac:dyDescent="0.2">
      <c r="A5" s="556"/>
      <c r="B5" s="561" t="s">
        <v>334</v>
      </c>
      <c r="C5" s="556"/>
      <c r="D5" s="569"/>
      <c r="E5" s="569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70"/>
      <c r="S5" s="570"/>
      <c r="T5" s="556"/>
      <c r="U5" s="556"/>
      <c r="V5" s="571"/>
      <c r="W5" s="572"/>
      <c r="X5" s="572"/>
      <c r="Y5" s="573"/>
      <c r="Z5" s="572"/>
      <c r="AA5" s="572"/>
      <c r="AB5" s="572"/>
      <c r="AC5" s="572"/>
      <c r="AD5" s="556"/>
      <c r="AE5" s="556"/>
      <c r="AF5" s="556"/>
      <c r="AG5" s="556"/>
      <c r="AH5" s="556"/>
      <c r="AI5" s="556"/>
      <c r="AJ5" s="556"/>
      <c r="AK5" s="556"/>
      <c r="AL5" s="556"/>
      <c r="AM5" s="556"/>
      <c r="AN5" s="556"/>
      <c r="AO5" s="556"/>
      <c r="AP5" s="574"/>
      <c r="AQ5" s="556"/>
      <c r="AR5" s="556"/>
      <c r="AS5" s="556"/>
      <c r="AT5" s="556"/>
      <c r="AU5" s="556"/>
      <c r="AV5" s="556"/>
      <c r="AW5" s="556"/>
      <c r="AX5" s="572"/>
      <c r="AY5" s="573"/>
      <c r="AZ5" s="572"/>
      <c r="BA5" s="572"/>
      <c r="BB5" s="94"/>
      <c r="BQ5" s="94"/>
      <c r="BR5" s="95"/>
      <c r="BS5" s="94"/>
      <c r="BT5" s="94"/>
      <c r="BU5" s="94"/>
      <c r="CE5" s="569"/>
      <c r="CF5" s="569"/>
      <c r="CG5" s="556"/>
      <c r="CH5" s="556"/>
      <c r="CI5" s="556"/>
      <c r="CJ5" s="556"/>
      <c r="CK5" s="556"/>
      <c r="CL5" s="556"/>
      <c r="CM5" s="556"/>
      <c r="CN5" s="556"/>
      <c r="CO5" s="556"/>
      <c r="CP5" s="556"/>
      <c r="CQ5" s="556"/>
      <c r="CR5" s="556"/>
      <c r="CS5" s="570"/>
      <c r="CT5" s="570"/>
      <c r="CU5" s="556"/>
      <c r="CW5" s="572"/>
      <c r="CX5" s="573"/>
      <c r="CY5" s="572"/>
      <c r="CZ5" s="572"/>
      <c r="DA5" s="94"/>
      <c r="DO5" s="569"/>
      <c r="DP5" s="569"/>
      <c r="DQ5" s="556"/>
      <c r="DR5" s="556"/>
      <c r="DS5" s="556"/>
      <c r="DT5" s="556"/>
      <c r="DU5" s="556"/>
      <c r="DV5" s="556"/>
      <c r="DW5" s="556"/>
      <c r="DX5" s="556"/>
      <c r="DY5" s="556"/>
      <c r="DZ5" s="556"/>
      <c r="EA5" s="556"/>
      <c r="EB5" s="556"/>
      <c r="EC5" s="570"/>
      <c r="ED5" s="570"/>
      <c r="EE5" s="556"/>
      <c r="EG5" s="748"/>
      <c r="EH5" s="749"/>
      <c r="EI5" s="748"/>
      <c r="EJ5" s="748"/>
      <c r="EK5" s="541"/>
    </row>
    <row r="6" spans="1:151" x14ac:dyDescent="0.2">
      <c r="A6" s="556"/>
      <c r="B6" s="556" t="s">
        <v>1272</v>
      </c>
      <c r="C6" s="556"/>
      <c r="D6" s="569"/>
      <c r="E6" s="569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70"/>
      <c r="S6" s="570"/>
      <c r="T6" s="556"/>
      <c r="U6" s="556"/>
      <c r="V6" s="571"/>
      <c r="W6" s="572"/>
      <c r="X6" s="572"/>
      <c r="Y6" s="573"/>
      <c r="Z6" s="572"/>
      <c r="AA6" s="572"/>
      <c r="AB6" s="572"/>
      <c r="AC6" s="572"/>
      <c r="AD6" s="556"/>
      <c r="AE6" s="556"/>
      <c r="AF6" s="556"/>
      <c r="AG6" s="556"/>
      <c r="AH6" s="556"/>
      <c r="AI6" s="556"/>
      <c r="AJ6" s="556"/>
      <c r="AK6" s="556"/>
      <c r="AL6" s="556"/>
      <c r="AM6" s="556"/>
      <c r="AN6" s="556"/>
      <c r="AO6" s="556"/>
      <c r="AP6" s="574"/>
      <c r="AQ6" s="556"/>
      <c r="AR6" s="556"/>
      <c r="AS6" s="556"/>
      <c r="AT6" s="556"/>
      <c r="AU6" s="556"/>
      <c r="AV6" s="556"/>
      <c r="AW6" s="556"/>
      <c r="AX6" s="572"/>
      <c r="AY6" s="573"/>
      <c r="AZ6" s="572"/>
      <c r="BA6" s="572"/>
      <c r="BB6" s="94"/>
      <c r="BQ6" s="94"/>
      <c r="BR6" s="95"/>
      <c r="BS6" s="94"/>
      <c r="BT6" s="94"/>
      <c r="BU6" s="94"/>
      <c r="CE6" s="569"/>
      <c r="CF6" s="569"/>
      <c r="CG6" s="556"/>
      <c r="CH6" s="556"/>
      <c r="CI6" s="556"/>
      <c r="CJ6" s="556"/>
      <c r="CK6" s="556"/>
      <c r="CL6" s="556"/>
      <c r="CM6" s="556"/>
      <c r="CN6" s="556"/>
      <c r="CO6" s="556"/>
      <c r="CP6" s="556"/>
      <c r="CQ6" s="556"/>
      <c r="CR6" s="556"/>
      <c r="CS6" s="570"/>
      <c r="CT6" s="570"/>
      <c r="CU6" s="556"/>
      <c r="CW6" s="572"/>
      <c r="CX6" s="573"/>
      <c r="CY6" s="572"/>
      <c r="CZ6" s="572"/>
      <c r="DA6" s="94"/>
      <c r="DO6" s="569"/>
      <c r="DP6" s="569"/>
      <c r="DQ6" s="556"/>
      <c r="DR6" s="556"/>
      <c r="DS6" s="556"/>
      <c r="DT6" s="556"/>
      <c r="DU6" s="556"/>
      <c r="DV6" s="556"/>
      <c r="DW6" s="556"/>
      <c r="DX6" s="556"/>
      <c r="DY6" s="556"/>
      <c r="DZ6" s="556"/>
      <c r="EA6" s="556"/>
      <c r="EB6" s="556"/>
      <c r="EC6" s="570"/>
      <c r="ED6" s="570"/>
      <c r="EE6" s="556"/>
      <c r="EG6" s="748"/>
      <c r="EH6" s="749"/>
      <c r="EI6" s="748"/>
      <c r="EJ6" s="748"/>
      <c r="EK6" s="541"/>
    </row>
    <row r="7" spans="1:151" x14ac:dyDescent="0.2">
      <c r="A7" s="556"/>
      <c r="B7" s="556"/>
      <c r="C7" s="556"/>
      <c r="D7" s="569"/>
      <c r="E7" s="569"/>
      <c r="F7" s="556"/>
      <c r="G7" s="556"/>
      <c r="H7" s="556"/>
      <c r="I7" s="556"/>
      <c r="J7" s="556"/>
      <c r="K7" s="556"/>
      <c r="L7" s="556"/>
      <c r="M7" s="556"/>
      <c r="N7" s="556"/>
      <c r="O7" s="556"/>
      <c r="P7" s="556"/>
      <c r="Q7" s="556"/>
      <c r="R7" s="570"/>
      <c r="S7" s="570"/>
      <c r="T7" s="556"/>
      <c r="U7" s="556"/>
      <c r="V7" s="571"/>
      <c r="W7" s="572"/>
      <c r="X7" s="572"/>
      <c r="Y7" s="573"/>
      <c r="Z7" s="572"/>
      <c r="AA7" s="572"/>
      <c r="AB7" s="572"/>
      <c r="AC7" s="572"/>
      <c r="AD7" s="556"/>
      <c r="AE7" s="556"/>
      <c r="AF7" s="556"/>
      <c r="AG7" s="556"/>
      <c r="AH7" s="556"/>
      <c r="AI7" s="556"/>
      <c r="AJ7" s="556"/>
      <c r="AK7" s="556"/>
      <c r="AL7" s="556"/>
      <c r="AM7" s="556"/>
      <c r="AN7" s="556"/>
      <c r="AO7" s="556"/>
      <c r="AP7" s="574"/>
      <c r="AQ7" s="556"/>
      <c r="AR7" s="556"/>
      <c r="AS7" s="556"/>
      <c r="AT7" s="556"/>
      <c r="AU7" s="556"/>
      <c r="AV7" s="556"/>
      <c r="AW7" s="556"/>
      <c r="AX7" s="572"/>
      <c r="AY7" s="573"/>
      <c r="AZ7" s="572"/>
      <c r="BA7" s="572"/>
      <c r="BB7" s="94"/>
      <c r="BQ7" s="94"/>
      <c r="BR7" s="95"/>
      <c r="BS7" s="94"/>
      <c r="BT7" s="94"/>
      <c r="BU7" s="94"/>
      <c r="CE7" s="569"/>
      <c r="CF7" s="569"/>
      <c r="CG7" s="556"/>
      <c r="CH7" s="556"/>
      <c r="CI7" s="556"/>
      <c r="CJ7" s="556"/>
      <c r="CK7" s="556"/>
      <c r="CL7" s="556"/>
      <c r="CM7" s="556"/>
      <c r="CN7" s="556"/>
      <c r="CO7" s="556"/>
      <c r="CP7" s="556"/>
      <c r="CQ7" s="556"/>
      <c r="CR7" s="556"/>
      <c r="CS7" s="570"/>
      <c r="CT7" s="570"/>
      <c r="CU7" s="556"/>
      <c r="CW7" s="572"/>
      <c r="CX7" s="573"/>
      <c r="CY7" s="572"/>
      <c r="CZ7" s="572"/>
      <c r="DA7" s="94"/>
      <c r="DO7" s="569"/>
      <c r="DP7" s="569"/>
      <c r="DQ7" s="556"/>
      <c r="DR7" s="556"/>
      <c r="DS7" s="556"/>
      <c r="DT7" s="556"/>
      <c r="DU7" s="556"/>
      <c r="DV7" s="556"/>
      <c r="DW7" s="556"/>
      <c r="DX7" s="556"/>
      <c r="DY7" s="556"/>
      <c r="DZ7" s="556"/>
      <c r="EA7" s="556"/>
      <c r="EB7" s="556"/>
      <c r="EC7" s="570"/>
      <c r="ED7" s="570"/>
      <c r="EE7" s="556"/>
      <c r="EG7" s="748"/>
      <c r="EH7" s="749"/>
      <c r="EI7" s="748"/>
      <c r="EJ7" s="748"/>
      <c r="EK7" s="541"/>
    </row>
    <row r="8" spans="1:151" s="16" customFormat="1" x14ac:dyDescent="0.2">
      <c r="D8" s="38"/>
      <c r="E8" s="38"/>
      <c r="R8" s="37"/>
      <c r="S8" s="37"/>
      <c r="T8" s="35"/>
      <c r="U8" s="35"/>
      <c r="V8" s="103"/>
      <c r="W8" s="39"/>
      <c r="X8" s="39"/>
      <c r="Y8" s="76"/>
      <c r="Z8" s="39"/>
      <c r="AA8" s="39"/>
      <c r="AB8" s="39"/>
      <c r="AC8" s="39"/>
      <c r="AP8" s="68"/>
      <c r="AX8" s="39"/>
      <c r="AY8" s="76"/>
      <c r="AZ8" s="39"/>
      <c r="BA8" s="39"/>
      <c r="BB8" s="39"/>
      <c r="BQ8" s="39"/>
      <c r="BR8" s="76"/>
      <c r="BS8" s="39"/>
      <c r="BT8" s="39"/>
      <c r="BU8" s="39"/>
      <c r="CE8" s="38"/>
      <c r="CF8" s="38"/>
      <c r="CS8" s="37"/>
      <c r="CT8" s="37"/>
      <c r="CU8" s="35"/>
      <c r="CW8" s="39"/>
      <c r="CX8" s="76"/>
      <c r="CY8" s="39"/>
      <c r="CZ8" s="39"/>
      <c r="DA8" s="39"/>
      <c r="DO8" s="38"/>
      <c r="DP8" s="38"/>
      <c r="EC8" s="37"/>
      <c r="ED8" s="37"/>
      <c r="EE8" s="35"/>
      <c r="EG8" s="39"/>
      <c r="EH8" s="76"/>
      <c r="EI8" s="39"/>
      <c r="EJ8" s="39"/>
      <c r="EK8" s="39"/>
    </row>
    <row r="9" spans="1:151" s="16" customFormat="1" ht="20.25" customHeight="1" x14ac:dyDescent="0.2">
      <c r="D9" s="38"/>
      <c r="E9" s="38"/>
      <c r="R9" s="37"/>
      <c r="S9" s="37"/>
      <c r="T9" s="35"/>
      <c r="U9" s="35"/>
      <c r="V9" s="103"/>
      <c r="W9" s="39"/>
      <c r="X9" s="39"/>
      <c r="Y9" s="76"/>
      <c r="Z9" s="39"/>
      <c r="AA9" s="39"/>
      <c r="AB9" s="39"/>
      <c r="AC9" s="39"/>
      <c r="AP9" s="68"/>
      <c r="AX9" s="39"/>
      <c r="AY9" s="76"/>
      <c r="AZ9" s="39"/>
      <c r="BA9" s="39"/>
      <c r="BB9" s="39"/>
      <c r="BQ9" s="39"/>
      <c r="BR9" s="76"/>
      <c r="BS9" s="39"/>
      <c r="BT9" s="39"/>
      <c r="BU9" s="39"/>
      <c r="CE9" s="38"/>
      <c r="CF9" s="38"/>
      <c r="CS9" s="37"/>
      <c r="CT9" s="37"/>
      <c r="CU9" s="35"/>
      <c r="CW9" s="39"/>
      <c r="CX9" s="76"/>
      <c r="CY9" s="39"/>
      <c r="CZ9" s="39"/>
      <c r="DA9" s="39"/>
      <c r="DO9" s="38"/>
      <c r="DP9" s="38"/>
      <c r="EC9" s="37"/>
      <c r="ED9" s="37"/>
      <c r="EE9" s="35"/>
      <c r="EG9" s="39"/>
      <c r="EH9" s="76"/>
      <c r="EI9" s="39"/>
      <c r="EJ9" s="39"/>
      <c r="EK9" s="39"/>
    </row>
    <row r="10" spans="1:151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1275" t="s">
        <v>450</v>
      </c>
      <c r="V10" s="1275"/>
      <c r="W10" s="1275"/>
      <c r="X10" s="1275"/>
      <c r="Y10" s="1275"/>
      <c r="Z10" s="1275"/>
      <c r="AA10" s="1275"/>
      <c r="AB10" s="1275"/>
      <c r="AC10" s="1275"/>
      <c r="AD10" s="1275"/>
      <c r="AE10" s="1275"/>
      <c r="AF10" s="1275"/>
      <c r="AG10" s="1275"/>
      <c r="AH10" s="1275"/>
      <c r="AI10" s="1275"/>
      <c r="AJ10" s="1275"/>
      <c r="AK10" s="1275"/>
      <c r="AL10" s="1275"/>
      <c r="AM10" s="1275"/>
      <c r="AN10" s="1275"/>
      <c r="AO10" s="1275"/>
      <c r="AP10" s="1275"/>
      <c r="AQ10" s="1275"/>
      <c r="AR10" s="1275"/>
      <c r="AS10" s="1275"/>
      <c r="AT10" s="1275"/>
      <c r="AU10" s="1275"/>
      <c r="AV10" s="1275"/>
      <c r="AW10" s="1275"/>
      <c r="AX10" s="1275"/>
      <c r="AY10" s="1275"/>
      <c r="AZ10" s="1275"/>
      <c r="BR10"/>
      <c r="CE10" s="1258" t="s">
        <v>532</v>
      </c>
      <c r="CF10" s="1258"/>
      <c r="CG10" s="1258"/>
      <c r="CH10" s="1258"/>
      <c r="CI10" s="1258"/>
      <c r="CJ10" s="1258"/>
      <c r="CK10" s="1258"/>
      <c r="CL10" s="1258"/>
      <c r="CM10" s="1258"/>
      <c r="CN10" s="1258"/>
      <c r="CO10" s="1258"/>
      <c r="CP10" s="1258"/>
      <c r="CQ10" s="1258"/>
      <c r="CR10" s="191"/>
      <c r="CS10" s="1259" t="s">
        <v>448</v>
      </c>
      <c r="CT10" s="1259"/>
      <c r="CU10" s="1259"/>
      <c r="CX10"/>
      <c r="DO10" s="1258" t="s">
        <v>532</v>
      </c>
      <c r="DP10" s="1258"/>
      <c r="DQ10" s="1258"/>
      <c r="DR10" s="1258"/>
      <c r="DS10" s="1258"/>
      <c r="DT10" s="1258"/>
      <c r="DU10" s="1258"/>
      <c r="DV10" s="1258"/>
      <c r="DW10" s="1258"/>
      <c r="DX10" s="1258"/>
      <c r="DY10" s="1258"/>
      <c r="DZ10" s="1258"/>
      <c r="EA10" s="1258"/>
      <c r="EB10" s="191"/>
      <c r="EC10" s="1259" t="s">
        <v>448</v>
      </c>
      <c r="ED10" s="1259"/>
      <c r="EE10" s="1259"/>
      <c r="EH10"/>
    </row>
    <row r="11" spans="1:151" ht="54" customHeight="1" x14ac:dyDescent="0.25">
      <c r="A11" s="1261" t="s">
        <v>57</v>
      </c>
      <c r="B11" s="1261" t="s">
        <v>0</v>
      </c>
      <c r="C11" s="201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526</v>
      </c>
      <c r="J11" s="1254" t="s">
        <v>525</v>
      </c>
      <c r="K11" s="1254" t="s">
        <v>534</v>
      </c>
      <c r="L11" s="1254" t="s">
        <v>493</v>
      </c>
      <c r="M11" s="1254" t="s">
        <v>535</v>
      </c>
      <c r="N11" s="200" t="s">
        <v>529</v>
      </c>
      <c r="O11" s="1254" t="s">
        <v>492</v>
      </c>
      <c r="P11" s="202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1245" t="s">
        <v>447</v>
      </c>
      <c r="V11" s="1268" t="s">
        <v>452</v>
      </c>
      <c r="W11" s="1245" t="s">
        <v>439</v>
      </c>
      <c r="X11" s="158" t="s">
        <v>15</v>
      </c>
      <c r="Y11" s="159" t="s">
        <v>15</v>
      </c>
      <c r="Z11" s="158" t="s">
        <v>16</v>
      </c>
      <c r="AA11" s="1245" t="s">
        <v>527</v>
      </c>
      <c r="AB11" s="1245" t="s">
        <v>536</v>
      </c>
      <c r="AC11" s="158" t="s">
        <v>3</v>
      </c>
      <c r="AD11" s="158" t="s">
        <v>4</v>
      </c>
      <c r="AE11" s="158" t="s">
        <v>5</v>
      </c>
      <c r="AF11" s="158" t="s">
        <v>6</v>
      </c>
      <c r="AG11" s="158" t="s">
        <v>7</v>
      </c>
      <c r="AH11" s="158" t="s">
        <v>8</v>
      </c>
      <c r="AI11" s="158" t="s">
        <v>9</v>
      </c>
      <c r="AJ11" s="158" t="s">
        <v>10</v>
      </c>
      <c r="AK11" s="158" t="s">
        <v>11</v>
      </c>
      <c r="AL11" s="158" t="s">
        <v>12</v>
      </c>
      <c r="AM11" s="158" t="s">
        <v>13</v>
      </c>
      <c r="AN11" s="158" t="s">
        <v>14</v>
      </c>
      <c r="AO11" s="196" t="s">
        <v>531</v>
      </c>
      <c r="AP11" s="160" t="s">
        <v>63</v>
      </c>
      <c r="AQ11" s="1245" t="s">
        <v>976</v>
      </c>
      <c r="AR11" s="1245" t="s">
        <v>536</v>
      </c>
      <c r="AS11" s="158" t="s">
        <v>3</v>
      </c>
      <c r="AT11" s="158" t="s">
        <v>4</v>
      </c>
      <c r="AU11" s="158" t="s">
        <v>5</v>
      </c>
      <c r="AV11" s="158" t="s">
        <v>6</v>
      </c>
      <c r="AW11" s="158" t="s">
        <v>7</v>
      </c>
      <c r="AX11" s="158" t="s">
        <v>15</v>
      </c>
      <c r="AY11" s="159" t="s">
        <v>15</v>
      </c>
      <c r="AZ11" s="158" t="s">
        <v>16</v>
      </c>
      <c r="BA11" s="1245" t="s">
        <v>1059</v>
      </c>
      <c r="BB11" s="1245" t="s">
        <v>536</v>
      </c>
      <c r="BC11" s="158" t="s">
        <v>8</v>
      </c>
      <c r="BD11" s="158" t="s">
        <v>9</v>
      </c>
      <c r="BE11" s="158" t="s">
        <v>10</v>
      </c>
      <c r="BF11" s="158" t="s">
        <v>11</v>
      </c>
      <c r="BG11" s="158" t="s">
        <v>12</v>
      </c>
      <c r="BH11" s="158" t="s">
        <v>13</v>
      </c>
      <c r="BI11" s="158" t="s">
        <v>14</v>
      </c>
      <c r="BJ11" s="196" t="s">
        <v>1042</v>
      </c>
      <c r="BK11" s="196" t="s">
        <v>63</v>
      </c>
      <c r="BL11" s="158" t="s">
        <v>3</v>
      </c>
      <c r="BM11" s="158" t="s">
        <v>4</v>
      </c>
      <c r="BN11" s="158" t="s">
        <v>5</v>
      </c>
      <c r="BO11" s="158" t="s">
        <v>6</v>
      </c>
      <c r="BP11" s="158" t="s">
        <v>7</v>
      </c>
      <c r="BQ11" s="158" t="s">
        <v>15</v>
      </c>
      <c r="BR11" s="159" t="s">
        <v>15</v>
      </c>
      <c r="BS11" s="158" t="s">
        <v>16</v>
      </c>
      <c r="BT11" s="1245" t="s">
        <v>1059</v>
      </c>
      <c r="BU11" s="1245" t="s">
        <v>536</v>
      </c>
      <c r="BV11" s="158" t="s">
        <v>8</v>
      </c>
      <c r="BW11" s="158" t="s">
        <v>9</v>
      </c>
      <c r="BX11" s="158" t="s">
        <v>10</v>
      </c>
      <c r="BY11" s="158" t="s">
        <v>11</v>
      </c>
      <c r="BZ11" s="158" t="s">
        <v>12</v>
      </c>
      <c r="CA11" s="158" t="s">
        <v>13</v>
      </c>
      <c r="CB11" s="158" t="s">
        <v>14</v>
      </c>
      <c r="CC11" s="196" t="s">
        <v>1058</v>
      </c>
      <c r="CD11" s="196" t="s">
        <v>63</v>
      </c>
      <c r="CE11" s="166" t="s">
        <v>306</v>
      </c>
      <c r="CF11" s="1263" t="s">
        <v>55</v>
      </c>
      <c r="CG11" s="1254" t="s">
        <v>564</v>
      </c>
      <c r="CH11" s="1254" t="s">
        <v>446</v>
      </c>
      <c r="CI11" s="1254" t="s">
        <v>533</v>
      </c>
      <c r="CJ11" s="1254" t="s">
        <v>526</v>
      </c>
      <c r="CK11" s="1254" t="s">
        <v>525</v>
      </c>
      <c r="CL11" s="1254" t="s">
        <v>534</v>
      </c>
      <c r="CM11" s="1254" t="s">
        <v>493</v>
      </c>
      <c r="CN11" s="1254" t="s">
        <v>535</v>
      </c>
      <c r="CO11" s="726" t="s">
        <v>529</v>
      </c>
      <c r="CP11" s="1254" t="s">
        <v>492</v>
      </c>
      <c r="CQ11" s="727" t="s">
        <v>530</v>
      </c>
      <c r="CR11" s="1256" t="s">
        <v>528</v>
      </c>
      <c r="CS11" s="1250" t="s">
        <v>437</v>
      </c>
      <c r="CT11" s="1250" t="s">
        <v>56</v>
      </c>
      <c r="CU11" s="1252" t="s">
        <v>449</v>
      </c>
      <c r="CV11" s="728" t="s">
        <v>63</v>
      </c>
      <c r="CW11" s="158" t="s">
        <v>15</v>
      </c>
      <c r="CX11" s="159" t="s">
        <v>15</v>
      </c>
      <c r="CY11" s="158" t="s">
        <v>16</v>
      </c>
      <c r="CZ11" s="1245" t="s">
        <v>1124</v>
      </c>
      <c r="DA11" s="1245" t="s">
        <v>536</v>
      </c>
      <c r="DB11" s="158" t="s">
        <v>8</v>
      </c>
      <c r="DC11" s="158" t="s">
        <v>9</v>
      </c>
      <c r="DD11" s="158" t="s">
        <v>10</v>
      </c>
      <c r="DE11" s="158" t="s">
        <v>11</v>
      </c>
      <c r="DF11" s="158" t="s">
        <v>12</v>
      </c>
      <c r="DG11" s="158" t="s">
        <v>13</v>
      </c>
      <c r="DH11" s="158" t="s">
        <v>14</v>
      </c>
      <c r="DI11" s="1247" t="s">
        <v>1141</v>
      </c>
      <c r="DJ11" s="728" t="s">
        <v>63</v>
      </c>
      <c r="DK11" s="158" t="s">
        <v>3</v>
      </c>
      <c r="DL11" s="158" t="s">
        <v>4</v>
      </c>
      <c r="DM11" s="158" t="s">
        <v>5</v>
      </c>
      <c r="DN11" s="158" t="s">
        <v>6</v>
      </c>
      <c r="DO11" s="166" t="s">
        <v>306</v>
      </c>
      <c r="DP11" s="1263" t="s">
        <v>55</v>
      </c>
      <c r="DQ11" s="1254" t="s">
        <v>564</v>
      </c>
      <c r="DR11" s="1254" t="s">
        <v>446</v>
      </c>
      <c r="DS11" s="1254" t="s">
        <v>533</v>
      </c>
      <c r="DT11" s="1254" t="s">
        <v>526</v>
      </c>
      <c r="DU11" s="1254" t="s">
        <v>525</v>
      </c>
      <c r="DV11" s="1254" t="s">
        <v>534</v>
      </c>
      <c r="DW11" s="1254" t="s">
        <v>493</v>
      </c>
      <c r="DX11" s="1254" t="s">
        <v>535</v>
      </c>
      <c r="DY11" s="730" t="s">
        <v>529</v>
      </c>
      <c r="DZ11" s="1254" t="s">
        <v>492</v>
      </c>
      <c r="EA11" s="731" t="s">
        <v>530</v>
      </c>
      <c r="EB11" s="1256" t="s">
        <v>528</v>
      </c>
      <c r="EC11" s="1250" t="s">
        <v>437</v>
      </c>
      <c r="ED11" s="1250" t="s">
        <v>56</v>
      </c>
      <c r="EE11" s="1252" t="s">
        <v>449</v>
      </c>
      <c r="EF11" s="732" t="s">
        <v>63</v>
      </c>
      <c r="EG11" s="158" t="s">
        <v>15</v>
      </c>
      <c r="EH11" s="159" t="s">
        <v>15</v>
      </c>
      <c r="EI11" s="158" t="s">
        <v>16</v>
      </c>
      <c r="EJ11" s="1245" t="s">
        <v>1262</v>
      </c>
      <c r="EK11" s="1245" t="s">
        <v>536</v>
      </c>
      <c r="EL11" s="158" t="s">
        <v>8</v>
      </c>
      <c r="EM11" s="158" t="s">
        <v>9</v>
      </c>
      <c r="EN11" s="158" t="s">
        <v>10</v>
      </c>
      <c r="EO11" s="158" t="s">
        <v>11</v>
      </c>
      <c r="EP11" s="158" t="s">
        <v>12</v>
      </c>
      <c r="EQ11" s="158" t="s">
        <v>13</v>
      </c>
      <c r="ER11" s="158" t="s">
        <v>14</v>
      </c>
      <c r="ES11" s="158" t="s">
        <v>3</v>
      </c>
      <c r="ET11" s="1247" t="s">
        <v>1141</v>
      </c>
      <c r="EU11" s="732" t="s">
        <v>63</v>
      </c>
    </row>
    <row r="12" spans="1:151" ht="32.25" customHeight="1" x14ac:dyDescent="0.25">
      <c r="A12" s="1262"/>
      <c r="B12" s="1262"/>
      <c r="C12" s="161" t="s">
        <v>334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1267"/>
      <c r="V12" s="1269">
        <v>41639</v>
      </c>
      <c r="W12" s="1246"/>
      <c r="X12" s="162" t="s">
        <v>20</v>
      </c>
      <c r="Y12" s="163" t="s">
        <v>21</v>
      </c>
      <c r="Z12" s="162" t="s">
        <v>22</v>
      </c>
      <c r="AA12" s="1246"/>
      <c r="AB12" s="1246"/>
      <c r="AC12" s="162">
        <v>2015</v>
      </c>
      <c r="AD12" s="162">
        <v>2015</v>
      </c>
      <c r="AE12" s="162">
        <v>2015</v>
      </c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 t="s">
        <v>64</v>
      </c>
      <c r="AQ12" s="1246"/>
      <c r="AR12" s="1246"/>
      <c r="AS12" s="162">
        <v>2016</v>
      </c>
      <c r="AT12" s="162">
        <v>2016</v>
      </c>
      <c r="AU12" s="162">
        <v>2016</v>
      </c>
      <c r="AV12" s="162">
        <v>2016</v>
      </c>
      <c r="AW12" s="162">
        <v>2016</v>
      </c>
      <c r="AX12" s="162" t="s">
        <v>20</v>
      </c>
      <c r="AY12" s="163" t="s">
        <v>21</v>
      </c>
      <c r="AZ12" s="162" t="s">
        <v>22</v>
      </c>
      <c r="BA12" s="1246"/>
      <c r="BB12" s="1246"/>
      <c r="BC12" s="162">
        <v>2016</v>
      </c>
      <c r="BD12" s="162">
        <v>2016</v>
      </c>
      <c r="BE12" s="162">
        <v>2016</v>
      </c>
      <c r="BF12" s="162">
        <v>2016</v>
      </c>
      <c r="BG12" s="162">
        <v>2016</v>
      </c>
      <c r="BH12" s="162">
        <v>2016</v>
      </c>
      <c r="BI12" s="162">
        <v>2016</v>
      </c>
      <c r="BJ12" s="162">
        <v>2016</v>
      </c>
      <c r="BK12" s="162" t="s">
        <v>64</v>
      </c>
      <c r="BL12" s="162">
        <v>2017</v>
      </c>
      <c r="BM12" s="162">
        <v>2016</v>
      </c>
      <c r="BN12" s="162">
        <v>2016</v>
      </c>
      <c r="BO12" s="162">
        <v>2016</v>
      </c>
      <c r="BP12" s="162">
        <v>2016</v>
      </c>
      <c r="BQ12" s="162" t="s">
        <v>20</v>
      </c>
      <c r="BR12" s="163" t="s">
        <v>21</v>
      </c>
      <c r="BS12" s="162" t="s">
        <v>22</v>
      </c>
      <c r="BT12" s="1246"/>
      <c r="BU12" s="1246"/>
      <c r="BV12" s="162">
        <v>2016</v>
      </c>
      <c r="BW12" s="162">
        <v>2016</v>
      </c>
      <c r="BX12" s="162">
        <v>2016</v>
      </c>
      <c r="BY12" s="162">
        <v>2016</v>
      </c>
      <c r="BZ12" s="162">
        <v>2016</v>
      </c>
      <c r="CA12" s="162">
        <v>2016</v>
      </c>
      <c r="CB12" s="162">
        <v>2016</v>
      </c>
      <c r="CC12" s="162">
        <v>2017</v>
      </c>
      <c r="CD12" s="162" t="s">
        <v>64</v>
      </c>
      <c r="CE12" s="167"/>
      <c r="CF12" s="1264"/>
      <c r="CG12" s="1255"/>
      <c r="CH12" s="1255"/>
      <c r="CI12" s="1255"/>
      <c r="CJ12" s="1255"/>
      <c r="CK12" s="1255"/>
      <c r="CL12" s="1255"/>
      <c r="CM12" s="1255"/>
      <c r="CN12" s="1255"/>
      <c r="CO12" s="194">
        <v>42369</v>
      </c>
      <c r="CP12" s="1255"/>
      <c r="CQ12" s="193">
        <v>42370</v>
      </c>
      <c r="CR12" s="1257"/>
      <c r="CS12" s="1251" t="s">
        <v>18</v>
      </c>
      <c r="CT12" s="1251" t="s">
        <v>18</v>
      </c>
      <c r="CU12" s="1253"/>
      <c r="CV12" s="162" t="s">
        <v>64</v>
      </c>
      <c r="CW12" s="162" t="s">
        <v>20</v>
      </c>
      <c r="CX12" s="163" t="s">
        <v>21</v>
      </c>
      <c r="CY12" s="162" t="s">
        <v>22</v>
      </c>
      <c r="CZ12" s="1246"/>
      <c r="DA12" s="1246"/>
      <c r="DB12" s="162">
        <v>2017</v>
      </c>
      <c r="DC12" s="162">
        <v>2017</v>
      </c>
      <c r="DD12" s="162">
        <v>2017</v>
      </c>
      <c r="DE12" s="162">
        <v>2017</v>
      </c>
      <c r="DF12" s="162">
        <v>2017</v>
      </c>
      <c r="DG12" s="162">
        <v>2017</v>
      </c>
      <c r="DH12" s="162">
        <v>2017</v>
      </c>
      <c r="DI12" s="1248"/>
      <c r="DJ12" s="162" t="s">
        <v>64</v>
      </c>
      <c r="DK12" s="162">
        <v>2017</v>
      </c>
      <c r="DL12" s="162">
        <v>2016</v>
      </c>
      <c r="DM12" s="162">
        <v>2016</v>
      </c>
      <c r="DN12" s="162">
        <v>2016</v>
      </c>
      <c r="DO12" s="167"/>
      <c r="DP12" s="1264"/>
      <c r="DQ12" s="1255"/>
      <c r="DR12" s="1255"/>
      <c r="DS12" s="1255"/>
      <c r="DT12" s="1255"/>
      <c r="DU12" s="1255"/>
      <c r="DV12" s="1255"/>
      <c r="DW12" s="1255"/>
      <c r="DX12" s="1255"/>
      <c r="DY12" s="194">
        <v>42369</v>
      </c>
      <c r="DZ12" s="1255"/>
      <c r="EA12" s="193">
        <v>42370</v>
      </c>
      <c r="EB12" s="1257"/>
      <c r="EC12" s="1251" t="s">
        <v>18</v>
      </c>
      <c r="ED12" s="1251" t="s">
        <v>18</v>
      </c>
      <c r="EE12" s="1253"/>
      <c r="EF12" s="162" t="s">
        <v>64</v>
      </c>
      <c r="EG12" s="162" t="s">
        <v>20</v>
      </c>
      <c r="EH12" s="163" t="s">
        <v>21</v>
      </c>
      <c r="EI12" s="162" t="s">
        <v>22</v>
      </c>
      <c r="EJ12" s="1246"/>
      <c r="EK12" s="1246"/>
      <c r="EL12" s="162">
        <v>2017</v>
      </c>
      <c r="EM12" s="162">
        <v>2017</v>
      </c>
      <c r="EN12" s="162">
        <v>2017</v>
      </c>
      <c r="EO12" s="162">
        <v>2017</v>
      </c>
      <c r="EP12" s="162">
        <v>2017</v>
      </c>
      <c r="EQ12" s="162">
        <v>2017</v>
      </c>
      <c r="ER12" s="162">
        <v>2017</v>
      </c>
      <c r="ES12" s="162">
        <v>2018</v>
      </c>
      <c r="ET12" s="1248"/>
      <c r="EU12" s="162" t="s">
        <v>64</v>
      </c>
    </row>
    <row r="13" spans="1:151" s="16" customFormat="1" x14ac:dyDescent="0.2">
      <c r="A13" s="120" t="s">
        <v>65</v>
      </c>
      <c r="B13" s="120" t="s">
        <v>24</v>
      </c>
      <c r="C13" s="124"/>
      <c r="D13" s="27"/>
      <c r="E13" s="25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20"/>
      <c r="S13" s="20"/>
      <c r="T13" s="14"/>
      <c r="U13" s="14"/>
      <c r="V13" s="108"/>
      <c r="W13" s="66"/>
      <c r="X13" s="66"/>
      <c r="Y13" s="81"/>
      <c r="Z13" s="66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73"/>
      <c r="AQ13" s="55"/>
      <c r="AR13" s="55"/>
      <c r="AS13" s="55"/>
      <c r="AT13" s="55"/>
      <c r="AU13" s="55"/>
      <c r="AV13" s="55"/>
      <c r="AW13" s="55"/>
      <c r="AX13" s="66"/>
      <c r="AY13" s="81"/>
      <c r="AZ13" s="66"/>
      <c r="BA13" s="65"/>
      <c r="BB13" s="6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66"/>
      <c r="BR13" s="81"/>
      <c r="BS13" s="66"/>
      <c r="BT13" s="65"/>
      <c r="BU13" s="65"/>
      <c r="BV13" s="55"/>
      <c r="BW13" s="55"/>
      <c r="BX13" s="55"/>
      <c r="BY13" s="55"/>
      <c r="BZ13" s="55"/>
      <c r="CA13" s="55"/>
      <c r="CB13" s="55"/>
      <c r="CC13" s="55"/>
      <c r="CD13" s="55"/>
      <c r="CE13" s="27"/>
      <c r="CF13" s="25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20"/>
      <c r="CT13" s="20"/>
      <c r="CU13" s="14"/>
      <c r="CV13" s="55"/>
      <c r="CW13" s="66"/>
      <c r="CX13" s="81"/>
      <c r="CY13" s="66"/>
      <c r="CZ13" s="65"/>
      <c r="DA13" s="6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27"/>
      <c r="DP13" s="25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20"/>
      <c r="ED13" s="20"/>
      <c r="EE13" s="14"/>
      <c r="EF13" s="55"/>
      <c r="EG13" s="66"/>
      <c r="EH13" s="81"/>
      <c r="EI13" s="66"/>
      <c r="EJ13" s="65"/>
      <c r="EK13" s="65"/>
      <c r="EL13" s="55"/>
      <c r="EM13" s="55"/>
      <c r="EN13" s="55"/>
      <c r="EO13" s="55"/>
      <c r="EP13" s="55"/>
      <c r="EQ13" s="55"/>
      <c r="ER13" s="55"/>
      <c r="ES13" s="55"/>
      <c r="ET13" s="55"/>
      <c r="EU13" s="55"/>
    </row>
    <row r="14" spans="1:151" s="16" customFormat="1" ht="15" x14ac:dyDescent="0.25">
      <c r="A14" s="120" t="s">
        <v>66</v>
      </c>
      <c r="B14" s="126"/>
      <c r="C14" s="124"/>
      <c r="D14" s="4"/>
      <c r="E14" s="25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20"/>
      <c r="S14" s="20"/>
      <c r="T14" s="14"/>
      <c r="U14" s="14"/>
      <c r="V14" s="108"/>
      <c r="W14" s="66"/>
      <c r="X14" s="66"/>
      <c r="Y14" s="112"/>
      <c r="Z14" s="66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73"/>
      <c r="AQ14" s="55"/>
      <c r="AR14" s="55"/>
      <c r="AS14" s="55"/>
      <c r="AT14" s="55"/>
      <c r="AU14" s="55"/>
      <c r="AV14" s="55"/>
      <c r="AW14" s="55"/>
      <c r="AX14" s="595"/>
      <c r="AY14" s="596"/>
      <c r="AZ14" s="595"/>
      <c r="BA14" s="597"/>
      <c r="BB14" s="597"/>
      <c r="BC14" s="598"/>
      <c r="BD14" s="598"/>
      <c r="BE14" s="598"/>
      <c r="BF14" s="598"/>
      <c r="BG14" s="598"/>
      <c r="BH14" s="598"/>
      <c r="BI14" s="598"/>
      <c r="BJ14" s="598"/>
      <c r="BK14" s="598"/>
      <c r="BL14" s="598"/>
      <c r="BM14" s="598"/>
      <c r="BN14" s="598"/>
      <c r="BO14" s="598"/>
      <c r="BP14" s="598"/>
      <c r="BQ14" s="595"/>
      <c r="BR14" s="596"/>
      <c r="BS14" s="595"/>
      <c r="BT14" s="597"/>
      <c r="BU14" s="597"/>
      <c r="BV14" s="598"/>
      <c r="BW14" s="598"/>
      <c r="BX14" s="598"/>
      <c r="BY14" s="598"/>
      <c r="BZ14" s="598"/>
      <c r="CA14" s="598"/>
      <c r="CB14" s="598"/>
      <c r="CC14" s="598"/>
      <c r="CD14" s="598"/>
      <c r="CE14" s="4"/>
      <c r="CF14" s="25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20"/>
      <c r="CT14" s="20"/>
      <c r="CU14" s="14"/>
      <c r="CV14" s="598"/>
      <c r="CW14" s="595"/>
      <c r="CX14" s="596"/>
      <c r="CY14" s="595"/>
      <c r="CZ14" s="597"/>
      <c r="DA14" s="597"/>
      <c r="DB14" s="598"/>
      <c r="DC14" s="598"/>
      <c r="DD14" s="598"/>
      <c r="DE14" s="598"/>
      <c r="DF14" s="598"/>
      <c r="DG14" s="598"/>
      <c r="DH14" s="598"/>
      <c r="DI14" s="598"/>
      <c r="DJ14" s="598"/>
      <c r="DK14" s="598"/>
      <c r="DL14" s="598"/>
      <c r="DM14" s="598"/>
      <c r="DN14" s="598"/>
      <c r="DO14" s="4"/>
      <c r="DP14" s="25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20"/>
      <c r="ED14" s="20"/>
      <c r="EE14" s="14"/>
      <c r="EF14" s="598"/>
      <c r="EG14" s="595"/>
      <c r="EH14" s="596"/>
      <c r="EI14" s="595"/>
      <c r="EJ14" s="597"/>
      <c r="EK14" s="597"/>
      <c r="EL14" s="598"/>
      <c r="EM14" s="598"/>
      <c r="EN14" s="598"/>
      <c r="EO14" s="598"/>
      <c r="EP14" s="598"/>
      <c r="EQ14" s="598"/>
      <c r="ER14" s="598"/>
      <c r="ES14" s="598"/>
      <c r="ET14" s="598"/>
      <c r="EU14" s="598"/>
    </row>
    <row r="15" spans="1:151" s="16" customFormat="1" ht="15" x14ac:dyDescent="0.25">
      <c r="A15" s="119" t="s">
        <v>133</v>
      </c>
      <c r="B15" s="100" t="s">
        <v>266</v>
      </c>
      <c r="C15" s="45" t="s">
        <v>334</v>
      </c>
      <c r="D15" s="58">
        <v>3</v>
      </c>
      <c r="E15" s="127">
        <v>0.33329999999999999</v>
      </c>
      <c r="F15" s="46">
        <v>42185</v>
      </c>
      <c r="G15" s="48">
        <v>36</v>
      </c>
      <c r="H15" s="145">
        <f>100/G15</f>
        <v>2.7777777777777777</v>
      </c>
      <c r="I15" s="165">
        <f>H15*J15</f>
        <v>38.888888888888886</v>
      </c>
      <c r="J15" s="48">
        <f>(YEAR(F15)-YEAR(S15))*12+MONTH(F15)-MONTH(S15)</f>
        <v>14</v>
      </c>
      <c r="K15" s="165">
        <f>L15*H15</f>
        <v>61.111111111111107</v>
      </c>
      <c r="L15" s="48">
        <f>G15-J15</f>
        <v>22</v>
      </c>
      <c r="M15" s="165">
        <f>N15*H15</f>
        <v>19.444444444444443</v>
      </c>
      <c r="N15" s="48">
        <v>7</v>
      </c>
      <c r="O15" s="165">
        <f>P15*H15</f>
        <v>41.666666666666664</v>
      </c>
      <c r="P15" s="48">
        <f>L15-N15</f>
        <v>15</v>
      </c>
      <c r="Q15" s="46">
        <v>42428</v>
      </c>
      <c r="R15" s="46" t="s">
        <v>549</v>
      </c>
      <c r="S15" s="128">
        <v>41758</v>
      </c>
      <c r="T15" s="129">
        <v>1392</v>
      </c>
      <c r="U15" s="47">
        <v>734.76</v>
      </c>
      <c r="V15" s="106">
        <v>193.3</v>
      </c>
      <c r="W15" s="165">
        <v>0</v>
      </c>
      <c r="X15" s="57">
        <v>115.958</v>
      </c>
      <c r="Y15" s="80">
        <v>112.88800000000001</v>
      </c>
      <c r="Z15" s="57">
        <f>X15/Y15</f>
        <v>1.0271950960243781</v>
      </c>
      <c r="AA15" s="55">
        <f>U15*M15/100/K15*100/7</f>
        <v>33.398181818181811</v>
      </c>
      <c r="AB15" s="55">
        <f>AA15*Z15</f>
        <v>34.306448579766901</v>
      </c>
      <c r="AC15" s="55"/>
      <c r="AD15" s="55"/>
      <c r="AE15" s="55"/>
      <c r="AF15" s="55"/>
      <c r="AG15" s="55"/>
      <c r="AH15" s="55">
        <v>34.31</v>
      </c>
      <c r="AI15" s="55">
        <v>34.31</v>
      </c>
      <c r="AJ15" s="55">
        <v>34.31</v>
      </c>
      <c r="AK15" s="55">
        <v>34.31</v>
      </c>
      <c r="AL15" s="55">
        <v>34.31</v>
      </c>
      <c r="AM15" s="55">
        <v>34.31</v>
      </c>
      <c r="AN15" s="55">
        <v>34.31</v>
      </c>
      <c r="AO15" s="55">
        <f>SUM(AC15:AN15)</f>
        <v>240.17000000000002</v>
      </c>
      <c r="AP15" s="72">
        <f>U15-AO15</f>
        <v>494.59</v>
      </c>
      <c r="AQ15" s="55"/>
      <c r="AR15" s="55"/>
      <c r="AS15" s="55">
        <f>$AN15</f>
        <v>34.31</v>
      </c>
      <c r="AT15" s="55">
        <f>$AN15</f>
        <v>34.31</v>
      </c>
      <c r="AU15" s="55">
        <f>$AN15</f>
        <v>34.31</v>
      </c>
      <c r="AV15" s="55">
        <f>$AN15</f>
        <v>34.31</v>
      </c>
      <c r="AW15" s="55">
        <f>$AN15</f>
        <v>34.31</v>
      </c>
      <c r="AX15" s="599">
        <v>118.901</v>
      </c>
      <c r="AY15" s="600">
        <v>112.88800000000001</v>
      </c>
      <c r="AZ15" s="599">
        <f>AX15/AY15</f>
        <v>1.0532651831904187</v>
      </c>
      <c r="BA15" s="598">
        <f>T15/(D15*12)</f>
        <v>38.666666666666664</v>
      </c>
      <c r="BB15" s="598">
        <f>BA15*AZ15</f>
        <v>40.726253750029521</v>
      </c>
      <c r="BC15" s="598">
        <f t="shared" ref="BC15:BF16" si="0">$BB15</f>
        <v>40.726253750029521</v>
      </c>
      <c r="BD15" s="598">
        <f t="shared" si="0"/>
        <v>40.726253750029521</v>
      </c>
      <c r="BE15" s="598">
        <f t="shared" si="0"/>
        <v>40.726253750029521</v>
      </c>
      <c r="BF15" s="598">
        <f t="shared" si="0"/>
        <v>40.726253750029521</v>
      </c>
      <c r="BG15" s="598">
        <v>40.729999999999997</v>
      </c>
      <c r="BH15" s="598">
        <v>40.729999999999997</v>
      </c>
      <c r="BI15" s="598">
        <v>40.729999999999997</v>
      </c>
      <c r="BJ15" s="598">
        <f>SUM((AS15:AW15),(BC15:BI15))</f>
        <v>456.64501500011812</v>
      </c>
      <c r="BK15" s="601">
        <f>(AP15-BJ15)</f>
        <v>37.944984999881854</v>
      </c>
      <c r="BL15" s="598">
        <v>36.94</v>
      </c>
      <c r="BM15" s="598">
        <v>0</v>
      </c>
      <c r="BN15" s="598">
        <v>0</v>
      </c>
      <c r="BO15" s="598">
        <v>0</v>
      </c>
      <c r="BP15" s="598">
        <v>0</v>
      </c>
      <c r="BQ15" s="599">
        <v>118.901</v>
      </c>
      <c r="BR15" s="600">
        <v>112.88800000000001</v>
      </c>
      <c r="BS15" s="599">
        <f>BQ15/BR15</f>
        <v>1.0532651831904187</v>
      </c>
      <c r="BT15" s="598"/>
      <c r="BU15" s="598"/>
      <c r="BV15" s="598"/>
      <c r="BW15" s="598"/>
      <c r="BX15" s="598"/>
      <c r="BY15" s="598"/>
      <c r="BZ15" s="598"/>
      <c r="CA15" s="598"/>
      <c r="CB15" s="598"/>
      <c r="CC15" s="598">
        <f>SUM((BL15:BP15),(BV15:CB15))</f>
        <v>36.94</v>
      </c>
      <c r="CD15" s="601">
        <f>BK15-BL15</f>
        <v>1.0049849998818559</v>
      </c>
      <c r="CE15" s="58">
        <v>3</v>
      </c>
      <c r="CF15" s="127">
        <v>0.33329999999999999</v>
      </c>
      <c r="CG15" s="46">
        <v>42185</v>
      </c>
      <c r="CH15" s="48">
        <v>36</v>
      </c>
      <c r="CI15" s="145">
        <f>100/CH15</f>
        <v>2.7777777777777777</v>
      </c>
      <c r="CJ15" s="165">
        <f>CI15*CK15</f>
        <v>38.888888888888886</v>
      </c>
      <c r="CK15" s="48">
        <f>(YEAR(CG15)-YEAR(CT15))*12+MONTH(CG15)-MONTH(CT15)</f>
        <v>14</v>
      </c>
      <c r="CL15" s="165">
        <f>CM15*CI15</f>
        <v>61.111111111111107</v>
      </c>
      <c r="CM15" s="48">
        <f>CH15-CK15</f>
        <v>22</v>
      </c>
      <c r="CN15" s="165">
        <f>CO15*CI15</f>
        <v>19.444444444444443</v>
      </c>
      <c r="CO15" s="48">
        <v>7</v>
      </c>
      <c r="CP15" s="165">
        <f>CQ15*CI15</f>
        <v>41.666666666666664</v>
      </c>
      <c r="CQ15" s="48">
        <f>CM15-CO15</f>
        <v>15</v>
      </c>
      <c r="CR15" s="46">
        <v>42428</v>
      </c>
      <c r="CS15" s="46" t="s">
        <v>549</v>
      </c>
      <c r="CT15" s="128">
        <v>41758</v>
      </c>
      <c r="CU15" s="129">
        <v>1392</v>
      </c>
      <c r="CV15" s="601">
        <v>1.0049849998818559</v>
      </c>
      <c r="CW15" s="599"/>
      <c r="CX15" s="600"/>
      <c r="CY15" s="599"/>
      <c r="CZ15" s="598"/>
      <c r="DA15" s="598">
        <f>CZ15*CY15</f>
        <v>0</v>
      </c>
      <c r="DB15" s="598"/>
      <c r="DC15" s="598"/>
      <c r="DD15" s="598"/>
      <c r="DE15" s="598"/>
      <c r="DF15" s="598"/>
      <c r="DG15" s="598"/>
      <c r="DH15" s="598"/>
      <c r="DI15" s="598"/>
      <c r="DJ15" s="601"/>
      <c r="DK15" s="598">
        <v>36.94</v>
      </c>
      <c r="DL15" s="598">
        <v>0</v>
      </c>
      <c r="DM15" s="598">
        <v>0</v>
      </c>
      <c r="DN15" s="598">
        <v>0</v>
      </c>
      <c r="DO15" s="58">
        <v>3</v>
      </c>
      <c r="DP15" s="127">
        <v>0.33329999999999999</v>
      </c>
      <c r="DQ15" s="46">
        <v>43281</v>
      </c>
      <c r="DR15" s="48">
        <v>36</v>
      </c>
      <c r="DS15" s="145">
        <f>100/DR15</f>
        <v>2.7777777777777777</v>
      </c>
      <c r="DT15" s="165">
        <f>DS15*DU15</f>
        <v>138.88888888888889</v>
      </c>
      <c r="DU15" s="48">
        <f>(YEAR(DQ15)-YEAR(ED15))*12+MONTH(DQ15)-MONTH(ED15)</f>
        <v>50</v>
      </c>
      <c r="DV15" s="165">
        <f>DW15*DS15</f>
        <v>-38.888888888888886</v>
      </c>
      <c r="DW15" s="48">
        <f>DR15-DU15</f>
        <v>-14</v>
      </c>
      <c r="DX15" s="165">
        <f>DY15*DS15</f>
        <v>19.444444444444443</v>
      </c>
      <c r="DY15" s="48">
        <v>7</v>
      </c>
      <c r="DZ15" s="165">
        <f>EA15*DS15</f>
        <v>-58.333333333333329</v>
      </c>
      <c r="EA15" s="48">
        <f>DW15-DY15</f>
        <v>-21</v>
      </c>
      <c r="EB15" s="462">
        <f>DATE(YEAR(ED15),MONTH(ED15)+DR15,DAY(ED15))</f>
        <v>42854</v>
      </c>
      <c r="EC15" s="46" t="s">
        <v>549</v>
      </c>
      <c r="ED15" s="128">
        <v>41758</v>
      </c>
      <c r="EE15" s="129">
        <v>1392</v>
      </c>
      <c r="EF15" s="601">
        <v>1.0049849998818559</v>
      </c>
      <c r="EG15" s="599"/>
      <c r="EH15" s="600"/>
      <c r="EI15" s="599"/>
      <c r="EJ15" s="598"/>
      <c r="EK15" s="598">
        <f>EJ15*EI15</f>
        <v>0</v>
      </c>
      <c r="EL15" s="598"/>
      <c r="EM15" s="598"/>
      <c r="EN15" s="598"/>
      <c r="EO15" s="598"/>
      <c r="EP15" s="598"/>
      <c r="EQ15" s="598"/>
      <c r="ER15" s="598"/>
      <c r="ES15" s="598"/>
      <c r="ET15" s="598"/>
      <c r="EU15" s="601">
        <f>EF15-ET15</f>
        <v>1.0049849998818559</v>
      </c>
    </row>
    <row r="16" spans="1:151" s="16" customFormat="1" ht="15" x14ac:dyDescent="0.25">
      <c r="A16" s="119" t="s">
        <v>133</v>
      </c>
      <c r="B16" s="100" t="s">
        <v>267</v>
      </c>
      <c r="C16" s="45" t="s">
        <v>334</v>
      </c>
      <c r="D16" s="58">
        <v>3</v>
      </c>
      <c r="E16" s="127">
        <v>0.33329999999999999</v>
      </c>
      <c r="F16" s="46">
        <v>42185</v>
      </c>
      <c r="G16" s="48">
        <v>36</v>
      </c>
      <c r="H16" s="145">
        <f>100/G16</f>
        <v>2.7777777777777777</v>
      </c>
      <c r="I16" s="165">
        <f>H16*J16</f>
        <v>38.888888888888886</v>
      </c>
      <c r="J16" s="48">
        <f>(YEAR(F16)-YEAR(S16))*12+MONTH(F16)-MONTH(S16)</f>
        <v>14</v>
      </c>
      <c r="K16" s="165">
        <f>L16*H16</f>
        <v>61.111111111111107</v>
      </c>
      <c r="L16" s="48">
        <f>G16-J16</f>
        <v>22</v>
      </c>
      <c r="M16" s="165">
        <f>N16*H16</f>
        <v>19.444444444444443</v>
      </c>
      <c r="N16" s="48">
        <v>7</v>
      </c>
      <c r="O16" s="165">
        <f>P16*H16</f>
        <v>41.666666666666664</v>
      </c>
      <c r="P16" s="48">
        <f>L16-N16</f>
        <v>15</v>
      </c>
      <c r="Q16" s="48"/>
      <c r="R16" s="119" t="s">
        <v>550</v>
      </c>
      <c r="S16" s="128">
        <v>41758</v>
      </c>
      <c r="T16" s="129">
        <v>5486.8</v>
      </c>
      <c r="U16" s="14">
        <v>2896.06</v>
      </c>
      <c r="V16" s="106">
        <v>762</v>
      </c>
      <c r="W16" s="66"/>
      <c r="X16" s="57">
        <v>115.958</v>
      </c>
      <c r="Y16" s="80">
        <v>109.074</v>
      </c>
      <c r="Z16" s="57">
        <f>X16/Y16</f>
        <v>1.0631131158662925</v>
      </c>
      <c r="AA16" s="55">
        <f>U16*M16/100/K16*100/7</f>
        <v>131.63909090909092</v>
      </c>
      <c r="AB16" s="55">
        <f>AA16*Z16</f>
        <v>139.94724410616979</v>
      </c>
      <c r="AC16" s="55"/>
      <c r="AD16" s="55"/>
      <c r="AE16" s="55"/>
      <c r="AF16" s="55"/>
      <c r="AG16" s="55"/>
      <c r="AH16" s="55">
        <v>139.94999999999999</v>
      </c>
      <c r="AI16" s="55">
        <v>139.94999999999999</v>
      </c>
      <c r="AJ16" s="55">
        <v>139.94999999999999</v>
      </c>
      <c r="AK16" s="55">
        <v>139.94999999999999</v>
      </c>
      <c r="AL16" s="55">
        <v>139.94999999999999</v>
      </c>
      <c r="AM16" s="55">
        <v>139.94999999999999</v>
      </c>
      <c r="AN16" s="55">
        <v>139.94999999999999</v>
      </c>
      <c r="AO16" s="55">
        <f>SUM(AC16:AN16)</f>
        <v>979.65000000000009</v>
      </c>
      <c r="AP16" s="72">
        <f>U16-AO16</f>
        <v>1916.4099999999999</v>
      </c>
      <c r="AQ16" s="55"/>
      <c r="AR16" s="55"/>
      <c r="AS16" s="55">
        <f t="shared" ref="AS16:AW18" si="1">$AN16</f>
        <v>139.94999999999999</v>
      </c>
      <c r="AT16" s="55">
        <f t="shared" si="1"/>
        <v>139.94999999999999</v>
      </c>
      <c r="AU16" s="55">
        <f t="shared" si="1"/>
        <v>139.94999999999999</v>
      </c>
      <c r="AV16" s="55">
        <f t="shared" si="1"/>
        <v>139.94999999999999</v>
      </c>
      <c r="AW16" s="55">
        <f t="shared" si="1"/>
        <v>139.94999999999999</v>
      </c>
      <c r="AX16" s="599">
        <v>118.901</v>
      </c>
      <c r="AY16" s="600">
        <v>109.074</v>
      </c>
      <c r="AZ16" s="599">
        <f>AX16/AY16</f>
        <v>1.0900947980270275</v>
      </c>
      <c r="BA16" s="598">
        <f t="shared" ref="BA16:BA28" si="2">T16/(D16*12)</f>
        <v>152.41111111111113</v>
      </c>
      <c r="BB16" s="598">
        <f>BA16*AZ16</f>
        <v>166.14255938374151</v>
      </c>
      <c r="BC16" s="598">
        <f t="shared" si="0"/>
        <v>166.14255938374151</v>
      </c>
      <c r="BD16" s="598">
        <f t="shared" si="0"/>
        <v>166.14255938374151</v>
      </c>
      <c r="BE16" s="598">
        <f t="shared" si="0"/>
        <v>166.14255938374151</v>
      </c>
      <c r="BF16" s="598">
        <f t="shared" si="0"/>
        <v>166.14255938374151</v>
      </c>
      <c r="BG16" s="598">
        <v>166.14</v>
      </c>
      <c r="BH16" s="598">
        <v>166.14</v>
      </c>
      <c r="BI16" s="598">
        <v>166.14</v>
      </c>
      <c r="BJ16" s="598">
        <f t="shared" ref="BJ16:BJ28" si="3">SUM((AS16:AW16),(BC16:BI16))</f>
        <v>1862.7402375349657</v>
      </c>
      <c r="BK16" s="601">
        <f t="shared" ref="BK16:BK28" si="4">(AP16-BJ16)</f>
        <v>53.669762465034182</v>
      </c>
      <c r="BL16" s="598">
        <v>52.67</v>
      </c>
      <c r="BM16" s="598">
        <v>0</v>
      </c>
      <c r="BN16" s="598">
        <v>0</v>
      </c>
      <c r="BO16" s="598">
        <v>0</v>
      </c>
      <c r="BP16" s="598">
        <v>0</v>
      </c>
      <c r="BQ16" s="599">
        <v>118.901</v>
      </c>
      <c r="BR16" s="600">
        <v>109.074</v>
      </c>
      <c r="BS16" s="599">
        <f>BQ16/BR16</f>
        <v>1.0900947980270275</v>
      </c>
      <c r="BT16" s="598"/>
      <c r="BU16" s="598"/>
      <c r="BV16" s="598"/>
      <c r="BW16" s="598"/>
      <c r="BX16" s="598"/>
      <c r="BY16" s="598"/>
      <c r="BZ16" s="598"/>
      <c r="CA16" s="598"/>
      <c r="CB16" s="598"/>
      <c r="CC16" s="598">
        <f>SUM((BL16:BP16),(BV16:CB16))</f>
        <v>52.67</v>
      </c>
      <c r="CD16" s="601">
        <f>BK16-CC16</f>
        <v>0.99976246503418054</v>
      </c>
      <c r="CE16" s="58">
        <v>3</v>
      </c>
      <c r="CF16" s="127">
        <v>0.33329999999999999</v>
      </c>
      <c r="CG16" s="46">
        <v>42185</v>
      </c>
      <c r="CH16" s="48">
        <v>36</v>
      </c>
      <c r="CI16" s="145">
        <f>100/CH16</f>
        <v>2.7777777777777777</v>
      </c>
      <c r="CJ16" s="165">
        <f>CI16*CK16</f>
        <v>38.888888888888886</v>
      </c>
      <c r="CK16" s="48">
        <f>(YEAR(CG16)-YEAR(CT16))*12+MONTH(CG16)-MONTH(CT16)</f>
        <v>14</v>
      </c>
      <c r="CL16" s="165">
        <f>CM16*CI16</f>
        <v>61.111111111111107</v>
      </c>
      <c r="CM16" s="48">
        <f>CH16-CK16</f>
        <v>22</v>
      </c>
      <c r="CN16" s="165">
        <f>CO16*CI16</f>
        <v>19.444444444444443</v>
      </c>
      <c r="CO16" s="48">
        <v>7</v>
      </c>
      <c r="CP16" s="165">
        <f>CQ16*CI16</f>
        <v>41.666666666666664</v>
      </c>
      <c r="CQ16" s="48">
        <f>CM16-CO16</f>
        <v>15</v>
      </c>
      <c r="CR16" s="48"/>
      <c r="CS16" s="119" t="s">
        <v>550</v>
      </c>
      <c r="CT16" s="128">
        <v>41758</v>
      </c>
      <c r="CU16" s="129">
        <v>5486.8</v>
      </c>
      <c r="CV16" s="601">
        <v>0.99976246503418054</v>
      </c>
      <c r="CW16" s="599"/>
      <c r="CX16" s="600"/>
      <c r="CY16" s="599"/>
      <c r="CZ16" s="598"/>
      <c r="DA16" s="598">
        <f>CZ16*CY16</f>
        <v>0</v>
      </c>
      <c r="DB16" s="598"/>
      <c r="DC16" s="598"/>
      <c r="DD16" s="598"/>
      <c r="DE16" s="598"/>
      <c r="DF16" s="598"/>
      <c r="DG16" s="598"/>
      <c r="DH16" s="598"/>
      <c r="DI16" s="598"/>
      <c r="DJ16" s="601"/>
      <c r="DK16" s="598">
        <v>52.67</v>
      </c>
      <c r="DL16" s="598">
        <v>0</v>
      </c>
      <c r="DM16" s="598">
        <v>0</v>
      </c>
      <c r="DN16" s="598">
        <v>0</v>
      </c>
      <c r="DO16" s="58">
        <v>3</v>
      </c>
      <c r="DP16" s="127">
        <v>0.33329999999999999</v>
      </c>
      <c r="DQ16" s="46">
        <v>43281</v>
      </c>
      <c r="DR16" s="48">
        <v>36</v>
      </c>
      <c r="DS16" s="145">
        <f>100/DR16</f>
        <v>2.7777777777777777</v>
      </c>
      <c r="DT16" s="165">
        <f>DS16*DU16</f>
        <v>138.88888888888889</v>
      </c>
      <c r="DU16" s="48">
        <f>(YEAR(DQ16)-YEAR(ED16))*12+MONTH(DQ16)-MONTH(ED16)</f>
        <v>50</v>
      </c>
      <c r="DV16" s="165">
        <f>DW16*DS16</f>
        <v>-38.888888888888886</v>
      </c>
      <c r="DW16" s="48">
        <f>DR16-DU16</f>
        <v>-14</v>
      </c>
      <c r="DX16" s="165">
        <f>DY16*DS16</f>
        <v>19.444444444444443</v>
      </c>
      <c r="DY16" s="48">
        <v>7</v>
      </c>
      <c r="DZ16" s="165">
        <f>EA16*DS16</f>
        <v>-58.333333333333329</v>
      </c>
      <c r="EA16" s="48">
        <f>DW16-DY16</f>
        <v>-21</v>
      </c>
      <c r="EB16" s="462">
        <f>DATE(YEAR(ED16),MONTH(ED16)+DR16,DAY(ED16))</f>
        <v>42854</v>
      </c>
      <c r="EC16" s="119" t="s">
        <v>550</v>
      </c>
      <c r="ED16" s="128">
        <v>41758</v>
      </c>
      <c r="EE16" s="129">
        <v>5486.8</v>
      </c>
      <c r="EF16" s="601">
        <v>0.99976246503418054</v>
      </c>
      <c r="EG16" s="599"/>
      <c r="EH16" s="600"/>
      <c r="EI16" s="599"/>
      <c r="EJ16" s="598"/>
      <c r="EK16" s="598">
        <f>EJ16*EI16</f>
        <v>0</v>
      </c>
      <c r="EL16" s="598"/>
      <c r="EM16" s="598"/>
      <c r="EN16" s="598"/>
      <c r="EO16" s="598"/>
      <c r="EP16" s="598"/>
      <c r="EQ16" s="598"/>
      <c r="ER16" s="598"/>
      <c r="ES16" s="598"/>
      <c r="ET16" s="598"/>
      <c r="EU16" s="601">
        <f>EF16-ET16</f>
        <v>0.99976246503418054</v>
      </c>
    </row>
    <row r="17" spans="1:159" s="1161" customFormat="1" ht="15" x14ac:dyDescent="0.25">
      <c r="A17" s="1140" t="s">
        <v>133</v>
      </c>
      <c r="B17" s="1137" t="s">
        <v>134</v>
      </c>
      <c r="C17" s="1137" t="s">
        <v>334</v>
      </c>
      <c r="D17" s="1138">
        <v>3</v>
      </c>
      <c r="E17" s="1153">
        <v>0.33329999999999999</v>
      </c>
      <c r="F17" s="1140">
        <v>42185</v>
      </c>
      <c r="G17" s="1143">
        <v>36</v>
      </c>
      <c r="H17" s="1141">
        <f>100/G17</f>
        <v>2.7777777777777777</v>
      </c>
      <c r="I17" s="1142">
        <f>H17*J17</f>
        <v>58.333333333333329</v>
      </c>
      <c r="J17" s="1143">
        <f>(YEAR(F17)-YEAR(S17))*12+MONTH(F17)-MONTH(S17)</f>
        <v>21</v>
      </c>
      <c r="K17" s="1142">
        <f>L17*H17</f>
        <v>41.666666666666664</v>
      </c>
      <c r="L17" s="1143">
        <f>G17-J17</f>
        <v>15</v>
      </c>
      <c r="M17" s="1142">
        <f>N17*H17</f>
        <v>19.444444444444443</v>
      </c>
      <c r="N17" s="1143">
        <v>7</v>
      </c>
      <c r="O17" s="1142">
        <f>P17*H17</f>
        <v>22.222222222222221</v>
      </c>
      <c r="P17" s="1143">
        <f>L17-N17</f>
        <v>8</v>
      </c>
      <c r="Q17" s="1143"/>
      <c r="R17" s="1140" t="s">
        <v>549</v>
      </c>
      <c r="S17" s="1166">
        <v>41518</v>
      </c>
      <c r="T17" s="1156">
        <v>60.32</v>
      </c>
      <c r="U17" s="1144">
        <v>26.76</v>
      </c>
      <c r="V17" s="1145">
        <v>8.4</v>
      </c>
      <c r="W17" s="1146"/>
      <c r="X17" s="1146">
        <v>115.958</v>
      </c>
      <c r="Y17" s="1147">
        <v>109.328</v>
      </c>
      <c r="Z17" s="1146">
        <f>X17/Y17</f>
        <v>1.0606432021074199</v>
      </c>
      <c r="AA17" s="1148">
        <f>U17*M17/100/K17*100/7</f>
        <v>1.7840000000000003</v>
      </c>
      <c r="AB17" s="1148">
        <f>AA17*Z17</f>
        <v>1.8921874725596375</v>
      </c>
      <c r="AC17" s="1148"/>
      <c r="AD17" s="1148"/>
      <c r="AE17" s="1148"/>
      <c r="AF17" s="1148"/>
      <c r="AG17" s="1148"/>
      <c r="AH17" s="1148">
        <v>1.89</v>
      </c>
      <c r="AI17" s="1148">
        <v>1.89</v>
      </c>
      <c r="AJ17" s="1148">
        <v>1.89</v>
      </c>
      <c r="AK17" s="1148">
        <v>1.89</v>
      </c>
      <c r="AL17" s="1148">
        <v>1.89</v>
      </c>
      <c r="AM17" s="1148">
        <v>1.89</v>
      </c>
      <c r="AN17" s="1148">
        <v>1.89</v>
      </c>
      <c r="AO17" s="1148">
        <f>SUM(AC17:AN17)</f>
        <v>13.23</v>
      </c>
      <c r="AP17" s="1149">
        <f>U17-AO17</f>
        <v>13.530000000000001</v>
      </c>
      <c r="AQ17" s="1148"/>
      <c r="AR17" s="1148"/>
      <c r="AS17" s="1148">
        <f t="shared" si="1"/>
        <v>1.89</v>
      </c>
      <c r="AT17" s="1148">
        <f t="shared" si="1"/>
        <v>1.89</v>
      </c>
      <c r="AU17" s="1148">
        <f t="shared" si="1"/>
        <v>1.89</v>
      </c>
      <c r="AV17" s="1148">
        <f t="shared" si="1"/>
        <v>1.89</v>
      </c>
      <c r="AW17" s="1148">
        <f t="shared" si="1"/>
        <v>1.89</v>
      </c>
      <c r="AX17" s="1162">
        <v>118.901</v>
      </c>
      <c r="AY17" s="1165">
        <v>109.328</v>
      </c>
      <c r="AZ17" s="1162">
        <f>AX17/AY17</f>
        <v>1.0875621981560075</v>
      </c>
      <c r="BA17" s="1163">
        <f t="shared" si="2"/>
        <v>1.6755555555555555</v>
      </c>
      <c r="BB17" s="1163">
        <f>BA17*AZ17</f>
        <v>1.8222708831325103</v>
      </c>
      <c r="BC17" s="1163">
        <f>$BB17</f>
        <v>1.8222708831325103</v>
      </c>
      <c r="BD17" s="1163">
        <v>1.26</v>
      </c>
      <c r="BE17" s="1163">
        <v>0</v>
      </c>
      <c r="BF17" s="1163">
        <v>0</v>
      </c>
      <c r="BG17" s="1163"/>
      <c r="BH17" s="1163"/>
      <c r="BI17" s="1163"/>
      <c r="BJ17" s="1163">
        <f t="shared" si="3"/>
        <v>12.53227088313251</v>
      </c>
      <c r="BK17" s="1164">
        <f t="shared" si="4"/>
        <v>0.99772911686749133</v>
      </c>
      <c r="BL17" s="1163"/>
      <c r="BM17" s="1163"/>
      <c r="BN17" s="1163"/>
      <c r="BO17" s="1163"/>
      <c r="BP17" s="1163"/>
      <c r="BQ17" s="1162">
        <v>118.901</v>
      </c>
      <c r="BR17" s="1165">
        <v>109.328</v>
      </c>
      <c r="BS17" s="1162">
        <f>BQ17/BR17</f>
        <v>1.0875621981560075</v>
      </c>
      <c r="BT17" s="1163"/>
      <c r="BU17" s="1163"/>
      <c r="BV17" s="1163"/>
      <c r="BW17" s="1163"/>
      <c r="BX17" s="1163"/>
      <c r="BY17" s="1163"/>
      <c r="BZ17" s="1163"/>
      <c r="CA17" s="1163"/>
      <c r="CB17" s="1163"/>
      <c r="CC17" s="1163">
        <f>SUM((BL17:BP17),(BV17:CB17))</f>
        <v>0</v>
      </c>
      <c r="CD17" s="1164">
        <f>BK17-CC17</f>
        <v>0.99772911686749133</v>
      </c>
      <c r="CE17" s="1138">
        <v>3</v>
      </c>
      <c r="CF17" s="1153">
        <v>0.33329999999999999</v>
      </c>
      <c r="CG17" s="1140">
        <v>42185</v>
      </c>
      <c r="CH17" s="1143">
        <v>36</v>
      </c>
      <c r="CI17" s="1141">
        <f>100/CH17</f>
        <v>2.7777777777777777</v>
      </c>
      <c r="CJ17" s="1142">
        <f>CI17*CK17</f>
        <v>58.333333333333329</v>
      </c>
      <c r="CK17" s="1143">
        <f>(YEAR(CG17)-YEAR(CT17))*12+MONTH(CG17)-MONTH(CT17)</f>
        <v>21</v>
      </c>
      <c r="CL17" s="1142">
        <f>CM17*CI17</f>
        <v>41.666666666666664</v>
      </c>
      <c r="CM17" s="1143">
        <f>CH17-CK17</f>
        <v>15</v>
      </c>
      <c r="CN17" s="1142">
        <f>CO17*CI17</f>
        <v>19.444444444444443</v>
      </c>
      <c r="CO17" s="1143">
        <v>7</v>
      </c>
      <c r="CP17" s="1142">
        <f>CQ17*CI17</f>
        <v>22.222222222222221</v>
      </c>
      <c r="CQ17" s="1143">
        <f>CM17-CO17</f>
        <v>8</v>
      </c>
      <c r="CR17" s="1143"/>
      <c r="CS17" s="1140" t="s">
        <v>549</v>
      </c>
      <c r="CT17" s="1166">
        <v>41518</v>
      </c>
      <c r="CU17" s="1156">
        <v>60.32</v>
      </c>
      <c r="CV17" s="1164">
        <v>0.99772911686749133</v>
      </c>
      <c r="CW17" s="1162"/>
      <c r="CX17" s="1165"/>
      <c r="CY17" s="1162"/>
      <c r="CZ17" s="1163"/>
      <c r="DA17" s="1163">
        <f>CZ17*CY17</f>
        <v>0</v>
      </c>
      <c r="DB17" s="1163"/>
      <c r="DC17" s="1163"/>
      <c r="DD17" s="1163"/>
      <c r="DE17" s="1163"/>
      <c r="DF17" s="1163"/>
      <c r="DG17" s="1163"/>
      <c r="DH17" s="1163"/>
      <c r="DI17" s="1163"/>
      <c r="DJ17" s="1164"/>
      <c r="DK17" s="1163"/>
      <c r="DL17" s="1163"/>
      <c r="DM17" s="1163"/>
      <c r="DN17" s="1163"/>
      <c r="DO17" s="1138">
        <v>3</v>
      </c>
      <c r="DP17" s="1153">
        <v>0.33329999999999999</v>
      </c>
      <c r="DQ17" s="1140">
        <v>43281</v>
      </c>
      <c r="DR17" s="1143">
        <v>36</v>
      </c>
      <c r="DS17" s="1141">
        <f>100/DR17</f>
        <v>2.7777777777777777</v>
      </c>
      <c r="DT17" s="1142">
        <f>DS17*DU17</f>
        <v>158.33333333333331</v>
      </c>
      <c r="DU17" s="1143">
        <f>(YEAR(DQ17)-YEAR(ED17))*12+MONTH(DQ17)-MONTH(ED17)</f>
        <v>57</v>
      </c>
      <c r="DV17" s="1142">
        <f>DW17*DS17</f>
        <v>-58.333333333333329</v>
      </c>
      <c r="DW17" s="1143">
        <f>DR17-DU17</f>
        <v>-21</v>
      </c>
      <c r="DX17" s="1142">
        <f>DY17*DS17</f>
        <v>19.444444444444443</v>
      </c>
      <c r="DY17" s="1143">
        <v>7</v>
      </c>
      <c r="DZ17" s="1142">
        <f>EA17*DS17</f>
        <v>-77.777777777777771</v>
      </c>
      <c r="EA17" s="1143">
        <f>DW17-DY17</f>
        <v>-28</v>
      </c>
      <c r="EB17" s="1151">
        <f>DATE(YEAR(ED17),MONTH(ED17)+DR17,DAY(ED17))</f>
        <v>42614</v>
      </c>
      <c r="EC17" s="1140" t="s">
        <v>549</v>
      </c>
      <c r="ED17" s="1166">
        <v>41518</v>
      </c>
      <c r="EE17" s="1156">
        <v>60.32</v>
      </c>
      <c r="EF17" s="1164">
        <v>0.99772911686749133</v>
      </c>
      <c r="EG17" s="1162"/>
      <c r="EH17" s="1165"/>
      <c r="EI17" s="1162"/>
      <c r="EJ17" s="1163"/>
      <c r="EK17" s="1163">
        <f>EJ17*EI17</f>
        <v>0</v>
      </c>
      <c r="EL17" s="1163"/>
      <c r="EM17" s="1163"/>
      <c r="EN17" s="1163"/>
      <c r="EO17" s="1163"/>
      <c r="EP17" s="1163"/>
      <c r="EQ17" s="1163"/>
      <c r="ER17" s="1163"/>
      <c r="ES17" s="1163"/>
      <c r="ET17" s="1163"/>
      <c r="EU17" s="1164">
        <f>EF17-ET17</f>
        <v>0.99772911686749133</v>
      </c>
    </row>
    <row r="18" spans="1:159" s="16" customFormat="1" ht="15" x14ac:dyDescent="0.25">
      <c r="A18" s="119" t="s">
        <v>133</v>
      </c>
      <c r="B18" s="100" t="s">
        <v>341</v>
      </c>
      <c r="C18" s="45" t="s">
        <v>334</v>
      </c>
      <c r="D18" s="58">
        <v>3</v>
      </c>
      <c r="E18" s="127">
        <v>0.33329999999999999</v>
      </c>
      <c r="F18" s="46">
        <v>42185</v>
      </c>
      <c r="G18" s="48">
        <v>36</v>
      </c>
      <c r="H18" s="145">
        <f>100/G18</f>
        <v>2.7777777777777777</v>
      </c>
      <c r="I18" s="165">
        <f>H18*J18</f>
        <v>58.333333333333329</v>
      </c>
      <c r="J18" s="48">
        <f>(YEAR(F18)-YEAR(S18))*12+MONTH(F18)-MONTH(S18)</f>
        <v>21</v>
      </c>
      <c r="K18" s="165">
        <f>L18*H18</f>
        <v>41.666666666666664</v>
      </c>
      <c r="L18" s="48">
        <f>G18-J18</f>
        <v>15</v>
      </c>
      <c r="M18" s="165">
        <f>N18*H18</f>
        <v>19.444444444444443</v>
      </c>
      <c r="N18" s="48">
        <v>7</v>
      </c>
      <c r="O18" s="165">
        <f>P18*H18</f>
        <v>22.222222222222221</v>
      </c>
      <c r="P18" s="48">
        <f>L18-N18</f>
        <v>8</v>
      </c>
      <c r="Q18" s="48"/>
      <c r="R18" s="119" t="s">
        <v>549</v>
      </c>
      <c r="S18" s="128">
        <v>41518</v>
      </c>
      <c r="T18" s="129">
        <v>116</v>
      </c>
      <c r="U18" s="47">
        <v>51.58</v>
      </c>
      <c r="V18" s="106">
        <v>16.100000000000001</v>
      </c>
      <c r="W18" s="165">
        <v>0</v>
      </c>
      <c r="X18" s="57">
        <v>115.958</v>
      </c>
      <c r="Y18" s="80">
        <v>109.328</v>
      </c>
      <c r="Z18" s="57">
        <f>X18/Y18</f>
        <v>1.0606432021074199</v>
      </c>
      <c r="AA18" s="55">
        <f>U18*M18/100/K18*100/7</f>
        <v>3.4386666666666663</v>
      </c>
      <c r="AB18" s="55">
        <f>AA18*Z18</f>
        <v>3.6471984243133808</v>
      </c>
      <c r="AC18" s="55"/>
      <c r="AD18" s="55"/>
      <c r="AE18" s="55"/>
      <c r="AF18" s="55"/>
      <c r="AG18" s="55"/>
      <c r="AH18" s="55">
        <v>3.65</v>
      </c>
      <c r="AI18" s="55">
        <v>3.65</v>
      </c>
      <c r="AJ18" s="55">
        <v>3.65</v>
      </c>
      <c r="AK18" s="55">
        <v>3.65</v>
      </c>
      <c r="AL18" s="55">
        <v>3.65</v>
      </c>
      <c r="AM18" s="55">
        <v>3.65</v>
      </c>
      <c r="AN18" s="55">
        <v>3.65</v>
      </c>
      <c r="AO18" s="55">
        <f>SUM(AC18:AN18)</f>
        <v>25.549999999999997</v>
      </c>
      <c r="AP18" s="72">
        <f>U18-AO18</f>
        <v>26.03</v>
      </c>
      <c r="AQ18" s="55"/>
      <c r="AR18" s="55"/>
      <c r="AS18" s="55">
        <f t="shared" si="1"/>
        <v>3.65</v>
      </c>
      <c r="AT18" s="55">
        <f t="shared" si="1"/>
        <v>3.65</v>
      </c>
      <c r="AU18" s="55">
        <f t="shared" si="1"/>
        <v>3.65</v>
      </c>
      <c r="AV18" s="55">
        <f t="shared" si="1"/>
        <v>3.65</v>
      </c>
      <c r="AW18" s="55">
        <f t="shared" si="1"/>
        <v>3.65</v>
      </c>
      <c r="AX18" s="599">
        <v>118.901</v>
      </c>
      <c r="AY18" s="600">
        <v>109.328</v>
      </c>
      <c r="AZ18" s="599">
        <f>AX18/AY18</f>
        <v>1.0875621981560075</v>
      </c>
      <c r="BA18" s="598">
        <f t="shared" si="2"/>
        <v>3.2222222222222223</v>
      </c>
      <c r="BB18" s="598">
        <f>BA18*AZ18</f>
        <v>3.5043670829471356</v>
      </c>
      <c r="BC18" s="598">
        <f>$BB18</f>
        <v>3.5043670829471356</v>
      </c>
      <c r="BD18" s="598">
        <v>3.28</v>
      </c>
      <c r="BE18" s="598">
        <v>0</v>
      </c>
      <c r="BF18" s="598">
        <v>0</v>
      </c>
      <c r="BG18" s="598"/>
      <c r="BH18" s="598"/>
      <c r="BI18" s="598"/>
      <c r="BJ18" s="598">
        <f t="shared" si="3"/>
        <v>25.034367082947135</v>
      </c>
      <c r="BK18" s="601">
        <f t="shared" si="4"/>
        <v>0.99563291705286616</v>
      </c>
      <c r="BL18" s="598"/>
      <c r="BM18" s="598"/>
      <c r="BN18" s="598"/>
      <c r="BO18" s="598"/>
      <c r="BP18" s="598"/>
      <c r="BQ18" s="599">
        <v>118.901</v>
      </c>
      <c r="BR18" s="600">
        <v>109.328</v>
      </c>
      <c r="BS18" s="599">
        <f>BQ18/BR18</f>
        <v>1.0875621981560075</v>
      </c>
      <c r="BT18" s="598"/>
      <c r="BU18" s="598"/>
      <c r="BV18" s="598"/>
      <c r="BW18" s="598"/>
      <c r="BX18" s="598"/>
      <c r="BY18" s="598"/>
      <c r="BZ18" s="598"/>
      <c r="CA18" s="598"/>
      <c r="CB18" s="598"/>
      <c r="CC18" s="598">
        <f>SUM((BL18:BP18),(BV18:CB18))</f>
        <v>0</v>
      </c>
      <c r="CD18" s="601">
        <f>BK18-CC18</f>
        <v>0.99563291705286616</v>
      </c>
      <c r="CE18" s="58">
        <v>3</v>
      </c>
      <c r="CF18" s="127">
        <v>0.33329999999999999</v>
      </c>
      <c r="CG18" s="46">
        <v>42185</v>
      </c>
      <c r="CH18" s="48">
        <v>36</v>
      </c>
      <c r="CI18" s="145">
        <f>100/CH18</f>
        <v>2.7777777777777777</v>
      </c>
      <c r="CJ18" s="165">
        <f>CI18*CK18</f>
        <v>58.333333333333329</v>
      </c>
      <c r="CK18" s="48">
        <f>(YEAR(CG18)-YEAR(CT18))*12+MONTH(CG18)-MONTH(CT18)</f>
        <v>21</v>
      </c>
      <c r="CL18" s="165">
        <f>CM18*CI18</f>
        <v>41.666666666666664</v>
      </c>
      <c r="CM18" s="48">
        <f>CH18-CK18</f>
        <v>15</v>
      </c>
      <c r="CN18" s="165">
        <f>CO18*CI18</f>
        <v>19.444444444444443</v>
      </c>
      <c r="CO18" s="48">
        <v>7</v>
      </c>
      <c r="CP18" s="165">
        <f>CQ18*CI18</f>
        <v>22.222222222222221</v>
      </c>
      <c r="CQ18" s="48">
        <f>CM18-CO18</f>
        <v>8</v>
      </c>
      <c r="CR18" s="48"/>
      <c r="CS18" s="119" t="s">
        <v>549</v>
      </c>
      <c r="CT18" s="128">
        <v>41518</v>
      </c>
      <c r="CU18" s="129">
        <v>116</v>
      </c>
      <c r="CV18" s="601">
        <v>0.99563291705286616</v>
      </c>
      <c r="CW18" s="599"/>
      <c r="CX18" s="600"/>
      <c r="CY18" s="599"/>
      <c r="CZ18" s="598"/>
      <c r="DA18" s="598">
        <f>CZ18*CY18</f>
        <v>0</v>
      </c>
      <c r="DB18" s="598"/>
      <c r="DC18" s="598"/>
      <c r="DD18" s="598"/>
      <c r="DE18" s="598"/>
      <c r="DF18" s="598"/>
      <c r="DG18" s="598"/>
      <c r="DH18" s="598"/>
      <c r="DI18" s="598"/>
      <c r="DJ18" s="601"/>
      <c r="DK18" s="598"/>
      <c r="DL18" s="598"/>
      <c r="DM18" s="598"/>
      <c r="DN18" s="598"/>
      <c r="DO18" s="58">
        <v>3</v>
      </c>
      <c r="DP18" s="127">
        <v>0.33329999999999999</v>
      </c>
      <c r="DQ18" s="46">
        <v>43281</v>
      </c>
      <c r="DR18" s="48">
        <v>36</v>
      </c>
      <c r="DS18" s="145">
        <f>100/DR18</f>
        <v>2.7777777777777777</v>
      </c>
      <c r="DT18" s="165">
        <f>DS18*DU18</f>
        <v>158.33333333333331</v>
      </c>
      <c r="DU18" s="48">
        <f>(YEAR(DQ18)-YEAR(ED18))*12+MONTH(DQ18)-MONTH(ED18)</f>
        <v>57</v>
      </c>
      <c r="DV18" s="165">
        <f>DW18*DS18</f>
        <v>-58.333333333333329</v>
      </c>
      <c r="DW18" s="48">
        <f>DR18-DU18</f>
        <v>-21</v>
      </c>
      <c r="DX18" s="165">
        <f>DY18*DS18</f>
        <v>19.444444444444443</v>
      </c>
      <c r="DY18" s="48">
        <v>7</v>
      </c>
      <c r="DZ18" s="165">
        <f>EA18*DS18</f>
        <v>-77.777777777777771</v>
      </c>
      <c r="EA18" s="48">
        <f>DW18-DY18</f>
        <v>-28</v>
      </c>
      <c r="EB18" s="462">
        <f>DATE(YEAR(ED18),MONTH(ED18)+DR18,DAY(ED18))</f>
        <v>42614</v>
      </c>
      <c r="EC18" s="119" t="s">
        <v>549</v>
      </c>
      <c r="ED18" s="128">
        <v>41518</v>
      </c>
      <c r="EE18" s="129">
        <v>116</v>
      </c>
      <c r="EF18" s="601">
        <v>0.99563291705286616</v>
      </c>
      <c r="EG18" s="599"/>
      <c r="EH18" s="600"/>
      <c r="EI18" s="599"/>
      <c r="EJ18" s="598"/>
      <c r="EK18" s="598">
        <f>EJ18*EI18</f>
        <v>0</v>
      </c>
      <c r="EL18" s="598"/>
      <c r="EM18" s="598"/>
      <c r="EN18" s="598"/>
      <c r="EO18" s="598"/>
      <c r="EP18" s="598"/>
      <c r="EQ18" s="598"/>
      <c r="ER18" s="598"/>
      <c r="ES18" s="598"/>
      <c r="ET18" s="598"/>
      <c r="EU18" s="601">
        <f>EF18-ET18</f>
        <v>0.99563291705286616</v>
      </c>
    </row>
    <row r="19" spans="1:159" s="1161" customFormat="1" ht="15" x14ac:dyDescent="0.25">
      <c r="A19" s="1140" t="s">
        <v>133</v>
      </c>
      <c r="B19" s="1137" t="s">
        <v>37</v>
      </c>
      <c r="C19" s="1137" t="s">
        <v>334</v>
      </c>
      <c r="D19" s="1138">
        <v>3</v>
      </c>
      <c r="E19" s="1153">
        <v>0.33329999999999999</v>
      </c>
      <c r="F19" s="1140">
        <v>42185</v>
      </c>
      <c r="G19" s="1143">
        <v>36</v>
      </c>
      <c r="H19" s="1141">
        <f>100/G19</f>
        <v>2.7777777777777777</v>
      </c>
      <c r="I19" s="1142">
        <f>H19*J19</f>
        <v>88.888888888888886</v>
      </c>
      <c r="J19" s="1143">
        <f>(YEAR(F19)-YEAR(S19))*12+MONTH(F19)-MONTH(S19)</f>
        <v>32</v>
      </c>
      <c r="K19" s="1142">
        <f>L19*H19</f>
        <v>11.111111111111111</v>
      </c>
      <c r="L19" s="1143">
        <f>G19-J19</f>
        <v>4</v>
      </c>
      <c r="M19" s="1142">
        <f>N19*H19</f>
        <v>19.444444444444443</v>
      </c>
      <c r="N19" s="1143">
        <v>7</v>
      </c>
      <c r="O19" s="1142">
        <f>P19*H19</f>
        <v>-8.3333333333333321</v>
      </c>
      <c r="P19" s="1143">
        <f>L19-N19</f>
        <v>-3</v>
      </c>
      <c r="Q19" s="1143"/>
      <c r="R19" s="1143" t="s">
        <v>445</v>
      </c>
      <c r="S19" s="1166">
        <v>41183</v>
      </c>
      <c r="T19" s="1156">
        <v>550</v>
      </c>
      <c r="U19" s="1144">
        <v>76.400000000000006</v>
      </c>
      <c r="V19" s="1145">
        <v>76.400000000000006</v>
      </c>
      <c r="W19" s="1142"/>
      <c r="X19" s="1146">
        <v>115.958</v>
      </c>
      <c r="Y19" s="1147">
        <v>106.27800000000001</v>
      </c>
      <c r="Z19" s="1146">
        <f>X19/Y19</f>
        <v>1.091081879598788</v>
      </c>
      <c r="AA19" s="1148">
        <f>U19*M19/100/K19*100/7</f>
        <v>19.100000000000001</v>
      </c>
      <c r="AB19" s="1148">
        <f>AA19*Z19</f>
        <v>20.839663900336852</v>
      </c>
      <c r="AC19" s="1148"/>
      <c r="AD19" s="1148"/>
      <c r="AE19" s="1148"/>
      <c r="AF19" s="1148"/>
      <c r="AG19" s="1148"/>
      <c r="AH19" s="1148">
        <v>20.84</v>
      </c>
      <c r="AI19" s="1148">
        <v>20.84</v>
      </c>
      <c r="AJ19" s="1148">
        <v>20.84</v>
      </c>
      <c r="AK19" s="1148">
        <v>12.88</v>
      </c>
      <c r="AL19" s="1148">
        <v>0</v>
      </c>
      <c r="AM19" s="1148">
        <v>0</v>
      </c>
      <c r="AN19" s="1148">
        <v>0</v>
      </c>
      <c r="AO19" s="1148">
        <f>SUM(AC19:AN19)</f>
        <v>75.399999999999991</v>
      </c>
      <c r="AP19" s="1149">
        <f>U19-AO19</f>
        <v>1.0000000000000142</v>
      </c>
      <c r="AQ19" s="1148"/>
      <c r="AR19" s="1148"/>
      <c r="AS19" s="1148"/>
      <c r="AT19" s="1148"/>
      <c r="AU19" s="1148"/>
      <c r="AV19" s="1148"/>
      <c r="AW19" s="1148"/>
      <c r="AX19" s="1162">
        <v>118.901</v>
      </c>
      <c r="AY19" s="1165">
        <v>106.27800000000001</v>
      </c>
      <c r="AZ19" s="1162">
        <f>AX19/AY19</f>
        <v>1.1187734055966427</v>
      </c>
      <c r="BA19" s="1163">
        <f t="shared" si="2"/>
        <v>15.277777777777779</v>
      </c>
      <c r="BB19" s="1163">
        <f>BA19*AZ19</f>
        <v>17.092371474393154</v>
      </c>
      <c r="BC19" s="1163"/>
      <c r="BD19" s="1163"/>
      <c r="BE19" s="1163"/>
      <c r="BF19" s="1163"/>
      <c r="BG19" s="1163"/>
      <c r="BH19" s="1163"/>
      <c r="BI19" s="1163"/>
      <c r="BJ19" s="1163">
        <f t="shared" si="3"/>
        <v>0</v>
      </c>
      <c r="BK19" s="1164">
        <f t="shared" si="4"/>
        <v>1.0000000000000142</v>
      </c>
      <c r="BL19" s="1163"/>
      <c r="BM19" s="1163"/>
      <c r="BN19" s="1163"/>
      <c r="BO19" s="1163"/>
      <c r="BP19" s="1163"/>
      <c r="BQ19" s="1162">
        <v>118.901</v>
      </c>
      <c r="BR19" s="1165">
        <v>106.27800000000001</v>
      </c>
      <c r="BS19" s="1162">
        <f>BQ19/BR19</f>
        <v>1.1187734055966427</v>
      </c>
      <c r="BT19" s="1163"/>
      <c r="BU19" s="1163"/>
      <c r="BV19" s="1163"/>
      <c r="BW19" s="1163"/>
      <c r="BX19" s="1163"/>
      <c r="BY19" s="1163"/>
      <c r="BZ19" s="1163"/>
      <c r="CA19" s="1163"/>
      <c r="CB19" s="1163"/>
      <c r="CC19" s="1163">
        <f>SUM((BL19:BP19),(BV19:CB19))</f>
        <v>0</v>
      </c>
      <c r="CD19" s="1164">
        <f>BK19-CC19</f>
        <v>1.0000000000000142</v>
      </c>
      <c r="CE19" s="1138">
        <v>3</v>
      </c>
      <c r="CF19" s="1153">
        <v>0.33329999999999999</v>
      </c>
      <c r="CG19" s="1140">
        <v>42185</v>
      </c>
      <c r="CH19" s="1143">
        <v>36</v>
      </c>
      <c r="CI19" s="1141">
        <f>100/CH19</f>
        <v>2.7777777777777777</v>
      </c>
      <c r="CJ19" s="1142">
        <f>CI19*CK19</f>
        <v>88.888888888888886</v>
      </c>
      <c r="CK19" s="1143">
        <f>(YEAR(CG19)-YEAR(CT19))*12+MONTH(CG19)-MONTH(CT19)</f>
        <v>32</v>
      </c>
      <c r="CL19" s="1142">
        <f>CM19*CI19</f>
        <v>11.111111111111111</v>
      </c>
      <c r="CM19" s="1143">
        <f>CH19-CK19</f>
        <v>4</v>
      </c>
      <c r="CN19" s="1142">
        <f>CO19*CI19</f>
        <v>19.444444444444443</v>
      </c>
      <c r="CO19" s="1143">
        <v>7</v>
      </c>
      <c r="CP19" s="1142">
        <f>CQ19*CI19</f>
        <v>-8.3333333333333321</v>
      </c>
      <c r="CQ19" s="1143">
        <f>CM19-CO19</f>
        <v>-3</v>
      </c>
      <c r="CR19" s="1143"/>
      <c r="CS19" s="1143" t="s">
        <v>445</v>
      </c>
      <c r="CT19" s="1166">
        <v>41183</v>
      </c>
      <c r="CU19" s="1156">
        <v>550</v>
      </c>
      <c r="CV19" s="1164">
        <v>1.0000000000000142</v>
      </c>
      <c r="CW19" s="1162"/>
      <c r="CX19" s="1165"/>
      <c r="CY19" s="1162"/>
      <c r="CZ19" s="1163"/>
      <c r="DA19" s="1163">
        <f>CZ19*CY19</f>
        <v>0</v>
      </c>
      <c r="DB19" s="1163"/>
      <c r="DC19" s="1163"/>
      <c r="DD19" s="1163"/>
      <c r="DE19" s="1163"/>
      <c r="DF19" s="1163"/>
      <c r="DG19" s="1163"/>
      <c r="DH19" s="1163"/>
      <c r="DI19" s="1163"/>
      <c r="DJ19" s="1164"/>
      <c r="DK19" s="1163"/>
      <c r="DL19" s="1163"/>
      <c r="DM19" s="1163"/>
      <c r="DN19" s="1163"/>
      <c r="DO19" s="1138">
        <v>3</v>
      </c>
      <c r="DP19" s="1153">
        <v>0.33329999999999999</v>
      </c>
      <c r="DQ19" s="1140">
        <v>43281</v>
      </c>
      <c r="DR19" s="1143">
        <v>36</v>
      </c>
      <c r="DS19" s="1141">
        <f>100/DR19</f>
        <v>2.7777777777777777</v>
      </c>
      <c r="DT19" s="1142">
        <f>DS19*DU19</f>
        <v>188.88888888888889</v>
      </c>
      <c r="DU19" s="1143">
        <f>(YEAR(DQ19)-YEAR(ED19))*12+MONTH(DQ19)-MONTH(ED19)</f>
        <v>68</v>
      </c>
      <c r="DV19" s="1142">
        <f>DW19*DS19</f>
        <v>-88.888888888888886</v>
      </c>
      <c r="DW19" s="1143">
        <f>DR19-DU19</f>
        <v>-32</v>
      </c>
      <c r="DX19" s="1142">
        <f>DY19*DS19</f>
        <v>19.444444444444443</v>
      </c>
      <c r="DY19" s="1143">
        <v>7</v>
      </c>
      <c r="DZ19" s="1142">
        <f>EA19*DS19</f>
        <v>-108.33333333333333</v>
      </c>
      <c r="EA19" s="1143">
        <f>DW19-DY19</f>
        <v>-39</v>
      </c>
      <c r="EB19" s="1151">
        <f>DATE(YEAR(ED19),MONTH(ED19)+DR19,DAY(ED19))</f>
        <v>42278</v>
      </c>
      <c r="EC19" s="1143" t="s">
        <v>445</v>
      </c>
      <c r="ED19" s="1166">
        <v>41183</v>
      </c>
      <c r="EE19" s="1156">
        <v>550</v>
      </c>
      <c r="EF19" s="1164">
        <v>1.0000000000000142</v>
      </c>
      <c r="EG19" s="1162"/>
      <c r="EH19" s="1165"/>
      <c r="EI19" s="1162"/>
      <c r="EJ19" s="1163"/>
      <c r="EK19" s="1163">
        <f>EJ19*EI19</f>
        <v>0</v>
      </c>
      <c r="EL19" s="1163"/>
      <c r="EM19" s="1163"/>
      <c r="EN19" s="1163"/>
      <c r="EO19" s="1163"/>
      <c r="EP19" s="1163"/>
      <c r="EQ19" s="1163"/>
      <c r="ER19" s="1163"/>
      <c r="ES19" s="1163"/>
      <c r="ET19" s="1163"/>
      <c r="EU19" s="1164">
        <f>EF19-ET19</f>
        <v>1.0000000000000142</v>
      </c>
    </row>
    <row r="20" spans="1:159" s="16" customFormat="1" ht="15" x14ac:dyDescent="0.25">
      <c r="A20" s="120" t="s">
        <v>268</v>
      </c>
      <c r="B20" s="120" t="s">
        <v>25</v>
      </c>
      <c r="C20" s="45"/>
      <c r="D20" s="58"/>
      <c r="E20" s="127"/>
      <c r="F20" s="46"/>
      <c r="G20" s="48"/>
      <c r="H20" s="145"/>
      <c r="I20" s="165"/>
      <c r="J20" s="48"/>
      <c r="K20" s="165"/>
      <c r="L20" s="48"/>
      <c r="M20" s="165"/>
      <c r="N20" s="48"/>
      <c r="O20" s="165"/>
      <c r="P20" s="48"/>
      <c r="Q20" s="48"/>
      <c r="R20" s="48"/>
      <c r="S20" s="128"/>
      <c r="T20" s="7"/>
      <c r="U20" s="47"/>
      <c r="V20" s="106"/>
      <c r="W20" s="165"/>
      <c r="X20" s="57"/>
      <c r="Y20" s="80"/>
      <c r="Z20" s="57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72"/>
      <c r="AQ20" s="55"/>
      <c r="AR20" s="55"/>
      <c r="AS20" s="55"/>
      <c r="AT20" s="55"/>
      <c r="AU20" s="55"/>
      <c r="AV20" s="55"/>
      <c r="AW20" s="55"/>
      <c r="AX20" s="599"/>
      <c r="AY20" s="600"/>
      <c r="AZ20" s="599"/>
      <c r="BA20" s="598"/>
      <c r="BB20" s="598"/>
      <c r="BC20" s="598"/>
      <c r="BD20" s="598"/>
      <c r="BE20" s="598"/>
      <c r="BF20" s="598"/>
      <c r="BG20" s="598"/>
      <c r="BH20" s="598"/>
      <c r="BI20" s="598"/>
      <c r="BJ20" s="598"/>
      <c r="BK20" s="601"/>
      <c r="BL20" s="598"/>
      <c r="BM20" s="598"/>
      <c r="BN20" s="598"/>
      <c r="BO20" s="598"/>
      <c r="BP20" s="598"/>
      <c r="BQ20" s="599"/>
      <c r="BR20" s="600"/>
      <c r="BS20" s="599"/>
      <c r="BT20" s="598"/>
      <c r="BU20" s="598"/>
      <c r="BV20" s="598"/>
      <c r="BW20" s="598"/>
      <c r="BX20" s="598"/>
      <c r="BY20" s="598"/>
      <c r="BZ20" s="598"/>
      <c r="CA20" s="598"/>
      <c r="CB20" s="598"/>
      <c r="CC20" s="598"/>
      <c r="CD20" s="601"/>
      <c r="CE20" s="58"/>
      <c r="CF20" s="127"/>
      <c r="CG20" s="46"/>
      <c r="CH20" s="48"/>
      <c r="CI20" s="145"/>
      <c r="CJ20" s="165"/>
      <c r="CK20" s="48"/>
      <c r="CL20" s="165"/>
      <c r="CM20" s="48"/>
      <c r="CN20" s="165"/>
      <c r="CO20" s="48"/>
      <c r="CP20" s="165"/>
      <c r="CQ20" s="48"/>
      <c r="CR20" s="48"/>
      <c r="CS20" s="48"/>
      <c r="CT20" s="128"/>
      <c r="CU20" s="7"/>
      <c r="CV20" s="601"/>
      <c r="CW20" s="599"/>
      <c r="CX20" s="600"/>
      <c r="CY20" s="599"/>
      <c r="CZ20" s="598"/>
      <c r="DA20" s="598"/>
      <c r="DB20" s="598"/>
      <c r="DC20" s="598"/>
      <c r="DD20" s="598"/>
      <c r="DE20" s="598"/>
      <c r="DF20" s="598"/>
      <c r="DG20" s="598"/>
      <c r="DH20" s="598"/>
      <c r="DI20" s="598"/>
      <c r="DJ20" s="601"/>
      <c r="DK20" s="598"/>
      <c r="DL20" s="598"/>
      <c r="DM20" s="598"/>
      <c r="DN20" s="598"/>
      <c r="DO20" s="58"/>
      <c r="DP20" s="127"/>
      <c r="DQ20" s="46"/>
      <c r="DR20" s="48"/>
      <c r="DS20" s="145"/>
      <c r="DT20" s="165"/>
      <c r="DU20" s="48"/>
      <c r="DV20" s="165"/>
      <c r="DW20" s="48"/>
      <c r="DX20" s="165"/>
      <c r="DY20" s="48"/>
      <c r="DZ20" s="165"/>
      <c r="EA20" s="48"/>
      <c r="EB20" s="48"/>
      <c r="EC20" s="48"/>
      <c r="ED20" s="128"/>
      <c r="EE20" s="7"/>
      <c r="EF20" s="601"/>
      <c r="EG20" s="599"/>
      <c r="EH20" s="600"/>
      <c r="EI20" s="599"/>
      <c r="EJ20" s="598"/>
      <c r="EK20" s="598"/>
      <c r="EL20" s="598"/>
      <c r="EM20" s="598"/>
      <c r="EN20" s="598"/>
      <c r="EO20" s="598"/>
      <c r="EP20" s="598"/>
      <c r="EQ20" s="598"/>
      <c r="ER20" s="598"/>
      <c r="ES20" s="598"/>
      <c r="ET20" s="598"/>
      <c r="EU20" s="601"/>
    </row>
    <row r="21" spans="1:159" s="16" customFormat="1" ht="15" x14ac:dyDescent="0.25">
      <c r="A21" s="120" t="s">
        <v>269</v>
      </c>
      <c r="B21" s="124"/>
      <c r="C21" s="124"/>
      <c r="D21" s="111"/>
      <c r="E21" s="111"/>
      <c r="F21" s="46"/>
      <c r="G21" s="48"/>
      <c r="H21" s="145"/>
      <c r="I21" s="165"/>
      <c r="J21" s="48"/>
      <c r="K21" s="165"/>
      <c r="L21" s="48"/>
      <c r="M21" s="165"/>
      <c r="N21" s="48"/>
      <c r="O21" s="165"/>
      <c r="P21" s="48"/>
      <c r="Q21" s="48"/>
      <c r="R21" s="48"/>
      <c r="S21" s="119"/>
      <c r="T21" s="7"/>
      <c r="U21" s="47"/>
      <c r="V21" s="106"/>
      <c r="W21" s="165"/>
      <c r="X21" s="57"/>
      <c r="Y21" s="82"/>
      <c r="Z21" s="57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72"/>
      <c r="AQ21" s="55"/>
      <c r="AR21" s="55"/>
      <c r="AS21" s="55"/>
      <c r="AT21" s="55"/>
      <c r="AU21" s="55"/>
      <c r="AV21" s="55"/>
      <c r="AW21" s="55"/>
      <c r="AX21" s="599"/>
      <c r="AY21" s="602"/>
      <c r="AZ21" s="599"/>
      <c r="BA21" s="598"/>
      <c r="BB21" s="598"/>
      <c r="BC21" s="598"/>
      <c r="BD21" s="598"/>
      <c r="BE21" s="598"/>
      <c r="BF21" s="598"/>
      <c r="BG21" s="598"/>
      <c r="BH21" s="598"/>
      <c r="BI21" s="598"/>
      <c r="BJ21" s="598"/>
      <c r="BK21" s="601"/>
      <c r="BL21" s="598"/>
      <c r="BM21" s="598"/>
      <c r="BN21" s="598"/>
      <c r="BO21" s="598"/>
      <c r="BP21" s="598"/>
      <c r="BQ21" s="599"/>
      <c r="BR21" s="602"/>
      <c r="BS21" s="599"/>
      <c r="BT21" s="598"/>
      <c r="BU21" s="598"/>
      <c r="BV21" s="598"/>
      <c r="BW21" s="598"/>
      <c r="BX21" s="598"/>
      <c r="BY21" s="598"/>
      <c r="BZ21" s="598"/>
      <c r="CA21" s="598"/>
      <c r="CB21" s="598"/>
      <c r="CC21" s="598"/>
      <c r="CD21" s="601"/>
      <c r="CE21" s="111"/>
      <c r="CF21" s="111"/>
      <c r="CG21" s="46"/>
      <c r="CH21" s="48"/>
      <c r="CI21" s="145"/>
      <c r="CJ21" s="165"/>
      <c r="CK21" s="48"/>
      <c r="CL21" s="165"/>
      <c r="CM21" s="48"/>
      <c r="CN21" s="165"/>
      <c r="CO21" s="48"/>
      <c r="CP21" s="165"/>
      <c r="CQ21" s="48"/>
      <c r="CR21" s="48"/>
      <c r="CS21" s="48"/>
      <c r="CT21" s="119"/>
      <c r="CU21" s="7"/>
      <c r="CV21" s="601"/>
      <c r="CW21" s="599"/>
      <c r="CX21" s="602"/>
      <c r="CY21" s="599"/>
      <c r="CZ21" s="598"/>
      <c r="DA21" s="598"/>
      <c r="DB21" s="598"/>
      <c r="DC21" s="598"/>
      <c r="DD21" s="598"/>
      <c r="DE21" s="598"/>
      <c r="DF21" s="598"/>
      <c r="DG21" s="598"/>
      <c r="DH21" s="598"/>
      <c r="DI21" s="598"/>
      <c r="DJ21" s="601"/>
      <c r="DK21" s="598"/>
      <c r="DL21" s="598"/>
      <c r="DM21" s="598"/>
      <c r="DN21" s="598"/>
      <c r="DO21" s="111"/>
      <c r="DP21" s="111"/>
      <c r="DQ21" s="46"/>
      <c r="DR21" s="48"/>
      <c r="DS21" s="145"/>
      <c r="DT21" s="165"/>
      <c r="DU21" s="48"/>
      <c r="DV21" s="165"/>
      <c r="DW21" s="48"/>
      <c r="DX21" s="165"/>
      <c r="DY21" s="48"/>
      <c r="DZ21" s="165"/>
      <c r="EA21" s="48"/>
      <c r="EB21" s="48"/>
      <c r="EC21" s="48"/>
      <c r="ED21" s="119"/>
      <c r="EE21" s="7"/>
      <c r="EF21" s="601"/>
      <c r="EG21" s="599"/>
      <c r="EH21" s="602"/>
      <c r="EI21" s="599"/>
      <c r="EJ21" s="598"/>
      <c r="EK21" s="598"/>
      <c r="EL21" s="598"/>
      <c r="EM21" s="598"/>
      <c r="EN21" s="598"/>
      <c r="EO21" s="598"/>
      <c r="EP21" s="598"/>
      <c r="EQ21" s="598"/>
      <c r="ER21" s="598"/>
      <c r="ES21" s="598"/>
      <c r="ET21" s="598"/>
      <c r="EU21" s="601"/>
    </row>
    <row r="22" spans="1:159" s="1161" customFormat="1" ht="15" x14ac:dyDescent="0.25">
      <c r="A22" s="1137" t="s">
        <v>138</v>
      </c>
      <c r="B22" s="1137" t="s">
        <v>39</v>
      </c>
      <c r="C22" s="1137" t="s">
        <v>334</v>
      </c>
      <c r="D22" s="1138">
        <v>3</v>
      </c>
      <c r="E22" s="1153">
        <v>0.33329999999999999</v>
      </c>
      <c r="F22" s="1140">
        <v>42185</v>
      </c>
      <c r="G22" s="1143">
        <v>36</v>
      </c>
      <c r="H22" s="1141">
        <f>100/G22</f>
        <v>2.7777777777777777</v>
      </c>
      <c r="I22" s="1142">
        <f>H22*J22</f>
        <v>86.111111111111114</v>
      </c>
      <c r="J22" s="1143">
        <f>(YEAR(F22)-YEAR(S22))*12+MONTH(F22)-MONTH(S22)</f>
        <v>31</v>
      </c>
      <c r="K22" s="1142">
        <f>L22*H22</f>
        <v>13.888888888888889</v>
      </c>
      <c r="L22" s="1143">
        <f>G22-J22</f>
        <v>5</v>
      </c>
      <c r="M22" s="1142">
        <f>N22*H22</f>
        <v>19.444444444444443</v>
      </c>
      <c r="N22" s="1143">
        <v>7</v>
      </c>
      <c r="O22" s="1142">
        <f>P22*H22</f>
        <v>-5.5555555555555554</v>
      </c>
      <c r="P22" s="1143">
        <f>L22-N22</f>
        <v>-2</v>
      </c>
      <c r="Q22" s="1143"/>
      <c r="R22" s="1143" t="s">
        <v>551</v>
      </c>
      <c r="S22" s="1166">
        <v>41214</v>
      </c>
      <c r="T22" s="1156">
        <v>499</v>
      </c>
      <c r="U22" s="1144">
        <v>83.21</v>
      </c>
      <c r="V22" s="1145">
        <v>69.3</v>
      </c>
      <c r="W22" s="1142"/>
      <c r="X22" s="1146">
        <v>115.958</v>
      </c>
      <c r="Y22" s="1147">
        <v>107</v>
      </c>
      <c r="Z22" s="1146">
        <f>X22/Y22</f>
        <v>1.0837196261682243</v>
      </c>
      <c r="AA22" s="1148">
        <f>U22*M22/100/K22*100/7</f>
        <v>16.641999999999999</v>
      </c>
      <c r="AB22" s="1148">
        <f>AA22*Z22</f>
        <v>18.035262018691586</v>
      </c>
      <c r="AC22" s="1148"/>
      <c r="AD22" s="1148"/>
      <c r="AE22" s="1148"/>
      <c r="AF22" s="1148"/>
      <c r="AG22" s="1148"/>
      <c r="AH22" s="1148">
        <v>18.04</v>
      </c>
      <c r="AI22" s="1148">
        <v>18.04</v>
      </c>
      <c r="AJ22" s="1148">
        <v>18.04</v>
      </c>
      <c r="AK22" s="1148">
        <v>18.04</v>
      </c>
      <c r="AL22" s="1148">
        <v>10.050000000000001</v>
      </c>
      <c r="AM22" s="1148">
        <v>0</v>
      </c>
      <c r="AN22" s="1148">
        <v>0</v>
      </c>
      <c r="AO22" s="1148">
        <f>SUM(AC22:AN22)</f>
        <v>82.21</v>
      </c>
      <c r="AP22" s="1149">
        <f>U22-AO22</f>
        <v>1</v>
      </c>
      <c r="AQ22" s="1148"/>
      <c r="AR22" s="1148"/>
      <c r="AS22" s="1148"/>
      <c r="AT22" s="1148"/>
      <c r="AU22" s="1148"/>
      <c r="AV22" s="1148"/>
      <c r="AW22" s="1148"/>
      <c r="AX22" s="1162">
        <v>118.901</v>
      </c>
      <c r="AY22" s="1165">
        <v>107</v>
      </c>
      <c r="AZ22" s="1162">
        <f>AX22/AY22</f>
        <v>1.1112242990654204</v>
      </c>
      <c r="BA22" s="1163">
        <f t="shared" si="2"/>
        <v>13.861111111111111</v>
      </c>
      <c r="BB22" s="1163">
        <f>BA22*AZ22</f>
        <v>15.402803478712356</v>
      </c>
      <c r="BC22" s="1163"/>
      <c r="BD22" s="1163"/>
      <c r="BE22" s="1163"/>
      <c r="BF22" s="1163"/>
      <c r="BG22" s="1163"/>
      <c r="BH22" s="1163"/>
      <c r="BI22" s="1163"/>
      <c r="BJ22" s="1163">
        <f t="shared" si="3"/>
        <v>0</v>
      </c>
      <c r="BK22" s="1164">
        <f t="shared" si="4"/>
        <v>1</v>
      </c>
      <c r="BL22" s="1163"/>
      <c r="BM22" s="1163"/>
      <c r="BN22" s="1163"/>
      <c r="BO22" s="1163"/>
      <c r="BP22" s="1163"/>
      <c r="BQ22" s="1162">
        <v>118.901</v>
      </c>
      <c r="BR22" s="1165">
        <v>107</v>
      </c>
      <c r="BS22" s="1162">
        <f>BQ22/BR22</f>
        <v>1.1112242990654204</v>
      </c>
      <c r="BT22" s="1163"/>
      <c r="BU22" s="1163"/>
      <c r="BV22" s="1163"/>
      <c r="BW22" s="1163"/>
      <c r="BX22" s="1163"/>
      <c r="BY22" s="1163"/>
      <c r="BZ22" s="1163"/>
      <c r="CA22" s="1163"/>
      <c r="CB22" s="1163"/>
      <c r="CC22" s="1163">
        <f>SUM((BL22:BP22),(BV22:CB22))</f>
        <v>0</v>
      </c>
      <c r="CD22" s="1164">
        <f>BK22-CC22</f>
        <v>1</v>
      </c>
      <c r="CE22" s="1138">
        <v>3</v>
      </c>
      <c r="CF22" s="1153">
        <v>0.33329999999999999</v>
      </c>
      <c r="CG22" s="1140">
        <v>42185</v>
      </c>
      <c r="CH22" s="1143">
        <v>36</v>
      </c>
      <c r="CI22" s="1141">
        <f>100/CH22</f>
        <v>2.7777777777777777</v>
      </c>
      <c r="CJ22" s="1142">
        <f>CI22*CK22</f>
        <v>86.111111111111114</v>
      </c>
      <c r="CK22" s="1143">
        <f>(YEAR(CG22)-YEAR(CT22))*12+MONTH(CG22)-MONTH(CT22)</f>
        <v>31</v>
      </c>
      <c r="CL22" s="1142">
        <f>CM22*CI22</f>
        <v>13.888888888888889</v>
      </c>
      <c r="CM22" s="1143">
        <f>CH22-CK22</f>
        <v>5</v>
      </c>
      <c r="CN22" s="1142">
        <f>CO22*CI22</f>
        <v>19.444444444444443</v>
      </c>
      <c r="CO22" s="1143">
        <v>7</v>
      </c>
      <c r="CP22" s="1142">
        <f>CQ22*CI22</f>
        <v>-5.5555555555555554</v>
      </c>
      <c r="CQ22" s="1143">
        <f>CM22-CO22</f>
        <v>-2</v>
      </c>
      <c r="CR22" s="1143"/>
      <c r="CS22" s="1143" t="s">
        <v>551</v>
      </c>
      <c r="CT22" s="1166">
        <v>41214</v>
      </c>
      <c r="CU22" s="1156">
        <v>499</v>
      </c>
      <c r="CV22" s="1164">
        <v>1</v>
      </c>
      <c r="CW22" s="1162"/>
      <c r="CX22" s="1165"/>
      <c r="CY22" s="1162"/>
      <c r="CZ22" s="1163"/>
      <c r="DA22" s="1163">
        <f>CZ22*CY22</f>
        <v>0</v>
      </c>
      <c r="DB22" s="1163"/>
      <c r="DC22" s="1163"/>
      <c r="DD22" s="1163"/>
      <c r="DE22" s="1163"/>
      <c r="DF22" s="1163"/>
      <c r="DG22" s="1163"/>
      <c r="DH22" s="1163"/>
      <c r="DI22" s="1163"/>
      <c r="DJ22" s="1164"/>
      <c r="DK22" s="1163"/>
      <c r="DL22" s="1163"/>
      <c r="DM22" s="1163"/>
      <c r="DN22" s="1163"/>
      <c r="DO22" s="1138">
        <v>3</v>
      </c>
      <c r="DP22" s="1153">
        <v>0.33329999999999999</v>
      </c>
      <c r="DQ22" s="1140">
        <v>43281</v>
      </c>
      <c r="DR22" s="1143">
        <v>36</v>
      </c>
      <c r="DS22" s="1141">
        <f>100/DR22</f>
        <v>2.7777777777777777</v>
      </c>
      <c r="DT22" s="1142">
        <f>DS22*DU22</f>
        <v>186.11111111111111</v>
      </c>
      <c r="DU22" s="1143">
        <f>(YEAR(DQ22)-YEAR(ED22))*12+MONTH(DQ22)-MONTH(ED22)</f>
        <v>67</v>
      </c>
      <c r="DV22" s="1142">
        <f>DW22*DS22</f>
        <v>-86.111111111111114</v>
      </c>
      <c r="DW22" s="1143">
        <f>DR22-DU22</f>
        <v>-31</v>
      </c>
      <c r="DX22" s="1142">
        <f>DY22*DS22</f>
        <v>19.444444444444443</v>
      </c>
      <c r="DY22" s="1143">
        <v>7</v>
      </c>
      <c r="DZ22" s="1142">
        <f>EA22*DS22</f>
        <v>-105.55555555555556</v>
      </c>
      <c r="EA22" s="1143">
        <f>DW22-DY22</f>
        <v>-38</v>
      </c>
      <c r="EB22" s="1151">
        <f>DATE(YEAR(ED22),MONTH(ED22)+DR22,DAY(ED22))</f>
        <v>42309</v>
      </c>
      <c r="EC22" s="1143" t="s">
        <v>551</v>
      </c>
      <c r="ED22" s="1166">
        <v>41214</v>
      </c>
      <c r="EE22" s="1156">
        <v>499</v>
      </c>
      <c r="EF22" s="1164">
        <v>1</v>
      </c>
      <c r="EG22" s="1162"/>
      <c r="EH22" s="1165"/>
      <c r="EI22" s="1162"/>
      <c r="EJ22" s="1163"/>
      <c r="EK22" s="1163">
        <f>EJ22*EI22</f>
        <v>0</v>
      </c>
      <c r="EL22" s="1163"/>
      <c r="EM22" s="1163"/>
      <c r="EN22" s="1163"/>
      <c r="EO22" s="1163"/>
      <c r="EP22" s="1163"/>
      <c r="EQ22" s="1163"/>
      <c r="ER22" s="1163"/>
      <c r="ES22" s="1163"/>
      <c r="ET22" s="1163"/>
      <c r="EU22" s="1164">
        <f>EF22-ET22</f>
        <v>1</v>
      </c>
    </row>
    <row r="23" spans="1:159" s="16" customFormat="1" ht="15" x14ac:dyDescent="0.25">
      <c r="A23" s="120" t="s">
        <v>65</v>
      </c>
      <c r="B23" s="120" t="s">
        <v>87</v>
      </c>
      <c r="C23" s="45"/>
      <c r="D23" s="58"/>
      <c r="E23" s="130"/>
      <c r="F23" s="46"/>
      <c r="G23" s="17"/>
      <c r="H23" s="145"/>
      <c r="I23" s="165"/>
      <c r="J23" s="48"/>
      <c r="K23" s="165"/>
      <c r="L23" s="48"/>
      <c r="M23" s="165"/>
      <c r="N23" s="48"/>
      <c r="O23" s="165"/>
      <c r="P23" s="48"/>
      <c r="Q23" s="48"/>
      <c r="R23" s="17"/>
      <c r="S23" s="128"/>
      <c r="T23" s="129"/>
      <c r="U23" s="14"/>
      <c r="V23" s="108"/>
      <c r="W23" s="165"/>
      <c r="X23" s="57"/>
      <c r="Y23" s="80"/>
      <c r="Z23" s="57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72"/>
      <c r="AQ23" s="55"/>
      <c r="AR23" s="55"/>
      <c r="AS23" s="55"/>
      <c r="AT23" s="55"/>
      <c r="AU23" s="55"/>
      <c r="AV23" s="55"/>
      <c r="AW23" s="55"/>
      <c r="AX23" s="599"/>
      <c r="AY23" s="600"/>
      <c r="AZ23" s="599"/>
      <c r="BA23" s="598"/>
      <c r="BB23" s="598"/>
      <c r="BC23" s="598"/>
      <c r="BD23" s="598"/>
      <c r="BE23" s="598"/>
      <c r="BF23" s="598"/>
      <c r="BG23" s="598"/>
      <c r="BH23" s="598"/>
      <c r="BI23" s="598"/>
      <c r="BJ23" s="598"/>
      <c r="BK23" s="601"/>
      <c r="BL23" s="598"/>
      <c r="BM23" s="598"/>
      <c r="BN23" s="598"/>
      <c r="BO23" s="598"/>
      <c r="BP23" s="598"/>
      <c r="BQ23" s="599"/>
      <c r="BR23" s="600"/>
      <c r="BS23" s="599"/>
      <c r="BT23" s="598"/>
      <c r="BU23" s="598"/>
      <c r="BV23" s="598"/>
      <c r="BW23" s="598"/>
      <c r="BX23" s="598"/>
      <c r="BY23" s="598"/>
      <c r="BZ23" s="598"/>
      <c r="CA23" s="598"/>
      <c r="CB23" s="598"/>
      <c r="CC23" s="598"/>
      <c r="CD23" s="601"/>
      <c r="CE23" s="58"/>
      <c r="CF23" s="130"/>
      <c r="CG23" s="46"/>
      <c r="CH23" s="17"/>
      <c r="CI23" s="145"/>
      <c r="CJ23" s="165"/>
      <c r="CK23" s="48"/>
      <c r="CL23" s="165"/>
      <c r="CM23" s="48"/>
      <c r="CN23" s="165"/>
      <c r="CO23" s="48"/>
      <c r="CP23" s="165"/>
      <c r="CQ23" s="48"/>
      <c r="CR23" s="48"/>
      <c r="CS23" s="17"/>
      <c r="CT23" s="128"/>
      <c r="CU23" s="129"/>
      <c r="CV23" s="601"/>
      <c r="CW23" s="599"/>
      <c r="CX23" s="600"/>
      <c r="CY23" s="599"/>
      <c r="CZ23" s="598"/>
      <c r="DA23" s="598"/>
      <c r="DB23" s="598"/>
      <c r="DC23" s="598"/>
      <c r="DD23" s="598"/>
      <c r="DE23" s="598"/>
      <c r="DF23" s="598"/>
      <c r="DG23" s="598"/>
      <c r="DH23" s="598"/>
      <c r="DI23" s="598"/>
      <c r="DJ23" s="601"/>
      <c r="DK23" s="598"/>
      <c r="DL23" s="598"/>
      <c r="DM23" s="598"/>
      <c r="DN23" s="598"/>
      <c r="DO23" s="58"/>
      <c r="DP23" s="130"/>
      <c r="DQ23" s="46"/>
      <c r="DR23" s="17"/>
      <c r="DS23" s="145"/>
      <c r="DT23" s="165"/>
      <c r="DU23" s="48"/>
      <c r="DV23" s="165"/>
      <c r="DW23" s="48"/>
      <c r="DX23" s="165"/>
      <c r="DY23" s="48"/>
      <c r="DZ23" s="165"/>
      <c r="EA23" s="48"/>
      <c r="EB23" s="48"/>
      <c r="EC23" s="17"/>
      <c r="ED23" s="128"/>
      <c r="EE23" s="129"/>
      <c r="EF23" s="601"/>
      <c r="EG23" s="599"/>
      <c r="EH23" s="600"/>
      <c r="EI23" s="599"/>
      <c r="EJ23" s="598"/>
      <c r="EK23" s="598"/>
      <c r="EL23" s="598"/>
      <c r="EM23" s="598"/>
      <c r="EN23" s="598"/>
      <c r="EO23" s="598"/>
      <c r="EP23" s="598"/>
      <c r="EQ23" s="598"/>
      <c r="ER23" s="598"/>
      <c r="ES23" s="598"/>
      <c r="ET23" s="598"/>
      <c r="EU23" s="601"/>
    </row>
    <row r="24" spans="1:159" s="16" customFormat="1" ht="15" x14ac:dyDescent="0.25">
      <c r="A24" s="120" t="s">
        <v>83</v>
      </c>
      <c r="B24" s="100"/>
      <c r="C24" s="45"/>
      <c r="D24" s="8"/>
      <c r="E24" s="130"/>
      <c r="F24" s="46"/>
      <c r="G24" s="17"/>
      <c r="H24" s="145"/>
      <c r="I24" s="165"/>
      <c r="J24" s="48"/>
      <c r="K24" s="165"/>
      <c r="L24" s="48"/>
      <c r="M24" s="165"/>
      <c r="N24" s="48"/>
      <c r="O24" s="165"/>
      <c r="P24" s="48"/>
      <c r="Q24" s="48"/>
      <c r="R24" s="17"/>
      <c r="S24" s="128"/>
      <c r="T24" s="129"/>
      <c r="U24" s="14"/>
      <c r="V24" s="108"/>
      <c r="W24" s="165"/>
      <c r="X24" s="57"/>
      <c r="Y24" s="80"/>
      <c r="Z24" s="57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72"/>
      <c r="AQ24" s="55"/>
      <c r="AR24" s="55"/>
      <c r="AS24" s="55"/>
      <c r="AT24" s="55"/>
      <c r="AU24" s="55"/>
      <c r="AV24" s="55"/>
      <c r="AW24" s="55"/>
      <c r="AX24" s="599"/>
      <c r="AY24" s="600"/>
      <c r="AZ24" s="599"/>
      <c r="BA24" s="598"/>
      <c r="BB24" s="598"/>
      <c r="BC24" s="598"/>
      <c r="BD24" s="598"/>
      <c r="BE24" s="598"/>
      <c r="BF24" s="598"/>
      <c r="BG24" s="598"/>
      <c r="BH24" s="598"/>
      <c r="BI24" s="598"/>
      <c r="BJ24" s="598"/>
      <c r="BK24" s="601"/>
      <c r="BL24" s="598"/>
      <c r="BM24" s="598"/>
      <c r="BN24" s="598"/>
      <c r="BO24" s="598"/>
      <c r="BP24" s="598"/>
      <c r="BQ24" s="599"/>
      <c r="BR24" s="600"/>
      <c r="BS24" s="599"/>
      <c r="BT24" s="598"/>
      <c r="BU24" s="598"/>
      <c r="BV24" s="598"/>
      <c r="BW24" s="598"/>
      <c r="BX24" s="598"/>
      <c r="BY24" s="598"/>
      <c r="BZ24" s="598"/>
      <c r="CA24" s="598"/>
      <c r="CB24" s="598"/>
      <c r="CC24" s="598"/>
      <c r="CD24" s="601"/>
      <c r="CE24" s="8"/>
      <c r="CF24" s="130"/>
      <c r="CG24" s="46"/>
      <c r="CH24" s="17"/>
      <c r="CI24" s="145"/>
      <c r="CJ24" s="165"/>
      <c r="CK24" s="48"/>
      <c r="CL24" s="165"/>
      <c r="CM24" s="48"/>
      <c r="CN24" s="165"/>
      <c r="CO24" s="48"/>
      <c r="CP24" s="165"/>
      <c r="CQ24" s="48"/>
      <c r="CR24" s="48"/>
      <c r="CS24" s="17"/>
      <c r="CT24" s="128"/>
      <c r="CU24" s="129"/>
      <c r="CV24" s="601"/>
      <c r="CW24" s="599"/>
      <c r="CX24" s="600"/>
      <c r="CY24" s="599"/>
      <c r="CZ24" s="598"/>
      <c r="DA24" s="598"/>
      <c r="DB24" s="598"/>
      <c r="DC24" s="598"/>
      <c r="DD24" s="598"/>
      <c r="DE24" s="598"/>
      <c r="DF24" s="598"/>
      <c r="DG24" s="598"/>
      <c r="DH24" s="598"/>
      <c r="DI24" s="598"/>
      <c r="DJ24" s="601"/>
      <c r="DK24" s="598"/>
      <c r="DL24" s="598"/>
      <c r="DM24" s="598"/>
      <c r="DN24" s="598"/>
      <c r="DO24" s="8"/>
      <c r="DP24" s="130"/>
      <c r="DQ24" s="46"/>
      <c r="DR24" s="17"/>
      <c r="DS24" s="145"/>
      <c r="DT24" s="165"/>
      <c r="DU24" s="48"/>
      <c r="DV24" s="165"/>
      <c r="DW24" s="48"/>
      <c r="DX24" s="165"/>
      <c r="DY24" s="48"/>
      <c r="DZ24" s="165"/>
      <c r="EA24" s="48"/>
      <c r="EB24" s="48"/>
      <c r="EC24" s="17"/>
      <c r="ED24" s="128"/>
      <c r="EE24" s="129"/>
      <c r="EF24" s="601"/>
      <c r="EG24" s="599"/>
      <c r="EH24" s="600"/>
      <c r="EI24" s="599"/>
      <c r="EJ24" s="598"/>
      <c r="EK24" s="598"/>
      <c r="EL24" s="598"/>
      <c r="EM24" s="598"/>
      <c r="EN24" s="598"/>
      <c r="EO24" s="598"/>
      <c r="EP24" s="598"/>
      <c r="EQ24" s="598"/>
      <c r="ER24" s="598"/>
      <c r="ES24" s="598"/>
      <c r="ET24" s="598"/>
      <c r="EU24" s="601"/>
    </row>
    <row r="25" spans="1:159" s="1161" customFormat="1" ht="15" x14ac:dyDescent="0.25">
      <c r="A25" s="1140" t="s">
        <v>135</v>
      </c>
      <c r="B25" s="1137" t="s">
        <v>335</v>
      </c>
      <c r="C25" s="1137" t="s">
        <v>334</v>
      </c>
      <c r="D25" s="1138">
        <v>10</v>
      </c>
      <c r="E25" s="1139">
        <v>0.1</v>
      </c>
      <c r="F25" s="1140">
        <v>42185</v>
      </c>
      <c r="G25" s="1143">
        <v>120</v>
      </c>
      <c r="H25" s="1141">
        <f>100/G25</f>
        <v>0.83333333333333337</v>
      </c>
      <c r="I25" s="1142">
        <f>H25*J25</f>
        <v>25</v>
      </c>
      <c r="J25" s="1143">
        <f>(YEAR(F25)-YEAR(S25))*12+MONTH(F25)-MONTH(S25)</f>
        <v>30</v>
      </c>
      <c r="K25" s="1142">
        <f>L25*H25</f>
        <v>75</v>
      </c>
      <c r="L25" s="1143">
        <f>G25-J25</f>
        <v>90</v>
      </c>
      <c r="M25" s="1142">
        <f>N25*H25</f>
        <v>5.8333333333333339</v>
      </c>
      <c r="N25" s="1143">
        <v>7</v>
      </c>
      <c r="O25" s="1142">
        <f>P25*H25</f>
        <v>69.166666666666671</v>
      </c>
      <c r="P25" s="1143">
        <f>L25-N25</f>
        <v>83</v>
      </c>
      <c r="Q25" s="1143"/>
      <c r="R25" s="1143" t="s">
        <v>445</v>
      </c>
      <c r="S25" s="1166">
        <v>41244</v>
      </c>
      <c r="T25" s="1156">
        <v>325</v>
      </c>
      <c r="U25" s="1144">
        <v>246.44</v>
      </c>
      <c r="V25" s="1145">
        <v>13.55</v>
      </c>
      <c r="W25" s="1142"/>
      <c r="X25" s="1146">
        <v>115.958</v>
      </c>
      <c r="Y25" s="1147">
        <v>107.246</v>
      </c>
      <c r="Z25" s="1146">
        <f>X25/Y25</f>
        <v>1.0812337989295639</v>
      </c>
      <c r="AA25" s="1148">
        <f>U25*M25/100/K25*100/7</f>
        <v>2.7382222222222223</v>
      </c>
      <c r="AB25" s="1148">
        <f>AA25*Z25</f>
        <v>2.960658415646686</v>
      </c>
      <c r="AC25" s="1148"/>
      <c r="AD25" s="1148"/>
      <c r="AE25" s="1148"/>
      <c r="AF25" s="1148"/>
      <c r="AG25" s="1148"/>
      <c r="AH25" s="1148">
        <v>2.96</v>
      </c>
      <c r="AI25" s="1148">
        <v>2.96</v>
      </c>
      <c r="AJ25" s="1148">
        <v>2.96</v>
      </c>
      <c r="AK25" s="1148">
        <v>2.96</v>
      </c>
      <c r="AL25" s="1148">
        <v>2.96</v>
      </c>
      <c r="AM25" s="1148">
        <v>2.96</v>
      </c>
      <c r="AN25" s="1148">
        <v>2.96</v>
      </c>
      <c r="AO25" s="1148">
        <f>SUM(AC25:AN25)</f>
        <v>20.720000000000002</v>
      </c>
      <c r="AP25" s="1149">
        <f>U25-AO25</f>
        <v>225.72</v>
      </c>
      <c r="AQ25" s="1148"/>
      <c r="AR25" s="1148"/>
      <c r="AS25" s="1148">
        <f>$AN25</f>
        <v>2.96</v>
      </c>
      <c r="AT25" s="1148">
        <f>$AN25</f>
        <v>2.96</v>
      </c>
      <c r="AU25" s="1148">
        <f>$AN25</f>
        <v>2.96</v>
      </c>
      <c r="AV25" s="1148">
        <f>$AN25</f>
        <v>2.96</v>
      </c>
      <c r="AW25" s="1148">
        <f>$AN25</f>
        <v>2.96</v>
      </c>
      <c r="AX25" s="1162">
        <v>118.901</v>
      </c>
      <c r="AY25" s="1165">
        <v>107.246</v>
      </c>
      <c r="AZ25" s="1162">
        <f>AX25/AY25</f>
        <v>1.1086753818324226</v>
      </c>
      <c r="BA25" s="1163">
        <f t="shared" si="2"/>
        <v>2.7083333333333335</v>
      </c>
      <c r="BB25" s="1163">
        <f>BA25*AZ25</f>
        <v>3.0026624924628114</v>
      </c>
      <c r="BC25" s="1163">
        <f>$BB25</f>
        <v>3.0026624924628114</v>
      </c>
      <c r="BD25" s="1163">
        <f>$BB25</f>
        <v>3.0026624924628114</v>
      </c>
      <c r="BE25" s="1163">
        <f>$BB25</f>
        <v>3.0026624924628114</v>
      </c>
      <c r="BF25" s="1163">
        <f>$BB25</f>
        <v>3.0026624924628114</v>
      </c>
      <c r="BG25" s="1163">
        <v>3</v>
      </c>
      <c r="BH25" s="1163">
        <v>3</v>
      </c>
      <c r="BI25" s="1163">
        <v>3</v>
      </c>
      <c r="BJ25" s="1163">
        <f t="shared" si="3"/>
        <v>35.810649969851241</v>
      </c>
      <c r="BK25" s="1164">
        <f t="shared" si="4"/>
        <v>189.90935003014874</v>
      </c>
      <c r="BL25" s="1163">
        <v>3</v>
      </c>
      <c r="BM25" s="1163">
        <v>2.71</v>
      </c>
      <c r="BN25" s="1163">
        <v>2.71</v>
      </c>
      <c r="BO25" s="1163">
        <v>2.71</v>
      </c>
      <c r="BP25" s="1163">
        <v>2.71</v>
      </c>
      <c r="BQ25" s="1162">
        <v>118.901</v>
      </c>
      <c r="BR25" s="1165">
        <v>107.246</v>
      </c>
      <c r="BS25" s="1162">
        <f>BQ25/BR25</f>
        <v>1.1086753818324226</v>
      </c>
      <c r="BT25" s="1163"/>
      <c r="BU25" s="1163"/>
      <c r="BV25" s="1163"/>
      <c r="BW25" s="1163"/>
      <c r="BX25" s="1163"/>
      <c r="BY25" s="1163"/>
      <c r="BZ25" s="1163"/>
      <c r="CA25" s="1163"/>
      <c r="CB25" s="1163"/>
      <c r="CC25" s="1163">
        <f>SUM((BL25:BP25),(BV25:CB25))</f>
        <v>13.84</v>
      </c>
      <c r="CD25" s="1164">
        <f>BK25-CC25</f>
        <v>176.06935003014874</v>
      </c>
      <c r="CE25" s="1138">
        <v>10</v>
      </c>
      <c r="CF25" s="1139">
        <v>0.1</v>
      </c>
      <c r="CG25" s="1140">
        <v>42185</v>
      </c>
      <c r="CH25" s="1143">
        <v>120</v>
      </c>
      <c r="CI25" s="1141">
        <f>100/CH25</f>
        <v>0.83333333333333337</v>
      </c>
      <c r="CJ25" s="1142">
        <f>CI25*CK25</f>
        <v>25</v>
      </c>
      <c r="CK25" s="1143">
        <f>(YEAR(CG25)-YEAR(CT25))*12+MONTH(CG25)-MONTH(CT25)</f>
        <v>30</v>
      </c>
      <c r="CL25" s="1142">
        <f>CM25*CI25</f>
        <v>75</v>
      </c>
      <c r="CM25" s="1143">
        <f>CH25-CK25</f>
        <v>90</v>
      </c>
      <c r="CN25" s="1142">
        <f>CO25*CI25</f>
        <v>5.8333333333333339</v>
      </c>
      <c r="CO25" s="1143">
        <v>7</v>
      </c>
      <c r="CP25" s="1142">
        <f>CQ25*CI25</f>
        <v>69.166666666666671</v>
      </c>
      <c r="CQ25" s="1143">
        <f>CM25-CO25</f>
        <v>83</v>
      </c>
      <c r="CR25" s="1143"/>
      <c r="CS25" s="1143" t="s">
        <v>445</v>
      </c>
      <c r="CT25" s="1166">
        <v>41244</v>
      </c>
      <c r="CU25" s="1156">
        <v>325</v>
      </c>
      <c r="CV25" s="1164">
        <v>176.06935003014874</v>
      </c>
      <c r="CW25" s="1162">
        <v>126.408</v>
      </c>
      <c r="CX25" s="1165">
        <v>107.246</v>
      </c>
      <c r="CY25" s="1162">
        <f>CW25/CX25</f>
        <v>1.1786733304738639</v>
      </c>
      <c r="CZ25" s="1163">
        <f>CV25/CO25</f>
        <v>25.152764290021249</v>
      </c>
      <c r="DA25" s="1163">
        <v>25.15</v>
      </c>
      <c r="DB25" s="1163">
        <v>25.15</v>
      </c>
      <c r="DC25" s="1163"/>
      <c r="DD25" s="1163"/>
      <c r="DE25" s="1163"/>
      <c r="DF25" s="1163"/>
      <c r="DG25" s="1163"/>
      <c r="DH25" s="1163"/>
      <c r="DI25" s="1163">
        <f>SUM(DB25:DH25)</f>
        <v>25.15</v>
      </c>
      <c r="DJ25" s="1164">
        <f>CV25-DI25</f>
        <v>150.91935003014873</v>
      </c>
      <c r="DK25" s="1163">
        <v>3</v>
      </c>
      <c r="DL25" s="1163">
        <v>2.71</v>
      </c>
      <c r="DM25" s="1163">
        <v>2.71</v>
      </c>
      <c r="DN25" s="1163">
        <v>2.71</v>
      </c>
      <c r="DO25" s="1138">
        <v>10</v>
      </c>
      <c r="DP25" s="1139">
        <v>0.1</v>
      </c>
      <c r="DQ25" s="1140">
        <v>43281</v>
      </c>
      <c r="DR25" s="1143">
        <v>120</v>
      </c>
      <c r="DS25" s="1141">
        <f>100/DR25</f>
        <v>0.83333333333333337</v>
      </c>
      <c r="DT25" s="1142">
        <f>DS25*DU25</f>
        <v>55</v>
      </c>
      <c r="DU25" s="1143">
        <f>(YEAR(DQ25)-YEAR(ED25))*12+MONTH(DQ25)-MONTH(ED25)</f>
        <v>66</v>
      </c>
      <c r="DV25" s="1142">
        <f>DW25*DS25</f>
        <v>45</v>
      </c>
      <c r="DW25" s="1143">
        <f>DR25-DU25</f>
        <v>54</v>
      </c>
      <c r="DX25" s="1142">
        <f>DY25*DS25</f>
        <v>5.8333333333333339</v>
      </c>
      <c r="DY25" s="1143">
        <v>7</v>
      </c>
      <c r="DZ25" s="1142">
        <f>EA25*DS25</f>
        <v>39.166666666666671</v>
      </c>
      <c r="EA25" s="1143">
        <f>DW25-DY25</f>
        <v>47</v>
      </c>
      <c r="EB25" s="1151">
        <f>DATE(YEAR(ED25),MONTH(ED25)+DR25,DAY(ED25))</f>
        <v>44896</v>
      </c>
      <c r="EC25" s="1143" t="s">
        <v>445</v>
      </c>
      <c r="ED25" s="1166">
        <v>41244</v>
      </c>
      <c r="EE25" s="1156">
        <v>325</v>
      </c>
      <c r="EF25" s="1164">
        <v>176.06935003014874</v>
      </c>
      <c r="EG25" s="1162">
        <v>126.408</v>
      </c>
      <c r="EH25" s="1165">
        <v>107.246</v>
      </c>
      <c r="EI25" s="1162">
        <f>EG25/EH25</f>
        <v>1.1786733304738639</v>
      </c>
      <c r="EJ25" s="1163">
        <f>EF25/DY25</f>
        <v>25.152764290021249</v>
      </c>
      <c r="EK25" s="1163">
        <v>25.15</v>
      </c>
      <c r="EL25" s="1163">
        <v>25.15</v>
      </c>
      <c r="EM25" s="1163">
        <v>25.15</v>
      </c>
      <c r="EN25" s="1163">
        <v>25.15</v>
      </c>
      <c r="EO25" s="1163">
        <v>25.15</v>
      </c>
      <c r="EP25" s="1163">
        <v>25.15</v>
      </c>
      <c r="EQ25" s="1163">
        <v>25.15</v>
      </c>
      <c r="ER25" s="1163">
        <v>24.17</v>
      </c>
      <c r="ES25" s="1163">
        <v>24.17</v>
      </c>
      <c r="ET25" s="1163">
        <f>SUM(EL25:ER25)</f>
        <v>175.07</v>
      </c>
      <c r="EU25" s="1164">
        <f>EF25-ET25</f>
        <v>0.99935003014874724</v>
      </c>
    </row>
    <row r="26" spans="1:159" s="16" customFormat="1" ht="15" x14ac:dyDescent="0.25">
      <c r="A26" s="120" t="s">
        <v>65</v>
      </c>
      <c r="B26" s="120" t="s">
        <v>88</v>
      </c>
      <c r="C26" s="45"/>
      <c r="D26" s="58"/>
      <c r="E26" s="130"/>
      <c r="F26" s="46"/>
      <c r="G26" s="17"/>
      <c r="H26" s="145"/>
      <c r="I26" s="48"/>
      <c r="J26" s="48"/>
      <c r="K26" s="48"/>
      <c r="L26" s="48"/>
      <c r="M26" s="48"/>
      <c r="N26" s="48"/>
      <c r="O26" s="48"/>
      <c r="P26" s="48"/>
      <c r="Q26" s="48"/>
      <c r="R26" s="17"/>
      <c r="S26" s="128"/>
      <c r="T26" s="129"/>
      <c r="U26" s="14"/>
      <c r="V26" s="108"/>
      <c r="W26" s="165"/>
      <c r="X26" s="57"/>
      <c r="Y26" s="80"/>
      <c r="Z26" s="57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72"/>
      <c r="AQ26" s="55"/>
      <c r="AR26" s="55"/>
      <c r="AS26" s="55">
        <f t="shared" ref="AS26:AW28" si="5">$AN26</f>
        <v>0</v>
      </c>
      <c r="AT26" s="55">
        <f t="shared" si="5"/>
        <v>0</v>
      </c>
      <c r="AU26" s="55">
        <f t="shared" si="5"/>
        <v>0</v>
      </c>
      <c r="AV26" s="55">
        <f t="shared" si="5"/>
        <v>0</v>
      </c>
      <c r="AW26" s="55">
        <f t="shared" si="5"/>
        <v>0</v>
      </c>
      <c r="AX26" s="599"/>
      <c r="AY26" s="600"/>
      <c r="AZ26" s="599"/>
      <c r="BA26" s="598"/>
      <c r="BB26" s="598"/>
      <c r="BC26" s="598"/>
      <c r="BD26" s="598"/>
      <c r="BE26" s="598"/>
      <c r="BF26" s="598"/>
      <c r="BG26" s="598"/>
      <c r="BH26" s="598"/>
      <c r="BI26" s="598"/>
      <c r="BJ26" s="598"/>
      <c r="BK26" s="601"/>
      <c r="BL26" s="598"/>
      <c r="BM26" s="598"/>
      <c r="BN26" s="598"/>
      <c r="BO26" s="598"/>
      <c r="BP26" s="598"/>
      <c r="BQ26" s="599"/>
      <c r="BR26" s="600"/>
      <c r="BS26" s="599"/>
      <c r="BT26" s="598"/>
      <c r="BU26" s="598"/>
      <c r="BV26" s="598"/>
      <c r="BW26" s="598"/>
      <c r="BX26" s="598"/>
      <c r="BY26" s="598"/>
      <c r="BZ26" s="598"/>
      <c r="CA26" s="598"/>
      <c r="CB26" s="598"/>
      <c r="CC26" s="598"/>
      <c r="CD26" s="601"/>
      <c r="CE26" s="58"/>
      <c r="CF26" s="130"/>
      <c r="CG26" s="46"/>
      <c r="CH26" s="17"/>
      <c r="CI26" s="145"/>
      <c r="CJ26" s="48"/>
      <c r="CK26" s="48"/>
      <c r="CL26" s="48"/>
      <c r="CM26" s="48"/>
      <c r="CN26" s="48"/>
      <c r="CO26" s="48"/>
      <c r="CP26" s="48"/>
      <c r="CQ26" s="48"/>
      <c r="CR26" s="48"/>
      <c r="CS26" s="17"/>
      <c r="CT26" s="128"/>
      <c r="CU26" s="129"/>
      <c r="CV26" s="601"/>
      <c r="CW26" s="599"/>
      <c r="CX26" s="600"/>
      <c r="CY26" s="599"/>
      <c r="CZ26" s="598"/>
      <c r="DA26" s="598"/>
      <c r="DB26" s="598"/>
      <c r="DC26" s="598"/>
      <c r="DD26" s="598"/>
      <c r="DE26" s="598"/>
      <c r="DF26" s="598"/>
      <c r="DG26" s="598"/>
      <c r="DH26" s="598"/>
      <c r="DI26" s="598"/>
      <c r="DJ26" s="601"/>
      <c r="DK26" s="598"/>
      <c r="DL26" s="598"/>
      <c r="DM26" s="598"/>
      <c r="DN26" s="598"/>
      <c r="DO26" s="58"/>
      <c r="DP26" s="130"/>
      <c r="DQ26" s="46"/>
      <c r="DR26" s="17"/>
      <c r="DS26" s="145"/>
      <c r="DT26" s="48"/>
      <c r="DU26" s="48"/>
      <c r="DV26" s="48"/>
      <c r="DW26" s="48"/>
      <c r="DX26" s="48"/>
      <c r="DY26" s="48"/>
      <c r="DZ26" s="48"/>
      <c r="EA26" s="48"/>
      <c r="EB26" s="48"/>
      <c r="EC26" s="17"/>
      <c r="ED26" s="128"/>
      <c r="EE26" s="129"/>
      <c r="EF26" s="601"/>
      <c r="EG26" s="599"/>
      <c r="EH26" s="600"/>
      <c r="EI26" s="599"/>
      <c r="EJ26" s="598"/>
      <c r="EK26" s="598"/>
      <c r="EL26" s="598"/>
      <c r="EM26" s="598"/>
      <c r="EN26" s="598"/>
      <c r="EO26" s="598"/>
      <c r="EP26" s="598"/>
      <c r="EQ26" s="598"/>
      <c r="ER26" s="598"/>
      <c r="ES26" s="598"/>
      <c r="ET26" s="598"/>
      <c r="EU26" s="601"/>
    </row>
    <row r="27" spans="1:159" s="16" customFormat="1" ht="15" x14ac:dyDescent="0.25">
      <c r="A27" s="120" t="s">
        <v>78</v>
      </c>
      <c r="B27" s="100"/>
      <c r="C27" s="45"/>
      <c r="D27" s="58"/>
      <c r="E27" s="130"/>
      <c r="F27" s="46"/>
      <c r="G27" s="17"/>
      <c r="H27" s="145"/>
      <c r="I27" s="165"/>
      <c r="J27" s="48"/>
      <c r="K27" s="165"/>
      <c r="L27" s="48"/>
      <c r="M27" s="165"/>
      <c r="N27" s="48"/>
      <c r="O27" s="165"/>
      <c r="P27" s="48"/>
      <c r="Q27" s="17"/>
      <c r="R27" s="17"/>
      <c r="S27" s="128"/>
      <c r="T27" s="129"/>
      <c r="U27" s="14"/>
      <c r="V27" s="108"/>
      <c r="W27" s="66"/>
      <c r="X27" s="57"/>
      <c r="Y27" s="80"/>
      <c r="Z27" s="57"/>
      <c r="AA27" s="55"/>
      <c r="AB27" s="55"/>
      <c r="AC27" s="6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72"/>
      <c r="AQ27" s="55"/>
      <c r="AR27" s="55"/>
      <c r="AS27" s="55">
        <f t="shared" si="5"/>
        <v>0</v>
      </c>
      <c r="AT27" s="55">
        <f t="shared" si="5"/>
        <v>0</v>
      </c>
      <c r="AU27" s="55">
        <f t="shared" si="5"/>
        <v>0</v>
      </c>
      <c r="AV27" s="55">
        <f t="shared" si="5"/>
        <v>0</v>
      </c>
      <c r="AW27" s="55">
        <f t="shared" si="5"/>
        <v>0</v>
      </c>
      <c r="AX27" s="599"/>
      <c r="AY27" s="600"/>
      <c r="AZ27" s="599"/>
      <c r="BA27" s="598"/>
      <c r="BB27" s="598"/>
      <c r="BC27" s="598"/>
      <c r="BD27" s="598"/>
      <c r="BE27" s="598"/>
      <c r="BF27" s="598"/>
      <c r="BG27" s="598"/>
      <c r="BH27" s="598"/>
      <c r="BI27" s="598"/>
      <c r="BJ27" s="598"/>
      <c r="BK27" s="601"/>
      <c r="BL27" s="598"/>
      <c r="BM27" s="598"/>
      <c r="BN27" s="598"/>
      <c r="BO27" s="598"/>
      <c r="BP27" s="598"/>
      <c r="BQ27" s="599"/>
      <c r="BR27" s="600"/>
      <c r="BS27" s="599"/>
      <c r="BT27" s="598"/>
      <c r="BU27" s="598"/>
      <c r="BV27" s="598"/>
      <c r="BW27" s="598"/>
      <c r="BX27" s="598"/>
      <c r="BY27" s="598"/>
      <c r="BZ27" s="598"/>
      <c r="CA27" s="598"/>
      <c r="CB27" s="598"/>
      <c r="CC27" s="598"/>
      <c r="CD27" s="601"/>
      <c r="CE27" s="58"/>
      <c r="CF27" s="130"/>
      <c r="CG27" s="46"/>
      <c r="CH27" s="17"/>
      <c r="CI27" s="145"/>
      <c r="CJ27" s="165"/>
      <c r="CK27" s="48"/>
      <c r="CL27" s="165"/>
      <c r="CM27" s="48"/>
      <c r="CN27" s="165"/>
      <c r="CO27" s="48"/>
      <c r="CP27" s="165"/>
      <c r="CQ27" s="48"/>
      <c r="CR27" s="17"/>
      <c r="CS27" s="17"/>
      <c r="CT27" s="128"/>
      <c r="CU27" s="129"/>
      <c r="CV27" s="601"/>
      <c r="CW27" s="599"/>
      <c r="CX27" s="600"/>
      <c r="CY27" s="599"/>
      <c r="CZ27" s="598"/>
      <c r="DA27" s="598"/>
      <c r="DB27" s="598"/>
      <c r="DC27" s="598"/>
      <c r="DD27" s="598"/>
      <c r="DE27" s="598"/>
      <c r="DF27" s="598"/>
      <c r="DG27" s="598"/>
      <c r="DH27" s="598"/>
      <c r="DI27" s="598"/>
      <c r="DJ27" s="601"/>
      <c r="DK27" s="598"/>
      <c r="DL27" s="598"/>
      <c r="DM27" s="598"/>
      <c r="DN27" s="598"/>
      <c r="DO27" s="58"/>
      <c r="DP27" s="130"/>
      <c r="DQ27" s="46"/>
      <c r="DR27" s="17"/>
      <c r="DS27" s="145"/>
      <c r="DT27" s="165"/>
      <c r="DU27" s="48"/>
      <c r="DV27" s="165"/>
      <c r="DW27" s="48"/>
      <c r="DX27" s="165"/>
      <c r="DY27" s="48"/>
      <c r="DZ27" s="165"/>
      <c r="EA27" s="48"/>
      <c r="EB27" s="17"/>
      <c r="EC27" s="17"/>
      <c r="ED27" s="128"/>
      <c r="EE27" s="129"/>
      <c r="EF27" s="601"/>
      <c r="EG27" s="599"/>
      <c r="EH27" s="600"/>
      <c r="EI27" s="599"/>
      <c r="EJ27" s="598"/>
      <c r="EK27" s="598"/>
      <c r="EL27" s="598"/>
      <c r="EM27" s="598"/>
      <c r="EN27" s="598"/>
      <c r="EO27" s="598"/>
      <c r="EP27" s="598"/>
      <c r="EQ27" s="598"/>
      <c r="ER27" s="598"/>
      <c r="ES27" s="598"/>
      <c r="ET27" s="598"/>
      <c r="EU27" s="601"/>
    </row>
    <row r="28" spans="1:159" s="1161" customFormat="1" ht="15" x14ac:dyDescent="0.25">
      <c r="A28" s="1140" t="s">
        <v>136</v>
      </c>
      <c r="B28" s="1137" t="s">
        <v>137</v>
      </c>
      <c r="C28" s="1137" t="s">
        <v>334</v>
      </c>
      <c r="D28" s="1138">
        <v>3</v>
      </c>
      <c r="E28" s="1153">
        <v>0.33329999999999999</v>
      </c>
      <c r="F28" s="1140">
        <v>42185</v>
      </c>
      <c r="G28" s="1143">
        <v>36</v>
      </c>
      <c r="H28" s="1141">
        <f>100/G28</f>
        <v>2.7777777777777777</v>
      </c>
      <c r="I28" s="1142">
        <f>H28*J28</f>
        <v>75</v>
      </c>
      <c r="J28" s="1143">
        <f>(YEAR(F28)-YEAR(S28))*12+MONTH(F28)-MONTH(S28)</f>
        <v>27</v>
      </c>
      <c r="K28" s="1142">
        <f>L28*H28</f>
        <v>25</v>
      </c>
      <c r="L28" s="1143">
        <f>G28-J28</f>
        <v>9</v>
      </c>
      <c r="M28" s="1142">
        <f>N28*H28</f>
        <v>19.444444444444443</v>
      </c>
      <c r="N28" s="1143">
        <v>7</v>
      </c>
      <c r="O28" s="1142">
        <f>P28*H28</f>
        <v>5.5555555555555554</v>
      </c>
      <c r="P28" s="1143">
        <f>L28-N28</f>
        <v>2</v>
      </c>
      <c r="Q28" s="1143"/>
      <c r="R28" s="1143" t="s">
        <v>445</v>
      </c>
      <c r="S28" s="1166">
        <v>41334</v>
      </c>
      <c r="T28" s="1156">
        <v>600</v>
      </c>
      <c r="U28" s="1144">
        <v>166.66</v>
      </c>
      <c r="V28" s="1145">
        <v>83.35</v>
      </c>
      <c r="W28" s="1146"/>
      <c r="X28" s="1146">
        <v>115.958</v>
      </c>
      <c r="Y28" s="1147">
        <v>109.002</v>
      </c>
      <c r="Z28" s="1146">
        <f>X28/Y28</f>
        <v>1.0638153428377461</v>
      </c>
      <c r="AA28" s="1148">
        <f>U28*M28/100/K28*100/7</f>
        <v>18.517777777777777</v>
      </c>
      <c r="AB28" s="1148">
        <f>AA28*Z28</f>
        <v>19.699496115259862</v>
      </c>
      <c r="AC28" s="1148"/>
      <c r="AD28" s="1148"/>
      <c r="AE28" s="1148"/>
      <c r="AF28" s="1148"/>
      <c r="AG28" s="1148"/>
      <c r="AH28" s="1148">
        <v>19.7</v>
      </c>
      <c r="AI28" s="1148">
        <v>19.7</v>
      </c>
      <c r="AJ28" s="1148">
        <v>19.7</v>
      </c>
      <c r="AK28" s="1148">
        <v>19.7</v>
      </c>
      <c r="AL28" s="1148">
        <v>19.7</v>
      </c>
      <c r="AM28" s="1148">
        <v>19.7</v>
      </c>
      <c r="AN28" s="1148">
        <v>19.7</v>
      </c>
      <c r="AO28" s="1148">
        <f>SUM(AC28:AN28)</f>
        <v>137.9</v>
      </c>
      <c r="AP28" s="1149">
        <f>U28-AO28</f>
        <v>28.759999999999991</v>
      </c>
      <c r="AQ28" s="1148"/>
      <c r="AR28" s="1148"/>
      <c r="AS28" s="1148">
        <f t="shared" si="5"/>
        <v>19.7</v>
      </c>
      <c r="AT28" s="1148">
        <v>8.06</v>
      </c>
      <c r="AU28" s="1148"/>
      <c r="AV28" s="1148"/>
      <c r="AW28" s="1148"/>
      <c r="AX28" s="1162">
        <v>118.901</v>
      </c>
      <c r="AY28" s="1165">
        <v>109.002</v>
      </c>
      <c r="AZ28" s="1162">
        <f>AX28/AY28</f>
        <v>1.090814847433992</v>
      </c>
      <c r="BA28" s="1163">
        <f t="shared" si="2"/>
        <v>16.666666666666668</v>
      </c>
      <c r="BB28" s="1163">
        <f>BA28*AZ28</f>
        <v>18.1802474572332</v>
      </c>
      <c r="BC28" s="1163"/>
      <c r="BD28" s="1163"/>
      <c r="BE28" s="1163"/>
      <c r="BF28" s="1163"/>
      <c r="BG28" s="1163"/>
      <c r="BH28" s="1163"/>
      <c r="BI28" s="1163"/>
      <c r="BJ28" s="1163">
        <f t="shared" si="3"/>
        <v>27.759999999999998</v>
      </c>
      <c r="BK28" s="1164">
        <f t="shared" si="4"/>
        <v>0.99999999999999289</v>
      </c>
      <c r="BL28" s="1163"/>
      <c r="BM28" s="1163"/>
      <c r="BN28" s="1163"/>
      <c r="BO28" s="1163"/>
      <c r="BP28" s="1163"/>
      <c r="BQ28" s="1162">
        <v>118.901</v>
      </c>
      <c r="BR28" s="1165">
        <v>109.002</v>
      </c>
      <c r="BS28" s="1162">
        <f>BQ28/BR28</f>
        <v>1.090814847433992</v>
      </c>
      <c r="BT28" s="1163"/>
      <c r="BU28" s="1163"/>
      <c r="BV28" s="1163"/>
      <c r="BW28" s="1163"/>
      <c r="BX28" s="1163"/>
      <c r="BY28" s="1163"/>
      <c r="BZ28" s="1163"/>
      <c r="CA28" s="1163"/>
      <c r="CB28" s="1163"/>
      <c r="CC28" s="1163">
        <f>SUM((BL28:BP28),(BV28:CB28))</f>
        <v>0</v>
      </c>
      <c r="CD28" s="1164">
        <f>BK28-CC28</f>
        <v>0.99999999999999289</v>
      </c>
      <c r="CE28" s="1138">
        <v>3</v>
      </c>
      <c r="CF28" s="1153">
        <v>0.33329999999999999</v>
      </c>
      <c r="CG28" s="1140">
        <v>42185</v>
      </c>
      <c r="CH28" s="1143">
        <v>36</v>
      </c>
      <c r="CI28" s="1141">
        <f>100/CH28</f>
        <v>2.7777777777777777</v>
      </c>
      <c r="CJ28" s="1142">
        <f>CI28*CK28</f>
        <v>75</v>
      </c>
      <c r="CK28" s="1143">
        <f>(YEAR(CG28)-YEAR(CT28))*12+MONTH(CG28)-MONTH(CT28)</f>
        <v>27</v>
      </c>
      <c r="CL28" s="1142">
        <f>CM28*CI28</f>
        <v>25</v>
      </c>
      <c r="CM28" s="1143">
        <f>CH28-CK28</f>
        <v>9</v>
      </c>
      <c r="CN28" s="1142">
        <f>CO28*CI28</f>
        <v>19.444444444444443</v>
      </c>
      <c r="CO28" s="1143">
        <v>7</v>
      </c>
      <c r="CP28" s="1142">
        <f>CQ28*CI28</f>
        <v>5.5555555555555554</v>
      </c>
      <c r="CQ28" s="1143">
        <f>CM28-CO28</f>
        <v>2</v>
      </c>
      <c r="CR28" s="1143"/>
      <c r="CS28" s="1143" t="s">
        <v>445</v>
      </c>
      <c r="CT28" s="1166">
        <v>41334</v>
      </c>
      <c r="CU28" s="1156">
        <v>600</v>
      </c>
      <c r="CV28" s="1164">
        <v>0.99999999999999289</v>
      </c>
      <c r="CW28" s="1162"/>
      <c r="CX28" s="1165"/>
      <c r="CY28" s="1162"/>
      <c r="CZ28" s="1163"/>
      <c r="DA28" s="1163">
        <f>CZ28*CY28</f>
        <v>0</v>
      </c>
      <c r="DB28" s="1163"/>
      <c r="DC28" s="1163"/>
      <c r="DD28" s="1163"/>
      <c r="DE28" s="1163"/>
      <c r="DF28" s="1163"/>
      <c r="DG28" s="1163"/>
      <c r="DH28" s="1163"/>
      <c r="DI28" s="1163"/>
      <c r="DJ28" s="1164"/>
      <c r="DK28" s="1163"/>
      <c r="DL28" s="1163"/>
      <c r="DM28" s="1163"/>
      <c r="DN28" s="1163"/>
      <c r="DO28" s="1138">
        <v>3</v>
      </c>
      <c r="DP28" s="1153">
        <v>0.33329999999999999</v>
      </c>
      <c r="DQ28" s="1140">
        <v>43281</v>
      </c>
      <c r="DR28" s="1143">
        <v>36</v>
      </c>
      <c r="DS28" s="1141">
        <f>100/DR28</f>
        <v>2.7777777777777777</v>
      </c>
      <c r="DT28" s="1142">
        <f>DS28*DU28</f>
        <v>175</v>
      </c>
      <c r="DU28" s="1143">
        <f>(YEAR(DQ28)-YEAR(ED28))*12+MONTH(DQ28)-MONTH(ED28)</f>
        <v>63</v>
      </c>
      <c r="DV28" s="1142">
        <f>DW28*DS28</f>
        <v>-75</v>
      </c>
      <c r="DW28" s="1143">
        <f>DR28-DU28</f>
        <v>-27</v>
      </c>
      <c r="DX28" s="1142">
        <f>DY28*DS28</f>
        <v>19.444444444444443</v>
      </c>
      <c r="DY28" s="1143">
        <v>7</v>
      </c>
      <c r="DZ28" s="1142">
        <f>EA28*DS28</f>
        <v>-94.444444444444443</v>
      </c>
      <c r="EA28" s="1143">
        <f>DW28-DY28</f>
        <v>-34</v>
      </c>
      <c r="EB28" s="1151">
        <f>DATE(YEAR(ED28),MONTH(ED28)+DR28,DAY(ED28))</f>
        <v>42430</v>
      </c>
      <c r="EC28" s="1143" t="s">
        <v>445</v>
      </c>
      <c r="ED28" s="1166">
        <v>41334</v>
      </c>
      <c r="EE28" s="1156">
        <v>600</v>
      </c>
      <c r="EF28" s="1164">
        <v>0.99999999999999289</v>
      </c>
      <c r="EG28" s="1162"/>
      <c r="EH28" s="1165"/>
      <c r="EI28" s="1162"/>
      <c r="EJ28" s="1163"/>
      <c r="EK28" s="1163">
        <f>EJ28*EI28</f>
        <v>0</v>
      </c>
      <c r="EL28" s="1163"/>
      <c r="EM28" s="1163"/>
      <c r="EN28" s="1163"/>
      <c r="EO28" s="1163"/>
      <c r="EP28" s="1163"/>
      <c r="EQ28" s="1163"/>
      <c r="ER28" s="1163"/>
      <c r="ES28" s="1163"/>
      <c r="ET28" s="1163"/>
      <c r="EU28" s="1164">
        <f>EF28-ET28</f>
        <v>0.99999999999999289</v>
      </c>
    </row>
    <row r="29" spans="1:159" ht="14.25" x14ac:dyDescent="0.2">
      <c r="R29" s="175"/>
      <c r="V29" s="195"/>
      <c r="AB29" s="195"/>
      <c r="AH29" s="195">
        <f>SUM(AH15:AH28)</f>
        <v>241.33999999999997</v>
      </c>
      <c r="AI29" s="195"/>
      <c r="AJ29" s="195"/>
      <c r="AK29" s="195"/>
      <c r="AL29" s="195"/>
      <c r="AM29" s="195"/>
      <c r="AN29" s="195">
        <f>SUM(AN15:AN28)</f>
        <v>202.45999999999998</v>
      </c>
      <c r="AO29" s="195">
        <f>SUM(AO15:AO28)</f>
        <v>1574.8300000000004</v>
      </c>
      <c r="AP29" s="195">
        <f>SUM(AP15:AP28)</f>
        <v>2707.04</v>
      </c>
      <c r="AS29" s="13">
        <f>SUM(AS14:AS28)</f>
        <v>202.45999999999998</v>
      </c>
      <c r="AT29" s="13">
        <f>SUM(AT15:AT28)</f>
        <v>190.82</v>
      </c>
      <c r="AU29" s="13">
        <f>SUM(AU14:AU28)</f>
        <v>182.76</v>
      </c>
      <c r="AV29" s="13">
        <f>SUM(AV14:AV28)</f>
        <v>182.76</v>
      </c>
      <c r="AW29" s="13">
        <f>SUM(AW14:AW28)</f>
        <v>182.76</v>
      </c>
      <c r="AX29" s="546"/>
      <c r="AY29" s="547"/>
      <c r="AZ29" s="546"/>
      <c r="BA29" s="603">
        <f t="shared" ref="BA29:BI29" si="6">SUM(BA14:BA28)</f>
        <v>244.48944444444444</v>
      </c>
      <c r="BB29" s="603">
        <f t="shared" si="6"/>
        <v>265.8735360026522</v>
      </c>
      <c r="BC29" s="603">
        <f t="shared" si="6"/>
        <v>215.19811359231349</v>
      </c>
      <c r="BD29" s="603">
        <f t="shared" si="6"/>
        <v>214.41147562623382</v>
      </c>
      <c r="BE29" s="603">
        <f t="shared" si="6"/>
        <v>209.87147562623383</v>
      </c>
      <c r="BF29" s="603">
        <f t="shared" si="6"/>
        <v>209.87147562623383</v>
      </c>
      <c r="BG29" s="603">
        <f t="shared" si="6"/>
        <v>209.86999999999998</v>
      </c>
      <c r="BH29" s="603">
        <f t="shared" si="6"/>
        <v>209.86999999999998</v>
      </c>
      <c r="BI29" s="603">
        <f t="shared" si="6"/>
        <v>209.86999999999998</v>
      </c>
      <c r="BJ29" s="603">
        <f>SUM(BJ14:BJ28)</f>
        <v>2420.522540471015</v>
      </c>
      <c r="BK29" s="603">
        <f>SUM(BK13:BK28)</f>
        <v>286.51745952898517</v>
      </c>
      <c r="BL29" s="603">
        <f>SUM(BL14:BL28)</f>
        <v>92.61</v>
      </c>
      <c r="BM29" s="603">
        <f>SUM(BM15:BM28)</f>
        <v>2.71</v>
      </c>
      <c r="BN29" s="603">
        <f>SUM(BN14:BN28)</f>
        <v>2.71</v>
      </c>
      <c r="BO29" s="603">
        <f>SUM(BO14:BO28)</f>
        <v>2.71</v>
      </c>
      <c r="BP29" s="603">
        <f>SUM(BP14:BP28)</f>
        <v>2.71</v>
      </c>
      <c r="BQ29" s="546"/>
      <c r="BR29" s="547"/>
      <c r="BS29" s="546"/>
      <c r="BT29" s="546"/>
      <c r="BU29" s="603"/>
      <c r="BV29" s="603">
        <f t="shared" ref="BV29:CC29" si="7">SUM(BV14:BV28)</f>
        <v>0</v>
      </c>
      <c r="BW29" s="603">
        <f t="shared" si="7"/>
        <v>0</v>
      </c>
      <c r="BX29" s="603">
        <f t="shared" si="7"/>
        <v>0</v>
      </c>
      <c r="BY29" s="603">
        <f t="shared" si="7"/>
        <v>0</v>
      </c>
      <c r="BZ29" s="603">
        <f t="shared" si="7"/>
        <v>0</v>
      </c>
      <c r="CA29" s="603">
        <f t="shared" si="7"/>
        <v>0</v>
      </c>
      <c r="CB29" s="603">
        <f t="shared" si="7"/>
        <v>0</v>
      </c>
      <c r="CC29" s="603">
        <f t="shared" si="7"/>
        <v>103.45</v>
      </c>
      <c r="CD29" s="603">
        <f>SUM(CD13:CD28)</f>
        <v>183.06745952898515</v>
      </c>
      <c r="CS29" s="175"/>
      <c r="CV29" s="603">
        <v>183.06745952898515</v>
      </c>
      <c r="CW29" s="546"/>
      <c r="CX29" s="547"/>
      <c r="CY29" s="546"/>
      <c r="CZ29" s="603">
        <f t="shared" ref="CZ29:DI29" si="8">SUM(CZ14:CZ28)</f>
        <v>25.152764290021249</v>
      </c>
      <c r="DA29" s="603">
        <f t="shared" si="8"/>
        <v>25.15</v>
      </c>
      <c r="DB29" s="603">
        <f t="shared" si="8"/>
        <v>25.15</v>
      </c>
      <c r="DC29" s="603">
        <f t="shared" si="8"/>
        <v>0</v>
      </c>
      <c r="DD29" s="603">
        <f t="shared" si="8"/>
        <v>0</v>
      </c>
      <c r="DE29" s="603">
        <f t="shared" si="8"/>
        <v>0</v>
      </c>
      <c r="DF29" s="603">
        <f t="shared" si="8"/>
        <v>0</v>
      </c>
      <c r="DG29" s="603">
        <f t="shared" si="8"/>
        <v>0</v>
      </c>
      <c r="DH29" s="603">
        <f t="shared" si="8"/>
        <v>0</v>
      </c>
      <c r="DI29" s="603">
        <f t="shared" si="8"/>
        <v>25.15</v>
      </c>
      <c r="DJ29" s="603">
        <f>SUM(DJ13:DJ28)</f>
        <v>150.91935003014873</v>
      </c>
      <c r="DK29" s="603">
        <f>SUM(DK14:DK28)</f>
        <v>92.61</v>
      </c>
      <c r="DL29" s="603">
        <f>SUM(DL15:DL28)</f>
        <v>2.71</v>
      </c>
      <c r="DM29" s="603">
        <f>SUM(DM14:DM28)</f>
        <v>2.71</v>
      </c>
      <c r="DN29" s="603">
        <f>SUM(DN14:DN28)</f>
        <v>2.71</v>
      </c>
      <c r="EC29" s="175"/>
      <c r="EF29" s="603">
        <v>183.06745952898515</v>
      </c>
      <c r="EG29" s="546"/>
      <c r="EH29" s="547"/>
      <c r="EI29" s="546"/>
      <c r="EJ29" s="603">
        <f t="shared" ref="EJ29:EU29" si="9">SUM(EJ14:EJ28)</f>
        <v>25.152764290021249</v>
      </c>
      <c r="EK29" s="603">
        <f t="shared" si="9"/>
        <v>25.15</v>
      </c>
      <c r="EL29" s="603">
        <f t="shared" si="9"/>
        <v>25.15</v>
      </c>
      <c r="EM29" s="603">
        <f t="shared" si="9"/>
        <v>25.15</v>
      </c>
      <c r="EN29" s="603">
        <f t="shared" si="9"/>
        <v>25.15</v>
      </c>
      <c r="EO29" s="603">
        <f t="shared" si="9"/>
        <v>25.15</v>
      </c>
      <c r="EP29" s="603">
        <f t="shared" si="9"/>
        <v>25.15</v>
      </c>
      <c r="EQ29" s="603">
        <f t="shared" si="9"/>
        <v>25.15</v>
      </c>
      <c r="ER29" s="603">
        <f t="shared" si="9"/>
        <v>24.17</v>
      </c>
      <c r="ES29" s="603">
        <f t="shared" si="9"/>
        <v>24.17</v>
      </c>
      <c r="ET29" s="603">
        <f t="shared" si="9"/>
        <v>175.07</v>
      </c>
      <c r="EU29" s="603">
        <f t="shared" si="9"/>
        <v>7.9974595289851482</v>
      </c>
      <c r="EV29" s="434"/>
      <c r="EW29" s="434"/>
      <c r="EX29" s="434"/>
      <c r="EY29" s="434"/>
      <c r="EZ29" s="434"/>
      <c r="FA29" s="434"/>
      <c r="FB29" s="434"/>
      <c r="FC29" s="434"/>
    </row>
    <row r="30" spans="1:159" s="104" customFormat="1" ht="14.25" x14ac:dyDescent="0.2">
      <c r="A30" s="110" t="s">
        <v>315</v>
      </c>
      <c r="B30" s="87"/>
      <c r="C30" s="87"/>
      <c r="D30" s="88"/>
      <c r="E30" s="88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9"/>
      <c r="S30" s="89"/>
      <c r="T30" s="90"/>
      <c r="U30" s="90"/>
      <c r="W30"/>
      <c r="X30"/>
      <c r="Y30" s="77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 s="69"/>
      <c r="AX30" s="546"/>
      <c r="AY30" s="547"/>
      <c r="AZ30" s="546"/>
      <c r="BA30" s="546"/>
      <c r="BB30" s="546"/>
      <c r="BC30" s="545"/>
      <c r="BD30" s="545"/>
      <c r="BE30" s="545"/>
      <c r="BF30" s="545"/>
      <c r="BG30" s="545"/>
      <c r="BH30" s="545"/>
      <c r="BI30" s="545"/>
      <c r="BJ30" s="545"/>
      <c r="BK30" s="545">
        <f>BK29-BL29-BM29</f>
        <v>191.19745952898515</v>
      </c>
      <c r="BL30" s="545"/>
      <c r="BM30" s="545"/>
      <c r="BN30" s="545"/>
      <c r="BO30" s="545"/>
      <c r="BP30" s="545"/>
      <c r="BQ30" s="546"/>
      <c r="BR30" s="547"/>
      <c r="BS30" s="546"/>
      <c r="BT30" s="546"/>
      <c r="BU30" s="546"/>
      <c r="BV30" s="545"/>
      <c r="BW30" s="545"/>
      <c r="BX30" s="545"/>
      <c r="BY30" s="545"/>
      <c r="BZ30" s="545"/>
      <c r="CA30" s="545"/>
      <c r="CB30" s="545"/>
      <c r="CC30" s="545"/>
      <c r="CD30" s="545"/>
      <c r="CE30" s="88"/>
      <c r="CF30" s="88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9"/>
      <c r="CT30" s="89"/>
      <c r="CU30" s="90"/>
      <c r="CV30" s="545"/>
      <c r="CW30" s="546"/>
      <c r="CX30" s="547"/>
      <c r="CY30" s="546"/>
      <c r="CZ30" s="546"/>
      <c r="DA30" s="546"/>
      <c r="DB30" s="545"/>
      <c r="DC30" s="545"/>
      <c r="DD30" s="545"/>
      <c r="DE30" s="545"/>
      <c r="DF30" s="545"/>
      <c r="DG30" s="545"/>
      <c r="DH30" s="545"/>
      <c r="DI30" s="545"/>
      <c r="DJ30" s="545"/>
      <c r="DK30" s="545"/>
      <c r="DL30" s="545"/>
      <c r="DM30" s="545"/>
      <c r="DN30" s="545"/>
      <c r="DO30" s="88"/>
      <c r="DP30" s="88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9"/>
      <c r="ED30" s="89"/>
      <c r="EE30" s="90"/>
      <c r="EF30" s="545"/>
      <c r="EG30" s="546"/>
      <c r="EH30" s="547"/>
      <c r="EI30" s="546"/>
      <c r="EJ30" s="546"/>
      <c r="EK30" s="546"/>
      <c r="EL30" s="545"/>
      <c r="EM30" s="545"/>
      <c r="EN30" s="545"/>
      <c r="EO30" s="545"/>
      <c r="EP30" s="545"/>
      <c r="EQ30" s="545"/>
      <c r="ER30" s="545"/>
      <c r="ES30" s="545"/>
      <c r="ET30" s="545"/>
      <c r="EU30" s="545"/>
      <c r="EV30" s="435"/>
      <c r="EW30" s="435"/>
      <c r="EX30" s="435"/>
      <c r="EY30" s="435"/>
      <c r="EZ30" s="435"/>
      <c r="FA30" s="435"/>
      <c r="FB30" s="435"/>
      <c r="FC30" s="435"/>
    </row>
    <row r="31" spans="1:159" s="104" customFormat="1" x14ac:dyDescent="0.2">
      <c r="A31" s="10"/>
      <c r="B31"/>
      <c r="C31"/>
      <c r="D31" s="18"/>
      <c r="E31" s="18"/>
      <c r="F31"/>
      <c r="G31"/>
      <c r="H31"/>
      <c r="I31"/>
      <c r="J31"/>
      <c r="K31"/>
      <c r="L31"/>
      <c r="M31"/>
      <c r="N31"/>
      <c r="O31"/>
      <c r="P31"/>
      <c r="Q31"/>
      <c r="R31" s="19"/>
      <c r="S31" s="19"/>
      <c r="T31" s="12"/>
      <c r="U31" s="12"/>
      <c r="W31"/>
      <c r="X31"/>
      <c r="Y31" s="77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 s="69"/>
      <c r="AX31"/>
      <c r="AY31" s="77"/>
      <c r="AZ31"/>
      <c r="BA31"/>
      <c r="BB31"/>
      <c r="BQ31"/>
      <c r="BR31" s="77"/>
      <c r="BS31"/>
      <c r="BT31"/>
      <c r="BU31"/>
      <c r="CE31" s="18"/>
      <c r="CF31" s="18"/>
      <c r="CG31"/>
      <c r="CH31"/>
      <c r="CI31"/>
      <c r="CJ31"/>
      <c r="CK31"/>
      <c r="CL31"/>
      <c r="CM31"/>
      <c r="CN31"/>
      <c r="CO31"/>
      <c r="CP31"/>
      <c r="CQ31"/>
      <c r="CR31"/>
      <c r="CS31" s="19"/>
      <c r="CT31" s="19"/>
      <c r="CU31" s="12"/>
      <c r="CW31"/>
      <c r="CX31" s="77"/>
      <c r="CY31"/>
      <c r="CZ31"/>
      <c r="DA31"/>
      <c r="DO31" s="18"/>
      <c r="DP31" s="18"/>
      <c r="DQ31"/>
      <c r="DR31"/>
      <c r="DS31"/>
      <c r="DT31"/>
      <c r="DU31"/>
      <c r="DV31"/>
      <c r="DW31"/>
      <c r="DX31"/>
      <c r="DY31"/>
      <c r="DZ31"/>
      <c r="EA31"/>
      <c r="EB31"/>
      <c r="EC31" s="19"/>
      <c r="ED31" s="19"/>
      <c r="EE31" s="12"/>
      <c r="EG31"/>
      <c r="EH31" s="77"/>
      <c r="EI31"/>
      <c r="EJ31"/>
      <c r="EK31"/>
      <c r="EV31" s="435"/>
      <c r="EW31" s="435"/>
      <c r="EX31" s="435"/>
      <c r="EY31" s="435"/>
      <c r="EZ31" s="435"/>
      <c r="FA31" s="435"/>
      <c r="FB31" s="435"/>
      <c r="FC31" s="435"/>
    </row>
    <row r="32" spans="1:159" ht="30.75" hidden="1" customHeight="1" x14ac:dyDescent="0.2">
      <c r="A32" s="1271" t="s">
        <v>462</v>
      </c>
      <c r="B32" s="1271"/>
      <c r="C32" s="1271"/>
      <c r="D32" s="1271"/>
      <c r="E32" s="1271"/>
      <c r="F32" s="1271"/>
      <c r="G32" s="1271"/>
      <c r="H32" s="1271"/>
      <c r="I32" s="1271"/>
      <c r="J32" s="1271"/>
      <c r="K32" s="1271"/>
      <c r="L32" s="1271"/>
      <c r="M32" s="1271"/>
      <c r="N32" s="1271"/>
      <c r="O32" s="1271"/>
      <c r="P32" s="1271"/>
      <c r="Q32" s="1271"/>
      <c r="R32" s="1271"/>
      <c r="S32" s="1271"/>
      <c r="T32" s="1271"/>
      <c r="U32" s="1271"/>
      <c r="V32" s="1271"/>
      <c r="W32" s="1271"/>
      <c r="X32" s="1271"/>
      <c r="Y32" s="171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Y32" s="171"/>
      <c r="AZ32" s="170"/>
      <c r="BA32" s="170"/>
      <c r="BB32" s="170"/>
      <c r="BR32" s="171"/>
      <c r="BS32" s="170"/>
      <c r="BT32" s="170"/>
      <c r="BU32" s="170"/>
      <c r="CE32"/>
      <c r="CF32"/>
      <c r="CS32"/>
      <c r="CT32"/>
      <c r="CU32"/>
      <c r="CX32" s="171"/>
      <c r="CY32" s="170"/>
      <c r="CZ32" s="170"/>
      <c r="DA32" s="170"/>
      <c r="DO32"/>
      <c r="DP32"/>
      <c r="EC32"/>
      <c r="ED32"/>
      <c r="EE32"/>
      <c r="EH32" s="171"/>
      <c r="EI32" s="170"/>
      <c r="EJ32" s="170"/>
      <c r="EK32" s="170"/>
      <c r="EV32" s="434"/>
      <c r="EW32" s="434"/>
      <c r="EX32" s="434"/>
      <c r="EY32" s="434"/>
      <c r="EZ32" s="434"/>
      <c r="FA32" s="434"/>
      <c r="FB32" s="434"/>
      <c r="FC32" s="434"/>
    </row>
    <row r="33" spans="1:159" hidden="1" x14ac:dyDescent="0.2">
      <c r="A33" s="1271"/>
      <c r="B33" s="1271"/>
      <c r="C33" s="1271"/>
      <c r="D33" s="1271"/>
      <c r="E33" s="1271"/>
      <c r="F33" s="1271"/>
      <c r="G33" s="1271"/>
      <c r="H33" s="1271"/>
      <c r="I33" s="1271"/>
      <c r="J33" s="1271"/>
      <c r="K33" s="1271"/>
      <c r="L33" s="1271"/>
      <c r="M33" s="1271"/>
      <c r="N33" s="1271"/>
      <c r="O33" s="1271"/>
      <c r="P33" s="1271"/>
      <c r="Q33" s="1271"/>
      <c r="R33" s="1271"/>
      <c r="S33" s="1271"/>
      <c r="T33" s="1271"/>
      <c r="U33" s="1271"/>
      <c r="V33" s="1271"/>
      <c r="W33" s="1271"/>
      <c r="X33" s="1271"/>
      <c r="CE33"/>
      <c r="CF33"/>
      <c r="CS33"/>
      <c r="CT33"/>
      <c r="CU33"/>
      <c r="DO33"/>
      <c r="DP33"/>
      <c r="EC33"/>
      <c r="ED33"/>
      <c r="EE33"/>
      <c r="EV33" s="434"/>
      <c r="EW33" s="434"/>
      <c r="EX33" s="434"/>
      <c r="EY33" s="434"/>
      <c r="EZ33" s="434"/>
      <c r="FA33" s="434"/>
      <c r="FB33" s="434"/>
      <c r="FC33" s="434"/>
    </row>
    <row r="34" spans="1:159" x14ac:dyDescent="0.2">
      <c r="AO34" s="290"/>
      <c r="EV34" s="434"/>
      <c r="EW34" s="434"/>
      <c r="EX34" s="434"/>
      <c r="EY34" s="434"/>
      <c r="EZ34" s="434"/>
      <c r="FA34" s="434"/>
      <c r="FB34" s="434"/>
      <c r="FC34" s="434"/>
    </row>
    <row r="35" spans="1:159" x14ac:dyDescent="0.2">
      <c r="EV35" s="434"/>
      <c r="EW35" s="434"/>
      <c r="EX35" s="434"/>
      <c r="EY35" s="434"/>
      <c r="EZ35" s="434"/>
      <c r="FA35" s="434"/>
      <c r="FB35" s="434"/>
      <c r="FC35" s="434"/>
    </row>
    <row r="36" spans="1:159" x14ac:dyDescent="0.2">
      <c r="EV36" s="434"/>
      <c r="EW36" s="434"/>
      <c r="EX36" s="434"/>
      <c r="EY36" s="434"/>
      <c r="EZ36" s="434"/>
      <c r="FA36" s="434"/>
      <c r="FB36" s="434"/>
      <c r="FC36" s="434"/>
    </row>
    <row r="37" spans="1:159" x14ac:dyDescent="0.2">
      <c r="EV37" s="434"/>
      <c r="EW37" s="434"/>
      <c r="EX37" s="434"/>
      <c r="EY37" s="434"/>
      <c r="EZ37" s="434"/>
      <c r="FA37" s="434"/>
      <c r="FB37" s="434"/>
      <c r="FC37" s="434"/>
    </row>
    <row r="38" spans="1:159" x14ac:dyDescent="0.2">
      <c r="EV38" s="434"/>
      <c r="EW38" s="434"/>
      <c r="EX38" s="434"/>
      <c r="EY38" s="434"/>
      <c r="EZ38" s="434"/>
      <c r="FA38" s="434"/>
      <c r="FB38" s="434"/>
      <c r="FC38" s="434"/>
    </row>
    <row r="39" spans="1:159" x14ac:dyDescent="0.2">
      <c r="EV39" s="434"/>
      <c r="EW39" s="434"/>
      <c r="EX39" s="434"/>
      <c r="EY39" s="434"/>
      <c r="EZ39" s="434"/>
      <c r="FA39" s="434"/>
      <c r="FB39" s="434"/>
      <c r="FC39" s="434"/>
    </row>
    <row r="40" spans="1:159" x14ac:dyDescent="0.2">
      <c r="EV40" s="434"/>
      <c r="EW40" s="434"/>
      <c r="EX40" s="434"/>
      <c r="EY40" s="434"/>
      <c r="EZ40" s="434"/>
      <c r="FA40" s="434"/>
      <c r="FB40" s="434"/>
      <c r="FC40" s="434"/>
    </row>
    <row r="41" spans="1:159" x14ac:dyDescent="0.2">
      <c r="EV41" s="434"/>
      <c r="EW41" s="434"/>
      <c r="EX41" s="434"/>
      <c r="EY41" s="434"/>
      <c r="EZ41" s="434"/>
      <c r="FA41" s="434"/>
      <c r="FB41" s="434"/>
      <c r="FC41" s="434"/>
    </row>
    <row r="42" spans="1:159" x14ac:dyDescent="0.2">
      <c r="EV42" s="434"/>
      <c r="EW42" s="434"/>
      <c r="EX42" s="434"/>
      <c r="EY42" s="434"/>
      <c r="EZ42" s="434"/>
      <c r="FA42" s="434"/>
      <c r="FB42" s="434"/>
      <c r="FC42" s="434"/>
    </row>
    <row r="43" spans="1:159" x14ac:dyDescent="0.2">
      <c r="EV43" s="434"/>
      <c r="EW43" s="434"/>
      <c r="EX43" s="434"/>
      <c r="EY43" s="434"/>
      <c r="EZ43" s="434"/>
      <c r="FA43" s="434"/>
      <c r="FB43" s="434"/>
      <c r="FC43" s="434"/>
    </row>
    <row r="44" spans="1:159" x14ac:dyDescent="0.2">
      <c r="EV44" s="434"/>
      <c r="EW44" s="434"/>
      <c r="EX44" s="434"/>
      <c r="EY44" s="434"/>
      <c r="EZ44" s="434"/>
      <c r="FA44" s="434"/>
      <c r="FB44" s="434"/>
      <c r="FC44" s="434"/>
    </row>
    <row r="45" spans="1:159" x14ac:dyDescent="0.2">
      <c r="EV45" s="434"/>
      <c r="EW45" s="434"/>
      <c r="EX45" s="434"/>
      <c r="EY45" s="434"/>
      <c r="EZ45" s="434"/>
      <c r="FA45" s="434"/>
      <c r="FB45" s="434"/>
      <c r="FC45" s="434"/>
    </row>
    <row r="46" spans="1:159" x14ac:dyDescent="0.2">
      <c r="EV46" s="434"/>
      <c r="EW46" s="434"/>
      <c r="EX46" s="434"/>
      <c r="EY46" s="434"/>
      <c r="EZ46" s="434"/>
      <c r="FA46" s="434"/>
      <c r="FB46" s="434"/>
      <c r="FC46" s="434"/>
    </row>
    <row r="47" spans="1:159" x14ac:dyDescent="0.2">
      <c r="EV47" s="434"/>
      <c r="EW47" s="434"/>
      <c r="EX47" s="434"/>
      <c r="EY47" s="434"/>
      <c r="EZ47" s="434"/>
      <c r="FA47" s="434"/>
      <c r="FB47" s="434"/>
      <c r="FC47" s="434"/>
    </row>
    <row r="48" spans="1:159" x14ac:dyDescent="0.2">
      <c r="EV48" s="434"/>
      <c r="EW48" s="434"/>
      <c r="EX48" s="434"/>
      <c r="EY48" s="434"/>
      <c r="EZ48" s="434"/>
      <c r="FA48" s="434"/>
      <c r="FB48" s="434"/>
      <c r="FC48" s="434"/>
    </row>
    <row r="49" spans="152:159" x14ac:dyDescent="0.2">
      <c r="EV49" s="434"/>
      <c r="EW49" s="434"/>
      <c r="EX49" s="434"/>
      <c r="EY49" s="434"/>
      <c r="EZ49" s="434"/>
      <c r="FA49" s="434"/>
      <c r="FB49" s="434"/>
      <c r="FC49" s="434"/>
    </row>
    <row r="50" spans="152:159" x14ac:dyDescent="0.2">
      <c r="EV50" s="434"/>
      <c r="EW50" s="434"/>
      <c r="EX50" s="434"/>
      <c r="EY50" s="434"/>
      <c r="EZ50" s="434"/>
      <c r="FA50" s="434"/>
      <c r="FB50" s="434"/>
      <c r="FC50" s="434"/>
    </row>
    <row r="51" spans="152:159" x14ac:dyDescent="0.2">
      <c r="EV51" s="434"/>
      <c r="EW51" s="434"/>
      <c r="EX51" s="434"/>
      <c r="EY51" s="434"/>
      <c r="EZ51" s="434"/>
      <c r="FA51" s="434"/>
      <c r="FB51" s="434"/>
      <c r="FC51" s="434"/>
    </row>
    <row r="52" spans="152:159" x14ac:dyDescent="0.2">
      <c r="EV52" s="434"/>
      <c r="EW52" s="434"/>
      <c r="EX52" s="434"/>
      <c r="EY52" s="434"/>
      <c r="EZ52" s="434"/>
      <c r="FA52" s="434"/>
      <c r="FB52" s="434"/>
      <c r="FC52" s="434"/>
    </row>
    <row r="53" spans="152:159" x14ac:dyDescent="0.2">
      <c r="EV53" s="434"/>
      <c r="EW53" s="434"/>
      <c r="EX53" s="434"/>
      <c r="EY53" s="434"/>
      <c r="EZ53" s="434"/>
      <c r="FA53" s="434"/>
      <c r="FB53" s="434"/>
      <c r="FC53" s="434"/>
    </row>
    <row r="54" spans="152:159" x14ac:dyDescent="0.2">
      <c r="EV54" s="434"/>
      <c r="EW54" s="434"/>
      <c r="EX54" s="434"/>
      <c r="EY54" s="434"/>
      <c r="EZ54" s="434"/>
      <c r="FA54" s="434"/>
      <c r="FB54" s="434"/>
      <c r="FC54" s="434"/>
    </row>
    <row r="55" spans="152:159" x14ac:dyDescent="0.2">
      <c r="EV55" s="434"/>
      <c r="EW55" s="434"/>
      <c r="EX55" s="434"/>
      <c r="EY55" s="434"/>
      <c r="EZ55" s="434"/>
      <c r="FA55" s="434"/>
      <c r="FB55" s="434"/>
      <c r="FC55" s="434"/>
    </row>
    <row r="56" spans="152:159" x14ac:dyDescent="0.2">
      <c r="EV56" s="434"/>
      <c r="EW56" s="434"/>
      <c r="EX56" s="434"/>
      <c r="EY56" s="434"/>
      <c r="EZ56" s="434"/>
      <c r="FA56" s="434"/>
      <c r="FB56" s="434"/>
      <c r="FC56" s="434"/>
    </row>
    <row r="57" spans="152:159" x14ac:dyDescent="0.2">
      <c r="EV57" s="434"/>
      <c r="EW57" s="434"/>
      <c r="EX57" s="434"/>
      <c r="EY57" s="434"/>
      <c r="EZ57" s="434"/>
      <c r="FA57" s="434"/>
      <c r="FB57" s="434"/>
      <c r="FC57" s="434"/>
    </row>
    <row r="58" spans="152:159" x14ac:dyDescent="0.2">
      <c r="EV58" s="434"/>
      <c r="EW58" s="434"/>
      <c r="EX58" s="434"/>
      <c r="EY58" s="434"/>
      <c r="EZ58" s="434"/>
      <c r="FA58" s="434"/>
      <c r="FB58" s="434"/>
      <c r="FC58" s="434"/>
    </row>
    <row r="59" spans="152:159" x14ac:dyDescent="0.2">
      <c r="EV59" s="434"/>
      <c r="EW59" s="434"/>
      <c r="EX59" s="434"/>
      <c r="EY59" s="434"/>
      <c r="EZ59" s="434"/>
      <c r="FA59" s="434"/>
      <c r="FB59" s="434"/>
      <c r="FC59" s="434"/>
    </row>
    <row r="60" spans="152:159" x14ac:dyDescent="0.2">
      <c r="EV60" s="434"/>
      <c r="EW60" s="434"/>
      <c r="EX60" s="434"/>
      <c r="EY60" s="434"/>
      <c r="EZ60" s="434"/>
      <c r="FA60" s="434"/>
      <c r="FB60" s="434"/>
      <c r="FC60" s="434"/>
    </row>
    <row r="61" spans="152:159" x14ac:dyDescent="0.2">
      <c r="EV61" s="434"/>
      <c r="EW61" s="434"/>
      <c r="EX61" s="434"/>
      <c r="EY61" s="434"/>
      <c r="EZ61" s="434"/>
      <c r="FA61" s="434"/>
      <c r="FB61" s="434"/>
      <c r="FC61" s="434"/>
    </row>
    <row r="62" spans="152:159" x14ac:dyDescent="0.2">
      <c r="EV62" s="434"/>
      <c r="EW62" s="434"/>
      <c r="EX62" s="434"/>
      <c r="EY62" s="434"/>
      <c r="EZ62" s="434"/>
      <c r="FA62" s="434"/>
      <c r="FB62" s="434"/>
      <c r="FC62" s="434"/>
    </row>
    <row r="63" spans="152:159" x14ac:dyDescent="0.2">
      <c r="EV63" s="434"/>
      <c r="EW63" s="434"/>
      <c r="EX63" s="434"/>
      <c r="EY63" s="434"/>
      <c r="EZ63" s="434"/>
      <c r="FA63" s="434"/>
      <c r="FB63" s="434"/>
      <c r="FC63" s="434"/>
    </row>
    <row r="64" spans="152:159" x14ac:dyDescent="0.2">
      <c r="EV64" s="434"/>
      <c r="EW64" s="434"/>
      <c r="EX64" s="434"/>
      <c r="EY64" s="434"/>
      <c r="EZ64" s="434"/>
      <c r="FA64" s="434"/>
      <c r="FB64" s="434"/>
      <c r="FC64" s="434"/>
    </row>
    <row r="65" spans="152:159" x14ac:dyDescent="0.2">
      <c r="EV65" s="434"/>
      <c r="EW65" s="434"/>
      <c r="EX65" s="434"/>
      <c r="EY65" s="434"/>
      <c r="EZ65" s="434"/>
      <c r="FA65" s="434"/>
      <c r="FB65" s="434"/>
      <c r="FC65" s="434"/>
    </row>
    <row r="66" spans="152:159" x14ac:dyDescent="0.2">
      <c r="EV66" s="434"/>
      <c r="EW66" s="434"/>
      <c r="EX66" s="434"/>
      <c r="EY66" s="434"/>
      <c r="EZ66" s="434"/>
      <c r="FA66" s="434"/>
      <c r="FB66" s="434"/>
      <c r="FC66" s="434"/>
    </row>
    <row r="67" spans="152:159" x14ac:dyDescent="0.2">
      <c r="EV67" s="434"/>
      <c r="EW67" s="434"/>
      <c r="EX67" s="434"/>
      <c r="EY67" s="434"/>
      <c r="EZ67" s="434"/>
      <c r="FA67" s="434"/>
      <c r="FB67" s="434"/>
      <c r="FC67" s="434"/>
    </row>
    <row r="68" spans="152:159" x14ac:dyDescent="0.2">
      <c r="EV68" s="434"/>
      <c r="EW68" s="434"/>
      <c r="EX68" s="434"/>
      <c r="EY68" s="434"/>
      <c r="EZ68" s="434"/>
      <c r="FA68" s="434"/>
      <c r="FB68" s="434"/>
      <c r="FC68" s="434"/>
    </row>
    <row r="69" spans="152:159" x14ac:dyDescent="0.2">
      <c r="EV69" s="434"/>
      <c r="EW69" s="434"/>
      <c r="EX69" s="434"/>
      <c r="EY69" s="434"/>
      <c r="EZ69" s="434"/>
      <c r="FA69" s="434"/>
      <c r="FB69" s="434"/>
      <c r="FC69" s="434"/>
    </row>
    <row r="70" spans="152:159" x14ac:dyDescent="0.2">
      <c r="EV70" s="434"/>
      <c r="EW70" s="434"/>
      <c r="EX70" s="434"/>
      <c r="EY70" s="434"/>
      <c r="EZ70" s="434"/>
      <c r="FA70" s="434"/>
      <c r="FB70" s="434"/>
      <c r="FC70" s="434"/>
    </row>
    <row r="71" spans="152:159" x14ac:dyDescent="0.2">
      <c r="EV71" s="434"/>
      <c r="EW71" s="434"/>
      <c r="EX71" s="434"/>
      <c r="EY71" s="434"/>
      <c r="EZ71" s="434"/>
      <c r="FA71" s="434"/>
      <c r="FB71" s="434"/>
      <c r="FC71" s="434"/>
    </row>
    <row r="72" spans="152:159" x14ac:dyDescent="0.2">
      <c r="EV72" s="434"/>
      <c r="EW72" s="434"/>
      <c r="EX72" s="434"/>
      <c r="EY72" s="434"/>
      <c r="EZ72" s="434"/>
      <c r="FA72" s="434"/>
      <c r="FB72" s="434"/>
      <c r="FC72" s="434"/>
    </row>
    <row r="73" spans="152:159" x14ac:dyDescent="0.2">
      <c r="EV73" s="434"/>
      <c r="EW73" s="434"/>
      <c r="EX73" s="434"/>
      <c r="EY73" s="434"/>
      <c r="EZ73" s="434"/>
      <c r="FA73" s="434"/>
      <c r="FB73" s="434"/>
      <c r="FC73" s="434"/>
    </row>
    <row r="74" spans="152:159" x14ac:dyDescent="0.2">
      <c r="EV74" s="434"/>
      <c r="EW74" s="434"/>
      <c r="EX74" s="434"/>
      <c r="EY74" s="434"/>
      <c r="EZ74" s="434"/>
      <c r="FA74" s="434"/>
      <c r="FB74" s="434"/>
      <c r="FC74" s="434"/>
    </row>
    <row r="75" spans="152:159" x14ac:dyDescent="0.2">
      <c r="EV75" s="434"/>
      <c r="EW75" s="434"/>
      <c r="EX75" s="434"/>
      <c r="EY75" s="434"/>
      <c r="EZ75" s="434"/>
      <c r="FA75" s="434"/>
      <c r="FB75" s="434"/>
      <c r="FC75" s="434"/>
    </row>
    <row r="76" spans="152:159" x14ac:dyDescent="0.2">
      <c r="EV76" s="434"/>
      <c r="EW76" s="434"/>
      <c r="EX76" s="434"/>
      <c r="EY76" s="434"/>
      <c r="EZ76" s="434"/>
      <c r="FA76" s="434"/>
      <c r="FB76" s="434"/>
      <c r="FC76" s="434"/>
    </row>
    <row r="77" spans="152:159" x14ac:dyDescent="0.2">
      <c r="EV77" s="434"/>
      <c r="EW77" s="434"/>
      <c r="EX77" s="434"/>
      <c r="EY77" s="434"/>
      <c r="EZ77" s="434"/>
      <c r="FA77" s="434"/>
      <c r="FB77" s="434"/>
      <c r="FC77" s="434"/>
    </row>
    <row r="78" spans="152:159" x14ac:dyDescent="0.2">
      <c r="EV78" s="434"/>
      <c r="EW78" s="434"/>
      <c r="EX78" s="434"/>
      <c r="EY78" s="434"/>
      <c r="EZ78" s="434"/>
      <c r="FA78" s="434"/>
      <c r="FB78" s="434"/>
      <c r="FC78" s="434"/>
    </row>
    <row r="79" spans="152:159" x14ac:dyDescent="0.2">
      <c r="EV79" s="434"/>
      <c r="EW79" s="434"/>
      <c r="EX79" s="434"/>
      <c r="EY79" s="434"/>
      <c r="EZ79" s="434"/>
      <c r="FA79" s="434"/>
      <c r="FB79" s="434"/>
      <c r="FC79" s="434"/>
    </row>
    <row r="80" spans="152:159" x14ac:dyDescent="0.2">
      <c r="EV80" s="434"/>
      <c r="EW80" s="434"/>
      <c r="EX80" s="434"/>
      <c r="EY80" s="434"/>
      <c r="EZ80" s="434"/>
      <c r="FA80" s="434"/>
      <c r="FB80" s="434"/>
      <c r="FC80" s="434"/>
    </row>
    <row r="81" spans="152:159" x14ac:dyDescent="0.2">
      <c r="EV81" s="434"/>
      <c r="EW81" s="434"/>
      <c r="EX81" s="434"/>
      <c r="EY81" s="434"/>
      <c r="EZ81" s="434"/>
      <c r="FA81" s="434"/>
      <c r="FB81" s="434"/>
      <c r="FC81" s="434"/>
    </row>
    <row r="82" spans="152:159" x14ac:dyDescent="0.2">
      <c r="EV82" s="434"/>
      <c r="EW82" s="434"/>
      <c r="EX82" s="434"/>
      <c r="EY82" s="434"/>
      <c r="EZ82" s="434"/>
      <c r="FA82" s="434"/>
      <c r="FB82" s="434"/>
      <c r="FC82" s="434"/>
    </row>
    <row r="83" spans="152:159" x14ac:dyDescent="0.2">
      <c r="EV83" s="434"/>
      <c r="EW83" s="434"/>
      <c r="EX83" s="434"/>
      <c r="EY83" s="434"/>
      <c r="EZ83" s="434"/>
      <c r="FA83" s="434"/>
      <c r="FB83" s="434"/>
      <c r="FC83" s="434"/>
    </row>
    <row r="84" spans="152:159" x14ac:dyDescent="0.2">
      <c r="EV84" s="434"/>
      <c r="EW84" s="434"/>
      <c r="EX84" s="434"/>
      <c r="EY84" s="434"/>
      <c r="EZ84" s="434"/>
      <c r="FA84" s="434"/>
      <c r="FB84" s="434"/>
      <c r="FC84" s="434"/>
    </row>
    <row r="85" spans="152:159" x14ac:dyDescent="0.2">
      <c r="EV85" s="434"/>
      <c r="EW85" s="434"/>
      <c r="EX85" s="434"/>
      <c r="EY85" s="434"/>
      <c r="EZ85" s="434"/>
      <c r="FA85" s="434"/>
      <c r="FB85" s="434"/>
      <c r="FC85" s="434"/>
    </row>
    <row r="86" spans="152:159" x14ac:dyDescent="0.2">
      <c r="EV86" s="434"/>
      <c r="EW86" s="434"/>
      <c r="EX86" s="434"/>
      <c r="EY86" s="434"/>
      <c r="EZ86" s="434"/>
      <c r="FA86" s="434"/>
      <c r="FB86" s="434"/>
      <c r="FC86" s="434"/>
    </row>
    <row r="87" spans="152:159" x14ac:dyDescent="0.2">
      <c r="EV87" s="434"/>
      <c r="EW87" s="434"/>
      <c r="EX87" s="434"/>
      <c r="EY87" s="434"/>
      <c r="EZ87" s="434"/>
      <c r="FA87" s="434"/>
      <c r="FB87" s="434"/>
      <c r="FC87" s="434"/>
    </row>
    <row r="88" spans="152:159" x14ac:dyDescent="0.2">
      <c r="EV88" s="434"/>
      <c r="EW88" s="434"/>
      <c r="EX88" s="434"/>
      <c r="EY88" s="434"/>
      <c r="EZ88" s="434"/>
      <c r="FA88" s="434"/>
      <c r="FB88" s="434"/>
      <c r="FC88" s="434"/>
    </row>
    <row r="89" spans="152:159" x14ac:dyDescent="0.2">
      <c r="EV89" s="434"/>
      <c r="EW89" s="434"/>
      <c r="EX89" s="434"/>
      <c r="EY89" s="434"/>
      <c r="EZ89" s="434"/>
      <c r="FA89" s="434"/>
      <c r="FB89" s="434"/>
      <c r="FC89" s="434"/>
    </row>
    <row r="90" spans="152:159" x14ac:dyDescent="0.2">
      <c r="EV90" s="434"/>
      <c r="EW90" s="434"/>
      <c r="EX90" s="434"/>
      <c r="EY90" s="434"/>
      <c r="EZ90" s="434"/>
      <c r="FA90" s="434"/>
      <c r="FB90" s="434"/>
      <c r="FC90" s="434"/>
    </row>
    <row r="91" spans="152:159" x14ac:dyDescent="0.2">
      <c r="EV91" s="434"/>
      <c r="EW91" s="434"/>
      <c r="EX91" s="434"/>
      <c r="EY91" s="434"/>
      <c r="EZ91" s="434"/>
      <c r="FA91" s="434"/>
      <c r="FB91" s="434"/>
      <c r="FC91" s="434"/>
    </row>
    <row r="92" spans="152:159" x14ac:dyDescent="0.2">
      <c r="EV92" s="434"/>
      <c r="EW92" s="434"/>
      <c r="EX92" s="434"/>
      <c r="EY92" s="434"/>
      <c r="EZ92" s="434"/>
      <c r="FA92" s="434"/>
      <c r="FB92" s="434"/>
      <c r="FC92" s="434"/>
    </row>
    <row r="93" spans="152:159" x14ac:dyDescent="0.2">
      <c r="EV93" s="434"/>
      <c r="EW93" s="434"/>
      <c r="EX93" s="434"/>
      <c r="EY93" s="434"/>
      <c r="EZ93" s="434"/>
      <c r="FA93" s="434"/>
      <c r="FB93" s="434"/>
      <c r="FC93" s="434"/>
    </row>
    <row r="94" spans="152:159" x14ac:dyDescent="0.2">
      <c r="EV94" s="434"/>
      <c r="EW94" s="434"/>
      <c r="EX94" s="434"/>
      <c r="EY94" s="434"/>
      <c r="EZ94" s="434"/>
      <c r="FA94" s="434"/>
      <c r="FB94" s="434"/>
      <c r="FC94" s="434"/>
    </row>
    <row r="95" spans="152:159" x14ac:dyDescent="0.2">
      <c r="EV95" s="434"/>
      <c r="EW95" s="434"/>
      <c r="EX95" s="434"/>
      <c r="EY95" s="434"/>
      <c r="EZ95" s="434"/>
      <c r="FA95" s="434"/>
      <c r="FB95" s="434"/>
      <c r="FC95" s="434"/>
    </row>
    <row r="96" spans="152:159" x14ac:dyDescent="0.2">
      <c r="EV96" s="434"/>
      <c r="EW96" s="434"/>
      <c r="EX96" s="434"/>
      <c r="EY96" s="434"/>
      <c r="EZ96" s="434"/>
      <c r="FA96" s="434"/>
      <c r="FB96" s="434"/>
      <c r="FC96" s="434"/>
    </row>
    <row r="97" spans="152:159" x14ac:dyDescent="0.2">
      <c r="EV97" s="434"/>
      <c r="EW97" s="434"/>
      <c r="EX97" s="434"/>
      <c r="EY97" s="434"/>
      <c r="EZ97" s="434"/>
      <c r="FA97" s="434"/>
      <c r="FB97" s="434"/>
      <c r="FC97" s="434"/>
    </row>
    <row r="98" spans="152:159" x14ac:dyDescent="0.2">
      <c r="EV98" s="434"/>
      <c r="EW98" s="434"/>
      <c r="EX98" s="434"/>
      <c r="EY98" s="434"/>
      <c r="EZ98" s="434"/>
      <c r="FA98" s="434"/>
      <c r="FB98" s="434"/>
      <c r="FC98" s="434"/>
    </row>
    <row r="99" spans="152:159" x14ac:dyDescent="0.2">
      <c r="EV99" s="434"/>
      <c r="EW99" s="434"/>
      <c r="EX99" s="434"/>
      <c r="EY99" s="434"/>
      <c r="EZ99" s="434"/>
      <c r="FA99" s="434"/>
      <c r="FB99" s="434"/>
      <c r="FC99" s="434"/>
    </row>
    <row r="100" spans="152:159" x14ac:dyDescent="0.2">
      <c r="EV100" s="434"/>
      <c r="EW100" s="434"/>
      <c r="EX100" s="434"/>
      <c r="EY100" s="434"/>
      <c r="EZ100" s="434"/>
      <c r="FA100" s="434"/>
      <c r="FB100" s="434"/>
      <c r="FC100" s="434"/>
    </row>
    <row r="101" spans="152:159" x14ac:dyDescent="0.2">
      <c r="EV101" s="434"/>
      <c r="EW101" s="434"/>
      <c r="EX101" s="434"/>
      <c r="EY101" s="434"/>
      <c r="EZ101" s="434"/>
      <c r="FA101" s="434"/>
      <c r="FB101" s="434"/>
      <c r="FC101" s="434"/>
    </row>
    <row r="102" spans="152:159" x14ac:dyDescent="0.2">
      <c r="EV102" s="434"/>
      <c r="EW102" s="434"/>
      <c r="EX102" s="434"/>
      <c r="EY102" s="434"/>
      <c r="EZ102" s="434"/>
      <c r="FA102" s="434"/>
      <c r="FB102" s="434"/>
      <c r="FC102" s="434"/>
    </row>
    <row r="103" spans="152:159" x14ac:dyDescent="0.2">
      <c r="EV103" s="434"/>
      <c r="EW103" s="434"/>
      <c r="EX103" s="434"/>
      <c r="EY103" s="434"/>
      <c r="EZ103" s="434"/>
      <c r="FA103" s="434"/>
      <c r="FB103" s="434"/>
      <c r="FC103" s="434"/>
    </row>
    <row r="104" spans="152:159" x14ac:dyDescent="0.2">
      <c r="EV104" s="434"/>
      <c r="EW104" s="434"/>
      <c r="EX104" s="434"/>
      <c r="EY104" s="434"/>
      <c r="EZ104" s="434"/>
      <c r="FA104" s="434"/>
      <c r="FB104" s="434"/>
      <c r="FC104" s="434"/>
    </row>
    <row r="105" spans="152:159" x14ac:dyDescent="0.2">
      <c r="EV105" s="434"/>
      <c r="EW105" s="434"/>
      <c r="EX105" s="434"/>
      <c r="EY105" s="434"/>
      <c r="EZ105" s="434"/>
      <c r="FA105" s="434"/>
      <c r="FB105" s="434"/>
      <c r="FC105" s="434"/>
    </row>
    <row r="106" spans="152:159" x14ac:dyDescent="0.2">
      <c r="EV106" s="434"/>
      <c r="EW106" s="434"/>
      <c r="EX106" s="434"/>
      <c r="EY106" s="434"/>
      <c r="EZ106" s="434"/>
      <c r="FA106" s="434"/>
      <c r="FB106" s="434"/>
      <c r="FC106" s="434"/>
    </row>
    <row r="107" spans="152:159" x14ac:dyDescent="0.2">
      <c r="EV107" s="434"/>
      <c r="EW107" s="434"/>
      <c r="EX107" s="434"/>
      <c r="EY107" s="434"/>
      <c r="EZ107" s="434"/>
      <c r="FA107" s="434"/>
      <c r="FB107" s="434"/>
      <c r="FC107" s="434"/>
    </row>
    <row r="108" spans="152:159" x14ac:dyDescent="0.2">
      <c r="EV108" s="434"/>
      <c r="EW108" s="434"/>
      <c r="EX108" s="434"/>
      <c r="EY108" s="434"/>
      <c r="EZ108" s="434"/>
      <c r="FA108" s="434"/>
      <c r="FB108" s="434"/>
      <c r="FC108" s="434"/>
    </row>
    <row r="109" spans="152:159" x14ac:dyDescent="0.2">
      <c r="EV109" s="434"/>
      <c r="EW109" s="434"/>
      <c r="EX109" s="434"/>
      <c r="EY109" s="434"/>
      <c r="EZ109" s="434"/>
      <c r="FA109" s="434"/>
      <c r="FB109" s="434"/>
      <c r="FC109" s="434"/>
    </row>
    <row r="110" spans="152:159" x14ac:dyDescent="0.2">
      <c r="EV110" s="434"/>
      <c r="EW110" s="434"/>
      <c r="EX110" s="434"/>
      <c r="EY110" s="434"/>
      <c r="EZ110" s="434"/>
      <c r="FA110" s="434"/>
      <c r="FB110" s="434"/>
      <c r="FC110" s="434"/>
    </row>
    <row r="111" spans="152:159" x14ac:dyDescent="0.2">
      <c r="EV111" s="434"/>
      <c r="EW111" s="434"/>
      <c r="EX111" s="434"/>
      <c r="EY111" s="434"/>
      <c r="EZ111" s="434"/>
      <c r="FA111" s="434"/>
      <c r="FB111" s="434"/>
      <c r="FC111" s="434"/>
    </row>
    <row r="112" spans="152:159" x14ac:dyDescent="0.2">
      <c r="EV112" s="434"/>
      <c r="EW112" s="434"/>
      <c r="EX112" s="434"/>
      <c r="EY112" s="434"/>
      <c r="EZ112" s="434"/>
      <c r="FA112" s="434"/>
      <c r="FB112" s="434"/>
      <c r="FC112" s="434"/>
    </row>
    <row r="113" spans="152:159" x14ac:dyDescent="0.2">
      <c r="EV113" s="434"/>
      <c r="EW113" s="434"/>
      <c r="EX113" s="434"/>
      <c r="EY113" s="434"/>
      <c r="EZ113" s="434"/>
      <c r="FA113" s="434"/>
      <c r="FB113" s="434"/>
      <c r="FC113" s="434"/>
    </row>
    <row r="114" spans="152:159" x14ac:dyDescent="0.2">
      <c r="EV114" s="434"/>
      <c r="EW114" s="434"/>
      <c r="EX114" s="434"/>
      <c r="EY114" s="434"/>
      <c r="EZ114" s="434"/>
      <c r="FA114" s="434"/>
      <c r="FB114" s="434"/>
      <c r="FC114" s="434"/>
    </row>
    <row r="115" spans="152:159" x14ac:dyDescent="0.2">
      <c r="EV115" s="434"/>
      <c r="EW115" s="434"/>
      <c r="EX115" s="434"/>
      <c r="EY115" s="434"/>
      <c r="EZ115" s="434"/>
      <c r="FA115" s="434"/>
      <c r="FB115" s="434"/>
      <c r="FC115" s="434"/>
    </row>
    <row r="116" spans="152:159" x14ac:dyDescent="0.2">
      <c r="EV116" s="434"/>
      <c r="EW116" s="434"/>
      <c r="EX116" s="434"/>
      <c r="EY116" s="434"/>
      <c r="EZ116" s="434"/>
      <c r="FA116" s="434"/>
      <c r="FB116" s="434"/>
      <c r="FC116" s="434"/>
    </row>
    <row r="117" spans="152:159" x14ac:dyDescent="0.2">
      <c r="EV117" s="434"/>
      <c r="EW117" s="434"/>
      <c r="EX117" s="434"/>
      <c r="EY117" s="434"/>
      <c r="EZ117" s="434"/>
      <c r="FA117" s="434"/>
      <c r="FB117" s="434"/>
      <c r="FC117" s="434"/>
    </row>
    <row r="118" spans="152:159" x14ac:dyDescent="0.2">
      <c r="EV118" s="434"/>
      <c r="EW118" s="434"/>
      <c r="EX118" s="434"/>
      <c r="EY118" s="434"/>
      <c r="EZ118" s="434"/>
      <c r="FA118" s="434"/>
      <c r="FB118" s="434"/>
      <c r="FC118" s="434"/>
    </row>
    <row r="119" spans="152:159" x14ac:dyDescent="0.2">
      <c r="EV119" s="434"/>
      <c r="EW119" s="434"/>
      <c r="EX119" s="434"/>
      <c r="EY119" s="434"/>
      <c r="EZ119" s="434"/>
      <c r="FA119" s="434"/>
      <c r="FB119" s="434"/>
      <c r="FC119" s="434"/>
    </row>
    <row r="120" spans="152:159" x14ac:dyDescent="0.2">
      <c r="EV120" s="434"/>
      <c r="EW120" s="434"/>
      <c r="EX120" s="434"/>
      <c r="EY120" s="434"/>
      <c r="EZ120" s="434"/>
      <c r="FA120" s="434"/>
      <c r="FB120" s="434"/>
      <c r="FC120" s="434"/>
    </row>
    <row r="121" spans="152:159" x14ac:dyDescent="0.2">
      <c r="EV121" s="434"/>
      <c r="EW121" s="434"/>
      <c r="EX121" s="434"/>
      <c r="EY121" s="434"/>
      <c r="EZ121" s="434"/>
      <c r="FA121" s="434"/>
      <c r="FB121" s="434"/>
      <c r="FC121" s="434"/>
    </row>
    <row r="122" spans="152:159" x14ac:dyDescent="0.2">
      <c r="EV122" s="434"/>
      <c r="EW122" s="434"/>
      <c r="EX122" s="434"/>
      <c r="EY122" s="434"/>
      <c r="EZ122" s="434"/>
      <c r="FA122" s="434"/>
      <c r="FB122" s="434"/>
      <c r="FC122" s="434"/>
    </row>
    <row r="123" spans="152:159" x14ac:dyDescent="0.2">
      <c r="EV123" s="434"/>
      <c r="EW123" s="434"/>
      <c r="EX123" s="434"/>
      <c r="EY123" s="434"/>
      <c r="EZ123" s="434"/>
      <c r="FA123" s="434"/>
      <c r="FB123" s="434"/>
      <c r="FC123" s="434"/>
    </row>
    <row r="124" spans="152:159" x14ac:dyDescent="0.2">
      <c r="EV124" s="434"/>
      <c r="EW124" s="434"/>
      <c r="EX124" s="434"/>
      <c r="EY124" s="434"/>
      <c r="EZ124" s="434"/>
      <c r="FA124" s="434"/>
      <c r="FB124" s="434"/>
      <c r="FC124" s="434"/>
    </row>
    <row r="125" spans="152:159" x14ac:dyDescent="0.2">
      <c r="EV125" s="434"/>
      <c r="EW125" s="434"/>
      <c r="EX125" s="434"/>
      <c r="EY125" s="434"/>
      <c r="EZ125" s="434"/>
      <c r="FA125" s="434"/>
      <c r="FB125" s="434"/>
      <c r="FC125" s="434"/>
    </row>
    <row r="126" spans="152:159" x14ac:dyDescent="0.2">
      <c r="EV126" s="434"/>
      <c r="EW126" s="434"/>
      <c r="EX126" s="434"/>
      <c r="EY126" s="434"/>
      <c r="EZ126" s="434"/>
      <c r="FA126" s="434"/>
      <c r="FB126" s="434"/>
      <c r="FC126" s="434"/>
    </row>
    <row r="127" spans="152:159" x14ac:dyDescent="0.2">
      <c r="EV127" s="434"/>
      <c r="EW127" s="434"/>
      <c r="EX127" s="434"/>
      <c r="EY127" s="434"/>
      <c r="EZ127" s="434"/>
      <c r="FA127" s="434"/>
      <c r="FB127" s="434"/>
      <c r="FC127" s="434"/>
    </row>
    <row r="128" spans="152:159" x14ac:dyDescent="0.2">
      <c r="EV128" s="434"/>
      <c r="EW128" s="434"/>
      <c r="EX128" s="434"/>
      <c r="EY128" s="434"/>
      <c r="EZ128" s="434"/>
      <c r="FA128" s="434"/>
      <c r="FB128" s="434"/>
      <c r="FC128" s="434"/>
    </row>
    <row r="129" spans="152:159" x14ac:dyDescent="0.2">
      <c r="EV129" s="434"/>
      <c r="EW129" s="434"/>
      <c r="EX129" s="434"/>
      <c r="EY129" s="434"/>
      <c r="EZ129" s="434"/>
      <c r="FA129" s="434"/>
      <c r="FB129" s="434"/>
      <c r="FC129" s="434"/>
    </row>
    <row r="130" spans="152:159" x14ac:dyDescent="0.2">
      <c r="EV130" s="434"/>
      <c r="EW130" s="434"/>
      <c r="EX130" s="434"/>
      <c r="EY130" s="434"/>
      <c r="EZ130" s="434"/>
      <c r="FA130" s="434"/>
      <c r="FB130" s="434"/>
      <c r="FC130" s="434"/>
    </row>
    <row r="131" spans="152:159" x14ac:dyDescent="0.2">
      <c r="EV131" s="434"/>
      <c r="EW131" s="434"/>
      <c r="EX131" s="434"/>
      <c r="EY131" s="434"/>
      <c r="EZ131" s="434"/>
      <c r="FA131" s="434"/>
      <c r="FB131" s="434"/>
      <c r="FC131" s="434"/>
    </row>
    <row r="132" spans="152:159" x14ac:dyDescent="0.2">
      <c r="EV132" s="434"/>
      <c r="EW132" s="434"/>
      <c r="EX132" s="434"/>
      <c r="EY132" s="434"/>
      <c r="EZ132" s="434"/>
      <c r="FA132" s="434"/>
      <c r="FB132" s="434"/>
      <c r="FC132" s="434"/>
    </row>
    <row r="133" spans="152:159" x14ac:dyDescent="0.2">
      <c r="EV133" s="434"/>
      <c r="EW133" s="434"/>
      <c r="EX133" s="434"/>
      <c r="EY133" s="434"/>
      <c r="EZ133" s="434"/>
      <c r="FA133" s="434"/>
      <c r="FB133" s="434"/>
      <c r="FC133" s="434"/>
    </row>
    <row r="134" spans="152:159" x14ac:dyDescent="0.2">
      <c r="EV134" s="434"/>
      <c r="EW134" s="434"/>
      <c r="EX134" s="434"/>
      <c r="EY134" s="434"/>
      <c r="EZ134" s="434"/>
      <c r="FA134" s="434"/>
      <c r="FB134" s="434"/>
      <c r="FC134" s="434"/>
    </row>
    <row r="135" spans="152:159" x14ac:dyDescent="0.2">
      <c r="EV135" s="434"/>
      <c r="EW135" s="434"/>
      <c r="EX135" s="434"/>
      <c r="EY135" s="434"/>
      <c r="EZ135" s="434"/>
      <c r="FA135" s="434"/>
      <c r="FB135" s="434"/>
      <c r="FC135" s="434"/>
    </row>
    <row r="136" spans="152:159" x14ac:dyDescent="0.2">
      <c r="EV136" s="434"/>
      <c r="EW136" s="434"/>
      <c r="EX136" s="434"/>
      <c r="EY136" s="434"/>
      <c r="EZ136" s="434"/>
      <c r="FA136" s="434"/>
      <c r="FB136" s="434"/>
      <c r="FC136" s="434"/>
    </row>
    <row r="137" spans="152:159" x14ac:dyDescent="0.2">
      <c r="EV137" s="434"/>
      <c r="EW137" s="434"/>
      <c r="EX137" s="434"/>
      <c r="EY137" s="434"/>
      <c r="EZ137" s="434"/>
      <c r="FA137" s="434"/>
      <c r="FB137" s="434"/>
      <c r="FC137" s="434"/>
    </row>
    <row r="138" spans="152:159" x14ac:dyDescent="0.2">
      <c r="EV138" s="434"/>
      <c r="EW138" s="434"/>
      <c r="EX138" s="434"/>
      <c r="EY138" s="434"/>
      <c r="EZ138" s="434"/>
      <c r="FA138" s="434"/>
      <c r="FB138" s="434"/>
      <c r="FC138" s="434"/>
    </row>
    <row r="139" spans="152:159" x14ac:dyDescent="0.2">
      <c r="EV139" s="434"/>
      <c r="EW139" s="434"/>
      <c r="EX139" s="434"/>
      <c r="EY139" s="434"/>
      <c r="EZ139" s="434"/>
      <c r="FA139" s="434"/>
      <c r="FB139" s="434"/>
      <c r="FC139" s="434"/>
    </row>
    <row r="140" spans="152:159" x14ac:dyDescent="0.2">
      <c r="EV140" s="434"/>
      <c r="EW140" s="434"/>
      <c r="EX140" s="434"/>
      <c r="EY140" s="434"/>
      <c r="EZ140" s="434"/>
      <c r="FA140" s="434"/>
      <c r="FB140" s="434"/>
      <c r="FC140" s="434"/>
    </row>
    <row r="141" spans="152:159" x14ac:dyDescent="0.2">
      <c r="EV141" s="434"/>
      <c r="EW141" s="434"/>
      <c r="EX141" s="434"/>
      <c r="EY141" s="434"/>
      <c r="EZ141" s="434"/>
      <c r="FA141" s="434"/>
      <c r="FB141" s="434"/>
      <c r="FC141" s="434"/>
    </row>
    <row r="142" spans="152:159" x14ac:dyDescent="0.2">
      <c r="EV142" s="434"/>
      <c r="EW142" s="434"/>
      <c r="EX142" s="434"/>
      <c r="EY142" s="434"/>
      <c r="EZ142" s="434"/>
      <c r="FA142" s="434"/>
      <c r="FB142" s="434"/>
      <c r="FC142" s="434"/>
    </row>
    <row r="143" spans="152:159" x14ac:dyDescent="0.2">
      <c r="EV143" s="434"/>
      <c r="EW143" s="434"/>
      <c r="EX143" s="434"/>
      <c r="EY143" s="434"/>
      <c r="EZ143" s="434"/>
      <c r="FA143" s="434"/>
      <c r="FB143" s="434"/>
      <c r="FC143" s="434"/>
    </row>
    <row r="144" spans="152:159" x14ac:dyDescent="0.2">
      <c r="EV144" s="434"/>
      <c r="EW144" s="434"/>
      <c r="EX144" s="434"/>
      <c r="EY144" s="434"/>
      <c r="EZ144" s="434"/>
      <c r="FA144" s="434"/>
      <c r="FB144" s="434"/>
      <c r="FC144" s="434"/>
    </row>
    <row r="145" spans="152:159" x14ac:dyDescent="0.2">
      <c r="EV145" s="434"/>
      <c r="EW145" s="434"/>
      <c r="EX145" s="434"/>
      <c r="EY145" s="434"/>
      <c r="EZ145" s="434"/>
      <c r="FA145" s="434"/>
      <c r="FB145" s="434"/>
      <c r="FC145" s="434"/>
    </row>
    <row r="146" spans="152:159" x14ac:dyDescent="0.2">
      <c r="EV146" s="434"/>
      <c r="EW146" s="434"/>
      <c r="EX146" s="434"/>
      <c r="EY146" s="434"/>
      <c r="EZ146" s="434"/>
      <c r="FA146" s="434"/>
      <c r="FB146" s="434"/>
      <c r="FC146" s="434"/>
    </row>
    <row r="147" spans="152:159" x14ac:dyDescent="0.2">
      <c r="EV147" s="434"/>
      <c r="EW147" s="434"/>
      <c r="EX147" s="434"/>
      <c r="EY147" s="434"/>
      <c r="EZ147" s="434"/>
      <c r="FA147" s="434"/>
      <c r="FB147" s="434"/>
      <c r="FC147" s="434"/>
    </row>
    <row r="148" spans="152:159" x14ac:dyDescent="0.2">
      <c r="EV148" s="434"/>
      <c r="EW148" s="434"/>
      <c r="EX148" s="434"/>
      <c r="EY148" s="434"/>
      <c r="EZ148" s="434"/>
      <c r="FA148" s="434"/>
      <c r="FB148" s="434"/>
      <c r="FC148" s="434"/>
    </row>
    <row r="149" spans="152:159" x14ac:dyDescent="0.2">
      <c r="EV149" s="434"/>
      <c r="EW149" s="434"/>
      <c r="EX149" s="434"/>
      <c r="EY149" s="434"/>
      <c r="EZ149" s="434"/>
      <c r="FA149" s="434"/>
      <c r="FB149" s="434"/>
      <c r="FC149" s="434"/>
    </row>
    <row r="150" spans="152:159" x14ac:dyDescent="0.2">
      <c r="EV150" s="434"/>
      <c r="EW150" s="434"/>
      <c r="EX150" s="434"/>
      <c r="EY150" s="434"/>
      <c r="EZ150" s="434"/>
      <c r="FA150" s="434"/>
      <c r="FB150" s="434"/>
      <c r="FC150" s="434"/>
    </row>
    <row r="151" spans="152:159" x14ac:dyDescent="0.2">
      <c r="EV151" s="434"/>
      <c r="EW151" s="434"/>
      <c r="EX151" s="434"/>
      <c r="EY151" s="434"/>
      <c r="EZ151" s="434"/>
      <c r="FA151" s="434"/>
      <c r="FB151" s="434"/>
      <c r="FC151" s="434"/>
    </row>
    <row r="152" spans="152:159" x14ac:dyDescent="0.2">
      <c r="EV152" s="434"/>
      <c r="EW152" s="434"/>
      <c r="EX152" s="434"/>
      <c r="EY152" s="434"/>
      <c r="EZ152" s="434"/>
      <c r="FA152" s="434"/>
      <c r="FB152" s="434"/>
      <c r="FC152" s="434"/>
    </row>
    <row r="153" spans="152:159" x14ac:dyDescent="0.2">
      <c r="EV153" s="434"/>
      <c r="EW153" s="434"/>
      <c r="EX153" s="434"/>
      <c r="EY153" s="434"/>
      <c r="EZ153" s="434"/>
      <c r="FA153" s="434"/>
      <c r="FB153" s="434"/>
      <c r="FC153" s="434"/>
    </row>
    <row r="154" spans="152:159" x14ac:dyDescent="0.2">
      <c r="EV154" s="434"/>
      <c r="EW154" s="434"/>
      <c r="EX154" s="434"/>
      <c r="EY154" s="434"/>
      <c r="EZ154" s="434"/>
      <c r="FA154" s="434"/>
      <c r="FB154" s="434"/>
      <c r="FC154" s="434"/>
    </row>
    <row r="155" spans="152:159" x14ac:dyDescent="0.2">
      <c r="EV155" s="434"/>
      <c r="EW155" s="434"/>
      <c r="EX155" s="434"/>
      <c r="EY155" s="434"/>
      <c r="EZ155" s="434"/>
      <c r="FA155" s="434"/>
      <c r="FB155" s="434"/>
      <c r="FC155" s="434"/>
    </row>
    <row r="156" spans="152:159" x14ac:dyDescent="0.2">
      <c r="EV156" s="434"/>
      <c r="EW156" s="434"/>
      <c r="EX156" s="434"/>
      <c r="EY156" s="434"/>
      <c r="EZ156" s="434"/>
      <c r="FA156" s="434"/>
      <c r="FB156" s="434"/>
      <c r="FC156" s="434"/>
    </row>
    <row r="157" spans="152:159" x14ac:dyDescent="0.2">
      <c r="EV157" s="434"/>
      <c r="EW157" s="434"/>
      <c r="EX157" s="434"/>
      <c r="EY157" s="434"/>
      <c r="EZ157" s="434"/>
      <c r="FA157" s="434"/>
      <c r="FB157" s="434"/>
      <c r="FC157" s="434"/>
    </row>
    <row r="158" spans="152:159" x14ac:dyDescent="0.2">
      <c r="EV158" s="434"/>
      <c r="EW158" s="434"/>
      <c r="EX158" s="434"/>
      <c r="EY158" s="434"/>
      <c r="EZ158" s="434"/>
      <c r="FA158" s="434"/>
      <c r="FB158" s="434"/>
      <c r="FC158" s="434"/>
    </row>
    <row r="159" spans="152:159" x14ac:dyDescent="0.2">
      <c r="EV159" s="434"/>
      <c r="EW159" s="434"/>
      <c r="EX159" s="434"/>
      <c r="EY159" s="434"/>
      <c r="EZ159" s="434"/>
      <c r="FA159" s="434"/>
      <c r="FB159" s="434"/>
      <c r="FC159" s="434"/>
    </row>
    <row r="160" spans="152:159" x14ac:dyDescent="0.2">
      <c r="EV160" s="434"/>
      <c r="EW160" s="434"/>
      <c r="EX160" s="434"/>
      <c r="EY160" s="434"/>
      <c r="EZ160" s="434"/>
      <c r="FA160" s="434"/>
      <c r="FB160" s="434"/>
      <c r="FC160" s="434"/>
    </row>
    <row r="161" spans="152:159" x14ac:dyDescent="0.2">
      <c r="EV161" s="434"/>
      <c r="EW161" s="434"/>
      <c r="EX161" s="434"/>
      <c r="EY161" s="434"/>
      <c r="EZ161" s="434"/>
      <c r="FA161" s="434"/>
      <c r="FB161" s="434"/>
      <c r="FC161" s="434"/>
    </row>
    <row r="162" spans="152:159" x14ac:dyDescent="0.2">
      <c r="EV162" s="434"/>
      <c r="EW162" s="434"/>
      <c r="EX162" s="434"/>
      <c r="EY162" s="434"/>
      <c r="EZ162" s="434"/>
      <c r="FA162" s="434"/>
      <c r="FB162" s="434"/>
      <c r="FC162" s="434"/>
    </row>
    <row r="163" spans="152:159" x14ac:dyDescent="0.2">
      <c r="EV163" s="434"/>
      <c r="EW163" s="434"/>
      <c r="EX163" s="434"/>
      <c r="EY163" s="434"/>
      <c r="EZ163" s="434"/>
      <c r="FA163" s="434"/>
      <c r="FB163" s="434"/>
      <c r="FC163" s="434"/>
    </row>
    <row r="164" spans="152:159" x14ac:dyDescent="0.2">
      <c r="EV164" s="434"/>
      <c r="EW164" s="434"/>
      <c r="EX164" s="434"/>
      <c r="EY164" s="434"/>
      <c r="EZ164" s="434"/>
      <c r="FA164" s="434"/>
      <c r="FB164" s="434"/>
      <c r="FC164" s="434"/>
    </row>
    <row r="165" spans="152:159" x14ac:dyDescent="0.2">
      <c r="EV165" s="434"/>
      <c r="EW165" s="434"/>
      <c r="EX165" s="434"/>
      <c r="EY165" s="434"/>
      <c r="EZ165" s="434"/>
      <c r="FA165" s="434"/>
      <c r="FB165" s="434"/>
      <c r="FC165" s="434"/>
    </row>
    <row r="166" spans="152:159" x14ac:dyDescent="0.2">
      <c r="EV166" s="434"/>
      <c r="EW166" s="434"/>
      <c r="EX166" s="434"/>
      <c r="EY166" s="434"/>
      <c r="EZ166" s="434"/>
      <c r="FA166" s="434"/>
      <c r="FB166" s="434"/>
      <c r="FC166" s="434"/>
    </row>
    <row r="167" spans="152:159" x14ac:dyDescent="0.2">
      <c r="EV167" s="434"/>
      <c r="EW167" s="434"/>
      <c r="EX167" s="434"/>
      <c r="EY167" s="434"/>
      <c r="EZ167" s="434"/>
      <c r="FA167" s="434"/>
      <c r="FB167" s="434"/>
      <c r="FC167" s="434"/>
    </row>
    <row r="168" spans="152:159" x14ac:dyDescent="0.2">
      <c r="EV168" s="434"/>
      <c r="EW168" s="434"/>
      <c r="EX168" s="434"/>
      <c r="EY168" s="434"/>
      <c r="EZ168" s="434"/>
      <c r="FA168" s="434"/>
      <c r="FB168" s="434"/>
      <c r="FC168" s="434"/>
    </row>
    <row r="169" spans="152:159" x14ac:dyDescent="0.2">
      <c r="EV169" s="434"/>
      <c r="EW169" s="434"/>
      <c r="EX169" s="434"/>
      <c r="EY169" s="434"/>
      <c r="EZ169" s="434"/>
      <c r="FA169" s="434"/>
      <c r="FB169" s="434"/>
      <c r="FC169" s="434"/>
    </row>
    <row r="170" spans="152:159" x14ac:dyDescent="0.2">
      <c r="EV170" s="434"/>
      <c r="EW170" s="434"/>
      <c r="EX170" s="434"/>
      <c r="EY170" s="434"/>
      <c r="EZ170" s="434"/>
      <c r="FA170" s="434"/>
      <c r="FB170" s="434"/>
      <c r="FC170" s="434"/>
    </row>
    <row r="171" spans="152:159" x14ac:dyDescent="0.2">
      <c r="EV171" s="434"/>
      <c r="EW171" s="434"/>
      <c r="EX171" s="434"/>
      <c r="EY171" s="434"/>
      <c r="EZ171" s="434"/>
      <c r="FA171" s="434"/>
      <c r="FB171" s="434"/>
      <c r="FC171" s="434"/>
    </row>
    <row r="172" spans="152:159" x14ac:dyDescent="0.2">
      <c r="EV172" s="434"/>
      <c r="EW172" s="434"/>
      <c r="EX172" s="434"/>
      <c r="EY172" s="434"/>
      <c r="EZ172" s="434"/>
      <c r="FA172" s="434"/>
      <c r="FB172" s="434"/>
      <c r="FC172" s="434"/>
    </row>
    <row r="173" spans="152:159" x14ac:dyDescent="0.2">
      <c r="EV173" s="434"/>
      <c r="EW173" s="434"/>
      <c r="EX173" s="434"/>
      <c r="EY173" s="434"/>
      <c r="EZ173" s="434"/>
      <c r="FA173" s="434"/>
      <c r="FB173" s="434"/>
      <c r="FC173" s="434"/>
    </row>
    <row r="174" spans="152:159" x14ac:dyDescent="0.2">
      <c r="EV174" s="434"/>
      <c r="EW174" s="434"/>
      <c r="EX174" s="434"/>
      <c r="EY174" s="434"/>
      <c r="EZ174" s="434"/>
      <c r="FA174" s="434"/>
      <c r="FB174" s="434"/>
      <c r="FC174" s="434"/>
    </row>
    <row r="175" spans="152:159" x14ac:dyDescent="0.2">
      <c r="EV175" s="434"/>
      <c r="EW175" s="434"/>
      <c r="EX175" s="434"/>
      <c r="EY175" s="434"/>
      <c r="EZ175" s="434"/>
      <c r="FA175" s="434"/>
      <c r="FB175" s="434"/>
      <c r="FC175" s="434"/>
    </row>
    <row r="176" spans="152:159" x14ac:dyDescent="0.2">
      <c r="EV176" s="434"/>
      <c r="EW176" s="434"/>
      <c r="EX176" s="434"/>
      <c r="EY176" s="434"/>
      <c r="EZ176" s="434"/>
      <c r="FA176" s="434"/>
      <c r="FB176" s="434"/>
      <c r="FC176" s="434"/>
    </row>
    <row r="177" spans="152:159" x14ac:dyDescent="0.2">
      <c r="EV177" s="434"/>
      <c r="EW177" s="434"/>
      <c r="EX177" s="434"/>
      <c r="EY177" s="434"/>
      <c r="EZ177" s="434"/>
      <c r="FA177" s="434"/>
      <c r="FB177" s="434"/>
      <c r="FC177" s="434"/>
    </row>
    <row r="178" spans="152:159" x14ac:dyDescent="0.2">
      <c r="EV178" s="434"/>
      <c r="EW178" s="434"/>
      <c r="EX178" s="434"/>
      <c r="EY178" s="434"/>
      <c r="EZ178" s="434"/>
      <c r="FA178" s="434"/>
      <c r="FB178" s="434"/>
      <c r="FC178" s="434"/>
    </row>
    <row r="179" spans="152:159" x14ac:dyDescent="0.2">
      <c r="EV179" s="434"/>
      <c r="EW179" s="434"/>
      <c r="EX179" s="434"/>
      <c r="EY179" s="434"/>
      <c r="EZ179" s="434"/>
      <c r="FA179" s="434"/>
      <c r="FB179" s="434"/>
      <c r="FC179" s="434"/>
    </row>
    <row r="180" spans="152:159" x14ac:dyDescent="0.2">
      <c r="EV180" s="434"/>
      <c r="EW180" s="434"/>
      <c r="EX180" s="434"/>
      <c r="EY180" s="434"/>
      <c r="EZ180" s="434"/>
      <c r="FA180" s="434"/>
      <c r="FB180" s="434"/>
      <c r="FC180" s="434"/>
    </row>
    <row r="181" spans="152:159" x14ac:dyDescent="0.2">
      <c r="EV181" s="434"/>
      <c r="EW181" s="434"/>
      <c r="EX181" s="434"/>
      <c r="EY181" s="434"/>
      <c r="EZ181" s="434"/>
      <c r="FA181" s="434"/>
      <c r="FB181" s="434"/>
      <c r="FC181" s="434"/>
    </row>
    <row r="182" spans="152:159" x14ac:dyDescent="0.2">
      <c r="EV182" s="434"/>
      <c r="EW182" s="434"/>
      <c r="EX182" s="434"/>
      <c r="EY182" s="434"/>
      <c r="EZ182" s="434"/>
      <c r="FA182" s="434"/>
      <c r="FB182" s="434"/>
      <c r="FC182" s="434"/>
    </row>
    <row r="183" spans="152:159" x14ac:dyDescent="0.2">
      <c r="EV183" s="434"/>
      <c r="EW183" s="434"/>
      <c r="EX183" s="434"/>
      <c r="EY183" s="434"/>
      <c r="EZ183" s="434"/>
      <c r="FA183" s="434"/>
      <c r="FB183" s="434"/>
      <c r="FC183" s="434"/>
    </row>
    <row r="184" spans="152:159" x14ac:dyDescent="0.2">
      <c r="EV184" s="434"/>
      <c r="EW184" s="434"/>
      <c r="EX184" s="434"/>
      <c r="EY184" s="434"/>
      <c r="EZ184" s="434"/>
      <c r="FA184" s="434"/>
      <c r="FB184" s="434"/>
      <c r="FC184" s="434"/>
    </row>
    <row r="185" spans="152:159" x14ac:dyDescent="0.2">
      <c r="EV185" s="434"/>
      <c r="EW185" s="434"/>
      <c r="EX185" s="434"/>
      <c r="EY185" s="434"/>
      <c r="EZ185" s="434"/>
      <c r="FA185" s="434"/>
      <c r="FB185" s="434"/>
      <c r="FC185" s="434"/>
    </row>
    <row r="186" spans="152:159" x14ac:dyDescent="0.2">
      <c r="EV186" s="434"/>
      <c r="EW186" s="434"/>
      <c r="EX186" s="434"/>
      <c r="EY186" s="434"/>
      <c r="EZ186" s="434"/>
      <c r="FA186" s="434"/>
      <c r="FB186" s="434"/>
      <c r="FC186" s="434"/>
    </row>
    <row r="187" spans="152:159" x14ac:dyDescent="0.2">
      <c r="EV187" s="434"/>
      <c r="EW187" s="434"/>
      <c r="EX187" s="434"/>
      <c r="EY187" s="434"/>
      <c r="EZ187" s="434"/>
      <c r="FA187" s="434"/>
      <c r="FB187" s="434"/>
      <c r="FC187" s="434"/>
    </row>
    <row r="188" spans="152:159" x14ac:dyDescent="0.2">
      <c r="EV188" s="434"/>
      <c r="EW188" s="434"/>
      <c r="EX188" s="434"/>
      <c r="EY188" s="434"/>
      <c r="EZ188" s="434"/>
      <c r="FA188" s="434"/>
      <c r="FB188" s="434"/>
      <c r="FC188" s="434"/>
    </row>
    <row r="189" spans="152:159" x14ac:dyDescent="0.2">
      <c r="EV189" s="434"/>
      <c r="EW189" s="434"/>
      <c r="EX189" s="434"/>
      <c r="EY189" s="434"/>
      <c r="EZ189" s="434"/>
      <c r="FA189" s="434"/>
      <c r="FB189" s="434"/>
      <c r="FC189" s="434"/>
    </row>
    <row r="190" spans="152:159" x14ac:dyDescent="0.2">
      <c r="EV190" s="434"/>
      <c r="EW190" s="434"/>
      <c r="EX190" s="434"/>
      <c r="EY190" s="434"/>
      <c r="EZ190" s="434"/>
      <c r="FA190" s="434"/>
      <c r="FB190" s="434"/>
      <c r="FC190" s="434"/>
    </row>
    <row r="191" spans="152:159" x14ac:dyDescent="0.2">
      <c r="EV191" s="434"/>
      <c r="EW191" s="434"/>
      <c r="EX191" s="434"/>
      <c r="EY191" s="434"/>
      <c r="EZ191" s="434"/>
      <c r="FA191" s="434"/>
      <c r="FB191" s="434"/>
      <c r="FC191" s="434"/>
    </row>
    <row r="192" spans="152:159" x14ac:dyDescent="0.2">
      <c r="EV192" s="434"/>
      <c r="EW192" s="434"/>
      <c r="EX192" s="434"/>
      <c r="EY192" s="434"/>
      <c r="EZ192" s="434"/>
      <c r="FA192" s="434"/>
      <c r="FB192" s="434"/>
      <c r="FC192" s="434"/>
    </row>
    <row r="193" spans="152:159" x14ac:dyDescent="0.2">
      <c r="EV193" s="434"/>
      <c r="EW193" s="434"/>
      <c r="EX193" s="434"/>
      <c r="EY193" s="434"/>
      <c r="EZ193" s="434"/>
      <c r="FA193" s="434"/>
      <c r="FB193" s="434"/>
      <c r="FC193" s="434"/>
    </row>
    <row r="194" spans="152:159" x14ac:dyDescent="0.2">
      <c r="EV194" s="434"/>
      <c r="EW194" s="434"/>
      <c r="EX194" s="434"/>
      <c r="EY194" s="434"/>
      <c r="EZ194" s="434"/>
      <c r="FA194" s="434"/>
      <c r="FB194" s="434"/>
      <c r="FC194" s="434"/>
    </row>
    <row r="195" spans="152:159" x14ac:dyDescent="0.2">
      <c r="EV195" s="434"/>
      <c r="EW195" s="434"/>
      <c r="EX195" s="434"/>
      <c r="EY195" s="434"/>
      <c r="EZ195" s="434"/>
      <c r="FA195" s="434"/>
      <c r="FB195" s="434"/>
      <c r="FC195" s="434"/>
    </row>
    <row r="196" spans="152:159" x14ac:dyDescent="0.2">
      <c r="EV196" s="434"/>
      <c r="EW196" s="434"/>
      <c r="EX196" s="434"/>
      <c r="EY196" s="434"/>
      <c r="EZ196" s="434"/>
      <c r="FA196" s="434"/>
      <c r="FB196" s="434"/>
      <c r="FC196" s="434"/>
    </row>
    <row r="197" spans="152:159" x14ac:dyDescent="0.2">
      <c r="EV197" s="434"/>
      <c r="EW197" s="434"/>
      <c r="EX197" s="434"/>
      <c r="EY197" s="434"/>
      <c r="EZ197" s="434"/>
      <c r="FA197" s="434"/>
      <c r="FB197" s="434"/>
      <c r="FC197" s="434"/>
    </row>
    <row r="198" spans="152:159" x14ac:dyDescent="0.2">
      <c r="EV198" s="434"/>
      <c r="EW198" s="434"/>
      <c r="EX198" s="434"/>
      <c r="EY198" s="434"/>
      <c r="EZ198" s="434"/>
      <c r="FA198" s="434"/>
      <c r="FB198" s="434"/>
      <c r="FC198" s="434"/>
    </row>
    <row r="199" spans="152:159" x14ac:dyDescent="0.2">
      <c r="EV199" s="434"/>
      <c r="EW199" s="434"/>
      <c r="EX199" s="434"/>
      <c r="EY199" s="434"/>
      <c r="EZ199" s="434"/>
      <c r="FA199" s="434"/>
      <c r="FB199" s="434"/>
      <c r="FC199" s="434"/>
    </row>
    <row r="200" spans="152:159" x14ac:dyDescent="0.2">
      <c r="EV200" s="434"/>
      <c r="EW200" s="434"/>
      <c r="EX200" s="434"/>
      <c r="EY200" s="434"/>
      <c r="EZ200" s="434"/>
      <c r="FA200" s="434"/>
      <c r="FB200" s="434"/>
      <c r="FC200" s="434"/>
    </row>
    <row r="201" spans="152:159" x14ac:dyDescent="0.2">
      <c r="EV201" s="434"/>
      <c r="EW201" s="434"/>
      <c r="EX201" s="434"/>
      <c r="EY201" s="434"/>
      <c r="EZ201" s="434"/>
      <c r="FA201" s="434"/>
      <c r="FB201" s="434"/>
      <c r="FC201" s="434"/>
    </row>
    <row r="202" spans="152:159" x14ac:dyDescent="0.2">
      <c r="EV202" s="434"/>
      <c r="EW202" s="434"/>
      <c r="EX202" s="434"/>
      <c r="EY202" s="434"/>
      <c r="EZ202" s="434"/>
      <c r="FA202" s="434"/>
      <c r="FB202" s="434"/>
      <c r="FC202" s="434"/>
    </row>
    <row r="203" spans="152:159" x14ac:dyDescent="0.2">
      <c r="EV203" s="434"/>
      <c r="EW203" s="434"/>
      <c r="EX203" s="434"/>
      <c r="EY203" s="434"/>
      <c r="EZ203" s="434"/>
      <c r="FA203" s="434"/>
      <c r="FB203" s="434"/>
      <c r="FC203" s="434"/>
    </row>
    <row r="204" spans="152:159" x14ac:dyDescent="0.2">
      <c r="EV204" s="434"/>
      <c r="EW204" s="434"/>
      <c r="EX204" s="434"/>
      <c r="EY204" s="434"/>
      <c r="EZ204" s="434"/>
      <c r="FA204" s="434"/>
      <c r="FB204" s="434"/>
      <c r="FC204" s="434"/>
    </row>
    <row r="205" spans="152:159" x14ac:dyDescent="0.2">
      <c r="EV205" s="434"/>
      <c r="EW205" s="434"/>
      <c r="EX205" s="434"/>
      <c r="EY205" s="434"/>
      <c r="EZ205" s="434"/>
      <c r="FA205" s="434"/>
      <c r="FB205" s="434"/>
      <c r="FC205" s="434"/>
    </row>
    <row r="206" spans="152:159" x14ac:dyDescent="0.2">
      <c r="EV206" s="434"/>
      <c r="EW206" s="434"/>
      <c r="EX206" s="434"/>
      <c r="EY206" s="434"/>
      <c r="EZ206" s="434"/>
      <c r="FA206" s="434"/>
      <c r="FB206" s="434"/>
      <c r="FC206" s="434"/>
    </row>
    <row r="207" spans="152:159" x14ac:dyDescent="0.2">
      <c r="EV207" s="434"/>
      <c r="EW207" s="434"/>
      <c r="EX207" s="434"/>
      <c r="EY207" s="434"/>
      <c r="EZ207" s="434"/>
      <c r="FA207" s="434"/>
      <c r="FB207" s="434"/>
      <c r="FC207" s="434"/>
    </row>
    <row r="208" spans="152:159" x14ac:dyDescent="0.2">
      <c r="EV208" s="434"/>
      <c r="EW208" s="434"/>
      <c r="EX208" s="434"/>
      <c r="EY208" s="434"/>
      <c r="EZ208" s="434"/>
      <c r="FA208" s="434"/>
      <c r="FB208" s="434"/>
      <c r="FC208" s="434"/>
    </row>
    <row r="209" spans="152:159" x14ac:dyDescent="0.2">
      <c r="EV209" s="434"/>
      <c r="EW209" s="434"/>
      <c r="EX209" s="434"/>
      <c r="EY209" s="434"/>
      <c r="EZ209" s="434"/>
      <c r="FA209" s="434"/>
      <c r="FB209" s="434"/>
      <c r="FC209" s="434"/>
    </row>
    <row r="210" spans="152:159" x14ac:dyDescent="0.2">
      <c r="EV210" s="434"/>
      <c r="EW210" s="434"/>
      <c r="EX210" s="434"/>
      <c r="EY210" s="434"/>
      <c r="EZ210" s="434"/>
      <c r="FA210" s="434"/>
      <c r="FB210" s="434"/>
      <c r="FC210" s="434"/>
    </row>
    <row r="211" spans="152:159" x14ac:dyDescent="0.2">
      <c r="EV211" s="434"/>
      <c r="EW211" s="434"/>
      <c r="EX211" s="434"/>
      <c r="EY211" s="434"/>
      <c r="EZ211" s="434"/>
      <c r="FA211" s="434"/>
      <c r="FB211" s="434"/>
      <c r="FC211" s="434"/>
    </row>
    <row r="212" spans="152:159" x14ac:dyDescent="0.2">
      <c r="EV212" s="434"/>
      <c r="EW212" s="434"/>
      <c r="EX212" s="434"/>
      <c r="EY212" s="434"/>
      <c r="EZ212" s="434"/>
      <c r="FA212" s="434"/>
      <c r="FB212" s="434"/>
      <c r="FC212" s="434"/>
    </row>
    <row r="213" spans="152:159" x14ac:dyDescent="0.2">
      <c r="EV213" s="434"/>
      <c r="EW213" s="434"/>
      <c r="EX213" s="434"/>
      <c r="EY213" s="434"/>
      <c r="EZ213" s="434"/>
      <c r="FA213" s="434"/>
      <c r="FB213" s="434"/>
      <c r="FC213" s="434"/>
    </row>
    <row r="214" spans="152:159" x14ac:dyDescent="0.2">
      <c r="EV214" s="434"/>
      <c r="EW214" s="434"/>
      <c r="EX214" s="434"/>
      <c r="EY214" s="434"/>
      <c r="EZ214" s="434"/>
      <c r="FA214" s="434"/>
      <c r="FB214" s="434"/>
      <c r="FC214" s="434"/>
    </row>
    <row r="215" spans="152:159" x14ac:dyDescent="0.2">
      <c r="EV215" s="434"/>
      <c r="EW215" s="434"/>
      <c r="EX215" s="434"/>
      <c r="EY215" s="434"/>
      <c r="EZ215" s="434"/>
      <c r="FA215" s="434"/>
      <c r="FB215" s="434"/>
      <c r="FC215" s="434"/>
    </row>
    <row r="216" spans="152:159" x14ac:dyDescent="0.2">
      <c r="EV216" s="434"/>
      <c r="EW216" s="434"/>
      <c r="EX216" s="434"/>
      <c r="EY216" s="434"/>
      <c r="EZ216" s="434"/>
      <c r="FA216" s="434"/>
      <c r="FB216" s="434"/>
      <c r="FC216" s="434"/>
    </row>
    <row r="217" spans="152:159" x14ac:dyDescent="0.2">
      <c r="EV217" s="434"/>
      <c r="EW217" s="434"/>
      <c r="EX217" s="434"/>
      <c r="EY217" s="434"/>
      <c r="EZ217" s="434"/>
      <c r="FA217" s="434"/>
      <c r="FB217" s="434"/>
      <c r="FC217" s="434"/>
    </row>
    <row r="218" spans="152:159" x14ac:dyDescent="0.2">
      <c r="EV218" s="434"/>
      <c r="EW218" s="434"/>
      <c r="EX218" s="434"/>
      <c r="EY218" s="434"/>
      <c r="EZ218" s="434"/>
      <c r="FA218" s="434"/>
      <c r="FB218" s="434"/>
      <c r="FC218" s="434"/>
    </row>
    <row r="219" spans="152:159" x14ac:dyDescent="0.2">
      <c r="EV219" s="434"/>
      <c r="EW219" s="434"/>
      <c r="EX219" s="434"/>
      <c r="EY219" s="434"/>
      <c r="EZ219" s="434"/>
      <c r="FA219" s="434"/>
      <c r="FB219" s="434"/>
      <c r="FC219" s="434"/>
    </row>
    <row r="220" spans="152:159" x14ac:dyDescent="0.2">
      <c r="EV220" s="434"/>
      <c r="EW220" s="434"/>
      <c r="EX220" s="434"/>
      <c r="EY220" s="434"/>
      <c r="EZ220" s="434"/>
      <c r="FA220" s="434"/>
      <c r="FB220" s="434"/>
      <c r="FC220" s="434"/>
    </row>
    <row r="221" spans="152:159" x14ac:dyDescent="0.2">
      <c r="EV221" s="434"/>
      <c r="EW221" s="434"/>
      <c r="EX221" s="434"/>
      <c r="EY221" s="434"/>
      <c r="EZ221" s="434"/>
      <c r="FA221" s="434"/>
      <c r="FB221" s="434"/>
      <c r="FC221" s="434"/>
    </row>
    <row r="222" spans="152:159" x14ac:dyDescent="0.2">
      <c r="EV222" s="434"/>
      <c r="EW222" s="434"/>
      <c r="EX222" s="434"/>
      <c r="EY222" s="434"/>
      <c r="EZ222" s="434"/>
      <c r="FA222" s="434"/>
      <c r="FB222" s="434"/>
      <c r="FC222" s="434"/>
    </row>
    <row r="223" spans="152:159" x14ac:dyDescent="0.2">
      <c r="EV223" s="434"/>
      <c r="EW223" s="434"/>
      <c r="EX223" s="434"/>
      <c r="EY223" s="434"/>
      <c r="EZ223" s="434"/>
      <c r="FA223" s="434"/>
      <c r="FB223" s="434"/>
      <c r="FC223" s="434"/>
    </row>
    <row r="224" spans="152:159" x14ac:dyDescent="0.2">
      <c r="EV224" s="434"/>
      <c r="EW224" s="434"/>
      <c r="EX224" s="434"/>
      <c r="EY224" s="434"/>
      <c r="EZ224" s="434"/>
      <c r="FA224" s="434"/>
      <c r="FB224" s="434"/>
      <c r="FC224" s="434"/>
    </row>
    <row r="225" spans="152:159" x14ac:dyDescent="0.2">
      <c r="EV225" s="434"/>
      <c r="EW225" s="434"/>
      <c r="EX225" s="434"/>
      <c r="EY225" s="434"/>
      <c r="EZ225" s="434"/>
      <c r="FA225" s="434"/>
      <c r="FB225" s="434"/>
      <c r="FC225" s="434"/>
    </row>
    <row r="226" spans="152:159" x14ac:dyDescent="0.2">
      <c r="EV226" s="434"/>
      <c r="EW226" s="434"/>
      <c r="EX226" s="434"/>
      <c r="EY226" s="434"/>
      <c r="EZ226" s="434"/>
      <c r="FA226" s="434"/>
      <c r="FB226" s="434"/>
      <c r="FC226" s="434"/>
    </row>
    <row r="227" spans="152:159" x14ac:dyDescent="0.2">
      <c r="EV227" s="434"/>
      <c r="EW227" s="434"/>
      <c r="EX227" s="434"/>
      <c r="EY227" s="434"/>
      <c r="EZ227" s="434"/>
      <c r="FA227" s="434"/>
      <c r="FB227" s="434"/>
      <c r="FC227" s="434"/>
    </row>
    <row r="228" spans="152:159" x14ac:dyDescent="0.2">
      <c r="EV228" s="434"/>
      <c r="EW228" s="434"/>
      <c r="EX228" s="434"/>
      <c r="EY228" s="434"/>
      <c r="EZ228" s="434"/>
      <c r="FA228" s="434"/>
      <c r="FB228" s="434"/>
      <c r="FC228" s="434"/>
    </row>
    <row r="229" spans="152:159" x14ac:dyDescent="0.2">
      <c r="EV229" s="434"/>
      <c r="EW229" s="434"/>
      <c r="EX229" s="434"/>
      <c r="EY229" s="434"/>
      <c r="EZ229" s="434"/>
      <c r="FA229" s="434"/>
      <c r="FB229" s="434"/>
      <c r="FC229" s="434"/>
    </row>
    <row r="230" spans="152:159" x14ac:dyDescent="0.2">
      <c r="EV230" s="434"/>
      <c r="EW230" s="434"/>
      <c r="EX230" s="434"/>
      <c r="EY230" s="434"/>
      <c r="EZ230" s="434"/>
      <c r="FA230" s="434"/>
      <c r="FB230" s="434"/>
      <c r="FC230" s="434"/>
    </row>
    <row r="231" spans="152:159" x14ac:dyDescent="0.2">
      <c r="EV231" s="434"/>
      <c r="EW231" s="434"/>
      <c r="EX231" s="434"/>
      <c r="EY231" s="434"/>
      <c r="EZ231" s="434"/>
      <c r="FA231" s="434"/>
      <c r="FB231" s="434"/>
      <c r="FC231" s="434"/>
    </row>
    <row r="232" spans="152:159" x14ac:dyDescent="0.2">
      <c r="EV232" s="434"/>
      <c r="EW232" s="434"/>
      <c r="EX232" s="434"/>
      <c r="EY232" s="434"/>
      <c r="EZ232" s="434"/>
      <c r="FA232" s="434"/>
      <c r="FB232" s="434"/>
      <c r="FC232" s="434"/>
    </row>
    <row r="233" spans="152:159" x14ac:dyDescent="0.2">
      <c r="EV233" s="434"/>
      <c r="EW233" s="434"/>
      <c r="EX233" s="434"/>
      <c r="EY233" s="434"/>
      <c r="EZ233" s="434"/>
      <c r="FA233" s="434"/>
      <c r="FB233" s="434"/>
      <c r="FC233" s="434"/>
    </row>
    <row r="234" spans="152:159" x14ac:dyDescent="0.2">
      <c r="EV234" s="434"/>
      <c r="EW234" s="434"/>
      <c r="EX234" s="434"/>
      <c r="EY234" s="434"/>
      <c r="EZ234" s="434"/>
      <c r="FA234" s="434"/>
      <c r="FB234" s="434"/>
      <c r="FC234" s="434"/>
    </row>
    <row r="235" spans="152:159" x14ac:dyDescent="0.2">
      <c r="EV235" s="434"/>
      <c r="EW235" s="434"/>
      <c r="EX235" s="434"/>
      <c r="EY235" s="434"/>
      <c r="EZ235" s="434"/>
      <c r="FA235" s="434"/>
      <c r="FB235" s="434"/>
      <c r="FC235" s="434"/>
    </row>
    <row r="236" spans="152:159" x14ac:dyDescent="0.2">
      <c r="EV236" s="434"/>
      <c r="EW236" s="434"/>
      <c r="EX236" s="434"/>
      <c r="EY236" s="434"/>
      <c r="EZ236" s="434"/>
      <c r="FA236" s="434"/>
      <c r="FB236" s="434"/>
      <c r="FC236" s="434"/>
    </row>
    <row r="237" spans="152:159" x14ac:dyDescent="0.2">
      <c r="EV237" s="434"/>
      <c r="EW237" s="434"/>
      <c r="EX237" s="434"/>
      <c r="EY237" s="434"/>
      <c r="EZ237" s="434"/>
      <c r="FA237" s="434"/>
      <c r="FB237" s="434"/>
      <c r="FC237" s="434"/>
    </row>
    <row r="238" spans="152:159" x14ac:dyDescent="0.2">
      <c r="EV238" s="434"/>
      <c r="EW238" s="434"/>
      <c r="EX238" s="434"/>
      <c r="EY238" s="434"/>
      <c r="EZ238" s="434"/>
      <c r="FA238" s="434"/>
      <c r="FB238" s="434"/>
      <c r="FC238" s="434"/>
    </row>
    <row r="239" spans="152:159" x14ac:dyDescent="0.2">
      <c r="EV239" s="434"/>
      <c r="EW239" s="434"/>
      <c r="EX239" s="434"/>
      <c r="EY239" s="434"/>
      <c r="EZ239" s="434"/>
      <c r="FA239" s="434"/>
      <c r="FB239" s="434"/>
      <c r="FC239" s="434"/>
    </row>
    <row r="240" spans="152:159" x14ac:dyDescent="0.2">
      <c r="EV240" s="434"/>
      <c r="EW240" s="434"/>
      <c r="EX240" s="434"/>
      <c r="EY240" s="434"/>
      <c r="EZ240" s="434"/>
      <c r="FA240" s="434"/>
      <c r="FB240" s="434"/>
      <c r="FC240" s="434"/>
    </row>
    <row r="241" spans="152:159" x14ac:dyDescent="0.2">
      <c r="EV241" s="434"/>
      <c r="EW241" s="434"/>
      <c r="EX241" s="434"/>
      <c r="EY241" s="434"/>
      <c r="EZ241" s="434"/>
      <c r="FA241" s="434"/>
      <c r="FB241" s="434"/>
      <c r="FC241" s="434"/>
    </row>
    <row r="242" spans="152:159" x14ac:dyDescent="0.2">
      <c r="EV242" s="434"/>
      <c r="EW242" s="434"/>
      <c r="EX242" s="434"/>
      <c r="EY242" s="434"/>
      <c r="EZ242" s="434"/>
      <c r="FA242" s="434"/>
      <c r="FB242" s="434"/>
      <c r="FC242" s="434"/>
    </row>
    <row r="243" spans="152:159" x14ac:dyDescent="0.2">
      <c r="EV243" s="434"/>
      <c r="EW243" s="434"/>
      <c r="EX243" s="434"/>
      <c r="EY243" s="434"/>
      <c r="EZ243" s="434"/>
      <c r="FA243" s="434"/>
      <c r="FB243" s="434"/>
      <c r="FC243" s="434"/>
    </row>
    <row r="244" spans="152:159" x14ac:dyDescent="0.2">
      <c r="EV244" s="434"/>
      <c r="EW244" s="434"/>
      <c r="EX244" s="434"/>
      <c r="EY244" s="434"/>
      <c r="EZ244" s="434"/>
      <c r="FA244" s="434"/>
      <c r="FB244" s="434"/>
      <c r="FC244" s="434"/>
    </row>
    <row r="245" spans="152:159" x14ac:dyDescent="0.2">
      <c r="EV245" s="434"/>
      <c r="EW245" s="434"/>
      <c r="EX245" s="434"/>
      <c r="EY245" s="434"/>
      <c r="EZ245" s="434"/>
      <c r="FA245" s="434"/>
      <c r="FB245" s="434"/>
      <c r="FC245" s="434"/>
    </row>
    <row r="246" spans="152:159" x14ac:dyDescent="0.2">
      <c r="EV246" s="434"/>
      <c r="EW246" s="434"/>
      <c r="EX246" s="434"/>
      <c r="EY246" s="434"/>
      <c r="EZ246" s="434"/>
      <c r="FA246" s="434"/>
      <c r="FB246" s="434"/>
      <c r="FC246" s="434"/>
    </row>
    <row r="247" spans="152:159" x14ac:dyDescent="0.2">
      <c r="EV247" s="434"/>
      <c r="EW247" s="434"/>
      <c r="EX247" s="434"/>
      <c r="EY247" s="434"/>
      <c r="EZ247" s="434"/>
      <c r="FA247" s="434"/>
      <c r="FB247" s="434"/>
      <c r="FC247" s="434"/>
    </row>
    <row r="248" spans="152:159" x14ac:dyDescent="0.2">
      <c r="EV248" s="434"/>
      <c r="EW248" s="434"/>
      <c r="EX248" s="434"/>
      <c r="EY248" s="434"/>
      <c r="EZ248" s="434"/>
      <c r="FA248" s="434"/>
      <c r="FB248" s="434"/>
      <c r="FC248" s="434"/>
    </row>
    <row r="249" spans="152:159" x14ac:dyDescent="0.2">
      <c r="EV249" s="434"/>
      <c r="EW249" s="434"/>
      <c r="EX249" s="434"/>
      <c r="EY249" s="434"/>
      <c r="EZ249" s="434"/>
      <c r="FA249" s="434"/>
      <c r="FB249" s="434"/>
      <c r="FC249" s="434"/>
    </row>
    <row r="250" spans="152:159" x14ac:dyDescent="0.2">
      <c r="EV250" s="434"/>
      <c r="EW250" s="434"/>
      <c r="EX250" s="434"/>
      <c r="EY250" s="434"/>
      <c r="EZ250" s="434"/>
      <c r="FA250" s="434"/>
      <c r="FB250" s="434"/>
      <c r="FC250" s="434"/>
    </row>
    <row r="251" spans="152:159" x14ac:dyDescent="0.2">
      <c r="EV251" s="434"/>
      <c r="EW251" s="434"/>
      <c r="EX251" s="434"/>
      <c r="EY251" s="434"/>
      <c r="EZ251" s="434"/>
      <c r="FA251" s="434"/>
      <c r="FB251" s="434"/>
      <c r="FC251" s="434"/>
    </row>
    <row r="252" spans="152:159" x14ac:dyDescent="0.2">
      <c r="EV252" s="434"/>
      <c r="EW252" s="434"/>
      <c r="EX252" s="434"/>
      <c r="EY252" s="434"/>
      <c r="EZ252" s="434"/>
      <c r="FA252" s="434"/>
      <c r="FB252" s="434"/>
      <c r="FC252" s="434"/>
    </row>
    <row r="253" spans="152:159" x14ac:dyDescent="0.2">
      <c r="EV253" s="434"/>
      <c r="EW253" s="434"/>
      <c r="EX253" s="434"/>
      <c r="EY253" s="434"/>
      <c r="EZ253" s="434"/>
      <c r="FA253" s="434"/>
      <c r="FB253" s="434"/>
      <c r="FC253" s="434"/>
    </row>
    <row r="254" spans="152:159" x14ac:dyDescent="0.2">
      <c r="EV254" s="434"/>
      <c r="EW254" s="434"/>
      <c r="EX254" s="434"/>
      <c r="EY254" s="434"/>
      <c r="EZ254" s="434"/>
      <c r="FA254" s="434"/>
      <c r="FB254" s="434"/>
      <c r="FC254" s="434"/>
    </row>
    <row r="255" spans="152:159" x14ac:dyDescent="0.2">
      <c r="EV255" s="434"/>
      <c r="EW255" s="434"/>
      <c r="EX255" s="434"/>
      <c r="EY255" s="434"/>
      <c r="EZ255" s="434"/>
      <c r="FA255" s="434"/>
      <c r="FB255" s="434"/>
      <c r="FC255" s="434"/>
    </row>
    <row r="256" spans="152:159" x14ac:dyDescent="0.2">
      <c r="EV256" s="434"/>
      <c r="EW256" s="434"/>
      <c r="EX256" s="434"/>
      <c r="EY256" s="434"/>
      <c r="EZ256" s="434"/>
      <c r="FA256" s="434"/>
      <c r="FB256" s="434"/>
      <c r="FC256" s="434"/>
    </row>
    <row r="257" spans="152:159" x14ac:dyDescent="0.2">
      <c r="EV257" s="434"/>
      <c r="EW257" s="434"/>
      <c r="EX257" s="434"/>
      <c r="EY257" s="434"/>
      <c r="EZ257" s="434"/>
      <c r="FA257" s="434"/>
      <c r="FB257" s="434"/>
      <c r="FC257" s="434"/>
    </row>
    <row r="258" spans="152:159" x14ac:dyDescent="0.2">
      <c r="EV258" s="434"/>
      <c r="EW258" s="434"/>
      <c r="EX258" s="434"/>
      <c r="EY258" s="434"/>
      <c r="EZ258" s="434"/>
      <c r="FA258" s="434"/>
      <c r="FB258" s="434"/>
      <c r="FC258" s="434"/>
    </row>
    <row r="259" spans="152:159" x14ac:dyDescent="0.2">
      <c r="EV259" s="434"/>
      <c r="EW259" s="434"/>
      <c r="EX259" s="434"/>
      <c r="EY259" s="434"/>
      <c r="EZ259" s="434"/>
      <c r="FA259" s="434"/>
      <c r="FB259" s="434"/>
      <c r="FC259" s="434"/>
    </row>
    <row r="260" spans="152:159" x14ac:dyDescent="0.2">
      <c r="EV260" s="434"/>
      <c r="EW260" s="434"/>
      <c r="EX260" s="434"/>
      <c r="EY260" s="434"/>
      <c r="EZ260" s="434"/>
      <c r="FA260" s="434"/>
      <c r="FB260" s="434"/>
      <c r="FC260" s="434"/>
    </row>
    <row r="261" spans="152:159" x14ac:dyDescent="0.2">
      <c r="EV261" s="434"/>
      <c r="EW261" s="434"/>
      <c r="EX261" s="434"/>
      <c r="EY261" s="434"/>
      <c r="EZ261" s="434"/>
      <c r="FA261" s="434"/>
      <c r="FB261" s="434"/>
      <c r="FC261" s="434"/>
    </row>
    <row r="262" spans="152:159" x14ac:dyDescent="0.2">
      <c r="EV262" s="434"/>
      <c r="EW262" s="434"/>
      <c r="EX262" s="434"/>
      <c r="EY262" s="434"/>
      <c r="EZ262" s="434"/>
      <c r="FA262" s="434"/>
      <c r="FB262" s="434"/>
      <c r="FC262" s="434"/>
    </row>
    <row r="263" spans="152:159" x14ac:dyDescent="0.2">
      <c r="EV263" s="434"/>
      <c r="EW263" s="434"/>
      <c r="EX263" s="434"/>
      <c r="EY263" s="434"/>
      <c r="EZ263" s="434"/>
      <c r="FA263" s="434"/>
      <c r="FB263" s="434"/>
      <c r="FC263" s="434"/>
    </row>
    <row r="264" spans="152:159" x14ac:dyDescent="0.2">
      <c r="EV264" s="434"/>
      <c r="EW264" s="434"/>
      <c r="EX264" s="434"/>
      <c r="EY264" s="434"/>
      <c r="EZ264" s="434"/>
      <c r="FA264" s="434"/>
      <c r="FB264" s="434"/>
      <c r="FC264" s="434"/>
    </row>
    <row r="265" spans="152:159" x14ac:dyDescent="0.2">
      <c r="EV265" s="434"/>
      <c r="EW265" s="434"/>
      <c r="EX265" s="434"/>
      <c r="EY265" s="434"/>
      <c r="EZ265" s="434"/>
      <c r="FA265" s="434"/>
      <c r="FB265" s="434"/>
      <c r="FC265" s="434"/>
    </row>
    <row r="266" spans="152:159" x14ac:dyDescent="0.2">
      <c r="EV266" s="434"/>
      <c r="EW266" s="434"/>
      <c r="EX266" s="434"/>
      <c r="EY266" s="434"/>
      <c r="EZ266" s="434"/>
      <c r="FA266" s="434"/>
      <c r="FB266" s="434"/>
      <c r="FC266" s="434"/>
    </row>
    <row r="267" spans="152:159" x14ac:dyDescent="0.2">
      <c r="EV267" s="434"/>
      <c r="EW267" s="434"/>
      <c r="EX267" s="434"/>
      <c r="EY267" s="434"/>
      <c r="EZ267" s="434"/>
      <c r="FA267" s="434"/>
      <c r="FB267" s="434"/>
      <c r="FC267" s="434"/>
    </row>
    <row r="268" spans="152:159" x14ac:dyDescent="0.2">
      <c r="EV268" s="434"/>
      <c r="EW268" s="434"/>
      <c r="EX268" s="434"/>
      <c r="EY268" s="434"/>
      <c r="EZ268" s="434"/>
      <c r="FA268" s="434"/>
      <c r="FB268" s="434"/>
      <c r="FC268" s="434"/>
    </row>
    <row r="269" spans="152:159" x14ac:dyDescent="0.2">
      <c r="EV269" s="434"/>
      <c r="EW269" s="434"/>
      <c r="EX269" s="434"/>
      <c r="EY269" s="434"/>
      <c r="EZ269" s="434"/>
      <c r="FA269" s="434"/>
      <c r="FB269" s="434"/>
      <c r="FC269" s="434"/>
    </row>
    <row r="270" spans="152:159" x14ac:dyDescent="0.2">
      <c r="EV270" s="434"/>
      <c r="EW270" s="434"/>
      <c r="EX270" s="434"/>
      <c r="EY270" s="434"/>
      <c r="EZ270" s="434"/>
      <c r="FA270" s="434"/>
      <c r="FB270" s="434"/>
      <c r="FC270" s="434"/>
    </row>
    <row r="271" spans="152:159" x14ac:dyDescent="0.2">
      <c r="EV271" s="434"/>
      <c r="EW271" s="434"/>
      <c r="EX271" s="434"/>
      <c r="EY271" s="434"/>
      <c r="EZ271" s="434"/>
      <c r="FA271" s="434"/>
      <c r="FB271" s="434"/>
      <c r="FC271" s="434"/>
    </row>
    <row r="272" spans="152:159" x14ac:dyDescent="0.2">
      <c r="EV272" s="434"/>
      <c r="EW272" s="434"/>
      <c r="EX272" s="434"/>
      <c r="EY272" s="434"/>
      <c r="EZ272" s="434"/>
      <c r="FA272" s="434"/>
      <c r="FB272" s="434"/>
      <c r="FC272" s="434"/>
    </row>
    <row r="273" spans="152:159" x14ac:dyDescent="0.2">
      <c r="EV273" s="434"/>
      <c r="EW273" s="434"/>
      <c r="EX273" s="434"/>
      <c r="EY273" s="434"/>
      <c r="EZ273" s="434"/>
      <c r="FA273" s="434"/>
      <c r="FB273" s="434"/>
      <c r="FC273" s="434"/>
    </row>
    <row r="274" spans="152:159" x14ac:dyDescent="0.2">
      <c r="EV274" s="434"/>
      <c r="EW274" s="434"/>
      <c r="EX274" s="434"/>
      <c r="EY274" s="434"/>
      <c r="EZ274" s="434"/>
      <c r="FA274" s="434"/>
      <c r="FB274" s="434"/>
      <c r="FC274" s="434"/>
    </row>
    <row r="275" spans="152:159" x14ac:dyDescent="0.2">
      <c r="EV275" s="434"/>
      <c r="EW275" s="434"/>
      <c r="EX275" s="434"/>
      <c r="EY275" s="434"/>
      <c r="EZ275" s="434"/>
      <c r="FA275" s="434"/>
      <c r="FB275" s="434"/>
      <c r="FC275" s="434"/>
    </row>
    <row r="276" spans="152:159" x14ac:dyDescent="0.2">
      <c r="EV276" s="434"/>
      <c r="EW276" s="434"/>
      <c r="EX276" s="434"/>
      <c r="EY276" s="434"/>
      <c r="EZ276" s="434"/>
      <c r="FA276" s="434"/>
      <c r="FB276" s="434"/>
      <c r="FC276" s="434"/>
    </row>
    <row r="277" spans="152:159" x14ac:dyDescent="0.2">
      <c r="EV277" s="434"/>
      <c r="EW277" s="434"/>
      <c r="EX277" s="434"/>
      <c r="EY277" s="434"/>
      <c r="EZ277" s="434"/>
      <c r="FA277" s="434"/>
      <c r="FB277" s="434"/>
      <c r="FC277" s="434"/>
    </row>
    <row r="278" spans="152:159" x14ac:dyDescent="0.2">
      <c r="EV278" s="434"/>
      <c r="EW278" s="434"/>
      <c r="EX278" s="434"/>
      <c r="EY278" s="434"/>
      <c r="EZ278" s="434"/>
      <c r="FA278" s="434"/>
      <c r="FB278" s="434"/>
      <c r="FC278" s="434"/>
    </row>
    <row r="279" spans="152:159" x14ac:dyDescent="0.2">
      <c r="EV279" s="434"/>
      <c r="EW279" s="434"/>
      <c r="EX279" s="434"/>
      <c r="EY279" s="434"/>
      <c r="EZ279" s="434"/>
      <c r="FA279" s="434"/>
      <c r="FB279" s="434"/>
      <c r="FC279" s="434"/>
    </row>
    <row r="280" spans="152:159" x14ac:dyDescent="0.2">
      <c r="EV280" s="434"/>
      <c r="EW280" s="434"/>
      <c r="EX280" s="434"/>
      <c r="EY280" s="434"/>
      <c r="EZ280" s="434"/>
      <c r="FA280" s="434"/>
      <c r="FB280" s="434"/>
      <c r="FC280" s="434"/>
    </row>
    <row r="281" spans="152:159" x14ac:dyDescent="0.2">
      <c r="EV281" s="434"/>
      <c r="EW281" s="434"/>
      <c r="EX281" s="434"/>
      <c r="EY281" s="434"/>
      <c r="EZ281" s="434"/>
      <c r="FA281" s="434"/>
      <c r="FB281" s="434"/>
      <c r="FC281" s="434"/>
    </row>
    <row r="282" spans="152:159" x14ac:dyDescent="0.2">
      <c r="EV282" s="434"/>
      <c r="EW282" s="434"/>
      <c r="EX282" s="434"/>
      <c r="EY282" s="434"/>
      <c r="EZ282" s="434"/>
      <c r="FA282" s="434"/>
      <c r="FB282" s="434"/>
      <c r="FC282" s="434"/>
    </row>
    <row r="283" spans="152:159" x14ac:dyDescent="0.2">
      <c r="EV283" s="434"/>
      <c r="EW283" s="434"/>
      <c r="EX283" s="434"/>
      <c r="EY283" s="434"/>
      <c r="EZ283" s="434"/>
      <c r="FA283" s="434"/>
      <c r="FB283" s="434"/>
      <c r="FC283" s="434"/>
    </row>
    <row r="284" spans="152:159" x14ac:dyDescent="0.2">
      <c r="EV284" s="434"/>
      <c r="EW284" s="434"/>
      <c r="EX284" s="434"/>
      <c r="EY284" s="434"/>
      <c r="EZ284" s="434"/>
      <c r="FA284" s="434"/>
      <c r="FB284" s="434"/>
      <c r="FC284" s="434"/>
    </row>
    <row r="285" spans="152:159" x14ac:dyDescent="0.2">
      <c r="EV285" s="434"/>
      <c r="EW285" s="434"/>
      <c r="EX285" s="434"/>
      <c r="EY285" s="434"/>
      <c r="EZ285" s="434"/>
      <c r="FA285" s="434"/>
      <c r="FB285" s="434"/>
      <c r="FC285" s="434"/>
    </row>
  </sheetData>
  <mergeCells count="69">
    <mergeCell ref="EJ11:EJ12"/>
    <mergeCell ref="EK11:EK12"/>
    <mergeCell ref="ET11:ET12"/>
    <mergeCell ref="DO10:EA10"/>
    <mergeCell ref="EC10:EE10"/>
    <mergeCell ref="DP11:DP12"/>
    <mergeCell ref="DQ11:DQ12"/>
    <mergeCell ref="DR11:DR12"/>
    <mergeCell ref="DS11:DS12"/>
    <mergeCell ref="DT11:DT12"/>
    <mergeCell ref="DU11:DU12"/>
    <mergeCell ref="DV11:DV12"/>
    <mergeCell ref="DW11:DW12"/>
    <mergeCell ref="DX11:DX12"/>
    <mergeCell ref="DZ11:DZ12"/>
    <mergeCell ref="EB11:EB12"/>
    <mergeCell ref="EC11:EC12"/>
    <mergeCell ref="ED11:ED12"/>
    <mergeCell ref="EE11:EE12"/>
    <mergeCell ref="CZ11:CZ12"/>
    <mergeCell ref="DA11:DA12"/>
    <mergeCell ref="DI11:DI12"/>
    <mergeCell ref="CE10:CQ10"/>
    <mergeCell ref="CS10:CU10"/>
    <mergeCell ref="CF11:CF12"/>
    <mergeCell ref="CG11:CG12"/>
    <mergeCell ref="CH11:CH12"/>
    <mergeCell ref="CI11:CI12"/>
    <mergeCell ref="CJ11:CJ12"/>
    <mergeCell ref="CK11:CK12"/>
    <mergeCell ref="CL11:CL12"/>
    <mergeCell ref="CM11:CM12"/>
    <mergeCell ref="CN11:CN12"/>
    <mergeCell ref="CP11:CP12"/>
    <mergeCell ref="CR11:CR12"/>
    <mergeCell ref="CS11:CS12"/>
    <mergeCell ref="CT11:CT12"/>
    <mergeCell ref="CU11:CU12"/>
    <mergeCell ref="A32:X33"/>
    <mergeCell ref="R11:R12"/>
    <mergeCell ref="S11:S12"/>
    <mergeCell ref="T11:T12"/>
    <mergeCell ref="U11:U12"/>
    <mergeCell ref="V11:V12"/>
    <mergeCell ref="W11:W12"/>
    <mergeCell ref="J11:J12"/>
    <mergeCell ref="K11:K12"/>
    <mergeCell ref="L11:L12"/>
    <mergeCell ref="M11:M12"/>
    <mergeCell ref="O11:O12"/>
    <mergeCell ref="Q11:Q12"/>
    <mergeCell ref="A11:A12"/>
    <mergeCell ref="B11:B12"/>
    <mergeCell ref="E11:E12"/>
    <mergeCell ref="BT11:BT12"/>
    <mergeCell ref="BU11:BU12"/>
    <mergeCell ref="AR11:AR12"/>
    <mergeCell ref="AB11:AB12"/>
    <mergeCell ref="BA11:BA12"/>
    <mergeCell ref="BB11:BB12"/>
    <mergeCell ref="D10:P10"/>
    <mergeCell ref="R10:T10"/>
    <mergeCell ref="H11:H12"/>
    <mergeCell ref="I11:I12"/>
    <mergeCell ref="AA11:AA12"/>
    <mergeCell ref="U10:AZ10"/>
    <mergeCell ref="F11:F12"/>
    <mergeCell ref="G11:G12"/>
    <mergeCell ref="AQ11:AQ12"/>
  </mergeCells>
  <printOptions horizontalCentered="1"/>
  <pageMargins left="0.39370078740157483" right="0.19685039370078741" top="0.39370078740157483" bottom="0.39370078740157483" header="0" footer="0"/>
  <pageSetup scale="45" orientation="landscape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EW38"/>
  <sheetViews>
    <sheetView topLeftCell="C10" zoomScaleNormal="100" workbookViewId="0">
      <selection activeCell="ER34" sqref="ER34"/>
    </sheetView>
  </sheetViews>
  <sheetFormatPr baseColWidth="10" defaultRowHeight="12.75" x14ac:dyDescent="0.2"/>
  <cols>
    <col min="1" max="1" width="16.42578125" customWidth="1"/>
    <col min="2" max="2" width="19.28515625" customWidth="1"/>
    <col min="3" max="3" width="13.140625" customWidth="1"/>
    <col min="4" max="4" width="6.7109375" style="18" hidden="1" customWidth="1"/>
    <col min="5" max="5" width="7.42578125" style="18" hidden="1" customWidth="1"/>
    <col min="6" max="6" width="9.7109375" hidden="1" customWidth="1"/>
    <col min="7" max="7" width="7.5703125" hidden="1" customWidth="1"/>
    <col min="8" max="14" width="8.5703125" hidden="1" customWidth="1"/>
    <col min="15" max="15" width="8.42578125" hidden="1" customWidth="1"/>
    <col min="16" max="16" width="8.5703125" hidden="1" customWidth="1"/>
    <col min="17" max="17" width="11" hidden="1" customWidth="1"/>
    <col min="18" max="18" width="8.5703125" style="19" hidden="1" customWidth="1"/>
    <col min="19" max="19" width="9.5703125" style="19" hidden="1" customWidth="1"/>
    <col min="20" max="21" width="8.42578125" style="12" hidden="1" customWidth="1"/>
    <col min="22" max="22" width="8" style="104" hidden="1" customWidth="1"/>
    <col min="23" max="23" width="7.140625" hidden="1" customWidth="1"/>
    <col min="24" max="24" width="8.7109375" hidden="1" customWidth="1"/>
    <col min="25" max="25" width="8.7109375" style="77" hidden="1" customWidth="1"/>
    <col min="26" max="26" width="7.42578125" hidden="1" customWidth="1"/>
    <col min="27" max="27" width="7.85546875" hidden="1" customWidth="1"/>
    <col min="28" max="28" width="7.5703125" hidden="1" customWidth="1"/>
    <col min="29" max="33" width="7.7109375" hidden="1" customWidth="1"/>
    <col min="34" max="34" width="11.28515625" hidden="1" customWidth="1"/>
    <col min="35" max="36" width="7.7109375" hidden="1" customWidth="1"/>
    <col min="37" max="37" width="8.5703125" hidden="1" customWidth="1"/>
    <col min="38" max="40" width="7.7109375" hidden="1" customWidth="1"/>
    <col min="41" max="41" width="8.140625" hidden="1" customWidth="1"/>
    <col min="42" max="42" width="8.7109375" style="69" hidden="1" customWidth="1"/>
    <col min="43" max="43" width="7.85546875" style="16" hidden="1" customWidth="1"/>
    <col min="44" max="44" width="8.42578125" style="16" hidden="1" customWidth="1"/>
    <col min="45" max="45" width="9.28515625" hidden="1" customWidth="1"/>
    <col min="46" max="46" width="8.85546875" hidden="1" customWidth="1"/>
    <col min="47" max="47" width="11.42578125" hidden="1" customWidth="1"/>
    <col min="48" max="48" width="10.140625" hidden="1" customWidth="1"/>
    <col min="49" max="49" width="10" hidden="1" customWidth="1"/>
    <col min="50" max="50" width="9.5703125" hidden="1" customWidth="1"/>
    <col min="51" max="51" width="8.7109375" style="77" hidden="1" customWidth="1"/>
    <col min="52" max="52" width="7.42578125" hidden="1" customWidth="1"/>
    <col min="53" max="54" width="8.85546875" hidden="1" customWidth="1"/>
    <col min="55" max="55" width="9.42578125" hidden="1" customWidth="1"/>
    <col min="56" max="56" width="9" hidden="1" customWidth="1"/>
    <col min="57" max="57" width="9.42578125" hidden="1" customWidth="1"/>
    <col min="58" max="58" width="9.5703125" hidden="1" customWidth="1"/>
    <col min="59" max="61" width="11.42578125" hidden="1" customWidth="1"/>
    <col min="62" max="62" width="10.5703125" hidden="1" customWidth="1"/>
    <col min="63" max="63" width="12.28515625" hidden="1" customWidth="1"/>
    <col min="64" max="64" width="9.28515625" hidden="1" customWidth="1"/>
    <col min="65" max="65" width="8.85546875" hidden="1" customWidth="1"/>
    <col min="66" max="67" width="11.42578125" hidden="1" customWidth="1"/>
    <col min="68" max="69" width="8.7109375" hidden="1" customWidth="1"/>
    <col min="70" max="70" width="8.7109375" style="77" hidden="1" customWidth="1"/>
    <col min="71" max="71" width="7.42578125" hidden="1" customWidth="1"/>
    <col min="72" max="72" width="8.28515625" hidden="1" customWidth="1"/>
    <col min="73" max="73" width="7.7109375" hidden="1" customWidth="1"/>
    <col min="74" max="74" width="8.42578125" hidden="1" customWidth="1"/>
    <col min="75" max="75" width="9" hidden="1" customWidth="1"/>
    <col min="76" max="76" width="9.42578125" hidden="1" customWidth="1"/>
    <col min="77" max="77" width="9.5703125" hidden="1" customWidth="1"/>
    <col min="78" max="80" width="11.42578125" hidden="1" customWidth="1"/>
    <col min="81" max="81" width="9" hidden="1" customWidth="1"/>
    <col min="82" max="82" width="11.42578125" hidden="1" customWidth="1"/>
    <col min="83" max="83" width="6.7109375" style="18" customWidth="1"/>
    <col min="84" max="84" width="7.42578125" style="18" customWidth="1"/>
    <col min="85" max="85" width="9.7109375" customWidth="1"/>
    <col min="86" max="86" width="7.5703125" customWidth="1"/>
    <col min="87" max="90" width="8.5703125" hidden="1" customWidth="1"/>
    <col min="91" max="91" width="8.5703125" customWidth="1"/>
    <col min="92" max="93" width="8.5703125" hidden="1" customWidth="1"/>
    <col min="94" max="94" width="8.42578125" hidden="1" customWidth="1"/>
    <col min="95" max="95" width="8.5703125" hidden="1" customWidth="1"/>
    <col min="96" max="96" width="11" customWidth="1"/>
    <col min="97" max="97" width="8.5703125" style="19" customWidth="1"/>
    <col min="98" max="98" width="9.5703125" style="19" customWidth="1"/>
    <col min="99" max="99" width="8.42578125" style="12" customWidth="1"/>
    <col min="100" max="100" width="11.42578125" customWidth="1"/>
    <col min="101" max="101" width="11" hidden="1" customWidth="1"/>
    <col min="102" max="102" width="10.28515625" style="77" hidden="1" customWidth="1"/>
    <col min="103" max="103" width="8.85546875" hidden="1" customWidth="1"/>
    <col min="104" max="104" width="10" hidden="1" customWidth="1"/>
    <col min="105" max="105" width="10.42578125" hidden="1" customWidth="1"/>
    <col min="106" max="106" width="9.42578125" hidden="1" customWidth="1"/>
    <col min="107" max="107" width="9" hidden="1" customWidth="1"/>
    <col min="108" max="108" width="9.42578125" hidden="1" customWidth="1"/>
    <col min="109" max="109" width="9.5703125" hidden="1" customWidth="1"/>
    <col min="110" max="112" width="11.42578125" hidden="1" customWidth="1"/>
    <col min="113" max="113" width="10.5703125" hidden="1" customWidth="1"/>
    <col min="114" max="114" width="12.28515625" hidden="1" customWidth="1"/>
    <col min="115" max="115" width="9.28515625" hidden="1" customWidth="1"/>
    <col min="116" max="116" width="8.85546875" hidden="1" customWidth="1"/>
    <col min="117" max="124" width="11.42578125" hidden="1" customWidth="1"/>
    <col min="126" max="130" width="11.42578125" customWidth="1"/>
    <col min="131" max="147" width="11.42578125" hidden="1" customWidth="1"/>
    <col min="148" max="149" width="11.42578125" customWidth="1"/>
    <col min="150" max="150" width="13.42578125" customWidth="1"/>
  </cols>
  <sheetData>
    <row r="1" spans="1:150" x14ac:dyDescent="0.2">
      <c r="A1" s="92"/>
      <c r="B1" s="97" t="s">
        <v>27</v>
      </c>
      <c r="C1" s="92"/>
      <c r="D1" s="93"/>
      <c r="E1" s="93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1"/>
      <c r="S1" s="91"/>
      <c r="T1" s="92"/>
      <c r="U1" s="92"/>
      <c r="V1" s="101"/>
      <c r="W1" s="94"/>
      <c r="X1" s="94"/>
      <c r="Y1" s="95"/>
      <c r="Z1" s="94"/>
      <c r="AA1" s="94"/>
      <c r="AB1" s="94"/>
      <c r="AC1" s="94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4" t="s">
        <v>310</v>
      </c>
      <c r="AO1" s="92"/>
      <c r="AP1" s="96"/>
      <c r="AX1" s="94"/>
      <c r="AY1" s="95"/>
      <c r="AZ1" s="94"/>
      <c r="BA1" s="94"/>
      <c r="BB1" s="94"/>
      <c r="BQ1" s="94"/>
      <c r="BR1" s="95"/>
      <c r="BS1" s="94"/>
      <c r="BT1" s="94"/>
      <c r="BU1" s="94"/>
      <c r="CE1" s="93"/>
      <c r="CF1" s="93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1"/>
      <c r="CT1" s="91"/>
      <c r="CU1" s="92"/>
      <c r="CV1" s="729"/>
      <c r="CW1" s="94"/>
      <c r="CX1" s="95"/>
      <c r="CY1" s="94"/>
      <c r="CZ1" s="94"/>
      <c r="DA1" s="94"/>
    </row>
    <row r="2" spans="1:150" x14ac:dyDescent="0.2">
      <c r="A2" s="92"/>
      <c r="B2" s="97" t="s">
        <v>1273</v>
      </c>
      <c r="C2" s="92"/>
      <c r="D2" s="93"/>
      <c r="E2" s="93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1"/>
      <c r="S2" s="91"/>
      <c r="T2" s="92"/>
      <c r="U2" s="92"/>
      <c r="V2" s="101"/>
      <c r="W2" s="94"/>
      <c r="X2" s="94"/>
      <c r="Y2" s="95"/>
      <c r="Z2" s="94"/>
      <c r="AA2" s="94"/>
      <c r="AB2" s="94"/>
      <c r="AC2" s="94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6"/>
      <c r="AX2" s="94"/>
      <c r="AY2" s="95"/>
      <c r="AZ2" s="94"/>
      <c r="BA2" s="94"/>
      <c r="BB2" s="94"/>
      <c r="BQ2" s="94"/>
      <c r="BR2" s="95"/>
      <c r="BS2" s="94"/>
      <c r="BT2" s="94"/>
      <c r="BU2" s="94"/>
      <c r="CE2" s="93"/>
      <c r="CF2" s="93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1"/>
      <c r="CT2" s="91"/>
      <c r="CU2" s="92"/>
      <c r="CV2" s="729"/>
      <c r="CW2" s="94"/>
      <c r="CX2" s="95"/>
      <c r="CY2" s="94"/>
      <c r="CZ2" s="94"/>
      <c r="DA2" s="94"/>
    </row>
    <row r="3" spans="1:150" x14ac:dyDescent="0.2">
      <c r="A3" s="92"/>
      <c r="B3" s="92"/>
      <c r="C3" s="97"/>
      <c r="D3" s="98"/>
      <c r="E3" s="93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7"/>
      <c r="S3" s="97"/>
      <c r="T3" s="99"/>
      <c r="U3" s="99"/>
      <c r="V3" s="102"/>
      <c r="W3" s="94"/>
      <c r="X3" s="94"/>
      <c r="Y3" s="95"/>
      <c r="Z3" s="94"/>
      <c r="AA3" s="94"/>
      <c r="AB3" s="94"/>
      <c r="AC3" s="94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6"/>
      <c r="AX3" s="94"/>
      <c r="AY3" s="95"/>
      <c r="AZ3" s="94"/>
      <c r="BA3" s="94"/>
      <c r="BB3" s="94"/>
      <c r="BQ3" s="94"/>
      <c r="BR3" s="95"/>
      <c r="BS3" s="94"/>
      <c r="BT3" s="94"/>
      <c r="BU3" s="94"/>
      <c r="CE3" s="98"/>
      <c r="CF3" s="93"/>
      <c r="CG3" s="99"/>
      <c r="CH3" s="99"/>
      <c r="CI3" s="99"/>
      <c r="CJ3" s="99"/>
      <c r="CK3" s="99"/>
      <c r="CL3" s="99"/>
      <c r="CM3" s="99"/>
      <c r="CN3" s="99"/>
      <c r="CO3" s="99"/>
      <c r="CP3" s="99"/>
      <c r="CQ3" s="99"/>
      <c r="CR3" s="99"/>
      <c r="CS3" s="97"/>
      <c r="CT3" s="97"/>
      <c r="CU3" s="99"/>
      <c r="CV3" s="729"/>
      <c r="CW3" s="94"/>
      <c r="CX3" s="95"/>
      <c r="CY3" s="94"/>
      <c r="CZ3" s="94"/>
      <c r="DA3" s="94"/>
    </row>
    <row r="4" spans="1:150" x14ac:dyDescent="0.2">
      <c r="A4" s="92"/>
      <c r="B4" s="92" t="s">
        <v>309</v>
      </c>
      <c r="C4" s="97"/>
      <c r="D4" s="98"/>
      <c r="E4" s="93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7"/>
      <c r="S4" s="97"/>
      <c r="T4" s="99"/>
      <c r="U4" s="99"/>
      <c r="V4" s="102"/>
      <c r="W4" s="94"/>
      <c r="X4" s="94"/>
      <c r="Y4" s="95"/>
      <c r="Z4" s="94"/>
      <c r="AA4" s="94"/>
      <c r="AB4" s="94"/>
      <c r="AC4" s="94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6"/>
      <c r="AX4" s="94"/>
      <c r="AY4" s="95"/>
      <c r="AZ4" s="94"/>
      <c r="BA4" s="94"/>
      <c r="BB4" s="94"/>
      <c r="BQ4" s="94"/>
      <c r="BR4" s="95"/>
      <c r="BS4" s="94"/>
      <c r="BT4" s="94"/>
      <c r="BU4" s="94"/>
      <c r="CE4" s="98"/>
      <c r="CF4" s="93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  <c r="CR4" s="99"/>
      <c r="CS4" s="97"/>
      <c r="CT4" s="97"/>
      <c r="CU4" s="99"/>
      <c r="CV4" s="729"/>
      <c r="CW4" s="94"/>
      <c r="CX4" s="95"/>
      <c r="CY4" s="94"/>
      <c r="CZ4" s="94"/>
      <c r="DA4" s="94"/>
    </row>
    <row r="5" spans="1:150" x14ac:dyDescent="0.2">
      <c r="A5" s="92"/>
      <c r="B5" s="99" t="s">
        <v>327</v>
      </c>
      <c r="C5" s="92"/>
      <c r="D5" s="93"/>
      <c r="E5" s="93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1"/>
      <c r="S5" s="91"/>
      <c r="T5" s="92"/>
      <c r="U5" s="92"/>
      <c r="V5" s="101"/>
      <c r="W5" s="94"/>
      <c r="X5" s="94"/>
      <c r="Y5" s="95"/>
      <c r="Z5" s="94"/>
      <c r="AA5" s="94"/>
      <c r="AB5" s="94"/>
      <c r="AC5" s="94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6"/>
      <c r="AX5" s="94"/>
      <c r="AY5" s="95"/>
      <c r="AZ5" s="94"/>
      <c r="BA5" s="94"/>
      <c r="BB5" s="94"/>
      <c r="BQ5" s="94"/>
      <c r="BR5" s="95"/>
      <c r="BS5" s="94"/>
      <c r="BT5" s="94"/>
      <c r="BU5" s="94"/>
      <c r="CE5" s="93"/>
      <c r="CF5" s="93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1"/>
      <c r="CT5" s="91"/>
      <c r="CU5" s="92"/>
      <c r="CV5" s="729"/>
      <c r="CW5" s="94"/>
      <c r="CX5" s="95"/>
      <c r="CY5" s="94"/>
      <c r="CZ5" s="94"/>
      <c r="DA5" s="94"/>
    </row>
    <row r="6" spans="1:150" x14ac:dyDescent="0.2">
      <c r="A6" s="92"/>
      <c r="B6" s="92" t="s">
        <v>1272</v>
      </c>
      <c r="C6" s="92"/>
      <c r="D6" s="93"/>
      <c r="E6" s="93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1"/>
      <c r="S6" s="91"/>
      <c r="T6" s="92"/>
      <c r="U6" s="92"/>
      <c r="V6" s="101"/>
      <c r="W6" s="94"/>
      <c r="X6" s="94"/>
      <c r="Y6" s="95"/>
      <c r="Z6" s="94"/>
      <c r="AA6" s="94"/>
      <c r="AB6" s="94"/>
      <c r="AC6" s="94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6"/>
      <c r="AX6" s="94"/>
      <c r="AY6" s="95"/>
      <c r="AZ6" s="94"/>
      <c r="BA6" s="94"/>
      <c r="BB6" s="94"/>
      <c r="BQ6" s="94"/>
      <c r="BR6" s="95"/>
      <c r="BS6" s="94"/>
      <c r="BT6" s="94"/>
      <c r="BU6" s="94"/>
      <c r="CE6" s="93"/>
      <c r="CF6" s="93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1"/>
      <c r="CT6" s="91"/>
      <c r="CU6" s="92"/>
      <c r="CV6" s="729"/>
      <c r="CW6" s="94"/>
      <c r="CX6" s="95"/>
      <c r="CY6" s="94"/>
      <c r="CZ6" s="94"/>
      <c r="DA6" s="94"/>
    </row>
    <row r="7" spans="1:150" x14ac:dyDescent="0.2">
      <c r="A7" s="92"/>
      <c r="B7" s="92"/>
      <c r="C7" s="92"/>
      <c r="D7" s="93"/>
      <c r="E7" s="93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1"/>
      <c r="S7" s="91"/>
      <c r="T7" s="92"/>
      <c r="U7" s="92"/>
      <c r="V7" s="101"/>
      <c r="W7" s="94"/>
      <c r="X7" s="94"/>
      <c r="Y7" s="95"/>
      <c r="Z7" s="94"/>
      <c r="AA7" s="94"/>
      <c r="AB7" s="94"/>
      <c r="AC7" s="94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6"/>
      <c r="AX7" s="94"/>
      <c r="AY7" s="95"/>
      <c r="AZ7" s="94"/>
      <c r="BA7" s="94"/>
      <c r="BB7" s="94"/>
      <c r="BQ7" s="94"/>
      <c r="BR7" s="95"/>
      <c r="BS7" s="94"/>
      <c r="BT7" s="94"/>
      <c r="BU7" s="94"/>
      <c r="CE7" s="93"/>
      <c r="CF7" s="93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1"/>
      <c r="CT7" s="91"/>
      <c r="CU7" s="92"/>
      <c r="CV7" s="729"/>
      <c r="CW7" s="94"/>
      <c r="CX7" s="95"/>
      <c r="CY7" s="94"/>
      <c r="CZ7" s="94"/>
      <c r="DA7" s="94"/>
    </row>
    <row r="8" spans="1:150" s="16" customFormat="1" x14ac:dyDescent="0.2">
      <c r="D8" s="38"/>
      <c r="E8" s="38"/>
      <c r="R8" s="37"/>
      <c r="S8" s="37"/>
      <c r="T8" s="35"/>
      <c r="U8" s="35"/>
      <c r="V8" s="103"/>
      <c r="W8" s="39"/>
      <c r="X8" s="39"/>
      <c r="Y8" s="76"/>
      <c r="Z8" s="39"/>
      <c r="AA8" s="39"/>
      <c r="AB8" s="39"/>
      <c r="AC8" s="39"/>
      <c r="AP8" s="68"/>
      <c r="AX8" s="39"/>
      <c r="AY8" s="76"/>
      <c r="AZ8" s="39"/>
      <c r="BA8" s="39"/>
      <c r="BB8" s="39"/>
      <c r="BQ8" s="39"/>
      <c r="BR8" s="76"/>
      <c r="BS8" s="39"/>
      <c r="BT8" s="39"/>
      <c r="BU8" s="39"/>
      <c r="CE8" s="38"/>
      <c r="CF8" s="38"/>
      <c r="CS8" s="37"/>
      <c r="CT8" s="37"/>
      <c r="CU8" s="35"/>
      <c r="CW8" s="39"/>
      <c r="CX8" s="76"/>
      <c r="CY8" s="39"/>
      <c r="CZ8" s="39"/>
      <c r="DA8" s="39"/>
    </row>
    <row r="9" spans="1:150" s="16" customFormat="1" ht="20.25" customHeight="1" x14ac:dyDescent="0.2">
      <c r="D9" s="38"/>
      <c r="E9" s="38"/>
      <c r="R9" s="37"/>
      <c r="S9" s="37"/>
      <c r="T9" s="35"/>
      <c r="U9" s="35"/>
      <c r="V9" s="103"/>
      <c r="W9" s="39"/>
      <c r="X9" s="39"/>
      <c r="Y9" s="76"/>
      <c r="Z9" s="39"/>
      <c r="AA9" s="39"/>
      <c r="AB9" s="39"/>
      <c r="AC9" s="39"/>
      <c r="AP9" s="68"/>
      <c r="AX9" s="39"/>
      <c r="AY9" s="76"/>
      <c r="AZ9" s="39"/>
      <c r="BA9" s="39"/>
      <c r="BB9" s="39"/>
      <c r="BQ9" s="39"/>
      <c r="BR9" s="76"/>
      <c r="BS9" s="39"/>
      <c r="BT9" s="39"/>
      <c r="BU9" s="39"/>
      <c r="CE9" s="38"/>
      <c r="CF9" s="38"/>
      <c r="CS9" s="37"/>
      <c r="CT9" s="37"/>
      <c r="CU9" s="35"/>
      <c r="CW9" s="39"/>
      <c r="CX9" s="76"/>
      <c r="CY9" s="39"/>
      <c r="CZ9" s="39"/>
      <c r="DA9" s="39"/>
    </row>
    <row r="10" spans="1:150" ht="36" customHeight="1" x14ac:dyDescent="0.2">
      <c r="D10" s="1258" t="s">
        <v>532</v>
      </c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91"/>
      <c r="R10" s="1259" t="s">
        <v>448</v>
      </c>
      <c r="S10" s="1259"/>
      <c r="T10" s="1259"/>
      <c r="U10" s="1260" t="s">
        <v>450</v>
      </c>
      <c r="V10" s="1260"/>
      <c r="W10" s="1260"/>
      <c r="X10" s="1260"/>
      <c r="Y10" s="1260"/>
      <c r="Z10" s="1260"/>
      <c r="AA10" s="1260"/>
      <c r="AB10" s="1260"/>
      <c r="AC10" s="1260"/>
      <c r="AD10" s="1260"/>
      <c r="AE10" s="1260"/>
      <c r="AF10" s="1260"/>
      <c r="AG10" s="1260"/>
      <c r="AH10" s="1260"/>
      <c r="AI10" s="1260"/>
      <c r="AJ10" s="1260"/>
      <c r="AK10" s="1260"/>
      <c r="AL10" s="1260"/>
      <c r="AM10" s="1260"/>
      <c r="AN10" s="1260"/>
      <c r="AO10" s="1260"/>
      <c r="AP10" s="1260"/>
      <c r="AY10"/>
      <c r="BR10"/>
      <c r="CE10" s="1258" t="s">
        <v>532</v>
      </c>
      <c r="CF10" s="1258"/>
      <c r="CG10" s="1258"/>
      <c r="CH10" s="1258"/>
      <c r="CI10" s="1258"/>
      <c r="CJ10" s="1258"/>
      <c r="CK10" s="1258"/>
      <c r="CL10" s="1258"/>
      <c r="CM10" s="1258"/>
      <c r="CN10" s="1258"/>
      <c r="CO10" s="1258"/>
      <c r="CP10" s="1258"/>
      <c r="CQ10" s="1258"/>
      <c r="CR10" s="191"/>
      <c r="CS10" s="1259" t="s">
        <v>448</v>
      </c>
      <c r="CT10" s="1259"/>
      <c r="CU10" s="1259"/>
      <c r="CX10"/>
    </row>
    <row r="11" spans="1:150" ht="54" customHeight="1" x14ac:dyDescent="0.25">
      <c r="A11" s="1261" t="s">
        <v>57</v>
      </c>
      <c r="B11" s="1261" t="s">
        <v>0</v>
      </c>
      <c r="C11" s="201" t="s">
        <v>320</v>
      </c>
      <c r="D11" s="166" t="s">
        <v>306</v>
      </c>
      <c r="E11" s="1263" t="s">
        <v>55</v>
      </c>
      <c r="F11" s="1254" t="s">
        <v>564</v>
      </c>
      <c r="G11" s="1254" t="s">
        <v>446</v>
      </c>
      <c r="H11" s="1254" t="s">
        <v>533</v>
      </c>
      <c r="I11" s="1254" t="s">
        <v>526</v>
      </c>
      <c r="J11" s="1254" t="s">
        <v>525</v>
      </c>
      <c r="K11" s="1254" t="s">
        <v>534</v>
      </c>
      <c r="L11" s="1254" t="s">
        <v>493</v>
      </c>
      <c r="M11" s="1254" t="s">
        <v>535</v>
      </c>
      <c r="N11" s="200" t="s">
        <v>529</v>
      </c>
      <c r="O11" s="1254" t="s">
        <v>492</v>
      </c>
      <c r="P11" s="202" t="s">
        <v>530</v>
      </c>
      <c r="Q11" s="1256" t="s">
        <v>528</v>
      </c>
      <c r="R11" s="1250" t="s">
        <v>437</v>
      </c>
      <c r="S11" s="1250" t="s">
        <v>56</v>
      </c>
      <c r="T11" s="1252" t="s">
        <v>449</v>
      </c>
      <c r="U11" s="1245" t="s">
        <v>447</v>
      </c>
      <c r="V11" s="1268" t="s">
        <v>452</v>
      </c>
      <c r="W11" s="1245" t="s">
        <v>439</v>
      </c>
      <c r="X11" s="158" t="s">
        <v>15</v>
      </c>
      <c r="Y11" s="159" t="s">
        <v>15</v>
      </c>
      <c r="Z11" s="158" t="s">
        <v>16</v>
      </c>
      <c r="AA11" s="1245" t="s">
        <v>527</v>
      </c>
      <c r="AB11" s="1245" t="s">
        <v>536</v>
      </c>
      <c r="AC11" s="158" t="s">
        <v>3</v>
      </c>
      <c r="AD11" s="158" t="s">
        <v>4</v>
      </c>
      <c r="AE11" s="158" t="s">
        <v>5</v>
      </c>
      <c r="AF11" s="158" t="s">
        <v>6</v>
      </c>
      <c r="AG11" s="158" t="s">
        <v>7</v>
      </c>
      <c r="AH11" s="158" t="s">
        <v>8</v>
      </c>
      <c r="AI11" s="158" t="s">
        <v>9</v>
      </c>
      <c r="AJ11" s="158" t="s">
        <v>10</v>
      </c>
      <c r="AK11" s="158" t="s">
        <v>11</v>
      </c>
      <c r="AL11" s="158" t="s">
        <v>12</v>
      </c>
      <c r="AM11" s="158" t="s">
        <v>13</v>
      </c>
      <c r="AN11" s="158" t="s">
        <v>14</v>
      </c>
      <c r="AO11" s="196" t="s">
        <v>531</v>
      </c>
      <c r="AP11" s="196" t="s">
        <v>63</v>
      </c>
      <c r="AQ11" s="1245" t="s">
        <v>976</v>
      </c>
      <c r="AR11" s="1245" t="s">
        <v>536</v>
      </c>
      <c r="AS11" s="158" t="s">
        <v>3</v>
      </c>
      <c r="AT11" s="158" t="s">
        <v>4</v>
      </c>
      <c r="AU11" s="158" t="s">
        <v>5</v>
      </c>
      <c r="AV11" s="158" t="s">
        <v>6</v>
      </c>
      <c r="AW11" s="158" t="s">
        <v>7</v>
      </c>
      <c r="AX11" s="158" t="s">
        <v>15</v>
      </c>
      <c r="AY11" s="159" t="s">
        <v>15</v>
      </c>
      <c r="AZ11" s="158" t="s">
        <v>16</v>
      </c>
      <c r="BA11" s="1245" t="s">
        <v>1073</v>
      </c>
      <c r="BB11" s="1245" t="s">
        <v>536</v>
      </c>
      <c r="BC11" s="158" t="s">
        <v>8</v>
      </c>
      <c r="BD11" s="158" t="s">
        <v>9</v>
      </c>
      <c r="BE11" s="158" t="s">
        <v>10</v>
      </c>
      <c r="BF11" s="158" t="s">
        <v>11</v>
      </c>
      <c r="BG11" s="158" t="s">
        <v>12</v>
      </c>
      <c r="BH11" s="158" t="s">
        <v>13</v>
      </c>
      <c r="BI11" s="158" t="s">
        <v>14</v>
      </c>
      <c r="BJ11" s="196" t="s">
        <v>989</v>
      </c>
      <c r="BK11" s="160" t="s">
        <v>63</v>
      </c>
      <c r="BL11" s="158" t="s">
        <v>3</v>
      </c>
      <c r="BM11" s="158" t="s">
        <v>4</v>
      </c>
      <c r="BN11" s="158" t="s">
        <v>5</v>
      </c>
      <c r="BO11" s="158" t="s">
        <v>6</v>
      </c>
      <c r="BP11" s="158" t="s">
        <v>7</v>
      </c>
      <c r="BQ11" s="158" t="s">
        <v>15</v>
      </c>
      <c r="BR11" s="159" t="s">
        <v>15</v>
      </c>
      <c r="BS11" s="158" t="s">
        <v>16</v>
      </c>
      <c r="BT11" s="1245" t="s">
        <v>1004</v>
      </c>
      <c r="BU11" s="1245" t="s">
        <v>536</v>
      </c>
      <c r="BV11" s="158" t="s">
        <v>8</v>
      </c>
      <c r="BW11" s="158" t="s">
        <v>9</v>
      </c>
      <c r="BX11" s="158" t="s">
        <v>10</v>
      </c>
      <c r="BY11" s="158" t="s">
        <v>11</v>
      </c>
      <c r="BZ11" s="158" t="s">
        <v>12</v>
      </c>
      <c r="CA11" s="158" t="s">
        <v>13</v>
      </c>
      <c r="CB11" s="158" t="s">
        <v>14</v>
      </c>
      <c r="CC11" s="196" t="s">
        <v>1058</v>
      </c>
      <c r="CD11" s="196" t="s">
        <v>63</v>
      </c>
      <c r="CE11" s="166" t="s">
        <v>306</v>
      </c>
      <c r="CF11" s="1263" t="s">
        <v>55</v>
      </c>
      <c r="CG11" s="1254" t="s">
        <v>564</v>
      </c>
      <c r="CH11" s="1254" t="s">
        <v>446</v>
      </c>
      <c r="CI11" s="1254" t="s">
        <v>533</v>
      </c>
      <c r="CJ11" s="1254" t="s">
        <v>1126</v>
      </c>
      <c r="CK11" s="1254" t="s">
        <v>1127</v>
      </c>
      <c r="CL11" s="1254" t="s">
        <v>534</v>
      </c>
      <c r="CM11" s="1254" t="s">
        <v>493</v>
      </c>
      <c r="CN11" s="1254" t="s">
        <v>535</v>
      </c>
      <c r="CO11" s="726" t="s">
        <v>529</v>
      </c>
      <c r="CP11" s="1254" t="s">
        <v>492</v>
      </c>
      <c r="CQ11" s="727" t="s">
        <v>530</v>
      </c>
      <c r="CR11" s="1256" t="s">
        <v>528</v>
      </c>
      <c r="CS11" s="1250" t="s">
        <v>437</v>
      </c>
      <c r="CT11" s="1250" t="s">
        <v>56</v>
      </c>
      <c r="CU11" s="1252" t="s">
        <v>449</v>
      </c>
      <c r="CV11" s="1282" t="s">
        <v>1142</v>
      </c>
      <c r="CW11" s="158" t="s">
        <v>15</v>
      </c>
      <c r="CX11" s="159" t="s">
        <v>15</v>
      </c>
      <c r="CY11" s="158" t="s">
        <v>16</v>
      </c>
      <c r="CZ11" s="1245" t="s">
        <v>1143</v>
      </c>
      <c r="DA11" s="1245" t="s">
        <v>536</v>
      </c>
      <c r="DB11" s="158" t="s">
        <v>8</v>
      </c>
      <c r="DC11" s="158" t="s">
        <v>9</v>
      </c>
      <c r="DD11" s="158" t="s">
        <v>10</v>
      </c>
      <c r="DE11" s="158" t="s">
        <v>11</v>
      </c>
      <c r="DF11" s="158" t="s">
        <v>12</v>
      </c>
      <c r="DG11" s="158" t="s">
        <v>13</v>
      </c>
      <c r="DH11" s="158" t="s">
        <v>14</v>
      </c>
      <c r="DI11" s="728" t="s">
        <v>1144</v>
      </c>
      <c r="DJ11" s="160" t="s">
        <v>63</v>
      </c>
      <c r="DK11" s="158" t="s">
        <v>3</v>
      </c>
      <c r="DL11" s="158" t="s">
        <v>4</v>
      </c>
      <c r="DM11" s="158" t="s">
        <v>5</v>
      </c>
      <c r="DN11" s="158" t="s">
        <v>6</v>
      </c>
      <c r="DO11" s="158" t="s">
        <v>3</v>
      </c>
      <c r="DP11" s="158" t="s">
        <v>4</v>
      </c>
      <c r="DQ11" s="158" t="s">
        <v>5</v>
      </c>
      <c r="DR11" s="158" t="s">
        <v>6</v>
      </c>
      <c r="DS11" s="158" t="s">
        <v>7</v>
      </c>
      <c r="DT11" s="1247" t="s">
        <v>1252</v>
      </c>
      <c r="DU11" s="1247" t="s">
        <v>1253</v>
      </c>
      <c r="DV11" s="158" t="s">
        <v>15</v>
      </c>
      <c r="DW11" s="159" t="s">
        <v>15</v>
      </c>
      <c r="DX11" s="158" t="s">
        <v>16</v>
      </c>
      <c r="DY11" s="1245" t="s">
        <v>1262</v>
      </c>
      <c r="DZ11" s="1245" t="s">
        <v>536</v>
      </c>
      <c r="EA11" s="158" t="s">
        <v>8</v>
      </c>
      <c r="EB11" s="158" t="s">
        <v>9</v>
      </c>
      <c r="EC11" s="158" t="s">
        <v>10</v>
      </c>
      <c r="ED11" s="158" t="s">
        <v>11</v>
      </c>
      <c r="EE11" s="158" t="s">
        <v>12</v>
      </c>
      <c r="EF11" s="158" t="s">
        <v>13</v>
      </c>
      <c r="EG11" s="158" t="s">
        <v>14</v>
      </c>
      <c r="EH11" s="158" t="s">
        <v>3</v>
      </c>
      <c r="EI11" s="158" t="s">
        <v>4</v>
      </c>
      <c r="EJ11" s="158" t="s">
        <v>5</v>
      </c>
      <c r="EK11" s="158" t="s">
        <v>6</v>
      </c>
      <c r="EL11" s="158" t="s">
        <v>7</v>
      </c>
      <c r="EM11" s="158" t="s">
        <v>8</v>
      </c>
      <c r="EN11" s="158" t="s">
        <v>9</v>
      </c>
      <c r="EO11" s="158" t="s">
        <v>10</v>
      </c>
      <c r="EP11" s="158" t="s">
        <v>11</v>
      </c>
      <c r="EQ11" s="158" t="s">
        <v>12</v>
      </c>
      <c r="ER11" s="158" t="s">
        <v>13</v>
      </c>
      <c r="ES11" s="1247" t="s">
        <v>1274</v>
      </c>
      <c r="ET11" s="1247" t="s">
        <v>1263</v>
      </c>
    </row>
    <row r="12" spans="1:150" ht="32.25" customHeight="1" x14ac:dyDescent="0.25">
      <c r="A12" s="1262"/>
      <c r="B12" s="1262"/>
      <c r="C12" s="161" t="s">
        <v>326</v>
      </c>
      <c r="D12" s="167"/>
      <c r="E12" s="1264"/>
      <c r="F12" s="1255"/>
      <c r="G12" s="1255"/>
      <c r="H12" s="1255"/>
      <c r="I12" s="1255"/>
      <c r="J12" s="1255"/>
      <c r="K12" s="1255"/>
      <c r="L12" s="1255"/>
      <c r="M12" s="1255"/>
      <c r="N12" s="194">
        <v>42369</v>
      </c>
      <c r="O12" s="1255"/>
      <c r="P12" s="193">
        <v>42370</v>
      </c>
      <c r="Q12" s="1257"/>
      <c r="R12" s="1251" t="s">
        <v>18</v>
      </c>
      <c r="S12" s="1251" t="s">
        <v>18</v>
      </c>
      <c r="T12" s="1253"/>
      <c r="U12" s="1267"/>
      <c r="V12" s="1269">
        <v>41639</v>
      </c>
      <c r="W12" s="1246"/>
      <c r="X12" s="162" t="s">
        <v>20</v>
      </c>
      <c r="Y12" s="163" t="s">
        <v>21</v>
      </c>
      <c r="Z12" s="162" t="s">
        <v>22</v>
      </c>
      <c r="AA12" s="1246"/>
      <c r="AB12" s="1246"/>
      <c r="AC12" s="162">
        <v>2015</v>
      </c>
      <c r="AD12" s="162">
        <v>2015</v>
      </c>
      <c r="AE12" s="162">
        <v>2015</v>
      </c>
      <c r="AF12" s="162">
        <v>2015</v>
      </c>
      <c r="AG12" s="162">
        <v>2015</v>
      </c>
      <c r="AH12" s="162">
        <v>2015</v>
      </c>
      <c r="AI12" s="162">
        <v>2015</v>
      </c>
      <c r="AJ12" s="162">
        <v>2015</v>
      </c>
      <c r="AK12" s="162">
        <v>2015</v>
      </c>
      <c r="AL12" s="162">
        <v>2015</v>
      </c>
      <c r="AM12" s="162">
        <v>2015</v>
      </c>
      <c r="AN12" s="162">
        <v>2015</v>
      </c>
      <c r="AO12" s="162">
        <v>2015</v>
      </c>
      <c r="AP12" s="162" t="s">
        <v>64</v>
      </c>
      <c r="AQ12" s="1246"/>
      <c r="AR12" s="1246"/>
      <c r="AS12" s="162">
        <v>2016</v>
      </c>
      <c r="AT12" s="162">
        <v>2016</v>
      </c>
      <c r="AU12" s="162">
        <v>2016</v>
      </c>
      <c r="AV12" s="162">
        <v>2016</v>
      </c>
      <c r="AW12" s="162">
        <v>2016</v>
      </c>
      <c r="AX12" s="162" t="s">
        <v>20</v>
      </c>
      <c r="AY12" s="163" t="s">
        <v>21</v>
      </c>
      <c r="AZ12" s="162" t="s">
        <v>22</v>
      </c>
      <c r="BA12" s="1246"/>
      <c r="BB12" s="1246"/>
      <c r="BC12" s="162">
        <v>2016</v>
      </c>
      <c r="BD12" s="162">
        <v>2016</v>
      </c>
      <c r="BE12" s="162">
        <v>2016</v>
      </c>
      <c r="BF12" s="162">
        <v>2016</v>
      </c>
      <c r="BG12" s="162">
        <v>2016</v>
      </c>
      <c r="BH12" s="162">
        <v>2016</v>
      </c>
      <c r="BI12" s="162">
        <v>2016</v>
      </c>
      <c r="BJ12" s="162">
        <v>2016</v>
      </c>
      <c r="BK12" s="162" t="s">
        <v>64</v>
      </c>
      <c r="BL12" s="162">
        <v>2017</v>
      </c>
      <c r="BM12" s="162">
        <v>2017</v>
      </c>
      <c r="BN12" s="162">
        <v>2017</v>
      </c>
      <c r="BO12" s="162">
        <v>2017</v>
      </c>
      <c r="BP12" s="162">
        <v>2017</v>
      </c>
      <c r="BQ12" s="162" t="s">
        <v>20</v>
      </c>
      <c r="BR12" s="163" t="s">
        <v>21</v>
      </c>
      <c r="BS12" s="162" t="s">
        <v>22</v>
      </c>
      <c r="BT12" s="1246"/>
      <c r="BU12" s="1246"/>
      <c r="BV12" s="162">
        <v>2016</v>
      </c>
      <c r="BW12" s="162">
        <v>2016</v>
      </c>
      <c r="BX12" s="162">
        <v>2016</v>
      </c>
      <c r="BY12" s="162">
        <v>2016</v>
      </c>
      <c r="BZ12" s="162">
        <v>2016</v>
      </c>
      <c r="CA12" s="162">
        <v>2016</v>
      </c>
      <c r="CB12" s="162">
        <v>2016</v>
      </c>
      <c r="CC12" s="162">
        <v>2017</v>
      </c>
      <c r="CD12" s="162" t="s">
        <v>64</v>
      </c>
      <c r="CE12" s="167"/>
      <c r="CF12" s="1264"/>
      <c r="CG12" s="1255"/>
      <c r="CH12" s="1255"/>
      <c r="CI12" s="1255"/>
      <c r="CJ12" s="1255"/>
      <c r="CK12" s="1255"/>
      <c r="CL12" s="1255"/>
      <c r="CM12" s="1255"/>
      <c r="CN12" s="1255"/>
      <c r="CO12" s="194">
        <v>43100</v>
      </c>
      <c r="CP12" s="1255"/>
      <c r="CQ12" s="193">
        <v>42370</v>
      </c>
      <c r="CR12" s="1257"/>
      <c r="CS12" s="1251" t="s">
        <v>18</v>
      </c>
      <c r="CT12" s="1251" t="s">
        <v>18</v>
      </c>
      <c r="CU12" s="1253"/>
      <c r="CV12" s="1283"/>
      <c r="CW12" s="162" t="s">
        <v>20</v>
      </c>
      <c r="CX12" s="163" t="s">
        <v>21</v>
      </c>
      <c r="CY12" s="162" t="s">
        <v>22</v>
      </c>
      <c r="CZ12" s="1246"/>
      <c r="DA12" s="1246"/>
      <c r="DB12" s="162">
        <v>2017</v>
      </c>
      <c r="DC12" s="162">
        <v>2017</v>
      </c>
      <c r="DD12" s="162">
        <v>2017</v>
      </c>
      <c r="DE12" s="162">
        <v>2017</v>
      </c>
      <c r="DF12" s="162">
        <v>2017</v>
      </c>
      <c r="DG12" s="162">
        <v>2017</v>
      </c>
      <c r="DH12" s="162">
        <v>2017</v>
      </c>
      <c r="DI12" s="162"/>
      <c r="DJ12" s="162" t="s">
        <v>64</v>
      </c>
      <c r="DK12" s="162">
        <v>2017</v>
      </c>
      <c r="DL12" s="162">
        <v>2017</v>
      </c>
      <c r="DM12" s="162">
        <v>2017</v>
      </c>
      <c r="DN12" s="162">
        <v>2017</v>
      </c>
      <c r="DO12" s="162">
        <v>2018</v>
      </c>
      <c r="DP12" s="162">
        <v>2018</v>
      </c>
      <c r="DQ12" s="162">
        <v>2018</v>
      </c>
      <c r="DR12" s="162">
        <v>2018</v>
      </c>
      <c r="DS12" s="162">
        <v>2018</v>
      </c>
      <c r="DT12" s="1248"/>
      <c r="DU12" s="1248"/>
      <c r="DV12" s="162" t="s">
        <v>20</v>
      </c>
      <c r="DW12" s="163" t="s">
        <v>21</v>
      </c>
      <c r="DX12" s="162" t="s">
        <v>22</v>
      </c>
      <c r="DY12" s="1246"/>
      <c r="DZ12" s="1246"/>
      <c r="EA12" s="162">
        <v>2018</v>
      </c>
      <c r="EB12" s="162">
        <v>2018</v>
      </c>
      <c r="EC12" s="162">
        <v>2018</v>
      </c>
      <c r="ED12" s="162">
        <v>2018</v>
      </c>
      <c r="EE12" s="162">
        <v>2018</v>
      </c>
      <c r="EF12" s="162">
        <v>2018</v>
      </c>
      <c r="EG12" s="162">
        <v>2018</v>
      </c>
      <c r="EH12" s="162">
        <v>2019</v>
      </c>
      <c r="EI12" s="162">
        <v>2019</v>
      </c>
      <c r="EJ12" s="162">
        <v>2019</v>
      </c>
      <c r="EK12" s="162">
        <v>2019</v>
      </c>
      <c r="EL12" s="162">
        <v>2019</v>
      </c>
      <c r="EM12" s="162">
        <v>2019</v>
      </c>
      <c r="EN12" s="162">
        <v>2019</v>
      </c>
      <c r="EO12" s="162">
        <v>2019</v>
      </c>
      <c r="EP12" s="162">
        <v>2019</v>
      </c>
      <c r="EQ12" s="162">
        <v>2019</v>
      </c>
      <c r="ER12" s="162">
        <v>2019</v>
      </c>
      <c r="ES12" s="1248"/>
      <c r="ET12" s="1248"/>
    </row>
    <row r="13" spans="1:150" s="16" customFormat="1" ht="15" x14ac:dyDescent="0.2">
      <c r="A13" s="26" t="s">
        <v>65</v>
      </c>
      <c r="B13" s="26" t="s">
        <v>89</v>
      </c>
      <c r="C13" s="45"/>
      <c r="D13" s="27"/>
      <c r="E13" s="25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20"/>
      <c r="S13" s="20"/>
      <c r="T13" s="14"/>
      <c r="U13" s="14"/>
      <c r="V13" s="108"/>
      <c r="W13" s="66"/>
      <c r="X13" s="66"/>
      <c r="Y13" s="81"/>
      <c r="Z13" s="66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73"/>
      <c r="AQ13" s="55"/>
      <c r="AR13" s="55"/>
      <c r="AS13" s="55"/>
      <c r="AT13" s="55"/>
      <c r="AU13" s="55"/>
      <c r="AV13" s="55"/>
      <c r="AW13" s="55"/>
      <c r="AX13" s="66"/>
      <c r="AY13" s="81"/>
      <c r="AZ13" s="66"/>
      <c r="BA13" s="65"/>
      <c r="BB13" s="6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66"/>
      <c r="BR13" s="81"/>
      <c r="BS13" s="66"/>
      <c r="BT13" s="65"/>
      <c r="BU13" s="65"/>
      <c r="BV13" s="55"/>
      <c r="BW13" s="55"/>
      <c r="BX13" s="55"/>
      <c r="BY13" s="55"/>
      <c r="BZ13" s="55"/>
      <c r="CA13" s="55"/>
      <c r="CB13" s="55"/>
      <c r="CC13" s="55"/>
      <c r="CD13" s="55"/>
      <c r="CE13" s="27"/>
      <c r="CF13" s="25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20"/>
      <c r="CT13" s="20"/>
      <c r="CU13" s="14"/>
      <c r="CV13" s="32"/>
      <c r="CW13" s="66"/>
      <c r="CX13" s="81"/>
      <c r="CY13" s="66"/>
      <c r="CZ13" s="65"/>
      <c r="DA13" s="6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05"/>
      <c r="DT13" s="505"/>
      <c r="DU13" s="516"/>
      <c r="DV13" s="516"/>
      <c r="DW13" s="516"/>
      <c r="DX13" s="516"/>
      <c r="DY13" s="516"/>
      <c r="DZ13" s="516"/>
      <c r="EA13" s="516"/>
      <c r="EB13" s="516"/>
      <c r="EC13" s="516"/>
      <c r="ED13" s="516"/>
      <c r="EE13" s="516"/>
      <c r="EF13" s="516"/>
      <c r="EG13" s="516"/>
      <c r="EH13" s="516"/>
      <c r="EI13" s="516"/>
      <c r="EJ13" s="516"/>
      <c r="EK13" s="516"/>
      <c r="EL13" s="516"/>
      <c r="EM13" s="516"/>
      <c r="EN13" s="516"/>
      <c r="EO13" s="516"/>
      <c r="EP13" s="516"/>
      <c r="EQ13" s="516"/>
      <c r="ER13" s="516"/>
      <c r="ES13" s="516"/>
      <c r="ET13" s="516"/>
    </row>
    <row r="14" spans="1:150" s="16" customFormat="1" ht="15.75" x14ac:dyDescent="0.25">
      <c r="A14" s="26" t="s">
        <v>82</v>
      </c>
      <c r="B14" s="9"/>
      <c r="C14" s="29"/>
      <c r="D14" s="4"/>
      <c r="E14" s="25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20"/>
      <c r="S14" s="20"/>
      <c r="T14" s="14"/>
      <c r="U14" s="14"/>
      <c r="V14" s="108"/>
      <c r="W14" s="66"/>
      <c r="X14" s="66"/>
      <c r="Y14" s="112"/>
      <c r="Z14" s="66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73"/>
      <c r="AQ14" s="55"/>
      <c r="AR14" s="55"/>
      <c r="AS14" s="55"/>
      <c r="AT14" s="55"/>
      <c r="AU14" s="55"/>
      <c r="AV14" s="55"/>
      <c r="AW14" s="55"/>
      <c r="AX14" s="66"/>
      <c r="AY14" s="112"/>
      <c r="AZ14" s="66"/>
      <c r="BA14" s="65"/>
      <c r="BB14" s="65"/>
      <c r="BC14" s="55"/>
      <c r="BD14" s="55"/>
      <c r="BE14" s="55"/>
      <c r="BF14" s="55"/>
      <c r="BG14" s="55"/>
      <c r="BH14" s="55"/>
      <c r="BI14" s="55"/>
      <c r="BJ14" s="598"/>
      <c r="BK14" s="598"/>
      <c r="BL14" s="598"/>
      <c r="BM14" s="598"/>
      <c r="BN14" s="598"/>
      <c r="BO14" s="598"/>
      <c r="BP14" s="598"/>
      <c r="BQ14" s="595"/>
      <c r="BR14" s="596"/>
      <c r="BS14" s="595"/>
      <c r="BT14" s="597"/>
      <c r="BU14" s="597"/>
      <c r="BV14" s="598"/>
      <c r="BW14" s="598"/>
      <c r="BX14" s="598"/>
      <c r="BY14" s="598"/>
      <c r="BZ14" s="598"/>
      <c r="CA14" s="598"/>
      <c r="CB14" s="598"/>
      <c r="CC14" s="598"/>
      <c r="CD14" s="598"/>
      <c r="CE14" s="4"/>
      <c r="CF14" s="25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20"/>
      <c r="CT14" s="20"/>
      <c r="CU14" s="14"/>
      <c r="CV14" s="32"/>
      <c r="CW14" s="66"/>
      <c r="CX14" s="112"/>
      <c r="CY14" s="66"/>
      <c r="CZ14" s="65"/>
      <c r="DA14" s="65"/>
      <c r="DB14" s="55"/>
      <c r="DC14" s="55"/>
      <c r="DD14" s="55"/>
      <c r="DE14" s="55"/>
      <c r="DF14" s="55"/>
      <c r="DG14" s="55"/>
      <c r="DH14" s="55"/>
      <c r="DI14" s="598"/>
      <c r="DJ14" s="598"/>
      <c r="DK14" s="598"/>
      <c r="DL14" s="598"/>
      <c r="DM14" s="598"/>
      <c r="DN14" s="598"/>
      <c r="DO14" s="55"/>
      <c r="DP14" s="55"/>
      <c r="DQ14" s="55"/>
      <c r="DR14" s="55"/>
      <c r="DS14" s="55"/>
      <c r="DT14" s="505"/>
      <c r="DU14" s="516"/>
      <c r="DV14" s="516"/>
      <c r="DW14" s="516"/>
      <c r="DX14" s="516"/>
      <c r="DY14" s="516"/>
      <c r="DZ14" s="516"/>
      <c r="EA14" s="516"/>
      <c r="EB14" s="516"/>
      <c r="EC14" s="516"/>
      <c r="ED14" s="516"/>
      <c r="EE14" s="516"/>
      <c r="EF14" s="516"/>
      <c r="EG14" s="516"/>
      <c r="EH14" s="516"/>
      <c r="EI14" s="516"/>
      <c r="EJ14" s="516"/>
      <c r="EK14" s="516"/>
      <c r="EL14" s="516"/>
      <c r="EM14" s="516"/>
      <c r="EN14" s="516"/>
      <c r="EO14" s="516"/>
      <c r="EP14" s="516"/>
      <c r="EQ14" s="516"/>
      <c r="ER14" s="516"/>
      <c r="ES14" s="516"/>
      <c r="ET14" s="516"/>
    </row>
    <row r="15" spans="1:150" s="16" customFormat="1" ht="15.75" x14ac:dyDescent="0.25">
      <c r="A15" s="9" t="s">
        <v>128</v>
      </c>
      <c r="B15" s="9" t="s">
        <v>30</v>
      </c>
      <c r="C15" s="45" t="s">
        <v>329</v>
      </c>
      <c r="D15" s="58">
        <v>10</v>
      </c>
      <c r="E15" s="25">
        <v>0.1</v>
      </c>
      <c r="F15" s="46">
        <v>42185</v>
      </c>
      <c r="G15" s="48">
        <v>120</v>
      </c>
      <c r="H15" s="145">
        <f>100/G15</f>
        <v>0.83333333333333337</v>
      </c>
      <c r="I15" s="165">
        <f>H15*J15</f>
        <v>24.166666666666668</v>
      </c>
      <c r="J15" s="48">
        <f>(YEAR(F15)-YEAR(S15))*12+MONTH(F15)-MONTH(S15)</f>
        <v>29</v>
      </c>
      <c r="K15" s="165">
        <f>L15*H15</f>
        <v>75.833333333333343</v>
      </c>
      <c r="L15" s="48">
        <f>G15-J15</f>
        <v>91</v>
      </c>
      <c r="M15" s="165">
        <f>N15*H15</f>
        <v>5.8333333333333339</v>
      </c>
      <c r="N15" s="48">
        <v>7</v>
      </c>
      <c r="O15" s="165">
        <f>P15*H15</f>
        <v>70</v>
      </c>
      <c r="P15" s="48">
        <f>L15-N15</f>
        <v>84</v>
      </c>
      <c r="Q15" s="46">
        <v>42428</v>
      </c>
      <c r="R15" s="46" t="s">
        <v>549</v>
      </c>
      <c r="S15" s="33">
        <v>41275</v>
      </c>
      <c r="T15" s="129">
        <v>1392</v>
      </c>
      <c r="U15" s="47">
        <v>947.88</v>
      </c>
      <c r="V15" s="106">
        <v>52.1</v>
      </c>
      <c r="W15" s="165">
        <v>0</v>
      </c>
      <c r="X15" s="57">
        <v>115.958</v>
      </c>
      <c r="Y15" s="80">
        <v>112.88800000000001</v>
      </c>
      <c r="Z15" s="57">
        <f>X15/Y15</f>
        <v>1.0271950960243781</v>
      </c>
      <c r="AA15" s="55">
        <f>U15*M15/100/K15*100/7</f>
        <v>10.416263736263733</v>
      </c>
      <c r="AB15" s="55">
        <f>AA15*Z15</f>
        <v>10.699535028786674</v>
      </c>
      <c r="AC15" s="55"/>
      <c r="AD15" s="55"/>
      <c r="AE15" s="55"/>
      <c r="AF15" s="55"/>
      <c r="AG15" s="55"/>
      <c r="AH15" s="55">
        <v>10.7</v>
      </c>
      <c r="AI15" s="55">
        <v>10.7</v>
      </c>
      <c r="AJ15" s="55">
        <v>10.7</v>
      </c>
      <c r="AK15" s="55">
        <v>10.7</v>
      </c>
      <c r="AL15" s="55">
        <v>10.7</v>
      </c>
      <c r="AM15" s="55">
        <v>10.7</v>
      </c>
      <c r="AN15" s="55">
        <v>10.7</v>
      </c>
      <c r="AO15" s="55">
        <f>SUM(AC15:AN15)</f>
        <v>74.900000000000006</v>
      </c>
      <c r="AP15" s="72">
        <f>U15-AO15</f>
        <v>872.98</v>
      </c>
      <c r="AQ15" s="55"/>
      <c r="AR15" s="55"/>
      <c r="AS15" s="55">
        <f>$AN15</f>
        <v>10.7</v>
      </c>
      <c r="AT15" s="55">
        <f>$AN15</f>
        <v>10.7</v>
      </c>
      <c r="AU15" s="55">
        <f>$AN15</f>
        <v>10.7</v>
      </c>
      <c r="AV15" s="55">
        <f>$AN15</f>
        <v>10.7</v>
      </c>
      <c r="AW15" s="55">
        <f>$AN15</f>
        <v>10.7</v>
      </c>
      <c r="AX15" s="599">
        <v>118.901</v>
      </c>
      <c r="AY15" s="600">
        <v>112.88800000000001</v>
      </c>
      <c r="AZ15" s="599">
        <f>AX15/AY15</f>
        <v>1.0532651831904187</v>
      </c>
      <c r="BA15" s="598">
        <f>T15/(D15*12)</f>
        <v>11.6</v>
      </c>
      <c r="BB15" s="598">
        <f>BA15*AZ15</f>
        <v>12.217876125008857</v>
      </c>
      <c r="BC15" s="598">
        <f>$BB15</f>
        <v>12.217876125008857</v>
      </c>
      <c r="BD15" s="598">
        <f>$BB15</f>
        <v>12.217876125008857</v>
      </c>
      <c r="BE15" s="598">
        <f>$BB15</f>
        <v>12.217876125008857</v>
      </c>
      <c r="BF15" s="598">
        <f>$BB15</f>
        <v>12.217876125008857</v>
      </c>
      <c r="BG15" s="598">
        <v>12.22</v>
      </c>
      <c r="BH15" s="598">
        <v>12.22</v>
      </c>
      <c r="BI15" s="598">
        <v>12.22</v>
      </c>
      <c r="BJ15" s="598">
        <f>SUM((AS15:AW15),(BC15:BI15))</f>
        <v>139.03150450003542</v>
      </c>
      <c r="BK15" s="601">
        <f t="shared" ref="BK15:BK25" si="0">(AP15-BJ15)</f>
        <v>733.94849549996457</v>
      </c>
      <c r="BL15" s="598">
        <v>12.22</v>
      </c>
      <c r="BM15" s="598">
        <v>12.22</v>
      </c>
      <c r="BN15" s="598">
        <v>12.22</v>
      </c>
      <c r="BO15" s="598">
        <v>12.22</v>
      </c>
      <c r="BP15" s="598">
        <v>12.22</v>
      </c>
      <c r="BQ15" s="599">
        <v>118.901</v>
      </c>
      <c r="BR15" s="600">
        <v>112.88800000000001</v>
      </c>
      <c r="BS15" s="599">
        <f>BQ15/BR15</f>
        <v>1.0532651831904187</v>
      </c>
      <c r="BT15" s="598"/>
      <c r="BU15" s="598"/>
      <c r="BV15" s="598"/>
      <c r="BW15" s="598"/>
      <c r="BX15" s="598"/>
      <c r="BY15" s="598"/>
      <c r="BZ15" s="598"/>
      <c r="CA15" s="598"/>
      <c r="CB15" s="598"/>
      <c r="CC15" s="598">
        <f>SUM((BL15:BP15),(BV15:CB15))</f>
        <v>61.1</v>
      </c>
      <c r="CD15" s="601">
        <f>BK15-CC15</f>
        <v>672.84849549996454</v>
      </c>
      <c r="CE15" s="58">
        <v>10</v>
      </c>
      <c r="CF15" s="25">
        <v>0.1</v>
      </c>
      <c r="CG15" s="46">
        <v>43281</v>
      </c>
      <c r="CH15" s="48">
        <v>120</v>
      </c>
      <c r="CI15" s="145">
        <f>CU15/CH15/100</f>
        <v>0.11599999999999999</v>
      </c>
      <c r="CJ15" s="165">
        <f>CI15*CK15</f>
        <v>7.5399999999999991</v>
      </c>
      <c r="CK15" s="463">
        <f>(YEAR(CG15)-YEAR(CT15))*12+MONTH(CG15)-MONTH(CT15)</f>
        <v>65</v>
      </c>
      <c r="CL15" s="165">
        <f>CM15*CI15</f>
        <v>6.38</v>
      </c>
      <c r="CM15" s="48">
        <f>CH15-CK15</f>
        <v>55</v>
      </c>
      <c r="CN15" s="165">
        <f>CO15*CI15</f>
        <v>0.81199999999999994</v>
      </c>
      <c r="CO15" s="48">
        <v>7</v>
      </c>
      <c r="CP15" s="165">
        <f>CQ15*CI15</f>
        <v>5.5679999999999996</v>
      </c>
      <c r="CQ15" s="48">
        <f>CM15-CO15</f>
        <v>48</v>
      </c>
      <c r="CR15" s="462">
        <f>DATE(YEAR(CT15),MONTH(CT15)+CH15,DAY(CT15))</f>
        <v>44927</v>
      </c>
      <c r="CS15" s="46" t="s">
        <v>549</v>
      </c>
      <c r="CT15" s="33">
        <v>41275</v>
      </c>
      <c r="CU15" s="129">
        <v>1392</v>
      </c>
      <c r="CV15" s="725">
        <v>672.84849549996454</v>
      </c>
      <c r="CW15" s="599">
        <v>126.408</v>
      </c>
      <c r="CX15" s="600">
        <v>112.88800000000001</v>
      </c>
      <c r="CY15" s="599">
        <f>CW15/CX15</f>
        <v>1.1197647225568705</v>
      </c>
      <c r="CZ15" s="598">
        <f>CV15/CM15</f>
        <v>12.233609009090264</v>
      </c>
      <c r="DA15" s="598">
        <f>CZ15*CY15</f>
        <v>13.698763797933191</v>
      </c>
      <c r="DB15" s="598">
        <v>11.245253863975009</v>
      </c>
      <c r="DC15" s="598"/>
      <c r="DD15" s="598">
        <v>22.5</v>
      </c>
      <c r="DE15" s="598">
        <v>22.5</v>
      </c>
      <c r="DF15" s="598">
        <v>22.5</v>
      </c>
      <c r="DG15" s="598">
        <v>22.5</v>
      </c>
      <c r="DH15" s="598">
        <v>22.5</v>
      </c>
      <c r="DI15" s="598">
        <f>SUM(DB15:DH15)</f>
        <v>123.74525386397501</v>
      </c>
      <c r="DJ15" s="601">
        <f>CV15-DI15</f>
        <v>549.10324163598955</v>
      </c>
      <c r="DK15" s="598">
        <v>12.22</v>
      </c>
      <c r="DL15" s="598">
        <v>12.22</v>
      </c>
      <c r="DM15" s="598">
        <v>12.22</v>
      </c>
      <c r="DN15" s="598">
        <v>12.22</v>
      </c>
      <c r="DO15" s="598">
        <v>11.25</v>
      </c>
      <c r="DP15" s="598">
        <v>11.25</v>
      </c>
      <c r="DQ15" s="598">
        <v>11.25</v>
      </c>
      <c r="DR15" s="598">
        <v>11.25</v>
      </c>
      <c r="DS15" s="598">
        <v>11.25</v>
      </c>
      <c r="DT15" s="505">
        <f>SUM(DO15:DS15)</f>
        <v>56.25</v>
      </c>
      <c r="DU15" s="1085">
        <f>DJ15-DT15</f>
        <v>492.85324163598955</v>
      </c>
      <c r="DV15" s="1086">
        <v>132.28200000000001</v>
      </c>
      <c r="DW15" s="515">
        <v>112.88800000000001</v>
      </c>
      <c r="DX15" s="1087">
        <f>DV15/DW15</f>
        <v>1.1717985968393452</v>
      </c>
      <c r="DY15" s="516">
        <f>DU15/CM15</f>
        <v>8.9609680297452652</v>
      </c>
      <c r="DZ15" s="516">
        <f>DY15*DX15</f>
        <v>10.500449763577734</v>
      </c>
      <c r="EA15" s="516">
        <v>10.500449763577734</v>
      </c>
      <c r="EB15" s="516">
        <v>10.500449763577734</v>
      </c>
      <c r="EC15" s="516">
        <v>10.500449763577734</v>
      </c>
      <c r="ED15" s="516">
        <v>10.500449763577734</v>
      </c>
      <c r="EE15" s="516">
        <v>10.500449763577734</v>
      </c>
      <c r="EF15" s="516">
        <v>10.500449763577734</v>
      </c>
      <c r="EG15" s="516">
        <v>10.500449763577734</v>
      </c>
      <c r="EH15" s="516">
        <v>10.500449763577734</v>
      </c>
      <c r="EI15" s="516">
        <v>10.500449763577734</v>
      </c>
      <c r="EJ15" s="516">
        <v>10.500449763577734</v>
      </c>
      <c r="EK15" s="516">
        <v>10.500449763577734</v>
      </c>
      <c r="EL15" s="516">
        <v>10.500449763577734</v>
      </c>
      <c r="EM15" s="516">
        <v>10.500449763577734</v>
      </c>
      <c r="EN15" s="516">
        <v>10.500449763577734</v>
      </c>
      <c r="EO15" s="516">
        <v>10.500449763577734</v>
      </c>
      <c r="EP15" s="516">
        <v>10.500449763577734</v>
      </c>
      <c r="EQ15" s="516">
        <v>10.500449763577734</v>
      </c>
      <c r="ER15" s="516">
        <v>10.500449763577734</v>
      </c>
      <c r="ES15" s="516">
        <f>SUM(EA15:ER15)</f>
        <v>189.00809574439921</v>
      </c>
      <c r="ET15" s="1088">
        <f>DU15-ES15</f>
        <v>303.84514589159033</v>
      </c>
    </row>
    <row r="16" spans="1:150" s="16" customFormat="1" ht="15.75" x14ac:dyDescent="0.25">
      <c r="A16" s="26" t="s">
        <v>268</v>
      </c>
      <c r="B16" s="26" t="s">
        <v>25</v>
      </c>
      <c r="C16" s="26"/>
      <c r="D16" s="58"/>
      <c r="E16" s="25"/>
      <c r="F16" s="46"/>
      <c r="G16" s="48"/>
      <c r="H16" s="145"/>
      <c r="I16" s="165"/>
      <c r="J16" s="48"/>
      <c r="K16" s="165"/>
      <c r="L16" s="48"/>
      <c r="M16" s="165"/>
      <c r="N16" s="48"/>
      <c r="O16" s="165"/>
      <c r="P16" s="48"/>
      <c r="Q16" s="48"/>
      <c r="R16" s="119"/>
      <c r="S16" s="21"/>
      <c r="T16" s="129"/>
      <c r="U16" s="14"/>
      <c r="V16" s="106"/>
      <c r="W16" s="66"/>
      <c r="X16" s="57"/>
      <c r="Y16" s="80"/>
      <c r="Z16" s="57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72"/>
      <c r="AQ16" s="55"/>
      <c r="AR16" s="55"/>
      <c r="AS16" s="55"/>
      <c r="AT16" s="55"/>
      <c r="AU16" s="55"/>
      <c r="AV16" s="55"/>
      <c r="AW16" s="55"/>
      <c r="AX16" s="599"/>
      <c r="AY16" s="600"/>
      <c r="AZ16" s="599"/>
      <c r="BA16" s="598"/>
      <c r="BB16" s="598"/>
      <c r="BC16" s="598"/>
      <c r="BD16" s="598"/>
      <c r="BE16" s="598"/>
      <c r="BF16" s="598"/>
      <c r="BG16" s="598"/>
      <c r="BH16" s="598"/>
      <c r="BI16" s="598"/>
      <c r="BJ16" s="598"/>
      <c r="BK16" s="601"/>
      <c r="BL16" s="598"/>
      <c r="BM16" s="598"/>
      <c r="BN16" s="598"/>
      <c r="BO16" s="598"/>
      <c r="BP16" s="598"/>
      <c r="BQ16" s="599"/>
      <c r="BR16" s="600"/>
      <c r="BS16" s="599"/>
      <c r="BT16" s="598"/>
      <c r="BU16" s="598"/>
      <c r="BV16" s="598"/>
      <c r="BW16" s="598"/>
      <c r="BX16" s="598"/>
      <c r="BY16" s="598"/>
      <c r="BZ16" s="598"/>
      <c r="CA16" s="598"/>
      <c r="CB16" s="598"/>
      <c r="CC16" s="598"/>
      <c r="CD16" s="601"/>
      <c r="CE16" s="58"/>
      <c r="CF16" s="25"/>
      <c r="CG16" s="46"/>
      <c r="CH16" s="145"/>
      <c r="CI16" s="165"/>
      <c r="CJ16" s="463"/>
      <c r="CK16" s="165"/>
      <c r="CL16" s="48"/>
      <c r="CM16" s="165"/>
      <c r="CN16" s="165"/>
      <c r="CO16" s="48"/>
      <c r="CP16" s="165"/>
      <c r="CQ16" s="48"/>
      <c r="CR16" s="48"/>
      <c r="CS16" s="119"/>
      <c r="CT16" s="21"/>
      <c r="CU16" s="129"/>
      <c r="CV16" s="725"/>
      <c r="CW16" s="599"/>
      <c r="CX16" s="600"/>
      <c r="CY16" s="599"/>
      <c r="CZ16" s="598"/>
      <c r="DA16" s="598"/>
      <c r="DB16" s="598"/>
      <c r="DC16" s="598"/>
      <c r="DD16" s="598"/>
      <c r="DE16" s="598"/>
      <c r="DF16" s="598"/>
      <c r="DG16" s="598"/>
      <c r="DH16" s="598"/>
      <c r="DI16" s="598"/>
      <c r="DJ16" s="601"/>
      <c r="DK16" s="598"/>
      <c r="DL16" s="598"/>
      <c r="DM16" s="598"/>
      <c r="DN16" s="598"/>
      <c r="DO16" s="598"/>
      <c r="DP16" s="598"/>
      <c r="DQ16" s="598"/>
      <c r="DR16" s="598"/>
      <c r="DS16" s="598"/>
      <c r="DT16" s="505"/>
      <c r="DU16" s="1085"/>
      <c r="DV16" s="516"/>
      <c r="DW16" s="515"/>
      <c r="DX16" s="1087"/>
      <c r="DY16" s="516"/>
      <c r="DZ16" s="516"/>
      <c r="EA16" s="516"/>
      <c r="EB16" s="516"/>
      <c r="EC16" s="516"/>
      <c r="ED16" s="516"/>
      <c r="EE16" s="516"/>
      <c r="EF16" s="516"/>
      <c r="EG16" s="516"/>
      <c r="EH16" s="516"/>
      <c r="EI16" s="516"/>
      <c r="EJ16" s="516"/>
      <c r="EK16" s="516"/>
      <c r="EL16" s="516"/>
      <c r="EM16" s="516"/>
      <c r="EN16" s="516"/>
      <c r="EO16" s="516"/>
      <c r="EP16" s="516"/>
      <c r="EQ16" s="516"/>
      <c r="ER16" s="516"/>
      <c r="ES16" s="516">
        <f t="shared" ref="ES16:ES29" si="1">SUM(EA16:ER16)</f>
        <v>0</v>
      </c>
      <c r="ET16" s="516"/>
    </row>
    <row r="17" spans="1:153" s="16" customFormat="1" ht="15.75" x14ac:dyDescent="0.25">
      <c r="A17" s="26" t="s">
        <v>269</v>
      </c>
      <c r="B17" s="29"/>
      <c r="C17" s="29"/>
      <c r="D17" s="58"/>
      <c r="E17" s="25"/>
      <c r="F17" s="46"/>
      <c r="G17" s="48"/>
      <c r="H17" s="145"/>
      <c r="I17" s="165"/>
      <c r="J17" s="48"/>
      <c r="K17" s="165"/>
      <c r="L17" s="48"/>
      <c r="M17" s="165"/>
      <c r="N17" s="48"/>
      <c r="O17" s="165"/>
      <c r="P17" s="48"/>
      <c r="Q17" s="48"/>
      <c r="R17" s="119"/>
      <c r="S17" s="20"/>
      <c r="T17" s="129"/>
      <c r="U17" s="14"/>
      <c r="V17" s="106"/>
      <c r="W17" s="66"/>
      <c r="X17" s="57"/>
      <c r="Y17" s="80"/>
      <c r="Z17" s="57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72"/>
      <c r="AQ17" s="55"/>
      <c r="AR17" s="55"/>
      <c r="AS17" s="55"/>
      <c r="AT17" s="55"/>
      <c r="AU17" s="55"/>
      <c r="AV17" s="55"/>
      <c r="AW17" s="55"/>
      <c r="AX17" s="599"/>
      <c r="AY17" s="600"/>
      <c r="AZ17" s="599"/>
      <c r="BA17" s="598"/>
      <c r="BB17" s="598"/>
      <c r="BC17" s="598"/>
      <c r="BD17" s="598"/>
      <c r="BE17" s="598"/>
      <c r="BF17" s="598"/>
      <c r="BG17" s="598"/>
      <c r="BH17" s="598"/>
      <c r="BI17" s="598"/>
      <c r="BJ17" s="598"/>
      <c r="BK17" s="601"/>
      <c r="BL17" s="598"/>
      <c r="BM17" s="598"/>
      <c r="BN17" s="598"/>
      <c r="BO17" s="598"/>
      <c r="BP17" s="598"/>
      <c r="BQ17" s="599"/>
      <c r="BR17" s="600"/>
      <c r="BS17" s="599"/>
      <c r="BT17" s="598"/>
      <c r="BU17" s="598"/>
      <c r="BV17" s="598"/>
      <c r="BW17" s="598"/>
      <c r="BX17" s="598"/>
      <c r="BY17" s="598"/>
      <c r="BZ17" s="598"/>
      <c r="CA17" s="598"/>
      <c r="CB17" s="598"/>
      <c r="CC17" s="598"/>
      <c r="CD17" s="601"/>
      <c r="CE17" s="58"/>
      <c r="CF17" s="25"/>
      <c r="CG17" s="46"/>
      <c r="CH17" s="48"/>
      <c r="CI17" s="145"/>
      <c r="CJ17" s="165"/>
      <c r="CK17" s="48"/>
      <c r="CL17" s="165"/>
      <c r="CM17" s="48"/>
      <c r="CN17" s="165"/>
      <c r="CO17" s="48"/>
      <c r="CP17" s="165"/>
      <c r="CQ17" s="48"/>
      <c r="CR17" s="48"/>
      <c r="CS17" s="119"/>
      <c r="CT17" s="20"/>
      <c r="CU17" s="129"/>
      <c r="CV17" s="725"/>
      <c r="CW17" s="599"/>
      <c r="CX17" s="600"/>
      <c r="CY17" s="599"/>
      <c r="CZ17" s="598"/>
      <c r="DA17" s="598"/>
      <c r="DB17" s="598"/>
      <c r="DC17" s="598"/>
      <c r="DD17" s="598"/>
      <c r="DE17" s="598"/>
      <c r="DF17" s="598"/>
      <c r="DG17" s="598"/>
      <c r="DH17" s="598"/>
      <c r="DI17" s="598"/>
      <c r="DJ17" s="601"/>
      <c r="DK17" s="598"/>
      <c r="DL17" s="598"/>
      <c r="DM17" s="598"/>
      <c r="DN17" s="598"/>
      <c r="DO17" s="598"/>
      <c r="DP17" s="598"/>
      <c r="DQ17" s="598"/>
      <c r="DR17" s="598"/>
      <c r="DS17" s="598"/>
      <c r="DT17" s="505"/>
      <c r="DU17" s="1085"/>
      <c r="DV17" s="520"/>
      <c r="DW17" s="515"/>
      <c r="DX17" s="1087"/>
      <c r="DY17" s="516"/>
      <c r="DZ17" s="516"/>
      <c r="EA17" s="516"/>
      <c r="EB17" s="516"/>
      <c r="EC17" s="516"/>
      <c r="ED17" s="516"/>
      <c r="EE17" s="516"/>
      <c r="EF17" s="516"/>
      <c r="EG17" s="516"/>
      <c r="EH17" s="516"/>
      <c r="EI17" s="516"/>
      <c r="EJ17" s="516"/>
      <c r="EK17" s="516"/>
      <c r="EL17" s="516"/>
      <c r="EM17" s="516"/>
      <c r="EN17" s="516"/>
      <c r="EO17" s="516"/>
      <c r="EP17" s="516"/>
      <c r="EQ17" s="516"/>
      <c r="ER17" s="516"/>
      <c r="ES17" s="516">
        <f t="shared" si="1"/>
        <v>0</v>
      </c>
      <c r="ET17" s="516"/>
    </row>
    <row r="18" spans="1:153" s="35" customFormat="1" ht="15.75" x14ac:dyDescent="0.25">
      <c r="A18" s="100" t="s">
        <v>330</v>
      </c>
      <c r="B18" s="100" t="s">
        <v>331</v>
      </c>
      <c r="C18" s="100" t="s">
        <v>332</v>
      </c>
      <c r="D18" s="8">
        <v>36</v>
      </c>
      <c r="E18" s="130">
        <v>0.33329999999999999</v>
      </c>
      <c r="F18" s="119">
        <v>42185</v>
      </c>
      <c r="G18" s="125">
        <v>36</v>
      </c>
      <c r="H18" s="146">
        <f>100/G18</f>
        <v>2.7777777777777777</v>
      </c>
      <c r="I18" s="1167">
        <f>H18*J18</f>
        <v>80.555555555555557</v>
      </c>
      <c r="J18" s="125">
        <f>(YEAR(F18)-YEAR(S18))*12+MONTH(F18)-MONTH(S18)</f>
        <v>29</v>
      </c>
      <c r="K18" s="1167">
        <f>L18*H18</f>
        <v>19.444444444444443</v>
      </c>
      <c r="L18" s="125">
        <f>G18-J18</f>
        <v>7</v>
      </c>
      <c r="M18" s="1167">
        <f>N18*H18</f>
        <v>19.444444444444443</v>
      </c>
      <c r="N18" s="125">
        <v>7</v>
      </c>
      <c r="O18" s="1167">
        <f>P18*H18</f>
        <v>0</v>
      </c>
      <c r="P18" s="125">
        <f>L18-N18</f>
        <v>0</v>
      </c>
      <c r="Q18" s="125"/>
      <c r="R18" s="119" t="s">
        <v>549</v>
      </c>
      <c r="S18" s="119">
        <v>41277</v>
      </c>
      <c r="T18" s="129">
        <v>116</v>
      </c>
      <c r="U18" s="134">
        <v>389.05</v>
      </c>
      <c r="V18" s="7">
        <v>277.75</v>
      </c>
      <c r="W18" s="1167">
        <v>0</v>
      </c>
      <c r="X18" s="64">
        <v>115.958</v>
      </c>
      <c r="Y18" s="82">
        <v>109.328</v>
      </c>
      <c r="Z18" s="64">
        <f>X18/Y18</f>
        <v>1.0606432021074199</v>
      </c>
      <c r="AA18" s="62">
        <f>U18*M18/100/K18*100/7</f>
        <v>55.578571428571429</v>
      </c>
      <c r="AB18" s="62">
        <f>AA18*Z18</f>
        <v>58.949033968555959</v>
      </c>
      <c r="AC18" s="62"/>
      <c r="AD18" s="62"/>
      <c r="AE18" s="62"/>
      <c r="AF18" s="62"/>
      <c r="AG18" s="62"/>
      <c r="AH18" s="62">
        <v>58.95</v>
      </c>
      <c r="AI18" s="62">
        <v>58.95</v>
      </c>
      <c r="AJ18" s="62">
        <v>58.95</v>
      </c>
      <c r="AK18" s="62">
        <v>58.95</v>
      </c>
      <c r="AL18" s="62">
        <v>58.95</v>
      </c>
      <c r="AM18" s="62">
        <v>58.95</v>
      </c>
      <c r="AN18" s="62">
        <v>34.35</v>
      </c>
      <c r="AO18" s="62">
        <f>SUM(AC18:AN18)</f>
        <v>388.05</v>
      </c>
      <c r="AP18" s="1169">
        <f>U18-AO18</f>
        <v>1</v>
      </c>
      <c r="AQ18" s="62"/>
      <c r="AR18" s="62"/>
      <c r="AS18" s="62">
        <v>0</v>
      </c>
      <c r="AT18" s="62"/>
      <c r="AU18" s="62"/>
      <c r="AV18" s="62"/>
      <c r="AW18" s="62"/>
      <c r="AX18" s="1192">
        <v>118.901</v>
      </c>
      <c r="AY18" s="602">
        <v>109.328</v>
      </c>
      <c r="AZ18" s="1192">
        <f>AX18/AY18</f>
        <v>1.0875621981560075</v>
      </c>
      <c r="BA18" s="1193">
        <f t="shared" ref="BA18:BA25" si="2">T18/(D18*12)</f>
        <v>0.26851851851851855</v>
      </c>
      <c r="BB18" s="1193">
        <f t="shared" ref="BB18:BB25" si="3">BA18*AZ18</f>
        <v>0.29203059024559463</v>
      </c>
      <c r="BC18" s="1193"/>
      <c r="BD18" s="1193"/>
      <c r="BE18" s="1193"/>
      <c r="BF18" s="1193"/>
      <c r="BG18" s="1193"/>
      <c r="BH18" s="1193"/>
      <c r="BI18" s="1193"/>
      <c r="BJ18" s="1193">
        <f t="shared" ref="BJ18:BJ25" si="4">SUM((AS18:AW18),(BC18:BI18))</f>
        <v>0</v>
      </c>
      <c r="BK18" s="1194">
        <f t="shared" si="0"/>
        <v>1</v>
      </c>
      <c r="BL18" s="1193"/>
      <c r="BM18" s="1193"/>
      <c r="BN18" s="1193"/>
      <c r="BO18" s="1193"/>
      <c r="BP18" s="1193"/>
      <c r="BQ18" s="1192">
        <v>118.901</v>
      </c>
      <c r="BR18" s="602">
        <v>109.328</v>
      </c>
      <c r="BS18" s="1192">
        <f>BQ18/BR18</f>
        <v>1.0875621981560075</v>
      </c>
      <c r="BT18" s="1193"/>
      <c r="BU18" s="1193"/>
      <c r="BV18" s="1193"/>
      <c r="BW18" s="1193"/>
      <c r="BX18" s="1193"/>
      <c r="BY18" s="1193"/>
      <c r="BZ18" s="1193"/>
      <c r="CA18" s="1193"/>
      <c r="CB18" s="1193"/>
      <c r="CC18" s="1193">
        <f>SUM((BL18:BP18),(BV18:CB18))</f>
        <v>0</v>
      </c>
      <c r="CD18" s="1194">
        <f>BK18-CC18</f>
        <v>1</v>
      </c>
      <c r="CE18" s="8">
        <v>36</v>
      </c>
      <c r="CF18" s="130">
        <v>0.33329999999999999</v>
      </c>
      <c r="CG18" s="119">
        <v>43281</v>
      </c>
      <c r="CH18" s="125">
        <v>36</v>
      </c>
      <c r="CI18" s="146">
        <f>CU18/CH18/100</f>
        <v>3.2222222222222222E-2</v>
      </c>
      <c r="CJ18" s="1167">
        <f>CI18*CK18</f>
        <v>0</v>
      </c>
      <c r="CK18" s="183">
        <v>0</v>
      </c>
      <c r="CL18" s="1167">
        <f>CM18*CI18</f>
        <v>1.1599999999999999</v>
      </c>
      <c r="CM18" s="125">
        <f>CH18-CK18</f>
        <v>36</v>
      </c>
      <c r="CN18" s="1167">
        <f>CO18*CI18</f>
        <v>0.22555555555555556</v>
      </c>
      <c r="CO18" s="125">
        <v>7</v>
      </c>
      <c r="CP18" s="1167">
        <f>CQ18*CI18</f>
        <v>0.93444444444444441</v>
      </c>
      <c r="CQ18" s="125">
        <f>CM18-CO18</f>
        <v>29</v>
      </c>
      <c r="CR18" s="367">
        <f>DATE(YEAR(CT18),MONTH(CT18)+CH18,DAY(CT18))</f>
        <v>42372</v>
      </c>
      <c r="CS18" s="119" t="s">
        <v>549</v>
      </c>
      <c r="CT18" s="119">
        <v>41277</v>
      </c>
      <c r="CU18" s="129">
        <v>116</v>
      </c>
      <c r="CV18" s="960">
        <v>1</v>
      </c>
      <c r="CW18" s="1192"/>
      <c r="CX18" s="602"/>
      <c r="CY18" s="1192"/>
      <c r="CZ18" s="1193"/>
      <c r="DA18" s="1193"/>
      <c r="DB18" s="1193"/>
      <c r="DC18" s="1193"/>
      <c r="DD18" s="1193"/>
      <c r="DE18" s="1193"/>
      <c r="DF18" s="1193"/>
      <c r="DG18" s="1193"/>
      <c r="DH18" s="1193"/>
      <c r="DI18" s="1193">
        <f>SUM(DB18:DH18)</f>
        <v>0</v>
      </c>
      <c r="DJ18" s="1194">
        <f>CV18-DI18</f>
        <v>1</v>
      </c>
      <c r="DK18" s="1193"/>
      <c r="DL18" s="1193"/>
      <c r="DM18" s="1193"/>
      <c r="DN18" s="1193"/>
      <c r="DO18" s="1193"/>
      <c r="DP18" s="1193"/>
      <c r="DQ18" s="1193"/>
      <c r="DR18" s="1193"/>
      <c r="DS18" s="1193"/>
      <c r="DT18" s="1170"/>
      <c r="DU18" s="1085">
        <f t="shared" ref="DU18:DU29" si="5">DJ18-DT18</f>
        <v>1</v>
      </c>
      <c r="DV18" s="1195">
        <v>132.28200000000001</v>
      </c>
      <c r="DW18" s="690">
        <v>0</v>
      </c>
      <c r="DX18" s="1196">
        <v>0</v>
      </c>
      <c r="DY18" s="538">
        <v>0</v>
      </c>
      <c r="DZ18" s="538">
        <f>DY18*DX18</f>
        <v>0</v>
      </c>
      <c r="EA18" s="538">
        <v>0</v>
      </c>
      <c r="EB18" s="538">
        <v>0</v>
      </c>
      <c r="EC18" s="538">
        <v>0</v>
      </c>
      <c r="ED18" s="538">
        <v>0</v>
      </c>
      <c r="EE18" s="538">
        <v>0</v>
      </c>
      <c r="EF18" s="538">
        <v>0</v>
      </c>
      <c r="EG18" s="538">
        <v>0</v>
      </c>
      <c r="EH18" s="538">
        <v>0</v>
      </c>
      <c r="EI18" s="538">
        <v>0</v>
      </c>
      <c r="EJ18" s="538">
        <v>0</v>
      </c>
      <c r="EK18" s="538">
        <v>0</v>
      </c>
      <c r="EL18" s="538">
        <v>0</v>
      </c>
      <c r="EM18" s="538">
        <v>0</v>
      </c>
      <c r="EN18" s="538">
        <v>0</v>
      </c>
      <c r="EO18" s="538">
        <v>0</v>
      </c>
      <c r="EP18" s="538">
        <v>0</v>
      </c>
      <c r="EQ18" s="538">
        <v>0</v>
      </c>
      <c r="ER18" s="538">
        <v>0</v>
      </c>
      <c r="ES18" s="538">
        <f t="shared" si="1"/>
        <v>0</v>
      </c>
      <c r="ET18" s="1088">
        <f>DU18-ES18</f>
        <v>1</v>
      </c>
    </row>
    <row r="19" spans="1:153" s="35" customFormat="1" ht="15.75" x14ac:dyDescent="0.25">
      <c r="A19" s="120" t="s">
        <v>539</v>
      </c>
      <c r="B19" s="120"/>
      <c r="C19" s="100"/>
      <c r="D19" s="111"/>
      <c r="E19" s="130"/>
      <c r="F19" s="119"/>
      <c r="G19" s="125"/>
      <c r="H19" s="146"/>
      <c r="I19" s="1167"/>
      <c r="J19" s="125"/>
      <c r="K19" s="1167"/>
      <c r="L19" s="125"/>
      <c r="M19" s="1167"/>
      <c r="N19" s="125"/>
      <c r="O19" s="1167"/>
      <c r="P19" s="125"/>
      <c r="Q19" s="125"/>
      <c r="R19" s="125"/>
      <c r="S19" s="119"/>
      <c r="T19" s="134"/>
      <c r="U19" s="134"/>
      <c r="V19" s="7"/>
      <c r="W19" s="64"/>
      <c r="X19" s="64"/>
      <c r="Y19" s="82"/>
      <c r="Z19" s="64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1169"/>
      <c r="AQ19" s="62"/>
      <c r="AR19" s="62"/>
      <c r="AS19" s="62"/>
      <c r="AT19" s="62"/>
      <c r="AU19" s="62"/>
      <c r="AV19" s="62"/>
      <c r="AW19" s="62"/>
      <c r="AX19" s="1192"/>
      <c r="AY19" s="602"/>
      <c r="AZ19" s="1192"/>
      <c r="BA19" s="1193"/>
      <c r="BB19" s="1193"/>
      <c r="BC19" s="1193"/>
      <c r="BD19" s="1193"/>
      <c r="BE19" s="1193"/>
      <c r="BF19" s="1193"/>
      <c r="BG19" s="1193"/>
      <c r="BH19" s="1193"/>
      <c r="BI19" s="1193"/>
      <c r="BJ19" s="1193"/>
      <c r="BK19" s="1194"/>
      <c r="BL19" s="1193"/>
      <c r="BM19" s="1193"/>
      <c r="BN19" s="1193"/>
      <c r="BO19" s="1193"/>
      <c r="BP19" s="1193"/>
      <c r="BQ19" s="1192"/>
      <c r="BR19" s="602"/>
      <c r="BS19" s="1192"/>
      <c r="BT19" s="1193"/>
      <c r="BU19" s="1193"/>
      <c r="BV19" s="1193"/>
      <c r="BW19" s="1193"/>
      <c r="BX19" s="1193"/>
      <c r="BY19" s="1193"/>
      <c r="BZ19" s="1193"/>
      <c r="CA19" s="1193"/>
      <c r="CB19" s="1193"/>
      <c r="CC19" s="1193"/>
      <c r="CD19" s="1194"/>
      <c r="CE19" s="111"/>
      <c r="CF19" s="130"/>
      <c r="CG19" s="119"/>
      <c r="CH19" s="125"/>
      <c r="CI19" s="146"/>
      <c r="CJ19" s="1167"/>
      <c r="CK19" s="125"/>
      <c r="CL19" s="1167"/>
      <c r="CM19" s="125"/>
      <c r="CN19" s="1167"/>
      <c r="CO19" s="125"/>
      <c r="CP19" s="1167"/>
      <c r="CQ19" s="125"/>
      <c r="CR19" s="125"/>
      <c r="CS19" s="125"/>
      <c r="CT19" s="119"/>
      <c r="CU19" s="134"/>
      <c r="CV19" s="960"/>
      <c r="CW19" s="1192"/>
      <c r="CX19" s="602"/>
      <c r="CY19" s="1192"/>
      <c r="CZ19" s="1193"/>
      <c r="DA19" s="1193"/>
      <c r="DB19" s="1193"/>
      <c r="DC19" s="1193"/>
      <c r="DD19" s="1193"/>
      <c r="DE19" s="1193"/>
      <c r="DF19" s="1193"/>
      <c r="DG19" s="1193"/>
      <c r="DH19" s="1193"/>
      <c r="DI19" s="1193"/>
      <c r="DJ19" s="1194"/>
      <c r="DK19" s="1193"/>
      <c r="DL19" s="1193"/>
      <c r="DM19" s="1193"/>
      <c r="DN19" s="1193"/>
      <c r="DO19" s="1193"/>
      <c r="DP19" s="1193"/>
      <c r="DQ19" s="1193"/>
      <c r="DR19" s="1193"/>
      <c r="DS19" s="1193"/>
      <c r="DT19" s="1170"/>
      <c r="DU19" s="1085"/>
      <c r="DV19" s="538"/>
      <c r="DW19" s="690"/>
      <c r="DX19" s="1196"/>
      <c r="DY19" s="538"/>
      <c r="DZ19" s="538"/>
      <c r="EA19" s="538"/>
      <c r="EB19" s="538"/>
      <c r="EC19" s="538"/>
      <c r="ED19" s="538"/>
      <c r="EE19" s="538"/>
      <c r="EF19" s="538"/>
      <c r="EG19" s="538"/>
      <c r="EH19" s="538"/>
      <c r="EI19" s="538"/>
      <c r="EJ19" s="538"/>
      <c r="EK19" s="538"/>
      <c r="EL19" s="538"/>
      <c r="EM19" s="538"/>
      <c r="EN19" s="538"/>
      <c r="EO19" s="538"/>
      <c r="EP19" s="538"/>
      <c r="EQ19" s="538"/>
      <c r="ER19" s="538"/>
      <c r="ES19" s="538">
        <f t="shared" si="1"/>
        <v>0</v>
      </c>
      <c r="ET19" s="538"/>
    </row>
    <row r="20" spans="1:153" s="35" customFormat="1" ht="15.75" x14ac:dyDescent="0.25">
      <c r="A20" s="120" t="s">
        <v>83</v>
      </c>
      <c r="B20" s="100"/>
      <c r="C20" s="100"/>
      <c r="D20" s="8"/>
      <c r="E20" s="130"/>
      <c r="F20" s="119"/>
      <c r="G20" s="125"/>
      <c r="H20" s="146"/>
      <c r="I20" s="1167"/>
      <c r="J20" s="125"/>
      <c r="K20" s="1167"/>
      <c r="L20" s="125"/>
      <c r="M20" s="1167"/>
      <c r="N20" s="125"/>
      <c r="O20" s="1167"/>
      <c r="P20" s="125"/>
      <c r="Q20" s="125"/>
      <c r="R20" s="125"/>
      <c r="S20" s="119"/>
      <c r="T20" s="134"/>
      <c r="U20" s="134"/>
      <c r="V20" s="7"/>
      <c r="W20" s="64"/>
      <c r="X20" s="64"/>
      <c r="Y20" s="82"/>
      <c r="Z20" s="64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1169"/>
      <c r="AQ20" s="62"/>
      <c r="AR20" s="62"/>
      <c r="AS20" s="62"/>
      <c r="AT20" s="62"/>
      <c r="AU20" s="62"/>
      <c r="AV20" s="62"/>
      <c r="AW20" s="62"/>
      <c r="AX20" s="1192"/>
      <c r="AY20" s="602"/>
      <c r="AZ20" s="1192"/>
      <c r="BA20" s="1193"/>
      <c r="BB20" s="1193"/>
      <c r="BC20" s="1193"/>
      <c r="BD20" s="1193"/>
      <c r="BE20" s="1193"/>
      <c r="BF20" s="1193"/>
      <c r="BG20" s="1193"/>
      <c r="BH20" s="1193"/>
      <c r="BI20" s="1193"/>
      <c r="BJ20" s="1193"/>
      <c r="BK20" s="1194"/>
      <c r="BL20" s="1193"/>
      <c r="BM20" s="1193"/>
      <c r="BN20" s="1193"/>
      <c r="BO20" s="1193"/>
      <c r="BP20" s="1193"/>
      <c r="BQ20" s="1192"/>
      <c r="BR20" s="602"/>
      <c r="BS20" s="1192"/>
      <c r="BT20" s="1193"/>
      <c r="BU20" s="1193"/>
      <c r="BV20" s="1193"/>
      <c r="BW20" s="1193"/>
      <c r="BX20" s="1193"/>
      <c r="BY20" s="1193"/>
      <c r="BZ20" s="1193"/>
      <c r="CA20" s="1193"/>
      <c r="CB20" s="1193"/>
      <c r="CC20" s="1193"/>
      <c r="CD20" s="1194"/>
      <c r="CE20" s="8"/>
      <c r="CF20" s="130"/>
      <c r="CG20" s="119"/>
      <c r="CH20" s="125"/>
      <c r="CI20" s="146"/>
      <c r="CJ20" s="1167"/>
      <c r="CK20" s="125"/>
      <c r="CL20" s="1167"/>
      <c r="CM20" s="125"/>
      <c r="CN20" s="1167"/>
      <c r="CO20" s="125"/>
      <c r="CP20" s="1167"/>
      <c r="CQ20" s="125"/>
      <c r="CR20" s="125"/>
      <c r="CS20" s="125"/>
      <c r="CT20" s="119"/>
      <c r="CU20" s="134"/>
      <c r="CV20" s="960"/>
      <c r="CW20" s="1192"/>
      <c r="CX20" s="602"/>
      <c r="CY20" s="1192"/>
      <c r="CZ20" s="1193"/>
      <c r="DA20" s="1193"/>
      <c r="DB20" s="1193"/>
      <c r="DC20" s="1193"/>
      <c r="DD20" s="1193"/>
      <c r="DE20" s="1193"/>
      <c r="DF20" s="1193"/>
      <c r="DG20" s="1193"/>
      <c r="DH20" s="1193"/>
      <c r="DI20" s="1193"/>
      <c r="DJ20" s="1194"/>
      <c r="DK20" s="1193"/>
      <c r="DL20" s="1193"/>
      <c r="DM20" s="1193"/>
      <c r="DN20" s="1193"/>
      <c r="DO20" s="1193"/>
      <c r="DP20" s="1193"/>
      <c r="DQ20" s="1193"/>
      <c r="DR20" s="1193"/>
      <c r="DS20" s="1193"/>
      <c r="DT20" s="1170"/>
      <c r="DU20" s="1085"/>
      <c r="DV20" s="538"/>
      <c r="DW20" s="690"/>
      <c r="DX20" s="538"/>
      <c r="DY20" s="538"/>
      <c r="DZ20" s="538"/>
      <c r="EA20" s="538"/>
      <c r="EB20" s="538"/>
      <c r="EC20" s="538"/>
      <c r="ED20" s="538"/>
      <c r="EE20" s="538"/>
      <c r="EF20" s="538"/>
      <c r="EG20" s="538"/>
      <c r="EH20" s="538"/>
      <c r="EI20" s="538"/>
      <c r="EJ20" s="538"/>
      <c r="EK20" s="538"/>
      <c r="EL20" s="538"/>
      <c r="EM20" s="538"/>
      <c r="EN20" s="538"/>
      <c r="EO20" s="538"/>
      <c r="EP20" s="538"/>
      <c r="EQ20" s="538"/>
      <c r="ER20" s="538"/>
      <c r="ES20" s="538">
        <f t="shared" si="1"/>
        <v>0</v>
      </c>
      <c r="ET20" s="538"/>
    </row>
    <row r="21" spans="1:153" s="35" customFormat="1" ht="15.75" x14ac:dyDescent="0.25">
      <c r="A21" s="100" t="s">
        <v>715</v>
      </c>
      <c r="B21" s="100" t="s">
        <v>713</v>
      </c>
      <c r="C21" s="100" t="s">
        <v>332</v>
      </c>
      <c r="D21" s="8">
        <v>10</v>
      </c>
      <c r="E21" s="130">
        <v>0.1</v>
      </c>
      <c r="F21" s="119">
        <v>42335</v>
      </c>
      <c r="G21" s="125">
        <v>120</v>
      </c>
      <c r="H21" s="146">
        <f>100/G21</f>
        <v>0.83333333333333337</v>
      </c>
      <c r="I21" s="1167">
        <f>H21*J21</f>
        <v>0</v>
      </c>
      <c r="J21" s="125">
        <f>(YEAR(F21)-YEAR(S21))*12+MONTH(F21)-MONTH(S21)</f>
        <v>0</v>
      </c>
      <c r="K21" s="1167">
        <f>L21*H21</f>
        <v>100</v>
      </c>
      <c r="L21" s="125">
        <f>G21-J21</f>
        <v>120</v>
      </c>
      <c r="M21" s="1167">
        <f>N21*H21</f>
        <v>0.83333333333333337</v>
      </c>
      <c r="N21" s="125">
        <v>1</v>
      </c>
      <c r="O21" s="1167">
        <f>P21*H21</f>
        <v>99.166666666666671</v>
      </c>
      <c r="P21" s="125">
        <f>L21-N21</f>
        <v>119</v>
      </c>
      <c r="Q21" s="125">
        <f>M21-O21</f>
        <v>-98.333333333333343</v>
      </c>
      <c r="R21" s="125">
        <v>4658</v>
      </c>
      <c r="S21" s="119">
        <v>42335</v>
      </c>
      <c r="T21" s="134">
        <v>734</v>
      </c>
      <c r="U21" s="64">
        <v>0</v>
      </c>
      <c r="V21" s="62">
        <v>0</v>
      </c>
      <c r="W21" s="62">
        <v>118.051</v>
      </c>
      <c r="X21" s="64">
        <v>115.958</v>
      </c>
      <c r="Y21" s="62">
        <v>118.051</v>
      </c>
      <c r="Z21" s="64">
        <f>X21/Y21</f>
        <v>0.98227037466857536</v>
      </c>
      <c r="AA21" s="62">
        <f>H21*T21/100</f>
        <v>6.1166666666666671</v>
      </c>
      <c r="AB21" s="62">
        <f>AA21*Z21</f>
        <v>6.0082204583894532</v>
      </c>
      <c r="AC21" s="62"/>
      <c r="AD21" s="62"/>
      <c r="AE21" s="62"/>
      <c r="AF21" s="62"/>
      <c r="AG21" s="62"/>
      <c r="AH21" s="62"/>
      <c r="AI21" s="62"/>
      <c r="AJ21" s="62"/>
      <c r="AK21" s="1169"/>
      <c r="AL21" s="1169"/>
      <c r="AM21" s="1169"/>
      <c r="AN21" s="1169">
        <f>AB21</f>
        <v>6.0082204583894532</v>
      </c>
      <c r="AO21" s="1169">
        <f>AN21</f>
        <v>6.0082204583894532</v>
      </c>
      <c r="AP21" s="1169">
        <f>T21-AO21</f>
        <v>727.99177954161053</v>
      </c>
      <c r="AQ21" s="62"/>
      <c r="AR21" s="62"/>
      <c r="AS21" s="62">
        <f t="shared" ref="AS21:AW24" si="6">$AN21</f>
        <v>6.0082204583894532</v>
      </c>
      <c r="AT21" s="62">
        <f t="shared" si="6"/>
        <v>6.0082204583894532</v>
      </c>
      <c r="AU21" s="62">
        <f t="shared" si="6"/>
        <v>6.0082204583894532</v>
      </c>
      <c r="AV21" s="62">
        <f t="shared" si="6"/>
        <v>6.0082204583894532</v>
      </c>
      <c r="AW21" s="62">
        <f t="shared" si="6"/>
        <v>6.0082204583894532</v>
      </c>
      <c r="AX21" s="1192">
        <v>118.901</v>
      </c>
      <c r="AY21" s="1193">
        <v>118.051</v>
      </c>
      <c r="AZ21" s="1192">
        <f>AX21/AY21</f>
        <v>1.0072002778460156</v>
      </c>
      <c r="BA21" s="1193">
        <f t="shared" si="2"/>
        <v>6.1166666666666663</v>
      </c>
      <c r="BB21" s="1193">
        <f t="shared" si="3"/>
        <v>6.1607083661581283</v>
      </c>
      <c r="BC21" s="1193">
        <f t="shared" ref="BC21:BF25" si="7">$BB21</f>
        <v>6.1607083661581283</v>
      </c>
      <c r="BD21" s="1193">
        <f t="shared" si="7"/>
        <v>6.1607083661581283</v>
      </c>
      <c r="BE21" s="1193">
        <f t="shared" si="7"/>
        <v>6.1607083661581283</v>
      </c>
      <c r="BF21" s="1193">
        <f t="shared" si="7"/>
        <v>6.1607083661581283</v>
      </c>
      <c r="BG21" s="1193">
        <v>6.16</v>
      </c>
      <c r="BH21" s="1193">
        <v>6.16</v>
      </c>
      <c r="BI21" s="1193">
        <v>6.16</v>
      </c>
      <c r="BJ21" s="1193">
        <f t="shared" si="4"/>
        <v>73.163935756579761</v>
      </c>
      <c r="BK21" s="1194">
        <f t="shared" si="0"/>
        <v>654.82784378503072</v>
      </c>
      <c r="BL21" s="1193">
        <v>6.16</v>
      </c>
      <c r="BM21" s="1193">
        <v>6.16</v>
      </c>
      <c r="BN21" s="1193">
        <v>6.16</v>
      </c>
      <c r="BO21" s="1193">
        <v>6.16</v>
      </c>
      <c r="BP21" s="1193">
        <v>6.16</v>
      </c>
      <c r="BQ21" s="1192">
        <v>118.901</v>
      </c>
      <c r="BR21" s="1193">
        <v>118.051</v>
      </c>
      <c r="BS21" s="1192">
        <f>BQ21/BR21</f>
        <v>1.0072002778460156</v>
      </c>
      <c r="BT21" s="1193"/>
      <c r="BU21" s="1193"/>
      <c r="BV21" s="1193"/>
      <c r="BW21" s="1193"/>
      <c r="BX21" s="1193"/>
      <c r="BY21" s="1193"/>
      <c r="BZ21" s="1193"/>
      <c r="CA21" s="1193"/>
      <c r="CB21" s="1193"/>
      <c r="CC21" s="1193">
        <f>SUM((BL21:BP21),(BV21:CB21))</f>
        <v>30.8</v>
      </c>
      <c r="CD21" s="1194">
        <f>BK21-CC21</f>
        <v>624.02784378503077</v>
      </c>
      <c r="CE21" s="8">
        <v>10</v>
      </c>
      <c r="CF21" s="130">
        <v>0.1</v>
      </c>
      <c r="CG21" s="119">
        <v>43281</v>
      </c>
      <c r="CH21" s="125">
        <v>120</v>
      </c>
      <c r="CI21" s="146">
        <f>CU21/CH21/100</f>
        <v>6.1166666666666661E-2</v>
      </c>
      <c r="CJ21" s="1167">
        <f>CI21*CK21</f>
        <v>1.8961666666666666</v>
      </c>
      <c r="CK21" s="125">
        <f>(YEAR(CG21)-YEAR(CT21))*12+MONTH(CG21)-MONTH(CT21)</f>
        <v>31</v>
      </c>
      <c r="CL21" s="1167">
        <f>CM21*CI21</f>
        <v>5.4438333333333331</v>
      </c>
      <c r="CM21" s="125">
        <f>CH21-CK21</f>
        <v>89</v>
      </c>
      <c r="CN21" s="1167">
        <f>CO21*CI21</f>
        <v>6.1166666666666661E-2</v>
      </c>
      <c r="CO21" s="125">
        <v>1</v>
      </c>
      <c r="CP21" s="1167">
        <f>CQ21*CI21</f>
        <v>5.3826666666666663</v>
      </c>
      <c r="CQ21" s="125">
        <f>CM21-CO21</f>
        <v>88</v>
      </c>
      <c r="CR21" s="119">
        <f>DATE(YEAR(CT21),MONTH(CT21)+CH21,DAY(CT21))</f>
        <v>45988</v>
      </c>
      <c r="CS21" s="125">
        <v>4658</v>
      </c>
      <c r="CT21" s="119">
        <v>42335</v>
      </c>
      <c r="CU21" s="134">
        <v>734</v>
      </c>
      <c r="CV21" s="960">
        <v>624.02784378503077</v>
      </c>
      <c r="CW21" s="1192">
        <v>126.408</v>
      </c>
      <c r="CX21" s="1193">
        <v>118.051</v>
      </c>
      <c r="CY21" s="1192">
        <f>CW21/CX21</f>
        <v>1.0707914375990037</v>
      </c>
      <c r="CZ21" s="1193">
        <f>CV21/CM21</f>
        <v>7.0115488065733791</v>
      </c>
      <c r="DA21" s="1193">
        <f>CZ21*CY21</f>
        <v>7.5079064263862874</v>
      </c>
      <c r="DB21" s="1193">
        <v>6.6158779400829664</v>
      </c>
      <c r="DC21" s="1193"/>
      <c r="DD21" s="1193">
        <v>13.24</v>
      </c>
      <c r="DE21" s="1193">
        <v>13.24</v>
      </c>
      <c r="DF21" s="1193">
        <v>13.24</v>
      </c>
      <c r="DG21" s="1193">
        <v>13.24</v>
      </c>
      <c r="DH21" s="1193">
        <v>13.24</v>
      </c>
      <c r="DI21" s="1193">
        <f>SUM(DB21:DH21)</f>
        <v>72.81587794008297</v>
      </c>
      <c r="DJ21" s="1194">
        <f>CV21-DI21</f>
        <v>551.21196584494783</v>
      </c>
      <c r="DK21" s="1193">
        <v>6.16</v>
      </c>
      <c r="DL21" s="1193">
        <v>6.16</v>
      </c>
      <c r="DM21" s="1193">
        <v>6.16</v>
      </c>
      <c r="DN21" s="1193">
        <v>6.16</v>
      </c>
      <c r="DO21" s="1193">
        <v>6.62</v>
      </c>
      <c r="DP21" s="1193">
        <v>6.62</v>
      </c>
      <c r="DQ21" s="1193">
        <v>6.62</v>
      </c>
      <c r="DR21" s="1193">
        <v>6.62</v>
      </c>
      <c r="DS21" s="1193">
        <v>6.62</v>
      </c>
      <c r="DT21" s="1170">
        <f>SUM(DO21:DS21)</f>
        <v>33.1</v>
      </c>
      <c r="DU21" s="1085">
        <f t="shared" si="5"/>
        <v>518.1119658449478</v>
      </c>
      <c r="DV21" s="1195">
        <v>132.28200000000001</v>
      </c>
      <c r="DW21" s="538">
        <v>118.051</v>
      </c>
      <c r="DX21" s="1196">
        <f>DV21/DW21</f>
        <v>1.1205495929725289</v>
      </c>
      <c r="DY21" s="538">
        <f>DU21/CM21</f>
        <v>5.8214827623027841</v>
      </c>
      <c r="DZ21" s="538">
        <f>DY21*DX21</f>
        <v>6.5232601397949779</v>
      </c>
      <c r="EA21" s="538">
        <v>6.5232601397949779</v>
      </c>
      <c r="EB21" s="538">
        <v>6.5232601397949779</v>
      </c>
      <c r="EC21" s="538">
        <v>6.5232601397949779</v>
      </c>
      <c r="ED21" s="538">
        <v>6.5232601397949779</v>
      </c>
      <c r="EE21" s="538">
        <v>6.5232601397949779</v>
      </c>
      <c r="EF21" s="538">
        <v>6.5232601397949779</v>
      </c>
      <c r="EG21" s="538">
        <v>6.5232601397949779</v>
      </c>
      <c r="EH21" s="538">
        <v>6.5232601397949779</v>
      </c>
      <c r="EI21" s="538">
        <v>6.5232601397949779</v>
      </c>
      <c r="EJ21" s="538">
        <v>6.5232601397949779</v>
      </c>
      <c r="EK21" s="538">
        <v>6.5232601397949779</v>
      </c>
      <c r="EL21" s="538">
        <v>6.5232601397949779</v>
      </c>
      <c r="EM21" s="538">
        <v>6.5232601397949779</v>
      </c>
      <c r="EN21" s="538">
        <v>6.5232601397949779</v>
      </c>
      <c r="EO21" s="538">
        <v>6.5232601397949779</v>
      </c>
      <c r="EP21" s="538">
        <v>6.5232601397949779</v>
      </c>
      <c r="EQ21" s="538">
        <v>6.5232601397949779</v>
      </c>
      <c r="ER21" s="538">
        <v>6.5232601397949779</v>
      </c>
      <c r="ES21" s="538">
        <f t="shared" si="1"/>
        <v>117.41868251630964</v>
      </c>
      <c r="ET21" s="1088">
        <f>DU21-ES21</f>
        <v>400.69328332863813</v>
      </c>
    </row>
    <row r="22" spans="1:153" s="16" customFormat="1" ht="15.75" x14ac:dyDescent="0.25">
      <c r="A22" s="120" t="s">
        <v>268</v>
      </c>
      <c r="B22" s="120"/>
      <c r="C22" s="120"/>
      <c r="D22" s="131"/>
      <c r="E22" s="111"/>
      <c r="F22" s="46"/>
      <c r="G22" s="48"/>
      <c r="H22" s="145"/>
      <c r="I22" s="48"/>
      <c r="J22" s="48"/>
      <c r="K22" s="48"/>
      <c r="L22" s="48"/>
      <c r="M22" s="48"/>
      <c r="N22" s="48"/>
      <c r="O22" s="48"/>
      <c r="P22" s="48"/>
      <c r="Q22" s="48"/>
      <c r="R22" s="46"/>
      <c r="S22" s="132"/>
      <c r="T22" s="133"/>
      <c r="U22" s="47"/>
      <c r="V22" s="106"/>
      <c r="W22" s="165"/>
      <c r="X22" s="57"/>
      <c r="Y22" s="81"/>
      <c r="Z22" s="57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72"/>
      <c r="AQ22" s="55"/>
      <c r="AR22" s="55"/>
      <c r="AS22" s="55"/>
      <c r="AT22" s="55"/>
      <c r="AU22" s="55"/>
      <c r="AV22" s="55"/>
      <c r="AW22" s="55"/>
      <c r="AX22" s="599"/>
      <c r="AY22" s="604"/>
      <c r="AZ22" s="599"/>
      <c r="BA22" s="598"/>
      <c r="BB22" s="598"/>
      <c r="BC22" s="598"/>
      <c r="BD22" s="598"/>
      <c r="BE22" s="598"/>
      <c r="BF22" s="598"/>
      <c r="BG22" s="598"/>
      <c r="BH22" s="598"/>
      <c r="BI22" s="598"/>
      <c r="BJ22" s="598"/>
      <c r="BK22" s="601"/>
      <c r="BL22" s="598"/>
      <c r="BM22" s="598"/>
      <c r="BN22" s="598"/>
      <c r="BO22" s="598"/>
      <c r="BP22" s="598"/>
      <c r="BQ22" s="599"/>
      <c r="BR22" s="604"/>
      <c r="BS22" s="599"/>
      <c r="BT22" s="598"/>
      <c r="BU22" s="598"/>
      <c r="BV22" s="598"/>
      <c r="BW22" s="598"/>
      <c r="BX22" s="598"/>
      <c r="BY22" s="598"/>
      <c r="BZ22" s="598"/>
      <c r="CA22" s="598"/>
      <c r="CB22" s="598"/>
      <c r="CC22" s="598"/>
      <c r="CD22" s="601"/>
      <c r="CE22" s="131"/>
      <c r="CF22" s="111"/>
      <c r="CG22" s="46"/>
      <c r="CH22" s="48"/>
      <c r="CI22" s="145"/>
      <c r="CJ22" s="48"/>
      <c r="CK22" s="48"/>
      <c r="CL22" s="48"/>
      <c r="CM22" s="48"/>
      <c r="CN22" s="48"/>
      <c r="CO22" s="48"/>
      <c r="CP22" s="48"/>
      <c r="CQ22" s="48"/>
      <c r="CR22" s="48"/>
      <c r="CS22" s="46"/>
      <c r="CT22" s="132"/>
      <c r="CU22" s="133"/>
      <c r="CV22" s="725"/>
      <c r="CW22" s="599"/>
      <c r="CX22" s="602"/>
      <c r="CY22" s="599"/>
      <c r="CZ22" s="598"/>
      <c r="DA22" s="598"/>
      <c r="DB22" s="598"/>
      <c r="DC22" s="598"/>
      <c r="DD22" s="598"/>
      <c r="DE22" s="598"/>
      <c r="DF22" s="598"/>
      <c r="DG22" s="598"/>
      <c r="DH22" s="598"/>
      <c r="DI22" s="598"/>
      <c r="DJ22" s="601"/>
      <c r="DK22" s="598"/>
      <c r="DL22" s="598"/>
      <c r="DM22" s="598"/>
      <c r="DN22" s="598"/>
      <c r="DO22" s="598"/>
      <c r="DP22" s="598"/>
      <c r="DQ22" s="598"/>
      <c r="DR22" s="598"/>
      <c r="DS22" s="598"/>
      <c r="DT22" s="505"/>
      <c r="DU22" s="1085"/>
      <c r="DV22" s="516"/>
      <c r="DW22" s="690"/>
      <c r="DX22" s="1087"/>
      <c r="DY22" s="516"/>
      <c r="DZ22" s="516"/>
      <c r="EA22" s="516"/>
      <c r="EB22" s="516"/>
      <c r="EC22" s="516"/>
      <c r="ED22" s="516"/>
      <c r="EE22" s="516"/>
      <c r="EF22" s="516"/>
      <c r="EG22" s="516"/>
      <c r="EH22" s="516"/>
      <c r="EI22" s="516"/>
      <c r="EJ22" s="516"/>
      <c r="EK22" s="516"/>
      <c r="EL22" s="516"/>
      <c r="EM22" s="516"/>
      <c r="EN22" s="516"/>
      <c r="EO22" s="516"/>
      <c r="EP22" s="516"/>
      <c r="EQ22" s="516"/>
      <c r="ER22" s="516"/>
      <c r="ES22" s="516">
        <f t="shared" si="1"/>
        <v>0</v>
      </c>
      <c r="ET22" s="516"/>
    </row>
    <row r="23" spans="1:153" s="16" customFormat="1" ht="15.75" x14ac:dyDescent="0.25">
      <c r="A23" s="120" t="s">
        <v>269</v>
      </c>
      <c r="B23" s="124"/>
      <c r="C23" s="124"/>
      <c r="D23" s="111"/>
      <c r="E23" s="111"/>
      <c r="F23" s="46"/>
      <c r="G23" s="48"/>
      <c r="H23" s="145"/>
      <c r="I23" s="48"/>
      <c r="J23" s="48"/>
      <c r="K23" s="48"/>
      <c r="L23" s="48"/>
      <c r="M23" s="48"/>
      <c r="N23" s="48"/>
      <c r="O23" s="48"/>
      <c r="P23" s="48"/>
      <c r="Q23" s="48"/>
      <c r="R23" s="46"/>
      <c r="S23" s="119"/>
      <c r="T23" s="134"/>
      <c r="U23" s="47"/>
      <c r="V23" s="106"/>
      <c r="W23" s="165"/>
      <c r="X23" s="57"/>
      <c r="Y23" s="82"/>
      <c r="Z23" s="57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72"/>
      <c r="AQ23" s="55"/>
      <c r="AR23" s="55"/>
      <c r="AS23" s="55"/>
      <c r="AT23" s="55"/>
      <c r="AU23" s="55"/>
      <c r="AV23" s="55"/>
      <c r="AW23" s="55"/>
      <c r="AX23" s="599"/>
      <c r="AY23" s="602"/>
      <c r="AZ23" s="599"/>
      <c r="BA23" s="598"/>
      <c r="BB23" s="598"/>
      <c r="BC23" s="598"/>
      <c r="BD23" s="598"/>
      <c r="BE23" s="598"/>
      <c r="BF23" s="598"/>
      <c r="BG23" s="598"/>
      <c r="BH23" s="598"/>
      <c r="BI23" s="598"/>
      <c r="BJ23" s="598"/>
      <c r="BK23" s="601"/>
      <c r="BL23" s="598"/>
      <c r="BM23" s="598"/>
      <c r="BN23" s="598"/>
      <c r="BO23" s="598"/>
      <c r="BP23" s="598"/>
      <c r="BQ23" s="599"/>
      <c r="BR23" s="602"/>
      <c r="BS23" s="599"/>
      <c r="BT23" s="598"/>
      <c r="BU23" s="598"/>
      <c r="BV23" s="598"/>
      <c r="BW23" s="598"/>
      <c r="BX23" s="598"/>
      <c r="BY23" s="598"/>
      <c r="BZ23" s="598"/>
      <c r="CA23" s="598"/>
      <c r="CB23" s="598"/>
      <c r="CC23" s="598"/>
      <c r="CD23" s="601"/>
      <c r="CE23" s="111"/>
      <c r="CF23" s="111"/>
      <c r="CG23" s="46"/>
      <c r="CH23" s="48"/>
      <c r="CI23" s="145"/>
      <c r="CJ23" s="48"/>
      <c r="CK23" s="48"/>
      <c r="CL23" s="48"/>
      <c r="CM23" s="48"/>
      <c r="CN23" s="48"/>
      <c r="CO23" s="48"/>
      <c r="CP23" s="48"/>
      <c r="CQ23" s="48"/>
      <c r="CR23" s="48"/>
      <c r="CS23" s="46"/>
      <c r="CT23" s="119"/>
      <c r="CU23" s="134"/>
      <c r="CV23" s="725"/>
      <c r="CW23" s="599"/>
      <c r="CX23" s="602"/>
      <c r="CY23" s="599"/>
      <c r="CZ23" s="598"/>
      <c r="DA23" s="598"/>
      <c r="DB23" s="598"/>
      <c r="DC23" s="598"/>
      <c r="DD23" s="598"/>
      <c r="DE23" s="598"/>
      <c r="DF23" s="598"/>
      <c r="DG23" s="598"/>
      <c r="DH23" s="598"/>
      <c r="DI23" s="598"/>
      <c r="DJ23" s="601"/>
      <c r="DK23" s="598"/>
      <c r="DL23" s="598"/>
      <c r="DM23" s="598"/>
      <c r="DN23" s="598"/>
      <c r="DO23" s="598"/>
      <c r="DP23" s="598"/>
      <c r="DQ23" s="598"/>
      <c r="DR23" s="598"/>
      <c r="DS23" s="598"/>
      <c r="DT23" s="505"/>
      <c r="DU23" s="1085"/>
      <c r="DV23" s="520"/>
      <c r="DW23" s="690"/>
      <c r="DX23" s="1087"/>
      <c r="DY23" s="516"/>
      <c r="DZ23" s="516"/>
      <c r="EA23" s="516"/>
      <c r="EB23" s="516"/>
      <c r="EC23" s="516"/>
      <c r="ED23" s="516"/>
      <c r="EE23" s="516"/>
      <c r="EF23" s="516"/>
      <c r="EG23" s="516"/>
      <c r="EH23" s="516"/>
      <c r="EI23" s="516"/>
      <c r="EJ23" s="516"/>
      <c r="EK23" s="516"/>
      <c r="EL23" s="516"/>
      <c r="EM23" s="516"/>
      <c r="EN23" s="516"/>
      <c r="EO23" s="516"/>
      <c r="EP23" s="516"/>
      <c r="EQ23" s="516"/>
      <c r="ER23" s="516"/>
      <c r="ES23" s="516">
        <f t="shared" si="1"/>
        <v>0</v>
      </c>
      <c r="ET23" s="516"/>
    </row>
    <row r="24" spans="1:153" s="16" customFormat="1" ht="15.75" x14ac:dyDescent="0.25">
      <c r="A24" s="100" t="s">
        <v>330</v>
      </c>
      <c r="B24" s="45" t="s">
        <v>730</v>
      </c>
      <c r="C24" s="45" t="s">
        <v>326</v>
      </c>
      <c r="D24" s="58">
        <v>3</v>
      </c>
      <c r="E24" s="49">
        <v>0.33329999999999999</v>
      </c>
      <c r="F24" s="46">
        <v>42332</v>
      </c>
      <c r="G24" s="48">
        <v>36</v>
      </c>
      <c r="H24" s="145">
        <f>100/G24</f>
        <v>2.7777777777777777</v>
      </c>
      <c r="I24" s="165">
        <f>H24*J24</f>
        <v>0</v>
      </c>
      <c r="J24" s="48">
        <f>(YEAR(F24)-YEAR(S24))*12+MONTH(F24)-MONTH(S24)</f>
        <v>0</v>
      </c>
      <c r="K24" s="165">
        <f>L24*H24</f>
        <v>100</v>
      </c>
      <c r="L24" s="48">
        <f>G24-J24</f>
        <v>36</v>
      </c>
      <c r="M24" s="165">
        <f>N24*H24</f>
        <v>2.7777777777777777</v>
      </c>
      <c r="N24" s="48">
        <v>1</v>
      </c>
      <c r="O24" s="165">
        <f>K24-M24</f>
        <v>97.222222222222229</v>
      </c>
      <c r="P24" s="48">
        <f>L24-N24</f>
        <v>35</v>
      </c>
      <c r="Q24" s="48">
        <f>M24-O24</f>
        <v>-94.444444444444457</v>
      </c>
      <c r="R24" s="46" t="s">
        <v>731</v>
      </c>
      <c r="S24" s="46">
        <v>42332</v>
      </c>
      <c r="T24" s="47">
        <v>6278.3</v>
      </c>
      <c r="U24" s="47">
        <v>0</v>
      </c>
      <c r="V24" s="106">
        <v>0</v>
      </c>
      <c r="W24" s="165">
        <v>0</v>
      </c>
      <c r="X24" s="57">
        <v>115.958</v>
      </c>
      <c r="Y24" s="55">
        <v>118.051</v>
      </c>
      <c r="Z24" s="57">
        <f>X24/Y24</f>
        <v>0.98227037466857536</v>
      </c>
      <c r="AA24" s="55">
        <f>H24*T24/100</f>
        <v>174.39722222222224</v>
      </c>
      <c r="AB24" s="55">
        <f>AA24*Z24</f>
        <v>171.30522481338105</v>
      </c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>
        <f>AB24</f>
        <v>171.30522481338105</v>
      </c>
      <c r="AO24" s="55">
        <f>SUM(AC24:AN24)</f>
        <v>171.30522481338105</v>
      </c>
      <c r="AP24" s="72">
        <f>T24-AO24</f>
        <v>6106.9947751866193</v>
      </c>
      <c r="AQ24" s="55"/>
      <c r="AR24" s="55"/>
      <c r="AS24" s="55">
        <f t="shared" si="6"/>
        <v>171.30522481338105</v>
      </c>
      <c r="AT24" s="55">
        <f t="shared" si="6"/>
        <v>171.30522481338105</v>
      </c>
      <c r="AU24" s="55">
        <f t="shared" si="6"/>
        <v>171.30522481338105</v>
      </c>
      <c r="AV24" s="55">
        <f t="shared" si="6"/>
        <v>171.30522481338105</v>
      </c>
      <c r="AW24" s="55">
        <f t="shared" si="6"/>
        <v>171.30522481338105</v>
      </c>
      <c r="AX24" s="599">
        <v>118.901</v>
      </c>
      <c r="AY24" s="598">
        <v>118.051</v>
      </c>
      <c r="AZ24" s="599">
        <f>AX24/AY24</f>
        <v>1.0072002778460156</v>
      </c>
      <c r="BA24" s="598">
        <f t="shared" si="2"/>
        <v>174.39722222222224</v>
      </c>
      <c r="BB24" s="598">
        <f t="shared" si="3"/>
        <v>175.65293067779558</v>
      </c>
      <c r="BC24" s="598">
        <f t="shared" si="7"/>
        <v>175.65293067779558</v>
      </c>
      <c r="BD24" s="598">
        <f t="shared" si="7"/>
        <v>175.65293067779558</v>
      </c>
      <c r="BE24" s="598">
        <f t="shared" si="7"/>
        <v>175.65293067779558</v>
      </c>
      <c r="BF24" s="598">
        <f t="shared" si="7"/>
        <v>175.65293067779558</v>
      </c>
      <c r="BG24" s="598">
        <v>175.65</v>
      </c>
      <c r="BH24" s="598">
        <v>175.65</v>
      </c>
      <c r="BI24" s="598">
        <v>175.65</v>
      </c>
      <c r="BJ24" s="598">
        <f t="shared" si="4"/>
        <v>2086.0878467780881</v>
      </c>
      <c r="BK24" s="601">
        <f t="shared" si="0"/>
        <v>4020.9069284085313</v>
      </c>
      <c r="BL24" s="598">
        <v>175.65</v>
      </c>
      <c r="BM24" s="598">
        <v>175.65</v>
      </c>
      <c r="BN24" s="598">
        <v>175.65</v>
      </c>
      <c r="BO24" s="598">
        <v>175.65</v>
      </c>
      <c r="BP24" s="598">
        <v>175.65</v>
      </c>
      <c r="BQ24" s="599">
        <v>118.901</v>
      </c>
      <c r="BR24" s="598">
        <v>118.051</v>
      </c>
      <c r="BS24" s="599">
        <f>BQ24/BR24</f>
        <v>1.0072002778460156</v>
      </c>
      <c r="BT24" s="598"/>
      <c r="BU24" s="598"/>
      <c r="BV24" s="598"/>
      <c r="BW24" s="598"/>
      <c r="BX24" s="598"/>
      <c r="BY24" s="598"/>
      <c r="BZ24" s="598"/>
      <c r="CA24" s="598"/>
      <c r="CB24" s="598"/>
      <c r="CC24" s="598">
        <f>SUM((BL24:BP24),(BV24:CB24))</f>
        <v>878.25</v>
      </c>
      <c r="CD24" s="601">
        <f>BK24-CC24</f>
        <v>3142.6569284085313</v>
      </c>
      <c r="CE24" s="58">
        <v>3</v>
      </c>
      <c r="CF24" s="49">
        <v>0.33329999999999999</v>
      </c>
      <c r="CG24" s="46">
        <v>43281</v>
      </c>
      <c r="CH24" s="48">
        <v>36</v>
      </c>
      <c r="CI24" s="145">
        <f>CU24/CH24/100</f>
        <v>1.7439722222222225</v>
      </c>
      <c r="CJ24" s="165">
        <f>CI24*CK24</f>
        <v>54.063138888888894</v>
      </c>
      <c r="CK24" s="48">
        <f>(YEAR(CG24)-YEAR(CT24))*12+MONTH(CG24)-MONTH(CT24)</f>
        <v>31</v>
      </c>
      <c r="CL24" s="165">
        <f>CM24*CI24</f>
        <v>8.7198611111111131</v>
      </c>
      <c r="CM24" s="48">
        <f>CH24-CK24</f>
        <v>5</v>
      </c>
      <c r="CN24" s="165">
        <f>CO24*CI24</f>
        <v>1.7439722222222225</v>
      </c>
      <c r="CO24" s="48">
        <v>1</v>
      </c>
      <c r="CP24" s="165">
        <f>CL24-CN24</f>
        <v>6.9758888888888908</v>
      </c>
      <c r="CQ24" s="48">
        <f>CM24-CO24</f>
        <v>4</v>
      </c>
      <c r="CR24" s="46">
        <f>DATE(YEAR(CT24),MONTH(CT24)+CH24,DAY(CT24))</f>
        <v>43428</v>
      </c>
      <c r="CS24" s="46" t="s">
        <v>731</v>
      </c>
      <c r="CT24" s="46">
        <v>42332</v>
      </c>
      <c r="CU24" s="47">
        <v>6278.3</v>
      </c>
      <c r="CV24" s="725">
        <v>3142.6569284085313</v>
      </c>
      <c r="CW24" s="599">
        <v>126.408</v>
      </c>
      <c r="CX24" s="598">
        <v>118.051</v>
      </c>
      <c r="CY24" s="599">
        <f>CW24/CX24</f>
        <v>1.0707914375990037</v>
      </c>
      <c r="CZ24" s="598">
        <f>CV24/CM24</f>
        <v>628.5313856817063</v>
      </c>
      <c r="DA24" s="598">
        <f>CZ24*CY24</f>
        <v>673.0260260502082</v>
      </c>
      <c r="DB24" s="598">
        <v>197.9488311912377</v>
      </c>
      <c r="DC24" s="598">
        <v>197.9488311912377</v>
      </c>
      <c r="DD24" s="598">
        <v>197.9488311912377</v>
      </c>
      <c r="DE24" s="598">
        <v>197.9488311912377</v>
      </c>
      <c r="DF24" s="598">
        <v>197.9488311912377</v>
      </c>
      <c r="DG24" s="598">
        <v>197.9488311912377</v>
      </c>
      <c r="DH24" s="598">
        <v>197.9488311912377</v>
      </c>
      <c r="DI24" s="598">
        <f>SUM(DB24:DH24)</f>
        <v>1385.6418183386641</v>
      </c>
      <c r="DJ24" s="601">
        <f>CV24-DI24</f>
        <v>1757.0151100698672</v>
      </c>
      <c r="DK24" s="598">
        <v>175.65</v>
      </c>
      <c r="DL24" s="598">
        <v>175.65</v>
      </c>
      <c r="DM24" s="598">
        <v>175.65</v>
      </c>
      <c r="DN24" s="598">
        <v>175.65</v>
      </c>
      <c r="DO24" s="598">
        <v>197.9488311912377</v>
      </c>
      <c r="DP24" s="598">
        <v>197.9488311912377</v>
      </c>
      <c r="DQ24" s="598">
        <v>197.9488311912377</v>
      </c>
      <c r="DR24" s="598">
        <v>197.9488311912377</v>
      </c>
      <c r="DS24" s="598">
        <v>197.9488311912377</v>
      </c>
      <c r="DT24" s="505">
        <f>SUM(DO24:DS24)</f>
        <v>989.74415595618848</v>
      </c>
      <c r="DU24" s="1085">
        <f t="shared" si="5"/>
        <v>767.27095411367873</v>
      </c>
      <c r="DV24" s="1086">
        <v>132.28200000000001</v>
      </c>
      <c r="DW24" s="516">
        <v>118.051</v>
      </c>
      <c r="DX24" s="1087">
        <f>DV24/DW24</f>
        <v>1.1205495929725289</v>
      </c>
      <c r="DY24" s="516">
        <f>DU24/CM24</f>
        <v>153.45419082273574</v>
      </c>
      <c r="DZ24" s="516">
        <f>DY24*DX24</f>
        <v>171.95303106634532</v>
      </c>
      <c r="EA24" s="516">
        <v>0</v>
      </c>
      <c r="EB24" s="516">
        <v>0</v>
      </c>
      <c r="EC24" s="516">
        <v>0</v>
      </c>
      <c r="ED24" s="516">
        <v>0</v>
      </c>
      <c r="EE24" s="516">
        <v>0</v>
      </c>
      <c r="EF24" s="516">
        <v>0</v>
      </c>
      <c r="EG24" s="516">
        <v>766.27</v>
      </c>
      <c r="EH24" s="516">
        <v>0</v>
      </c>
      <c r="EI24" s="516">
        <v>0</v>
      </c>
      <c r="EJ24" s="516">
        <v>0</v>
      </c>
      <c r="EK24" s="516">
        <v>0</v>
      </c>
      <c r="EL24" s="516">
        <v>0</v>
      </c>
      <c r="EM24" s="516">
        <v>0</v>
      </c>
      <c r="EN24" s="516">
        <v>0</v>
      </c>
      <c r="EO24" s="516">
        <v>0</v>
      </c>
      <c r="EP24" s="516">
        <v>0</v>
      </c>
      <c r="EQ24" s="516">
        <v>0</v>
      </c>
      <c r="ER24" s="516">
        <v>0</v>
      </c>
      <c r="ES24" s="516">
        <f t="shared" si="1"/>
        <v>766.27</v>
      </c>
      <c r="ET24" s="1088">
        <f>DU24-ES24</f>
        <v>1.0009541136787448</v>
      </c>
    </row>
    <row r="25" spans="1:153" ht="15.75" x14ac:dyDescent="0.25">
      <c r="A25" s="100" t="s">
        <v>330</v>
      </c>
      <c r="B25" s="100" t="s">
        <v>981</v>
      </c>
      <c r="C25" s="45" t="s">
        <v>326</v>
      </c>
      <c r="D25" s="58">
        <v>3</v>
      </c>
      <c r="E25" s="25">
        <v>0.33329999999999999</v>
      </c>
      <c r="F25" s="119">
        <v>42438</v>
      </c>
      <c r="G25" s="58">
        <f>D25*12</f>
        <v>36</v>
      </c>
      <c r="H25" s="145">
        <f>100/G25</f>
        <v>2.7777777777777777</v>
      </c>
      <c r="I25" s="165">
        <v>0</v>
      </c>
      <c r="J25" s="48">
        <v>0</v>
      </c>
      <c r="K25" s="165">
        <f>L25*H25</f>
        <v>100</v>
      </c>
      <c r="L25" s="48">
        <f>G25-J25</f>
        <v>36</v>
      </c>
      <c r="M25" s="165">
        <v>0</v>
      </c>
      <c r="N25" s="48">
        <v>0</v>
      </c>
      <c r="O25" s="165">
        <f>P25*H25</f>
        <v>100</v>
      </c>
      <c r="P25" s="48">
        <f>L25-N25</f>
        <v>36</v>
      </c>
      <c r="Q25" s="48"/>
      <c r="R25" s="125" t="s">
        <v>982</v>
      </c>
      <c r="S25" s="119">
        <v>42438</v>
      </c>
      <c r="T25" s="134">
        <v>2044.98</v>
      </c>
      <c r="U25" s="14">
        <v>0</v>
      </c>
      <c r="V25" s="106">
        <v>0</v>
      </c>
      <c r="W25" s="66"/>
      <c r="X25" s="57">
        <v>115.958</v>
      </c>
      <c r="Y25" s="80">
        <v>119.505</v>
      </c>
      <c r="Z25" s="57">
        <f>X25/Y25</f>
        <v>0.97031923350487426</v>
      </c>
      <c r="AA25" s="55">
        <v>0</v>
      </c>
      <c r="AB25" s="55">
        <f>AA25*Z25</f>
        <v>0</v>
      </c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>
        <v>0</v>
      </c>
      <c r="AO25" s="55">
        <f>SUM(AC25:AN25)</f>
        <v>0</v>
      </c>
      <c r="AP25" s="72">
        <f>T25-AO25</f>
        <v>2044.98</v>
      </c>
      <c r="AQ25" s="55">
        <f>(AP25*E25)/12</f>
        <v>56.799319499999996</v>
      </c>
      <c r="AR25" s="55">
        <f>AQ25*Z25</f>
        <v>55.113472160838455</v>
      </c>
      <c r="AS25" s="55"/>
      <c r="AT25" s="55"/>
      <c r="AU25" s="55">
        <v>55.11</v>
      </c>
      <c r="AV25" s="55">
        <f>$AU25</f>
        <v>55.11</v>
      </c>
      <c r="AW25" s="55">
        <f>$AU25</f>
        <v>55.11</v>
      </c>
      <c r="AX25" s="599">
        <v>118.901</v>
      </c>
      <c r="AY25" s="600">
        <v>119.505</v>
      </c>
      <c r="AZ25" s="599">
        <f>AX25/AY25</f>
        <v>0.99494581816660388</v>
      </c>
      <c r="BA25" s="598">
        <f t="shared" si="2"/>
        <v>56.805</v>
      </c>
      <c r="BB25" s="598">
        <f t="shared" si="3"/>
        <v>56.517897200953932</v>
      </c>
      <c r="BC25" s="598">
        <f t="shared" si="7"/>
        <v>56.517897200953932</v>
      </c>
      <c r="BD25" s="598">
        <f t="shared" si="7"/>
        <v>56.517897200953932</v>
      </c>
      <c r="BE25" s="598">
        <f t="shared" si="7"/>
        <v>56.517897200953932</v>
      </c>
      <c r="BF25" s="598">
        <f t="shared" si="7"/>
        <v>56.517897200953932</v>
      </c>
      <c r="BG25" s="598">
        <v>56.52</v>
      </c>
      <c r="BH25" s="598">
        <v>56.52</v>
      </c>
      <c r="BI25" s="598">
        <v>56.52</v>
      </c>
      <c r="BJ25" s="598">
        <f t="shared" si="4"/>
        <v>560.96158880381574</v>
      </c>
      <c r="BK25" s="601">
        <f t="shared" si="0"/>
        <v>1484.0184111961844</v>
      </c>
      <c r="BL25" s="598">
        <v>56.52</v>
      </c>
      <c r="BM25" s="598">
        <v>56.52</v>
      </c>
      <c r="BN25" s="598">
        <v>56.52</v>
      </c>
      <c r="BO25" s="598">
        <v>56.52</v>
      </c>
      <c r="BP25" s="598">
        <v>56.52</v>
      </c>
      <c r="BQ25" s="599">
        <v>118.901</v>
      </c>
      <c r="BR25" s="600">
        <v>119.505</v>
      </c>
      <c r="BS25" s="599">
        <f>BQ25/BR25</f>
        <v>0.99494581816660388</v>
      </c>
      <c r="BT25" s="598"/>
      <c r="BU25" s="598"/>
      <c r="BV25" s="598"/>
      <c r="BW25" s="598"/>
      <c r="BX25" s="598"/>
      <c r="BY25" s="598"/>
      <c r="BZ25" s="598"/>
      <c r="CA25" s="598"/>
      <c r="CB25" s="598"/>
      <c r="CC25" s="598">
        <f>SUM((BL25:BP25),(BV25:CB25))</f>
        <v>282.60000000000002</v>
      </c>
      <c r="CD25" s="601">
        <f>BK25-CC25</f>
        <v>1201.4184111961845</v>
      </c>
      <c r="CE25" s="58">
        <v>3</v>
      </c>
      <c r="CF25" s="25">
        <v>0.33329999999999999</v>
      </c>
      <c r="CG25" s="46">
        <v>43281</v>
      </c>
      <c r="CH25" s="58">
        <f>CE25*12</f>
        <v>36</v>
      </c>
      <c r="CI25" s="145">
        <f>CU25/CH25/100</f>
        <v>0.56804999999999994</v>
      </c>
      <c r="CJ25" s="165">
        <f>CI25*CK25</f>
        <v>15.337349999999999</v>
      </c>
      <c r="CK25" s="463">
        <f>(YEAR(CG25)-YEAR(CT25))*12+MONTH(CG25)-MONTH(CT25)</f>
        <v>27</v>
      </c>
      <c r="CL25" s="165">
        <f>CM25*CI25</f>
        <v>5.1124499999999991</v>
      </c>
      <c r="CM25" s="48">
        <f>CH25-CK25</f>
        <v>9</v>
      </c>
      <c r="CN25" s="165">
        <v>0</v>
      </c>
      <c r="CO25" s="48">
        <v>0</v>
      </c>
      <c r="CP25" s="165">
        <f>CQ25*CI25</f>
        <v>5.1124499999999991</v>
      </c>
      <c r="CQ25" s="48">
        <f>CM25-CO25</f>
        <v>9</v>
      </c>
      <c r="CR25" s="462">
        <f>DATE(YEAR(CT25),MONTH(CT25)+CH25,DAY(CT25))</f>
        <v>43533</v>
      </c>
      <c r="CS25" s="125" t="s">
        <v>982</v>
      </c>
      <c r="CT25" s="119">
        <v>42438</v>
      </c>
      <c r="CU25" s="134">
        <v>2044.98</v>
      </c>
      <c r="CV25" s="725">
        <v>1201.4184111961845</v>
      </c>
      <c r="CW25" s="599">
        <v>126.408</v>
      </c>
      <c r="CX25" s="600">
        <v>119.505</v>
      </c>
      <c r="CY25" s="599">
        <f>CW25/CX25</f>
        <v>1.0577632735032008</v>
      </c>
      <c r="CZ25" s="598">
        <f>CV25/CM25</f>
        <v>133.49093457735384</v>
      </c>
      <c r="DA25" s="598">
        <f>CZ25*CY25</f>
        <v>141.20180794154342</v>
      </c>
      <c r="DB25" s="598">
        <v>60.515060546375743</v>
      </c>
      <c r="DC25" s="598">
        <v>60.515060546375743</v>
      </c>
      <c r="DD25" s="598">
        <v>60.515060546375743</v>
      </c>
      <c r="DE25" s="598">
        <v>60.515060546375743</v>
      </c>
      <c r="DF25" s="598">
        <v>60.515060546375743</v>
      </c>
      <c r="DG25" s="598">
        <v>60.515060546375743</v>
      </c>
      <c r="DH25" s="598">
        <v>60.515060546375743</v>
      </c>
      <c r="DI25" s="598">
        <f>SUM(DB25:DH25)</f>
        <v>423.60542382463024</v>
      </c>
      <c r="DJ25" s="601">
        <f>CV25-DI25</f>
        <v>777.8129873715543</v>
      </c>
      <c r="DK25" s="598">
        <v>56.52</v>
      </c>
      <c r="DL25" s="598">
        <v>56.52</v>
      </c>
      <c r="DM25" s="598">
        <v>56.52</v>
      </c>
      <c r="DN25" s="598">
        <v>56.52</v>
      </c>
      <c r="DO25" s="598">
        <v>60.515060546375743</v>
      </c>
      <c r="DP25" s="598">
        <v>60.515060546375743</v>
      </c>
      <c r="DQ25" s="598">
        <v>60.515060546375743</v>
      </c>
      <c r="DR25" s="598">
        <v>60.515060546375743</v>
      </c>
      <c r="DS25" s="598">
        <v>60.515060546375743</v>
      </c>
      <c r="DT25" s="505">
        <f>SUM(DO25:DS25)</f>
        <v>302.57530273187871</v>
      </c>
      <c r="DU25" s="1085">
        <f t="shared" si="5"/>
        <v>475.23768463967559</v>
      </c>
      <c r="DV25" s="1086">
        <v>132.28200000000001</v>
      </c>
      <c r="DW25" s="515">
        <v>119.505</v>
      </c>
      <c r="DX25" s="1087">
        <f>DV25/DW25</f>
        <v>1.1069160286180495</v>
      </c>
      <c r="DY25" s="516">
        <f>DU25/CM25</f>
        <v>52.804187182186176</v>
      </c>
      <c r="DZ25" s="516">
        <f>DY25*DX25</f>
        <v>58.449801170109637</v>
      </c>
      <c r="EA25" s="516">
        <v>58.449801170109637</v>
      </c>
      <c r="EB25" s="516">
        <v>58.449801170109637</v>
      </c>
      <c r="EC25" s="516">
        <v>58.449801170109637</v>
      </c>
      <c r="ED25" s="516">
        <v>58.449801170109637</v>
      </c>
      <c r="EE25" s="516">
        <v>58.449801170109637</v>
      </c>
      <c r="EF25" s="516">
        <v>58.449801170109637</v>
      </c>
      <c r="EG25" s="516">
        <v>58.449801170109637</v>
      </c>
      <c r="EH25" s="516">
        <v>58.449801170109637</v>
      </c>
      <c r="EI25" s="516">
        <v>6.64</v>
      </c>
      <c r="EJ25" s="516">
        <v>0</v>
      </c>
      <c r="EK25" s="516">
        <v>0</v>
      </c>
      <c r="EL25" s="516">
        <v>0</v>
      </c>
      <c r="EM25" s="516">
        <v>0</v>
      </c>
      <c r="EN25" s="516">
        <v>0</v>
      </c>
      <c r="EO25" s="516">
        <v>0</v>
      </c>
      <c r="EP25" s="516">
        <v>0</v>
      </c>
      <c r="EQ25" s="516">
        <v>0</v>
      </c>
      <c r="ER25" s="516">
        <v>0</v>
      </c>
      <c r="ES25" s="516">
        <f t="shared" si="1"/>
        <v>474.23840936087714</v>
      </c>
      <c r="ET25" s="1088">
        <f>DU25-ES25</f>
        <v>0.99927527879845002</v>
      </c>
    </row>
    <row r="26" spans="1:153" ht="15.75" x14ac:dyDescent="0.25">
      <c r="A26" s="368" t="s">
        <v>1012</v>
      </c>
      <c r="B26" s="347"/>
      <c r="C26" s="348"/>
      <c r="D26" s="58"/>
      <c r="E26" s="25"/>
      <c r="F26" s="119"/>
      <c r="G26" s="58"/>
      <c r="H26" s="145"/>
      <c r="I26" s="165"/>
      <c r="J26" s="48"/>
      <c r="K26" s="165"/>
      <c r="L26" s="48"/>
      <c r="M26" s="165"/>
      <c r="N26" s="48"/>
      <c r="O26" s="165"/>
      <c r="P26" s="48"/>
      <c r="Q26" s="48"/>
      <c r="R26" s="125"/>
      <c r="S26" s="119"/>
      <c r="T26" s="134"/>
      <c r="U26" s="14"/>
      <c r="V26" s="106"/>
      <c r="W26" s="66"/>
      <c r="X26" s="57"/>
      <c r="Y26" s="80"/>
      <c r="Z26" s="57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72"/>
      <c r="AQ26" s="55"/>
      <c r="AR26" s="55"/>
      <c r="AS26" s="55"/>
      <c r="AT26" s="55"/>
      <c r="AU26" s="55"/>
      <c r="AV26" s="55"/>
      <c r="AW26" s="55"/>
      <c r="AX26" s="599"/>
      <c r="AY26" s="600"/>
      <c r="AZ26" s="599"/>
      <c r="BA26" s="598"/>
      <c r="BB26" s="598"/>
      <c r="BC26" s="598"/>
      <c r="BD26" s="598"/>
      <c r="BE26" s="598"/>
      <c r="BF26" s="598"/>
      <c r="BG26" s="598"/>
      <c r="BH26" s="598"/>
      <c r="BI26" s="598"/>
      <c r="BJ26" s="598"/>
      <c r="BK26" s="601"/>
      <c r="BL26" s="598"/>
      <c r="BM26" s="598"/>
      <c r="BN26" s="598"/>
      <c r="BO26" s="598"/>
      <c r="BP26" s="598"/>
      <c r="BQ26" s="599"/>
      <c r="BR26" s="600"/>
      <c r="BS26" s="599"/>
      <c r="BT26" s="598"/>
      <c r="BU26" s="598"/>
      <c r="BV26" s="598"/>
      <c r="BW26" s="598"/>
      <c r="BX26" s="598"/>
      <c r="BY26" s="598"/>
      <c r="BZ26" s="598"/>
      <c r="CA26" s="598"/>
      <c r="CB26" s="598"/>
      <c r="CC26" s="598"/>
      <c r="CD26" s="601"/>
      <c r="CE26" s="58"/>
      <c r="CF26" s="25"/>
      <c r="CG26" s="119"/>
      <c r="CH26" s="58"/>
      <c r="CI26" s="145"/>
      <c r="CJ26" s="165"/>
      <c r="CK26" s="48"/>
      <c r="CL26" s="165"/>
      <c r="CM26" s="48"/>
      <c r="CN26" s="165"/>
      <c r="CO26" s="48"/>
      <c r="CP26" s="165"/>
      <c r="CQ26" s="48"/>
      <c r="CR26" s="48"/>
      <c r="CS26" s="125"/>
      <c r="CT26" s="119"/>
      <c r="CU26" s="134"/>
      <c r="CV26" s="710"/>
      <c r="CW26" s="599"/>
      <c r="CX26" s="600"/>
      <c r="CY26" s="599"/>
      <c r="CZ26" s="598"/>
      <c r="DA26" s="598"/>
      <c r="DB26" s="598"/>
      <c r="DC26" s="598"/>
      <c r="DD26" s="598"/>
      <c r="DE26" s="598"/>
      <c r="DF26" s="598"/>
      <c r="DG26" s="598"/>
      <c r="DH26" s="598"/>
      <c r="DI26" s="598"/>
      <c r="DJ26" s="601"/>
      <c r="DK26" s="598"/>
      <c r="DL26" s="598"/>
      <c r="DM26" s="598"/>
      <c r="DN26" s="598"/>
      <c r="DO26" s="598"/>
      <c r="DP26" s="598"/>
      <c r="DQ26" s="598"/>
      <c r="DR26" s="598"/>
      <c r="DS26" s="598"/>
      <c r="DT26" s="505"/>
      <c r="DU26" s="1085"/>
      <c r="DV26" s="516"/>
      <c r="DW26" s="515"/>
      <c r="DX26" s="516"/>
      <c r="DY26" s="516"/>
      <c r="DZ26" s="516"/>
      <c r="EA26" s="516"/>
      <c r="EB26" s="516"/>
      <c r="EC26" s="516"/>
      <c r="ED26" s="516"/>
      <c r="EE26" s="516"/>
      <c r="EF26" s="516"/>
      <c r="EG26" s="516"/>
      <c r="EH26" s="516"/>
      <c r="EI26" s="516"/>
      <c r="EJ26" s="516"/>
      <c r="EK26" s="516"/>
      <c r="EL26" s="516"/>
      <c r="EM26" s="516"/>
      <c r="EN26" s="516"/>
      <c r="EO26" s="516"/>
      <c r="EP26" s="516"/>
      <c r="EQ26" s="516"/>
      <c r="ER26" s="516"/>
      <c r="ES26" s="516">
        <f t="shared" si="1"/>
        <v>0</v>
      </c>
      <c r="ET26" s="516"/>
    </row>
    <row r="27" spans="1:153" ht="15.75" x14ac:dyDescent="0.25">
      <c r="A27" s="120" t="s">
        <v>1074</v>
      </c>
      <c r="B27" s="100"/>
      <c r="C27" s="45"/>
      <c r="D27" s="58"/>
      <c r="E27" s="25"/>
      <c r="F27" s="119"/>
      <c r="G27" s="58"/>
      <c r="H27" s="145"/>
      <c r="I27" s="165"/>
      <c r="J27" s="48"/>
      <c r="K27" s="165"/>
      <c r="L27" s="48"/>
      <c r="M27" s="165"/>
      <c r="N27" s="48"/>
      <c r="O27" s="165"/>
      <c r="P27" s="48"/>
      <c r="Q27" s="48"/>
      <c r="R27" s="125"/>
      <c r="S27" s="119"/>
      <c r="T27" s="134"/>
      <c r="U27" s="14"/>
      <c r="V27" s="106"/>
      <c r="W27" s="66"/>
      <c r="X27" s="57"/>
      <c r="Y27" s="80"/>
      <c r="Z27" s="57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72"/>
      <c r="AQ27" s="55"/>
      <c r="AR27" s="55"/>
      <c r="AS27" s="55"/>
      <c r="AT27" s="55"/>
      <c r="AU27" s="55"/>
      <c r="AV27" s="55"/>
      <c r="AW27" s="55"/>
      <c r="AX27" s="599"/>
      <c r="AY27" s="600"/>
      <c r="AZ27" s="599"/>
      <c r="BA27" s="598"/>
      <c r="BB27" s="598"/>
      <c r="BC27" s="598"/>
      <c r="BD27" s="598"/>
      <c r="BE27" s="598"/>
      <c r="BF27" s="598"/>
      <c r="BG27" s="598"/>
      <c r="BH27" s="598"/>
      <c r="BI27" s="598"/>
      <c r="BJ27" s="598"/>
      <c r="BK27" s="601"/>
      <c r="BL27" s="598"/>
      <c r="BM27" s="598"/>
      <c r="BN27" s="598"/>
      <c r="BO27" s="598"/>
      <c r="BP27" s="598"/>
      <c r="BQ27" s="599"/>
      <c r="BR27" s="600"/>
      <c r="BS27" s="599"/>
      <c r="BT27" s="598"/>
      <c r="BU27" s="598"/>
      <c r="BV27" s="598"/>
      <c r="BW27" s="598"/>
      <c r="BX27" s="598"/>
      <c r="BY27" s="598"/>
      <c r="BZ27" s="598"/>
      <c r="CA27" s="598"/>
      <c r="CB27" s="598"/>
      <c r="CC27" s="598"/>
      <c r="CD27" s="601"/>
      <c r="CE27" s="58"/>
      <c r="CF27" s="25"/>
      <c r="CG27" s="119"/>
      <c r="CH27" s="58"/>
      <c r="CI27" s="145"/>
      <c r="CJ27" s="165"/>
      <c r="CK27" s="48"/>
      <c r="CL27" s="165"/>
      <c r="CM27" s="48"/>
      <c r="CN27" s="165"/>
      <c r="CO27" s="48"/>
      <c r="CP27" s="165"/>
      <c r="CQ27" s="48"/>
      <c r="CR27" s="48"/>
      <c r="CS27" s="125"/>
      <c r="CT27" s="119"/>
      <c r="CU27" s="134"/>
      <c r="CV27" s="710"/>
      <c r="CW27" s="599"/>
      <c r="CX27" s="600"/>
      <c r="CY27" s="599"/>
      <c r="CZ27" s="598"/>
      <c r="DA27" s="598"/>
      <c r="DB27" s="598"/>
      <c r="DC27" s="598"/>
      <c r="DD27" s="598"/>
      <c r="DE27" s="598"/>
      <c r="DF27" s="598"/>
      <c r="DG27" s="598"/>
      <c r="DH27" s="598"/>
      <c r="DI27" s="598"/>
      <c r="DJ27" s="601"/>
      <c r="DK27" s="598"/>
      <c r="DL27" s="598"/>
      <c r="DM27" s="598"/>
      <c r="DN27" s="598"/>
      <c r="DO27" s="598"/>
      <c r="DP27" s="598"/>
      <c r="DQ27" s="598"/>
      <c r="DR27" s="598"/>
      <c r="DS27" s="598"/>
      <c r="DT27" s="505"/>
      <c r="DU27" s="1085"/>
      <c r="DV27" s="1086"/>
      <c r="DW27" s="515"/>
      <c r="DX27" s="1087"/>
      <c r="DY27" s="516"/>
      <c r="DZ27" s="516"/>
      <c r="EA27" s="516"/>
      <c r="EB27" s="516"/>
      <c r="EC27" s="516"/>
      <c r="ED27" s="516"/>
      <c r="EE27" s="516"/>
      <c r="EF27" s="516"/>
      <c r="EG27" s="516"/>
      <c r="EH27" s="516"/>
      <c r="EI27" s="516"/>
      <c r="EJ27" s="516"/>
      <c r="EK27" s="516"/>
      <c r="EL27" s="516"/>
      <c r="EM27" s="516"/>
      <c r="EN27" s="516"/>
      <c r="EO27" s="516"/>
      <c r="EP27" s="516"/>
      <c r="EQ27" s="516"/>
      <c r="ER27" s="516"/>
      <c r="ES27" s="516">
        <f t="shared" si="1"/>
        <v>0</v>
      </c>
      <c r="ET27" s="1088"/>
    </row>
    <row r="28" spans="1:153" ht="15.75" x14ac:dyDescent="0.25">
      <c r="A28" s="100" t="s">
        <v>1075</v>
      </c>
      <c r="B28" s="100" t="s">
        <v>1076</v>
      </c>
      <c r="C28" s="45" t="s">
        <v>326</v>
      </c>
      <c r="D28" s="58">
        <v>3</v>
      </c>
      <c r="E28" s="25">
        <v>0.33329999999999999</v>
      </c>
      <c r="F28" s="119">
        <v>42652</v>
      </c>
      <c r="G28" s="58">
        <f>D28*12</f>
        <v>36</v>
      </c>
      <c r="H28" s="145">
        <f>100/G28</f>
        <v>2.7777777777777777</v>
      </c>
      <c r="I28" s="165">
        <v>0</v>
      </c>
      <c r="J28" s="48">
        <v>0</v>
      </c>
      <c r="K28" s="165">
        <f>L28*H28</f>
        <v>100</v>
      </c>
      <c r="L28" s="48">
        <f>G28-J28</f>
        <v>36</v>
      </c>
      <c r="M28" s="165">
        <v>0</v>
      </c>
      <c r="N28" s="48">
        <v>0</v>
      </c>
      <c r="O28" s="165">
        <f>P28*H28</f>
        <v>100</v>
      </c>
      <c r="P28" s="48">
        <f>L28-N28</f>
        <v>36</v>
      </c>
      <c r="Q28" s="48"/>
      <c r="R28" s="125" t="s">
        <v>1077</v>
      </c>
      <c r="S28" s="119">
        <v>42650</v>
      </c>
      <c r="T28" s="134">
        <v>1122.5999999999999</v>
      </c>
      <c r="U28" s="14">
        <v>0</v>
      </c>
      <c r="V28" s="106">
        <v>0</v>
      </c>
      <c r="W28" s="66"/>
      <c r="X28" s="57">
        <v>115.958</v>
      </c>
      <c r="Y28" s="80">
        <v>119.505</v>
      </c>
      <c r="Z28" s="57">
        <f>X28/Y28</f>
        <v>0.97031923350487426</v>
      </c>
      <c r="AA28" s="55">
        <v>0</v>
      </c>
      <c r="AB28" s="55">
        <f>AA28*Z28</f>
        <v>0</v>
      </c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>
        <v>0</v>
      </c>
      <c r="AO28" s="55">
        <f>SUM(AC28:AN28)</f>
        <v>0</v>
      </c>
      <c r="AP28" s="72">
        <f>T28-AO28</f>
        <v>1122.5999999999999</v>
      </c>
      <c r="AQ28" s="55">
        <f>(AP28*E28)/12</f>
        <v>31.180214999999993</v>
      </c>
      <c r="AR28" s="55">
        <f>AQ28*Z28</f>
        <v>30.254762319317177</v>
      </c>
      <c r="AS28" s="55"/>
      <c r="AT28" s="55"/>
      <c r="AU28" s="55">
        <v>55.11</v>
      </c>
      <c r="AV28" s="55">
        <f>$AU28</f>
        <v>55.11</v>
      </c>
      <c r="AW28" s="55">
        <f>$AU28</f>
        <v>55.11</v>
      </c>
      <c r="AX28" s="599">
        <v>118.901</v>
      </c>
      <c r="AY28" s="600">
        <v>121.00700000000001</v>
      </c>
      <c r="AZ28" s="599">
        <f>AX28/AY28</f>
        <v>0.9825960481625029</v>
      </c>
      <c r="BA28" s="598">
        <f>T28/(D28*12)</f>
        <v>31.18333333333333</v>
      </c>
      <c r="BB28" s="598">
        <f>BA28*AZ28</f>
        <v>30.64062010186738</v>
      </c>
      <c r="BC28" s="598"/>
      <c r="BD28" s="598"/>
      <c r="BE28" s="598"/>
      <c r="BF28" s="598"/>
      <c r="BG28" s="598"/>
      <c r="BH28" s="598"/>
      <c r="BI28" s="598"/>
      <c r="BJ28" s="598">
        <v>0</v>
      </c>
      <c r="BK28" s="601">
        <f>(AP28-BJ28)</f>
        <v>1122.5999999999999</v>
      </c>
      <c r="BL28" s="598">
        <v>56.52</v>
      </c>
      <c r="BM28" s="598">
        <v>25.88</v>
      </c>
      <c r="BN28" s="598">
        <v>25.88</v>
      </c>
      <c r="BO28" s="598">
        <v>25.88</v>
      </c>
      <c r="BP28" s="598">
        <v>25.88</v>
      </c>
      <c r="BQ28" s="599">
        <v>118.901</v>
      </c>
      <c r="BR28" s="600">
        <v>119.505</v>
      </c>
      <c r="BS28" s="599">
        <f>BQ28/BR28</f>
        <v>0.99494581816660388</v>
      </c>
      <c r="BT28" s="598"/>
      <c r="BU28" s="598"/>
      <c r="BV28" s="598"/>
      <c r="BW28" s="598"/>
      <c r="BX28" s="598"/>
      <c r="BY28" s="598"/>
      <c r="BZ28" s="598"/>
      <c r="CA28" s="598"/>
      <c r="CB28" s="598"/>
      <c r="CC28" s="598">
        <f>SUM((BL28:BP28),(BV28:CB28))</f>
        <v>160.04</v>
      </c>
      <c r="CD28" s="601">
        <f>BK28-CC28</f>
        <v>962.56</v>
      </c>
      <c r="CE28" s="58">
        <v>3</v>
      </c>
      <c r="CF28" s="25">
        <v>0.33329999999999999</v>
      </c>
      <c r="CG28" s="46">
        <v>43281</v>
      </c>
      <c r="CH28" s="58">
        <f>CE28*12</f>
        <v>36</v>
      </c>
      <c r="CI28" s="145">
        <f>CU28/CH28/100</f>
        <v>0.3118333333333333</v>
      </c>
      <c r="CJ28" s="165">
        <f>CI28*CK28</f>
        <v>6.2366666666666664</v>
      </c>
      <c r="CK28" s="463">
        <f>(YEAR(CG28)-YEAR(CT28))*12+MONTH(CG28)-MONTH(CT28)</f>
        <v>20</v>
      </c>
      <c r="CL28" s="165">
        <f>CM28*CI28</f>
        <v>4.9893333333333327</v>
      </c>
      <c r="CM28" s="48">
        <f>CH28-CK28</f>
        <v>16</v>
      </c>
      <c r="CN28" s="165">
        <v>0</v>
      </c>
      <c r="CO28" s="48">
        <v>0</v>
      </c>
      <c r="CP28" s="165">
        <f>CQ28*CI28</f>
        <v>4.9893333333333327</v>
      </c>
      <c r="CQ28" s="48">
        <f>CM28-CO28</f>
        <v>16</v>
      </c>
      <c r="CR28" s="462">
        <f>DATE(YEAR(CT28),MONTH(CT28)+CH28,DAY(CT28))</f>
        <v>43745</v>
      </c>
      <c r="CS28" s="125" t="s">
        <v>1077</v>
      </c>
      <c r="CT28" s="119">
        <v>42650</v>
      </c>
      <c r="CU28" s="134">
        <v>1122.5999999999999</v>
      </c>
      <c r="CV28" s="710">
        <v>962.56</v>
      </c>
      <c r="CW28" s="599">
        <v>126.408</v>
      </c>
      <c r="CX28" s="600">
        <v>121.00700000000001</v>
      </c>
      <c r="CY28" s="599">
        <f>CW28/CX28</f>
        <v>1.0446337815167717</v>
      </c>
      <c r="CZ28" s="598">
        <f>CV28/CM28</f>
        <v>60.16</v>
      </c>
      <c r="DA28" s="598">
        <f>CZ28*CY28</f>
        <v>62.845168296048982</v>
      </c>
      <c r="DB28" s="598">
        <v>35.911524740599418</v>
      </c>
      <c r="DC28" s="598">
        <v>35.911524740599418</v>
      </c>
      <c r="DD28" s="598">
        <v>35.911524740599418</v>
      </c>
      <c r="DE28" s="598">
        <v>35.911524740599418</v>
      </c>
      <c r="DF28" s="598">
        <v>35.911524740599418</v>
      </c>
      <c r="DG28" s="598">
        <v>35.911524740599418</v>
      </c>
      <c r="DH28" s="598">
        <v>35.911524740599418</v>
      </c>
      <c r="DI28" s="598">
        <f>SUM(DB28:DH28)</f>
        <v>251.38067318419593</v>
      </c>
      <c r="DJ28" s="601">
        <f>CV28-DI28</f>
        <v>711.17932681580396</v>
      </c>
      <c r="DK28" s="598">
        <v>56.52</v>
      </c>
      <c r="DL28" s="598">
        <v>25.88</v>
      </c>
      <c r="DM28" s="598">
        <v>25.88</v>
      </c>
      <c r="DN28" s="598">
        <v>25.88</v>
      </c>
      <c r="DO28" s="598">
        <v>35.911524740599418</v>
      </c>
      <c r="DP28" s="598">
        <v>35.911524740599418</v>
      </c>
      <c r="DQ28" s="598">
        <v>35.911524740599418</v>
      </c>
      <c r="DR28" s="598">
        <v>35.911524740599418</v>
      </c>
      <c r="DS28" s="598">
        <v>35.911524740599418</v>
      </c>
      <c r="DT28" s="505"/>
      <c r="DU28" s="1085">
        <f t="shared" si="5"/>
        <v>711.17932681580396</v>
      </c>
      <c r="DV28" s="1086">
        <v>132.28200000000001</v>
      </c>
      <c r="DW28" s="515">
        <v>121.00700000000001</v>
      </c>
      <c r="DX28" s="1087">
        <f>DV28/DW28</f>
        <v>1.0931764278099614</v>
      </c>
      <c r="DY28" s="516">
        <f>DU28/CM28</f>
        <v>44.448707925987748</v>
      </c>
      <c r="DZ28" s="516">
        <f>DY28*DX28</f>
        <v>48.590279751299605</v>
      </c>
      <c r="EA28" s="516">
        <v>48.590279751299605</v>
      </c>
      <c r="EB28" s="516">
        <v>48.590279751299605</v>
      </c>
      <c r="EC28" s="516">
        <v>48.590279751299605</v>
      </c>
      <c r="ED28" s="516">
        <v>48.590279751299605</v>
      </c>
      <c r="EE28" s="516">
        <v>48.590279751299605</v>
      </c>
      <c r="EF28" s="516">
        <v>48.590279751299605</v>
      </c>
      <c r="EG28" s="516">
        <v>48.590279751299605</v>
      </c>
      <c r="EH28" s="516">
        <v>48.590279751299605</v>
      </c>
      <c r="EI28" s="516">
        <v>48.590279751299605</v>
      </c>
      <c r="EJ28" s="516">
        <v>48.590279751299605</v>
      </c>
      <c r="EK28" s="516">
        <v>48.590279751299605</v>
      </c>
      <c r="EL28" s="516">
        <v>48.590279751299605</v>
      </c>
      <c r="EM28" s="516">
        <v>48.590279751299605</v>
      </c>
      <c r="EN28" s="516">
        <v>48.590279751299605</v>
      </c>
      <c r="EO28" s="516">
        <v>29.92</v>
      </c>
      <c r="EP28" s="516">
        <v>0</v>
      </c>
      <c r="EQ28" s="516">
        <v>0</v>
      </c>
      <c r="ER28" s="516">
        <v>0</v>
      </c>
      <c r="ES28" s="516">
        <f t="shared" si="1"/>
        <v>710.18391651819434</v>
      </c>
      <c r="ET28" s="1088">
        <f>DU28-ES28</f>
        <v>0.99541029760962374</v>
      </c>
    </row>
    <row r="29" spans="1:153" ht="15.75" x14ac:dyDescent="0.25">
      <c r="A29" s="100" t="s">
        <v>1075</v>
      </c>
      <c r="B29" s="100" t="s">
        <v>1093</v>
      </c>
      <c r="C29" s="45" t="s">
        <v>326</v>
      </c>
      <c r="D29" s="58">
        <v>3</v>
      </c>
      <c r="E29" s="25">
        <v>0.33329999999999999</v>
      </c>
      <c r="F29" s="119">
        <v>42438</v>
      </c>
      <c r="G29" s="58">
        <f>D29*12</f>
        <v>36</v>
      </c>
      <c r="H29" s="145">
        <f>100/G29</f>
        <v>2.7777777777777777</v>
      </c>
      <c r="I29" s="165">
        <v>0</v>
      </c>
      <c r="J29" s="48">
        <v>0</v>
      </c>
      <c r="K29" s="165">
        <f>L29*H29</f>
        <v>100</v>
      </c>
      <c r="L29" s="48">
        <f>G29-J29</f>
        <v>36</v>
      </c>
      <c r="M29" s="165">
        <v>0</v>
      </c>
      <c r="N29" s="48">
        <v>0</v>
      </c>
      <c r="O29" s="165">
        <f>P29*H29</f>
        <v>100</v>
      </c>
      <c r="P29" s="48">
        <f>L29-N29</f>
        <v>36</v>
      </c>
      <c r="Q29" s="48"/>
      <c r="R29" s="125" t="s">
        <v>1092</v>
      </c>
      <c r="S29" s="119">
        <v>42704</v>
      </c>
      <c r="T29" s="134">
        <v>1700</v>
      </c>
      <c r="U29" s="14">
        <v>0</v>
      </c>
      <c r="V29" s="106">
        <v>0</v>
      </c>
      <c r="W29" s="66"/>
      <c r="X29" s="57">
        <v>115.958</v>
      </c>
      <c r="Y29" s="80">
        <v>119.505</v>
      </c>
      <c r="Z29" s="57">
        <f>X29/Y29</f>
        <v>0.97031923350487426</v>
      </c>
      <c r="AA29" s="55">
        <v>0</v>
      </c>
      <c r="AB29" s="55">
        <f>AA29*Z29</f>
        <v>0</v>
      </c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>
        <v>0</v>
      </c>
      <c r="AO29" s="55">
        <f>SUM(AC29:AN29)</f>
        <v>0</v>
      </c>
      <c r="AP29" s="72">
        <f>T29-AO29</f>
        <v>1700</v>
      </c>
      <c r="AQ29" s="55">
        <f>(AP29*E29)/12</f>
        <v>47.217500000000001</v>
      </c>
      <c r="AR29" s="55">
        <f>AQ29*Z29</f>
        <v>45.8160484080164</v>
      </c>
      <c r="AS29" s="55"/>
      <c r="AT29" s="55"/>
      <c r="AU29" s="55">
        <v>55.11</v>
      </c>
      <c r="AV29" s="55">
        <f>$AU29</f>
        <v>55.11</v>
      </c>
      <c r="AW29" s="55">
        <f>$AU29</f>
        <v>55.11</v>
      </c>
      <c r="AX29" s="599">
        <v>118.901</v>
      </c>
      <c r="AY29" s="600">
        <v>121.953</v>
      </c>
      <c r="AZ29" s="599">
        <f>AX29/AY29</f>
        <v>0.97497396538010539</v>
      </c>
      <c r="BA29" s="598">
        <f>T29/(D29*12)</f>
        <v>47.222222222222221</v>
      </c>
      <c r="BB29" s="598">
        <f>BA29*AZ29</f>
        <v>46.040437254060528</v>
      </c>
      <c r="BC29" s="598"/>
      <c r="BD29" s="598"/>
      <c r="BE29" s="598"/>
      <c r="BF29" s="598"/>
      <c r="BG29" s="598"/>
      <c r="BH29" s="598"/>
      <c r="BI29" s="598"/>
      <c r="BJ29" s="598">
        <v>0</v>
      </c>
      <c r="BK29" s="601">
        <f>(AP29-BJ29)</f>
        <v>1700</v>
      </c>
      <c r="BL29" s="598">
        <v>46.04</v>
      </c>
      <c r="BM29" s="598">
        <v>46.04</v>
      </c>
      <c r="BN29" s="598">
        <v>46.04</v>
      </c>
      <c r="BO29" s="598">
        <v>46.04</v>
      </c>
      <c r="BP29" s="598">
        <v>46.04</v>
      </c>
      <c r="BQ29" s="599">
        <v>118.901</v>
      </c>
      <c r="BR29" s="600">
        <v>119.505</v>
      </c>
      <c r="BS29" s="599">
        <f>BQ29/BR29</f>
        <v>0.99494581816660388</v>
      </c>
      <c r="BT29" s="598"/>
      <c r="BU29" s="598"/>
      <c r="BV29" s="598"/>
      <c r="BW29" s="598"/>
      <c r="BX29" s="598"/>
      <c r="BY29" s="598"/>
      <c r="BZ29" s="598"/>
      <c r="CA29" s="598"/>
      <c r="CB29" s="598"/>
      <c r="CC29" s="598">
        <f>SUM((BL29:BP29),(BV29:CB29))</f>
        <v>230.2</v>
      </c>
      <c r="CD29" s="601">
        <f>BK29-CC29</f>
        <v>1469.8</v>
      </c>
      <c r="CE29" s="58">
        <v>3</v>
      </c>
      <c r="CF29" s="25">
        <v>0.33329999999999999</v>
      </c>
      <c r="CG29" s="46">
        <v>43281</v>
      </c>
      <c r="CH29" s="58">
        <f>CE29*12</f>
        <v>36</v>
      </c>
      <c r="CI29" s="145">
        <f>CU29/CH29/100</f>
        <v>0.47222222222222221</v>
      </c>
      <c r="CJ29" s="165">
        <f>CI29*CK29</f>
        <v>8.9722222222222214</v>
      </c>
      <c r="CK29" s="463">
        <f>(YEAR(CG29)-YEAR(CT29))*12+MONTH(CG29)-MONTH(CT29)</f>
        <v>19</v>
      </c>
      <c r="CL29" s="165">
        <f>CM29*CI29</f>
        <v>8.0277777777777768</v>
      </c>
      <c r="CM29" s="48">
        <f>CH29-CK29</f>
        <v>17</v>
      </c>
      <c r="CN29" s="165">
        <v>0</v>
      </c>
      <c r="CO29" s="48">
        <v>0</v>
      </c>
      <c r="CP29" s="165">
        <f>CQ29*CI29</f>
        <v>8.0277777777777768</v>
      </c>
      <c r="CQ29" s="48">
        <f>CM29-CO29</f>
        <v>17</v>
      </c>
      <c r="CR29" s="462">
        <f>DATE(YEAR(CT29),MONTH(CT29)+CH29,DAY(CT29))</f>
        <v>43799</v>
      </c>
      <c r="CS29" s="125" t="s">
        <v>1092</v>
      </c>
      <c r="CT29" s="119">
        <v>42704</v>
      </c>
      <c r="CU29" s="134">
        <v>1700</v>
      </c>
      <c r="CV29" s="710">
        <v>1469.8</v>
      </c>
      <c r="CW29" s="599">
        <v>126.408</v>
      </c>
      <c r="CX29" s="600">
        <v>121.953</v>
      </c>
      <c r="CY29" s="599">
        <f>CW29/CX29</f>
        <v>1.0365304666551869</v>
      </c>
      <c r="CZ29" s="598">
        <f>CV29/CM29</f>
        <v>86.45882352941176</v>
      </c>
      <c r="DA29" s="598">
        <f>CZ29*CY29</f>
        <v>89.617204699399622</v>
      </c>
      <c r="DB29" s="598">
        <v>52.534223444475643</v>
      </c>
      <c r="DC29" s="598">
        <v>52.534223444475643</v>
      </c>
      <c r="DD29" s="598">
        <v>52.534223444475643</v>
      </c>
      <c r="DE29" s="598">
        <v>52.534223444475643</v>
      </c>
      <c r="DF29" s="598">
        <v>52.534223444475643</v>
      </c>
      <c r="DG29" s="598">
        <v>52.534223444475643</v>
      </c>
      <c r="DH29" s="598">
        <v>52.534223444475643</v>
      </c>
      <c r="DI29" s="598">
        <f>SUM(DB29:DH29)</f>
        <v>367.73956411132946</v>
      </c>
      <c r="DJ29" s="601">
        <f>CV29-DI29</f>
        <v>1102.0604358886706</v>
      </c>
      <c r="DK29" s="598">
        <v>46.04</v>
      </c>
      <c r="DL29" s="598">
        <v>46.04</v>
      </c>
      <c r="DM29" s="598">
        <v>46.04</v>
      </c>
      <c r="DN29" s="598">
        <v>46.04</v>
      </c>
      <c r="DO29" s="598">
        <v>52.534223444475643</v>
      </c>
      <c r="DP29" s="598">
        <v>52.534223444475643</v>
      </c>
      <c r="DQ29" s="598">
        <v>52.534223444475643</v>
      </c>
      <c r="DR29" s="598">
        <v>52.534223444475643</v>
      </c>
      <c r="DS29" s="598">
        <v>52.534223444475643</v>
      </c>
      <c r="DT29" s="505">
        <f>SUM(DO29:DS29)</f>
        <v>262.6711172223782</v>
      </c>
      <c r="DU29" s="1085">
        <f t="shared" si="5"/>
        <v>839.38931866629241</v>
      </c>
      <c r="DV29" s="1086">
        <v>132.28200000000001</v>
      </c>
      <c r="DW29" s="515">
        <v>121.953</v>
      </c>
      <c r="DX29" s="1087">
        <f>DV29/DW29</f>
        <v>1.084696563430174</v>
      </c>
      <c r="DY29" s="516">
        <f>DU29/CM29</f>
        <v>49.375842274487788</v>
      </c>
      <c r="DZ29" s="516">
        <f>DY29*DX29</f>
        <v>53.557806431607204</v>
      </c>
      <c r="EA29" s="516">
        <v>53.557806431607204</v>
      </c>
      <c r="EB29" s="516">
        <v>53.557806431607204</v>
      </c>
      <c r="EC29" s="516">
        <v>53.557806431607204</v>
      </c>
      <c r="ED29" s="516">
        <v>53.557806431607204</v>
      </c>
      <c r="EE29" s="516">
        <v>53.557806431607204</v>
      </c>
      <c r="EF29" s="516">
        <v>53.557806431607204</v>
      </c>
      <c r="EG29" s="516">
        <v>53.557806431607204</v>
      </c>
      <c r="EH29" s="516">
        <v>53.557806431607204</v>
      </c>
      <c r="EI29" s="516">
        <v>53.557806431607204</v>
      </c>
      <c r="EJ29" s="516">
        <v>53.557806431607204</v>
      </c>
      <c r="EK29" s="516">
        <v>53.557806431607204</v>
      </c>
      <c r="EL29" s="516">
        <v>53.557806431607204</v>
      </c>
      <c r="EM29" s="516">
        <v>53.557806431607204</v>
      </c>
      <c r="EN29" s="516">
        <v>53.557806431607204</v>
      </c>
      <c r="EO29" s="516">
        <v>53.557806431607204</v>
      </c>
      <c r="EP29" s="516">
        <v>35.020000000000003</v>
      </c>
      <c r="EQ29" s="516">
        <v>0</v>
      </c>
      <c r="ER29" s="516">
        <v>0</v>
      </c>
      <c r="ES29" s="516">
        <f t="shared" si="1"/>
        <v>838.38709647410815</v>
      </c>
      <c r="ET29" s="1088">
        <f>DU29-ES29</f>
        <v>1.0022221921842629</v>
      </c>
    </row>
    <row r="30" spans="1:153" s="104" customFormat="1" ht="15" x14ac:dyDescent="0.2">
      <c r="A30" s="579"/>
      <c r="B30" s="16"/>
      <c r="C30" s="16"/>
      <c r="D30" s="38"/>
      <c r="E30" s="38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37"/>
      <c r="S30" s="37"/>
      <c r="T30" s="35"/>
      <c r="U30" s="35"/>
      <c r="V30" s="103"/>
      <c r="W30" s="16"/>
      <c r="X30" s="16"/>
      <c r="Y30" s="388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68"/>
      <c r="AQ30" s="103"/>
      <c r="AR30" s="103"/>
      <c r="AS30" s="103"/>
      <c r="AT30" s="103"/>
      <c r="AU30" s="103"/>
      <c r="AV30" s="103"/>
      <c r="AW30" s="103"/>
      <c r="AX30" s="16"/>
      <c r="AY30" s="388"/>
      <c r="AZ30"/>
      <c r="BA30"/>
      <c r="BB30" s="545">
        <f t="shared" ref="BB30:BJ30" si="8">SUM(BB13:BB29)</f>
        <v>327.52250031609003</v>
      </c>
      <c r="BC30" s="545">
        <f t="shared" si="8"/>
        <v>250.5494123699165</v>
      </c>
      <c r="BD30" s="545">
        <f t="shared" si="8"/>
        <v>250.5494123699165</v>
      </c>
      <c r="BE30" s="545">
        <f t="shared" si="8"/>
        <v>250.5494123699165</v>
      </c>
      <c r="BF30" s="545">
        <f t="shared" si="8"/>
        <v>250.5494123699165</v>
      </c>
      <c r="BG30" s="545">
        <f t="shared" si="8"/>
        <v>250.55</v>
      </c>
      <c r="BH30" s="545">
        <f t="shared" si="8"/>
        <v>250.55</v>
      </c>
      <c r="BI30" s="545">
        <f t="shared" si="8"/>
        <v>250.55</v>
      </c>
      <c r="BJ30" s="545">
        <f t="shared" si="8"/>
        <v>2859.244875838519</v>
      </c>
      <c r="BK30" s="545">
        <f>SUM(BK13:BK29)</f>
        <v>9717.3016788897112</v>
      </c>
      <c r="BL30" s="545">
        <f>SUM(BL14:BL29)</f>
        <v>353.11</v>
      </c>
      <c r="BM30" s="545">
        <f>SUM(BM14:BM29)</f>
        <v>322.47000000000003</v>
      </c>
      <c r="BN30" s="545">
        <f>SUM(BN14:BN29)</f>
        <v>322.47000000000003</v>
      </c>
      <c r="BO30" s="545">
        <f>SUM(BO14:BO29)</f>
        <v>322.47000000000003</v>
      </c>
      <c r="BP30" s="545">
        <f t="shared" ref="BP30:CB30" si="9">SUM(BP14:BP25)</f>
        <v>250.55</v>
      </c>
      <c r="BQ30" s="545">
        <f t="shared" si="9"/>
        <v>594.505</v>
      </c>
      <c r="BR30" s="545">
        <f t="shared" si="9"/>
        <v>577.82299999999998</v>
      </c>
      <c r="BS30" s="545">
        <f t="shared" si="9"/>
        <v>5.1501737552050617</v>
      </c>
      <c r="BT30" s="545">
        <f t="shared" si="9"/>
        <v>0</v>
      </c>
      <c r="BU30" s="545">
        <f t="shared" si="9"/>
        <v>0</v>
      </c>
      <c r="BV30" s="545">
        <f t="shared" si="9"/>
        <v>0</v>
      </c>
      <c r="BW30" s="545">
        <f t="shared" si="9"/>
        <v>0</v>
      </c>
      <c r="BX30" s="545">
        <f t="shared" si="9"/>
        <v>0</v>
      </c>
      <c r="BY30" s="545">
        <f t="shared" si="9"/>
        <v>0</v>
      </c>
      <c r="BZ30" s="545">
        <f t="shared" si="9"/>
        <v>0</v>
      </c>
      <c r="CA30" s="545">
        <f t="shared" si="9"/>
        <v>0</v>
      </c>
      <c r="CB30" s="545">
        <f t="shared" si="9"/>
        <v>0</v>
      </c>
      <c r="CC30" s="545">
        <f>SUM(CC14:CC29)</f>
        <v>1642.99</v>
      </c>
      <c r="CD30" s="545">
        <f>SUM(CD13:CD29)</f>
        <v>8074.3116788897105</v>
      </c>
      <c r="CE30" s="38"/>
      <c r="CF30" s="38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37"/>
      <c r="CT30" s="37"/>
      <c r="CU30" s="35"/>
      <c r="CV30" s="104">
        <v>8074.3116788897105</v>
      </c>
      <c r="CW30" s="16"/>
      <c r="CX30" s="388"/>
      <c r="CY30"/>
      <c r="CZ30"/>
      <c r="DA30" s="545">
        <f t="shared" ref="DA30:DI30" si="10">SUM(DA13:DA29)</f>
        <v>987.89687721151972</v>
      </c>
      <c r="DB30" s="545">
        <f t="shared" si="10"/>
        <v>364.77077172674649</v>
      </c>
      <c r="DC30" s="545">
        <f>SUM(DC13:DC29)</f>
        <v>346.90963992268848</v>
      </c>
      <c r="DD30" s="545">
        <f t="shared" si="10"/>
        <v>382.64963992268849</v>
      </c>
      <c r="DE30" s="545">
        <f t="shared" si="10"/>
        <v>382.64963992268849</v>
      </c>
      <c r="DF30" s="545">
        <f>SUM(DF13:DF29)</f>
        <v>382.64963992268849</v>
      </c>
      <c r="DG30" s="522">
        <f t="shared" si="10"/>
        <v>382.64963992268849</v>
      </c>
      <c r="DH30" s="545">
        <f t="shared" si="10"/>
        <v>382.64963992268849</v>
      </c>
      <c r="DI30" s="545">
        <f t="shared" si="10"/>
        <v>2624.9286112628774</v>
      </c>
      <c r="DJ30" s="545">
        <f>SUM(DJ13:DJ29)</f>
        <v>5449.3830676268335</v>
      </c>
      <c r="DK30" s="545">
        <f>SUM(DK14:DK29)</f>
        <v>353.11</v>
      </c>
      <c r="DL30" s="545">
        <f>SUM(DL14:DL29)</f>
        <v>322.47000000000003</v>
      </c>
      <c r="DM30" s="545">
        <f>SUM(DM14:DM29)</f>
        <v>322.47000000000003</v>
      </c>
      <c r="DN30" s="545">
        <f>SUM(DN14:DN29)</f>
        <v>322.47000000000003</v>
      </c>
      <c r="DO30" s="545">
        <f t="shared" ref="DO30:DU30" si="11">SUM(DO13:DO29)</f>
        <v>364.77963992268849</v>
      </c>
      <c r="DP30" s="545">
        <f t="shared" si="11"/>
        <v>364.77963992268849</v>
      </c>
      <c r="DQ30" s="522">
        <f t="shared" si="11"/>
        <v>364.77963992268849</v>
      </c>
      <c r="DR30" s="522">
        <f t="shared" si="11"/>
        <v>364.77963992268849</v>
      </c>
      <c r="DS30" s="522">
        <f t="shared" si="11"/>
        <v>364.77963992268849</v>
      </c>
      <c r="DT30" s="545">
        <f t="shared" si="11"/>
        <v>1644.3405759104453</v>
      </c>
      <c r="DU30" s="522">
        <f t="shared" si="11"/>
        <v>3805.0424917163882</v>
      </c>
      <c r="DV30" s="1127"/>
      <c r="DW30" s="1125"/>
      <c r="DX30" s="1125"/>
      <c r="DY30" s="1024"/>
      <c r="DZ30" s="1024"/>
      <c r="EA30" s="1024">
        <f>SUM(EA13:EA29)</f>
        <v>177.62159725638915</v>
      </c>
      <c r="EB30" s="1024">
        <f t="shared" ref="EB30:ES30" si="12">SUM(EB13:EB29)</f>
        <v>177.62159725638915</v>
      </c>
      <c r="EC30" s="1024">
        <f t="shared" si="12"/>
        <v>177.62159725638915</v>
      </c>
      <c r="ED30" s="1024">
        <f t="shared" si="12"/>
        <v>177.62159725638915</v>
      </c>
      <c r="EE30" s="1024">
        <f t="shared" si="12"/>
        <v>177.62159725638915</v>
      </c>
      <c r="EF30" s="1024">
        <f t="shared" si="12"/>
        <v>177.62159725638915</v>
      </c>
      <c r="EG30" s="1024">
        <f t="shared" si="12"/>
        <v>943.8915972563891</v>
      </c>
      <c r="EH30" s="1024">
        <f t="shared" ref="EH30:EI30" si="13">SUM(EH13:EH29)</f>
        <v>177.62159725638915</v>
      </c>
      <c r="EI30" s="1024">
        <f t="shared" si="13"/>
        <v>125.81179608627953</v>
      </c>
      <c r="EJ30" s="1024">
        <f t="shared" ref="EJ30:EK30" si="14">SUM(EJ13:EJ29)</f>
        <v>119.17179608627951</v>
      </c>
      <c r="EK30" s="1024">
        <f t="shared" si="14"/>
        <v>119.17179608627951</v>
      </c>
      <c r="EL30" s="1024">
        <f t="shared" ref="EL30:ER30" si="15">SUM(EL13:EL29)</f>
        <v>119.17179608627951</v>
      </c>
      <c r="EM30" s="1024">
        <f t="shared" ref="EM30:EQ30" si="16">SUM(EM13:EM29)</f>
        <v>119.17179608627951</v>
      </c>
      <c r="EN30" s="1024">
        <f t="shared" si="16"/>
        <v>119.17179608627951</v>
      </c>
      <c r="EO30" s="1024">
        <f t="shared" si="16"/>
        <v>100.50151633497993</v>
      </c>
      <c r="EP30" s="1024">
        <f t="shared" si="16"/>
        <v>52.043709903372715</v>
      </c>
      <c r="EQ30" s="1024">
        <f t="shared" si="16"/>
        <v>17.023709903372712</v>
      </c>
      <c r="ER30" s="1024">
        <f t="shared" si="15"/>
        <v>17.023709903372712</v>
      </c>
      <c r="ES30" s="1024">
        <f t="shared" si="12"/>
        <v>3095.5062006138887</v>
      </c>
      <c r="ET30" s="1024">
        <f>SUM(ET13:ET29)</f>
        <v>709.53629110249949</v>
      </c>
      <c r="EU30" s="435"/>
      <c r="EV30" s="435"/>
      <c r="EW30" s="435"/>
    </row>
    <row r="31" spans="1:153" s="104" customFormat="1" ht="15" x14ac:dyDescent="0.2">
      <c r="A31" s="10"/>
      <c r="B31"/>
      <c r="C31"/>
      <c r="D31" s="18"/>
      <c r="E31" s="18"/>
      <c r="F31"/>
      <c r="G31"/>
      <c r="H31"/>
      <c r="I31"/>
      <c r="J31"/>
      <c r="K31"/>
      <c r="L31"/>
      <c r="M31"/>
      <c r="N31"/>
      <c r="O31"/>
      <c r="P31"/>
      <c r="Q31"/>
      <c r="R31" s="19"/>
      <c r="S31" s="19"/>
      <c r="T31" s="12"/>
      <c r="U31" s="12"/>
      <c r="W31"/>
      <c r="X31"/>
      <c r="Y31" s="77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 s="69"/>
      <c r="AQ31" s="103"/>
      <c r="AR31" s="103"/>
      <c r="AX31"/>
      <c r="AY31" s="77"/>
      <c r="AZ31"/>
      <c r="BA31"/>
      <c r="BB31"/>
      <c r="BJ31" s="545"/>
      <c r="BK31" s="545">
        <f>BK30-BL30-BM30</f>
        <v>9041.7216788897113</v>
      </c>
      <c r="BL31" s="545"/>
      <c r="BM31" s="545"/>
      <c r="BN31" s="545"/>
      <c r="BO31" s="545"/>
      <c r="BP31" s="545"/>
      <c r="BQ31" s="546"/>
      <c r="BR31" s="547"/>
      <c r="BS31" s="546"/>
      <c r="BT31" s="546"/>
      <c r="BU31" s="546"/>
      <c r="BV31" s="545"/>
      <c r="BW31" s="545"/>
      <c r="BX31" s="545"/>
      <c r="BY31" s="545"/>
      <c r="BZ31" s="545"/>
      <c r="CA31" s="545"/>
      <c r="CB31" s="545"/>
      <c r="CC31" s="545"/>
      <c r="CD31" s="545"/>
      <c r="CE31" s="18"/>
      <c r="CF31" s="18"/>
      <c r="CG31"/>
      <c r="CH31"/>
      <c r="CI31"/>
      <c r="CJ31"/>
      <c r="CK31"/>
      <c r="CL31"/>
      <c r="CM31"/>
      <c r="CN31"/>
      <c r="CO31"/>
      <c r="CP31"/>
      <c r="CQ31"/>
      <c r="CR31"/>
      <c r="CS31" s="19"/>
      <c r="CT31" s="19"/>
      <c r="CU31" s="12"/>
      <c r="CW31"/>
      <c r="CX31" s="77"/>
      <c r="CY31"/>
      <c r="CZ31"/>
      <c r="DA31"/>
      <c r="DI31" s="545"/>
      <c r="DJ31" s="545"/>
      <c r="DK31" s="545"/>
      <c r="DL31" s="545"/>
      <c r="DM31" s="545"/>
      <c r="DN31" s="545"/>
      <c r="DO31" s="989"/>
      <c r="DP31" s="989"/>
      <c r="DQ31" s="971"/>
      <c r="DR31" s="971"/>
      <c r="DS31" s="971"/>
      <c r="DT31" s="971"/>
      <c r="DU31" s="1128">
        <f>DJ30-DT30</f>
        <v>3805.0424917163882</v>
      </c>
      <c r="DV31" s="1129"/>
      <c r="DW31" s="1125"/>
      <c r="DX31" s="1125"/>
      <c r="DY31" s="1024"/>
      <c r="DZ31" s="1024"/>
      <c r="EA31" s="1024"/>
      <c r="EB31" s="1024"/>
      <c r="EC31" s="1024"/>
      <c r="ED31" s="1024"/>
      <c r="EE31" s="1024"/>
      <c r="EF31" s="1024"/>
      <c r="EG31" s="1024"/>
      <c r="EH31" s="1024"/>
      <c r="EI31" s="1024"/>
      <c r="EJ31" s="1024"/>
      <c r="EK31" s="1024"/>
      <c r="EL31" s="1024"/>
      <c r="EM31" s="1024"/>
      <c r="EN31" s="1024"/>
      <c r="EO31" s="1024"/>
      <c r="EP31" s="1024"/>
      <c r="EQ31" s="1024"/>
      <c r="ER31" s="1024"/>
      <c r="ES31" s="1024"/>
      <c r="ET31" s="1024">
        <f>DU30-ES30</f>
        <v>709.53629110249949</v>
      </c>
      <c r="EU31" s="435"/>
      <c r="EV31" s="435"/>
      <c r="EW31" s="435"/>
    </row>
    <row r="32" spans="1:153" ht="30.75" hidden="1" customHeight="1" x14ac:dyDescent="0.2">
      <c r="A32" s="1271" t="s">
        <v>462</v>
      </c>
      <c r="B32" s="1271"/>
      <c r="C32" s="1271"/>
      <c r="D32" s="1271"/>
      <c r="E32" s="1271"/>
      <c r="F32" s="1271"/>
      <c r="G32" s="1271"/>
      <c r="H32" s="1271"/>
      <c r="I32" s="1271"/>
      <c r="J32" s="1271"/>
      <c r="K32" s="1271"/>
      <c r="L32" s="1271"/>
      <c r="M32" s="1271"/>
      <c r="N32" s="1271"/>
      <c r="O32" s="1271"/>
      <c r="P32" s="1271"/>
      <c r="Q32" s="1271"/>
      <c r="R32" s="1271"/>
      <c r="S32" s="1271"/>
      <c r="T32" s="1271"/>
      <c r="U32" s="1271"/>
      <c r="V32" s="1271"/>
      <c r="W32" s="1271"/>
      <c r="X32" s="1271"/>
      <c r="Y32" s="171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Y32" s="171"/>
      <c r="AZ32" s="170"/>
      <c r="BA32" s="170"/>
      <c r="BB32" s="170"/>
      <c r="BR32" s="171"/>
      <c r="BS32" s="170"/>
      <c r="BT32" s="170"/>
      <c r="BU32" s="170"/>
      <c r="CE32"/>
      <c r="CF32"/>
      <c r="CS32"/>
      <c r="CT32"/>
      <c r="CU32"/>
      <c r="CX32" s="171"/>
      <c r="CY32" s="170"/>
      <c r="CZ32" s="170"/>
      <c r="DA32" s="170"/>
    </row>
    <row r="33" spans="1:114" s="77" customFormat="1" hidden="1" x14ac:dyDescent="0.2">
      <c r="A33" s="1271"/>
      <c r="B33" s="1271"/>
      <c r="C33" s="1271"/>
      <c r="D33" s="1271"/>
      <c r="E33" s="1271"/>
      <c r="F33" s="1271"/>
      <c r="G33" s="1271"/>
      <c r="H33" s="1271"/>
      <c r="I33" s="1271"/>
      <c r="J33" s="1271"/>
      <c r="K33" s="1271"/>
      <c r="L33" s="1271"/>
      <c r="M33" s="1271"/>
      <c r="N33" s="1271"/>
      <c r="O33" s="1271"/>
      <c r="P33" s="1271"/>
      <c r="Q33" s="1271"/>
      <c r="R33" s="1271"/>
      <c r="S33" s="1271"/>
      <c r="T33" s="1271"/>
      <c r="U33" s="1271"/>
      <c r="V33" s="1271"/>
      <c r="W33" s="1271"/>
      <c r="X33" s="1271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 s="69"/>
      <c r="AQ33" s="16"/>
      <c r="AR33" s="388"/>
      <c r="AZ33"/>
      <c r="BA33"/>
      <c r="BB33"/>
      <c r="BS33"/>
      <c r="BT33"/>
      <c r="BU33"/>
      <c r="CY33"/>
      <c r="CZ33"/>
      <c r="DA33"/>
    </row>
    <row r="34" spans="1:114" x14ac:dyDescent="0.2">
      <c r="DJ34" s="104">
        <f>CV30-DI30</f>
        <v>5449.3830676268335</v>
      </c>
    </row>
    <row r="35" spans="1:114" x14ac:dyDescent="0.2">
      <c r="V35" s="1266"/>
      <c r="W35" s="1270"/>
      <c r="X35" s="1270"/>
      <c r="Y35" s="1270"/>
      <c r="Z35" s="1270"/>
      <c r="AN35" s="399">
        <f>SUM(AN25-AN24-AN21)</f>
        <v>-177.31344527177049</v>
      </c>
      <c r="AY35"/>
      <c r="BR35"/>
      <c r="CX35"/>
    </row>
    <row r="36" spans="1:114" x14ac:dyDescent="0.2">
      <c r="V36" s="1270"/>
      <c r="W36" s="1270"/>
      <c r="X36" s="1270"/>
      <c r="Y36" s="1270"/>
      <c r="Z36" s="1270"/>
      <c r="AN36" s="13">
        <f>SUM(AO24+AO21)+AN35</f>
        <v>0</v>
      </c>
      <c r="AY36"/>
      <c r="BR36"/>
      <c r="CX36"/>
    </row>
    <row r="37" spans="1:114" x14ac:dyDescent="0.2">
      <c r="V37" s="1270"/>
      <c r="W37" s="1270"/>
      <c r="X37" s="1270"/>
      <c r="Y37" s="1270"/>
      <c r="Z37" s="1270"/>
      <c r="AY37"/>
      <c r="BR37"/>
      <c r="CX37"/>
    </row>
    <row r="38" spans="1:114" x14ac:dyDescent="0.2">
      <c r="V38" s="1270"/>
      <c r="W38" s="1270"/>
      <c r="X38" s="1270"/>
      <c r="Y38" s="1270"/>
      <c r="Z38" s="1270"/>
      <c r="AY38"/>
      <c r="BR38"/>
      <c r="CX38"/>
    </row>
  </sheetData>
  <mergeCells count="57">
    <mergeCell ref="ET11:ET12"/>
    <mergeCell ref="DT11:DT12"/>
    <mergeCell ref="DU11:DU12"/>
    <mergeCell ref="DY11:DY12"/>
    <mergeCell ref="DZ11:DZ12"/>
    <mergeCell ref="ES11:ES12"/>
    <mergeCell ref="CZ11:CZ12"/>
    <mergeCell ref="DA11:DA12"/>
    <mergeCell ref="CV11:CV12"/>
    <mergeCell ref="CE10:CQ10"/>
    <mergeCell ref="CS10:CU10"/>
    <mergeCell ref="CF11:CF12"/>
    <mergeCell ref="CG11:CG12"/>
    <mergeCell ref="CH11:CH12"/>
    <mergeCell ref="CI11:CI12"/>
    <mergeCell ref="CJ11:CJ12"/>
    <mergeCell ref="CK11:CK12"/>
    <mergeCell ref="CL11:CL12"/>
    <mergeCell ref="CM11:CM12"/>
    <mergeCell ref="CN11:CN12"/>
    <mergeCell ref="CP11:CP12"/>
    <mergeCell ref="CR11:CR12"/>
    <mergeCell ref="CS11:CS12"/>
    <mergeCell ref="CT11:CT12"/>
    <mergeCell ref="CU11:CU12"/>
    <mergeCell ref="BT11:BT12"/>
    <mergeCell ref="BU11:BU12"/>
    <mergeCell ref="E11:E12"/>
    <mergeCell ref="F11:F12"/>
    <mergeCell ref="G11:G12"/>
    <mergeCell ref="BA11:BA12"/>
    <mergeCell ref="BB11:BB12"/>
    <mergeCell ref="W11:W12"/>
    <mergeCell ref="J11:J12"/>
    <mergeCell ref="K11:K12"/>
    <mergeCell ref="L11:L12"/>
    <mergeCell ref="M11:M12"/>
    <mergeCell ref="O11:O12"/>
    <mergeCell ref="Q11:Q12"/>
    <mergeCell ref="AQ11:AQ12"/>
    <mergeCell ref="AR11:AR12"/>
    <mergeCell ref="V35:Z38"/>
    <mergeCell ref="D10:P10"/>
    <mergeCell ref="R10:T10"/>
    <mergeCell ref="U10:AP10"/>
    <mergeCell ref="H11:H12"/>
    <mergeCell ref="I11:I12"/>
    <mergeCell ref="AA11:AA12"/>
    <mergeCell ref="AB11:AB12"/>
    <mergeCell ref="A32:X33"/>
    <mergeCell ref="R11:R12"/>
    <mergeCell ref="S11:S12"/>
    <mergeCell ref="T11:T12"/>
    <mergeCell ref="U11:U12"/>
    <mergeCell ref="V11:V12"/>
    <mergeCell ref="A11:A12"/>
    <mergeCell ref="B11:B12"/>
  </mergeCells>
  <printOptions horizontalCentered="1"/>
  <pageMargins left="0.19685039370078741" right="0.19685039370078741" top="0.39370078740157483" bottom="0.39370078740157483" header="0" footer="0"/>
  <pageSetup scale="45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30</vt:i4>
      </vt:variant>
    </vt:vector>
  </HeadingPairs>
  <TitlesOfParts>
    <vt:vector size="67" baseType="lpstr">
      <vt:lpstr>CONTRALORIA 2017</vt:lpstr>
      <vt:lpstr>PRESIDENCIA 2017</vt:lpstr>
      <vt:lpstr>HACIENDA 2017</vt:lpstr>
      <vt:lpstr>INSTITUTO DE LA JUVENTUD 2017</vt:lpstr>
      <vt:lpstr>OFICIALÍA MAYOR YA 2017</vt:lpstr>
      <vt:lpstr>SECRETARÍA YA 2017</vt:lpstr>
      <vt:lpstr>RECLUTAMIENTO YA 2017</vt:lpstr>
      <vt:lpstr>PARQUE VEHICULAR YA 2017</vt:lpstr>
      <vt:lpstr>COMUNICACIÓN SOCIAL YA 2017</vt:lpstr>
      <vt:lpstr>CÓMPUTO E INFORMÁTICA YA 2017</vt:lpstr>
      <vt:lpstr>DEPORTES YA 2015</vt:lpstr>
      <vt:lpstr>JURÍDICO YA 2017</vt:lpstr>
      <vt:lpstr>PROMOCIÓN ECONOMICA 2017</vt:lpstr>
      <vt:lpstr>ECOLOGÍA YA 2015</vt:lpstr>
      <vt:lpstr>DESARROLLO RURAL YA 2015</vt:lpstr>
      <vt:lpstr>PROTECCIÓN CIVIL YA 2017 CORREG</vt:lpstr>
      <vt:lpstr>OBRAS PÚBLICAS 2017</vt:lpstr>
      <vt:lpstr>CE-MUJER YA 2015</vt:lpstr>
      <vt:lpstr>CATASTRO 2015 YA</vt:lpstr>
      <vt:lpstr>CULTURA DEL AGUA YA</vt:lpstr>
      <vt:lpstr>REG. CIVIL 2018 YA</vt:lpstr>
      <vt:lpstr>SERV. PÚB. 2018 YA</vt:lpstr>
      <vt:lpstr> TRAILERS DE AYUDA 2018</vt:lpstr>
      <vt:lpstr>PLANEACIÓN, PROGRAMACIÓN Y PRES</vt:lpstr>
      <vt:lpstr>PART. C</vt:lpstr>
      <vt:lpstr>JUZGADO SIN REVALÚO2017</vt:lpstr>
      <vt:lpstr>JUZGADO 2017</vt:lpstr>
      <vt:lpstr>SÍNDICO</vt:lpstr>
      <vt:lpstr>DESARROLLO ECONOMICO</vt:lpstr>
      <vt:lpstr>DESARROLLO SOCIAL</vt:lpstr>
      <vt:lpstr>casa de la cultura act</vt:lpstr>
      <vt:lpstr>BIENES INMUEBLES</vt:lpstr>
      <vt:lpstr>VEHICULOS</vt:lpstr>
      <vt:lpstr>vehiculos sin revaluo</vt:lpstr>
      <vt:lpstr>GENERAL</vt:lpstr>
      <vt:lpstr>MIERCOLES CIUDADANO</vt:lpstr>
      <vt:lpstr>SEGURIDAD PÚBLICA 2017</vt:lpstr>
      <vt:lpstr>'OBRAS PÚBLICAS 2017'!Área_de_impresión</vt:lpstr>
      <vt:lpstr>'PRESIDENCIA 2017'!Área_de_impresión</vt:lpstr>
      <vt:lpstr>'SEGURIDAD PÚBLICA 2017'!Área_de_impresión</vt:lpstr>
      <vt:lpstr>' TRAILERS DE AYUDA 2018'!Títulos_a_imprimir</vt:lpstr>
      <vt:lpstr>'CATASTRO 2015 YA'!Títulos_a_imprimir</vt:lpstr>
      <vt:lpstr>'CE-MUJER YA 2015'!Títulos_a_imprimir</vt:lpstr>
      <vt:lpstr>'CÓMPUTO E INFORMÁTICA YA 2017'!Títulos_a_imprimir</vt:lpstr>
      <vt:lpstr>'COMUNICACIÓN SOCIAL YA 2017'!Títulos_a_imprimir</vt:lpstr>
      <vt:lpstr>'CULTURA DEL AGUA YA'!Títulos_a_imprimir</vt:lpstr>
      <vt:lpstr>'DEPORTES YA 2015'!Títulos_a_imprimir</vt:lpstr>
      <vt:lpstr>'DESARROLLO RURAL YA 2015'!Títulos_a_imprimir</vt:lpstr>
      <vt:lpstr>'ECOLOGÍA YA 2015'!Títulos_a_imprimir</vt:lpstr>
      <vt:lpstr>'HACIENDA 2017'!Títulos_a_imprimir</vt:lpstr>
      <vt:lpstr>'INSTITUTO DE LA JUVENTUD 2017'!Títulos_a_imprimir</vt:lpstr>
      <vt:lpstr>'JURÍDICO YA 2017'!Títulos_a_imprimir</vt:lpstr>
      <vt:lpstr>'JUZGADO 2017'!Títulos_a_imprimir</vt:lpstr>
      <vt:lpstr>'JUZGADO SIN REVALÚO2017'!Títulos_a_imprimir</vt:lpstr>
      <vt:lpstr>'OBRAS PÚBLICAS 2017'!Títulos_a_imprimir</vt:lpstr>
      <vt:lpstr>'OFICIALÍA MAYOR YA 2017'!Títulos_a_imprimir</vt:lpstr>
      <vt:lpstr>'PARQUE VEHICULAR YA 2017'!Títulos_a_imprimir</vt:lpstr>
      <vt:lpstr>'PART. C'!Títulos_a_imprimir</vt:lpstr>
      <vt:lpstr>'PLANEACIÓN, PROGRAMACIÓN Y PRES'!Títulos_a_imprimir</vt:lpstr>
      <vt:lpstr>'PROMOCIÓN ECONOMICA 2017'!Títulos_a_imprimir</vt:lpstr>
      <vt:lpstr>'PROTECCIÓN CIVIL YA 2017 CORREG'!Títulos_a_imprimir</vt:lpstr>
      <vt:lpstr>'RECLUTAMIENTO YA 2017'!Títulos_a_imprimir</vt:lpstr>
      <vt:lpstr>'REG. CIVIL 2018 YA'!Títulos_a_imprimir</vt:lpstr>
      <vt:lpstr>'SECRETARÍA YA 2017'!Títulos_a_imprimir</vt:lpstr>
      <vt:lpstr>'SEGURIDAD PÚBLICA 2017'!Títulos_a_imprimir</vt:lpstr>
      <vt:lpstr>'SERV. PÚB. 2018 YA'!Títulos_a_imprimir</vt:lpstr>
      <vt:lpstr>SÍNDICO!Títulos_a_imprimir</vt:lpstr>
    </vt:vector>
  </TitlesOfParts>
  <Company>Windows uE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ecarrillo</dc:creator>
  <cp:lastModifiedBy>ELIZABETH ALCARAZ</cp:lastModifiedBy>
  <cp:lastPrinted>2019-12-19T16:18:43Z</cp:lastPrinted>
  <dcterms:created xsi:type="dcterms:W3CDTF">2013-03-06T00:55:14Z</dcterms:created>
  <dcterms:modified xsi:type="dcterms:W3CDTF">2020-02-18T19:13:12Z</dcterms:modified>
</cp:coreProperties>
</file>