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6540" windowWidth="12120" windowHeight="2010" tabRatio="828" firstSheet="3" activeTab="4"/>
  </bookViews>
  <sheets>
    <sheet name="Dir. y admon" sheetId="54" state="hidden" r:id="rId1"/>
    <sheet name="Ident sus" sheetId="55" state="hidden" r:id="rId2"/>
    <sheet name="Promocion" sheetId="56" state="hidden" r:id="rId3"/>
    <sheet name="01.Recurso Estatal" sheetId="53" r:id="rId4"/>
    <sheet name="02. ingresos propios" sheetId="90" r:id="rId5"/>
    <sheet name="Remanentes" sheetId="122" r:id="rId6"/>
    <sheet name="Jalisco Competitivo" sheetId="110" r:id="rId7"/>
    <sheet name="apoyos fonart" sheetId="109" r:id="rId8"/>
    <sheet name="Acumulado" sheetId="91" r:id="rId9"/>
    <sheet name="PLANTILLA" sheetId="132" r:id="rId10"/>
    <sheet name="Transf. entre partidas 1era Ses" sheetId="124" r:id="rId11"/>
    <sheet name="2da sesion extraordinaria" sheetId="126" r:id="rId12"/>
    <sheet name="2da ordinaria" sheetId="131" r:id="rId13"/>
  </sheets>
  <definedNames>
    <definedName name="__PS4">'Dir. y admon'!$P$48</definedName>
    <definedName name="_PS4" localSheetId="7">#REF!</definedName>
    <definedName name="_PS4" localSheetId="6">#REF!</definedName>
    <definedName name="_PS4" localSheetId="9">#REF!</definedName>
    <definedName name="_PS4" localSheetId="5">#REF!</definedName>
    <definedName name="_PS4">#REF!</definedName>
    <definedName name="_xlnm.Print_Area" localSheetId="3">'01.Recurso Estatal'!$A$1:$AB$86</definedName>
    <definedName name="_xlnm.Print_Area" localSheetId="4">'02. ingresos propios'!$A$1:$AA$45</definedName>
    <definedName name="_xlnm.Print_Area" localSheetId="9">PLANTILLA!$A$1:$AF$65</definedName>
    <definedName name="_xlnm.Print_Area" localSheetId="10">'Transf. entre partidas 1era Ses'!$A$1:$G$14</definedName>
    <definedName name="_xlnm.Print_Titles" localSheetId="3">'01.Recurso Estatal'!$1:$10</definedName>
    <definedName name="_xlnm.Print_Titles" localSheetId="4">'02. ingresos propios'!$1:$10</definedName>
    <definedName name="_xlnm.Print_Titles" localSheetId="8">Acumulado!$2:$13</definedName>
    <definedName name="_xlnm.Print_Titles" localSheetId="7">'apoyos fonart'!$1:$10</definedName>
    <definedName name="_xlnm.Print_Titles" localSheetId="0">'Dir. y admon'!$2:$11</definedName>
    <definedName name="_xlnm.Print_Titles" localSheetId="1">'Ident sus'!$1:$10</definedName>
    <definedName name="_xlnm.Print_Titles" localSheetId="6">'Jalisco Competitivo'!$1:$10</definedName>
    <definedName name="_xlnm.Print_Titles" localSheetId="2">Promocion!$1:$10</definedName>
    <definedName name="_xlnm.Print_Titles" localSheetId="5">Remanentes!$1:$10</definedName>
  </definedNames>
  <calcPr calcId="144525"/>
</workbook>
</file>

<file path=xl/calcChain.xml><?xml version="1.0" encoding="utf-8"?>
<calcChain xmlns="http://schemas.openxmlformats.org/spreadsheetml/2006/main">
  <c r="P65" i="91" l="1"/>
  <c r="Q65" i="91"/>
  <c r="R65" i="91"/>
  <c r="S65" i="91"/>
  <c r="T65" i="91"/>
  <c r="U65" i="91"/>
  <c r="V65" i="91"/>
  <c r="W65" i="91"/>
  <c r="X65" i="91"/>
  <c r="Y65" i="91"/>
  <c r="Z65" i="91"/>
  <c r="O65" i="91"/>
  <c r="J65" i="91"/>
  <c r="P57" i="91"/>
  <c r="Q57" i="91"/>
  <c r="R57" i="91"/>
  <c r="S57" i="91"/>
  <c r="T57" i="91"/>
  <c r="U57" i="91"/>
  <c r="V57" i="91"/>
  <c r="W57" i="91"/>
  <c r="X57" i="91"/>
  <c r="Y57" i="91"/>
  <c r="Z57" i="91"/>
  <c r="O57" i="91"/>
  <c r="J57" i="91"/>
  <c r="J59" i="91"/>
  <c r="J47" i="91"/>
  <c r="J14" i="91"/>
  <c r="J27" i="91" s="1"/>
  <c r="J83" i="91"/>
  <c r="J82" i="91"/>
  <c r="K29" i="109"/>
  <c r="L29" i="109"/>
  <c r="J80" i="91" l="1"/>
  <c r="M11" i="53" l="1"/>
  <c r="L23" i="53"/>
  <c r="M23" i="53"/>
  <c r="AC61" i="132" l="1"/>
  <c r="AB61" i="132"/>
  <c r="AA60" i="132"/>
  <c r="Y60" i="132"/>
  <c r="X60" i="132"/>
  <c r="W60" i="132"/>
  <c r="AF60" i="132" s="1"/>
  <c r="V60" i="132"/>
  <c r="U60" i="132"/>
  <c r="S60" i="132"/>
  <c r="AE59" i="132"/>
  <c r="AA59" i="132"/>
  <c r="Z59" i="132"/>
  <c r="Y59" i="132"/>
  <c r="X59" i="132"/>
  <c r="W59" i="132"/>
  <c r="V59" i="132"/>
  <c r="U59" i="132"/>
  <c r="S59" i="132"/>
  <c r="AF59" i="132" s="1"/>
  <c r="AE58" i="132"/>
  <c r="AA58" i="132"/>
  <c r="Z58" i="132"/>
  <c r="Y58" i="132"/>
  <c r="AF58" i="132" s="1"/>
  <c r="X58" i="132"/>
  <c r="W58" i="132"/>
  <c r="V58" i="132"/>
  <c r="U58" i="132"/>
  <c r="S58" i="132"/>
  <c r="AE57" i="132"/>
  <c r="AA57" i="132"/>
  <c r="Y57" i="132"/>
  <c r="X57" i="132"/>
  <c r="W57" i="132"/>
  <c r="V57" i="132"/>
  <c r="U57" i="132"/>
  <c r="S57" i="132"/>
  <c r="AF57" i="132" s="1"/>
  <c r="AE56" i="132"/>
  <c r="AA56" i="132"/>
  <c r="Z56" i="132"/>
  <c r="Y56" i="132"/>
  <c r="X56" i="132"/>
  <c r="W56" i="132"/>
  <c r="V56" i="132"/>
  <c r="U56" i="132"/>
  <c r="S56" i="132"/>
  <c r="AF56" i="132" s="1"/>
  <c r="AE55" i="132"/>
  <c r="AA55" i="132"/>
  <c r="Z55" i="132"/>
  <c r="Y55" i="132"/>
  <c r="AF55" i="132" s="1"/>
  <c r="X55" i="132"/>
  <c r="W55" i="132"/>
  <c r="V55" i="132"/>
  <c r="U55" i="132"/>
  <c r="S55" i="132"/>
  <c r="AE54" i="132"/>
  <c r="AA54" i="132"/>
  <c r="Y54" i="132"/>
  <c r="X54" i="132"/>
  <c r="W54" i="132"/>
  <c r="V54" i="132"/>
  <c r="U54" i="132"/>
  <c r="S54" i="132"/>
  <c r="AF54" i="132" s="1"/>
  <c r="AE53" i="132"/>
  <c r="AA53" i="132"/>
  <c r="Z53" i="132"/>
  <c r="Y53" i="132"/>
  <c r="X53" i="132"/>
  <c r="W53" i="132"/>
  <c r="V53" i="132"/>
  <c r="U53" i="132"/>
  <c r="S53" i="132"/>
  <c r="AF53" i="132" s="1"/>
  <c r="AE52" i="132"/>
  <c r="AA52" i="132"/>
  <c r="Z52" i="132"/>
  <c r="Y52" i="132"/>
  <c r="AF52" i="132" s="1"/>
  <c r="X52" i="132"/>
  <c r="W52" i="132"/>
  <c r="V52" i="132"/>
  <c r="U52" i="132"/>
  <c r="S52" i="132"/>
  <c r="AE51" i="132"/>
  <c r="AA51" i="132"/>
  <c r="Z51" i="132"/>
  <c r="Y51" i="132"/>
  <c r="X51" i="132"/>
  <c r="W51" i="132"/>
  <c r="V51" i="132"/>
  <c r="U51" i="132"/>
  <c r="S51" i="132"/>
  <c r="AF51" i="132" s="1"/>
  <c r="Z50" i="132"/>
  <c r="X50" i="132"/>
  <c r="V50" i="132"/>
  <c r="S50" i="132"/>
  <c r="Q50" i="132"/>
  <c r="AA50" i="132" s="1"/>
  <c r="Z49" i="132"/>
  <c r="Y49" i="132"/>
  <c r="U49" i="132"/>
  <c r="Q49" i="132"/>
  <c r="V49" i="132" s="1"/>
  <c r="AE48" i="132"/>
  <c r="AA48" i="132"/>
  <c r="Z48" i="132"/>
  <c r="Y48" i="132"/>
  <c r="AF48" i="132" s="1"/>
  <c r="X48" i="132"/>
  <c r="W48" i="132"/>
  <c r="V48" i="132"/>
  <c r="U48" i="132"/>
  <c r="S48" i="132"/>
  <c r="AE47" i="132"/>
  <c r="AA47" i="132"/>
  <c r="Z47" i="132"/>
  <c r="Y47" i="132"/>
  <c r="X47" i="132"/>
  <c r="W47" i="132"/>
  <c r="V47" i="132"/>
  <c r="U47" i="132"/>
  <c r="S47" i="132"/>
  <c r="AF47" i="132" s="1"/>
  <c r="Z46" i="132"/>
  <c r="X46" i="132"/>
  <c r="V46" i="132"/>
  <c r="S46" i="132"/>
  <c r="Q46" i="132"/>
  <c r="AA46" i="132" s="1"/>
  <c r="AE45" i="132"/>
  <c r="AA45" i="132"/>
  <c r="Z45" i="132"/>
  <c r="Y45" i="132"/>
  <c r="X45" i="132"/>
  <c r="W45" i="132"/>
  <c r="V45" i="132"/>
  <c r="U45" i="132"/>
  <c r="S45" i="132"/>
  <c r="AF45" i="132" s="1"/>
  <c r="AE44" i="132"/>
  <c r="AA44" i="132"/>
  <c r="Z44" i="132"/>
  <c r="Y44" i="132"/>
  <c r="AF44" i="132" s="1"/>
  <c r="X44" i="132"/>
  <c r="W44" i="132"/>
  <c r="V44" i="132"/>
  <c r="U44" i="132"/>
  <c r="S44" i="132"/>
  <c r="AA43" i="132"/>
  <c r="Y43" i="132"/>
  <c r="X43" i="132"/>
  <c r="W43" i="132"/>
  <c r="V43" i="132"/>
  <c r="U43" i="132"/>
  <c r="S43" i="132"/>
  <c r="AF43" i="132" s="1"/>
  <c r="AE42" i="132"/>
  <c r="Z42" i="132"/>
  <c r="Y42" i="132"/>
  <c r="U42" i="132"/>
  <c r="Q42" i="132"/>
  <c r="V42" i="132" s="1"/>
  <c r="AE41" i="132"/>
  <c r="Z41" i="132"/>
  <c r="Y41" i="132"/>
  <c r="U41" i="132"/>
  <c r="Q41" i="132"/>
  <c r="V41" i="132" s="1"/>
  <c r="AE40" i="132"/>
  <c r="AA40" i="132"/>
  <c r="Z40" i="132"/>
  <c r="Y40" i="132"/>
  <c r="AF40" i="132" s="1"/>
  <c r="X40" i="132"/>
  <c r="W40" i="132"/>
  <c r="V40" i="132"/>
  <c r="U40" i="132"/>
  <c r="S40" i="132"/>
  <c r="AE39" i="132"/>
  <c r="AA39" i="132"/>
  <c r="Z39" i="132"/>
  <c r="Y39" i="132"/>
  <c r="X39" i="132"/>
  <c r="W39" i="132"/>
  <c r="V39" i="132"/>
  <c r="U39" i="132"/>
  <c r="S39" i="132"/>
  <c r="AF39" i="132" s="1"/>
  <c r="AE38" i="132"/>
  <c r="AA38" i="132"/>
  <c r="Z38" i="132"/>
  <c r="Y38" i="132"/>
  <c r="AF38" i="132" s="1"/>
  <c r="X38" i="132"/>
  <c r="W38" i="132"/>
  <c r="V38" i="132"/>
  <c r="U38" i="132"/>
  <c r="S38" i="132"/>
  <c r="AE37" i="132"/>
  <c r="AA37" i="132"/>
  <c r="Z37" i="132"/>
  <c r="Y37" i="132"/>
  <c r="X37" i="132"/>
  <c r="W37" i="132"/>
  <c r="V37" i="132"/>
  <c r="U37" i="132"/>
  <c r="S37" i="132"/>
  <c r="AF37" i="132" s="1"/>
  <c r="AE36" i="132"/>
  <c r="Z36" i="132"/>
  <c r="Y36" i="132"/>
  <c r="U36" i="132"/>
  <c r="Q36" i="132"/>
  <c r="V36" i="132" s="1"/>
  <c r="AA35" i="132"/>
  <c r="Y35" i="132"/>
  <c r="X35" i="132"/>
  <c r="W35" i="132"/>
  <c r="AF35" i="132" s="1"/>
  <c r="V35" i="132"/>
  <c r="U35" i="132"/>
  <c r="S35" i="132"/>
  <c r="AE34" i="132"/>
  <c r="AA34" i="132"/>
  <c r="Z34" i="132"/>
  <c r="Y34" i="132"/>
  <c r="X34" i="132"/>
  <c r="W34" i="132"/>
  <c r="V34" i="132"/>
  <c r="U34" i="132"/>
  <c r="S34" i="132"/>
  <c r="AF34" i="132" s="1"/>
  <c r="AE33" i="132"/>
  <c r="AA33" i="132"/>
  <c r="Z33" i="132"/>
  <c r="Y33" i="132"/>
  <c r="AF33" i="132" s="1"/>
  <c r="X33" i="132"/>
  <c r="W33" i="132"/>
  <c r="V33" i="132"/>
  <c r="U33" i="132"/>
  <c r="S33" i="132"/>
  <c r="AE32" i="132"/>
  <c r="AA32" i="132"/>
  <c r="Z32" i="132"/>
  <c r="Y32" i="132"/>
  <c r="X32" i="132"/>
  <c r="W32" i="132"/>
  <c r="V32" i="132"/>
  <c r="U32" i="132"/>
  <c r="S32" i="132"/>
  <c r="AF32" i="132" s="1"/>
  <c r="AE31" i="132"/>
  <c r="AA31" i="132"/>
  <c r="X31" i="132"/>
  <c r="V31" i="132"/>
  <c r="S31" i="132"/>
  <c r="Q31" i="132"/>
  <c r="W31" i="132" s="1"/>
  <c r="AE30" i="132"/>
  <c r="Y30" i="132"/>
  <c r="U30" i="132"/>
  <c r="Q30" i="132"/>
  <c r="AA30" i="132" s="1"/>
  <c r="AA29" i="132"/>
  <c r="Y29" i="132"/>
  <c r="X29" i="132"/>
  <c r="W29" i="132"/>
  <c r="AF29" i="132" s="1"/>
  <c r="V29" i="132"/>
  <c r="U29" i="132"/>
  <c r="S29" i="132"/>
  <c r="AE28" i="132"/>
  <c r="Z28" i="132"/>
  <c r="X28" i="132"/>
  <c r="V28" i="132"/>
  <c r="S28" i="132"/>
  <c r="Q28" i="132"/>
  <c r="AA28" i="132" s="1"/>
  <c r="AE27" i="132"/>
  <c r="AA27" i="132"/>
  <c r="Z27" i="132"/>
  <c r="Y27" i="132"/>
  <c r="X27" i="132"/>
  <c r="W27" i="132"/>
  <c r="V27" i="132"/>
  <c r="S27" i="132"/>
  <c r="AE26" i="132"/>
  <c r="AA26" i="132"/>
  <c r="Z26" i="132"/>
  <c r="Y26" i="132"/>
  <c r="AF26" i="132" s="1"/>
  <c r="X26" i="132"/>
  <c r="W26" i="132"/>
  <c r="V26" i="132"/>
  <c r="U26" i="132"/>
  <c r="S26" i="132"/>
  <c r="AE25" i="132"/>
  <c r="Q25" i="132"/>
  <c r="X25" i="132" s="1"/>
  <c r="AE24" i="132"/>
  <c r="AA24" i="132"/>
  <c r="Y24" i="132"/>
  <c r="X24" i="132"/>
  <c r="W24" i="132"/>
  <c r="V24" i="132"/>
  <c r="U24" i="132"/>
  <c r="S24" i="132"/>
  <c r="AF24" i="132" s="1"/>
  <c r="AE23" i="132"/>
  <c r="Z23" i="132"/>
  <c r="Y23" i="132"/>
  <c r="U23" i="132"/>
  <c r="Q23" i="132"/>
  <c r="V23" i="132" s="1"/>
  <c r="AE22" i="132"/>
  <c r="AA22" i="132"/>
  <c r="Z22" i="132"/>
  <c r="Y22" i="132"/>
  <c r="AF22" i="132" s="1"/>
  <c r="X22" i="132"/>
  <c r="W22" i="132"/>
  <c r="V22" i="132"/>
  <c r="U22" i="132"/>
  <c r="S22" i="132"/>
  <c r="AE21" i="132"/>
  <c r="AA21" i="132"/>
  <c r="Z21" i="132"/>
  <c r="Y21" i="132"/>
  <c r="X21" i="132"/>
  <c r="W21" i="132"/>
  <c r="V21" i="132"/>
  <c r="U21" i="132"/>
  <c r="S21" i="132"/>
  <c r="AF21" i="132" s="1"/>
  <c r="AE20" i="132"/>
  <c r="AA20" i="132"/>
  <c r="Z20" i="132"/>
  <c r="Y20" i="132"/>
  <c r="AF20" i="132" s="1"/>
  <c r="X20" i="132"/>
  <c r="W20" i="132"/>
  <c r="V20" i="132"/>
  <c r="U20" i="132"/>
  <c r="S20" i="132"/>
  <c r="AE19" i="132"/>
  <c r="AA19" i="132"/>
  <c r="Z19" i="132"/>
  <c r="Y19" i="132"/>
  <c r="X19" i="132"/>
  <c r="W19" i="132"/>
  <c r="V19" i="132"/>
  <c r="U19" i="132"/>
  <c r="S19" i="132"/>
  <c r="AE18" i="132"/>
  <c r="AA18" i="132"/>
  <c r="Z18" i="132"/>
  <c r="Y18" i="132"/>
  <c r="AF18" i="132" s="1"/>
  <c r="X18" i="132"/>
  <c r="W18" i="132"/>
  <c r="V18" i="132"/>
  <c r="U18" i="132"/>
  <c r="S18" i="132"/>
  <c r="A18" i="132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  <c r="A31" i="132" s="1"/>
  <c r="A32" i="132" s="1"/>
  <c r="A33" i="132" s="1"/>
  <c r="A34" i="132" s="1"/>
  <c r="A35" i="132" s="1"/>
  <c r="A36" i="132" s="1"/>
  <c r="A37" i="132" s="1"/>
  <c r="A38" i="132" s="1"/>
  <c r="A39" i="132" s="1"/>
  <c r="A40" i="132" s="1"/>
  <c r="A41" i="132" s="1"/>
  <c r="A42" i="132" s="1"/>
  <c r="A43" i="132" s="1"/>
  <c r="A44" i="132" s="1"/>
  <c r="A45" i="132" s="1"/>
  <c r="A46" i="132" s="1"/>
  <c r="A47" i="132" s="1"/>
  <c r="A48" i="132" s="1"/>
  <c r="A49" i="132" s="1"/>
  <c r="A50" i="132" s="1"/>
  <c r="A51" i="132" s="1"/>
  <c r="A52" i="132" s="1"/>
  <c r="A53" i="132" s="1"/>
  <c r="A54" i="132" s="1"/>
  <c r="A55" i="132" s="1"/>
  <c r="A56" i="132" s="1"/>
  <c r="A57" i="132" s="1"/>
  <c r="A58" i="132" s="1"/>
  <c r="A59" i="132" s="1"/>
  <c r="A60" i="132" s="1"/>
  <c r="AE17" i="132"/>
  <c r="AA17" i="132"/>
  <c r="Z17" i="132"/>
  <c r="Y17" i="132"/>
  <c r="X17" i="132"/>
  <c r="W17" i="132"/>
  <c r="V17" i="132"/>
  <c r="U17" i="132"/>
  <c r="S17" i="132"/>
  <c r="AF17" i="132" s="1"/>
  <c r="A17" i="132"/>
  <c r="AE16" i="132"/>
  <c r="AA16" i="132"/>
  <c r="Z16" i="132"/>
  <c r="Y16" i="132"/>
  <c r="AF16" i="132" s="1"/>
  <c r="X16" i="132"/>
  <c r="W16" i="132"/>
  <c r="V16" i="132"/>
  <c r="U16" i="132"/>
  <c r="S16" i="132"/>
  <c r="AE15" i="132"/>
  <c r="AA15" i="132"/>
  <c r="Z15" i="132"/>
  <c r="Y15" i="132"/>
  <c r="AF15" i="132" s="1"/>
  <c r="X15" i="132"/>
  <c r="W15" i="132"/>
  <c r="V15" i="132"/>
  <c r="U15" i="132"/>
  <c r="S15" i="132"/>
  <c r="AE14" i="132"/>
  <c r="AA14" i="132"/>
  <c r="Z14" i="132"/>
  <c r="Y14" i="132"/>
  <c r="X14" i="132"/>
  <c r="W14" i="132"/>
  <c r="V14" i="132"/>
  <c r="U14" i="132"/>
  <c r="S14" i="132"/>
  <c r="AF14" i="132" s="1"/>
  <c r="AE13" i="132"/>
  <c r="AA13" i="132"/>
  <c r="Z13" i="132"/>
  <c r="Y13" i="132"/>
  <c r="AF13" i="132" s="1"/>
  <c r="X13" i="132"/>
  <c r="W13" i="132"/>
  <c r="V13" i="132"/>
  <c r="U13" i="132"/>
  <c r="S13" i="132"/>
  <c r="AE12" i="132"/>
  <c r="AA12" i="132"/>
  <c r="Z12" i="132"/>
  <c r="Y12" i="132"/>
  <c r="X12" i="132"/>
  <c r="W12" i="132"/>
  <c r="V12" i="132"/>
  <c r="U12" i="132"/>
  <c r="S12" i="132"/>
  <c r="AE11" i="132"/>
  <c r="AA11" i="132"/>
  <c r="Z11" i="132"/>
  <c r="Y11" i="132"/>
  <c r="AF11" i="132" s="1"/>
  <c r="X11" i="132"/>
  <c r="W11" i="132"/>
  <c r="V11" i="132"/>
  <c r="U11" i="132"/>
  <c r="S11" i="132"/>
  <c r="AA10" i="132"/>
  <c r="Y10" i="132"/>
  <c r="X10" i="132"/>
  <c r="AF10" i="132" s="1"/>
  <c r="V10" i="132"/>
  <c r="U10" i="132"/>
  <c r="S10" i="132"/>
  <c r="AE9" i="132"/>
  <c r="Z9" i="132"/>
  <c r="Y9" i="132"/>
  <c r="X9" i="132"/>
  <c r="V9" i="132"/>
  <c r="U9" i="132"/>
  <c r="S9" i="132"/>
  <c r="Q9" i="132"/>
  <c r="AA9" i="132" s="1"/>
  <c r="AE8" i="132"/>
  <c r="Z8" i="132"/>
  <c r="Y8" i="132"/>
  <c r="X8" i="132"/>
  <c r="V8" i="132"/>
  <c r="U8" i="132"/>
  <c r="S8" i="132"/>
  <c r="Q8" i="132"/>
  <c r="AA8" i="132" s="1"/>
  <c r="A8" i="132"/>
  <c r="A9" i="132" s="1"/>
  <c r="A10" i="132" s="1"/>
  <c r="A11" i="132" s="1"/>
  <c r="A12" i="132" s="1"/>
  <c r="A13" i="132" s="1"/>
  <c r="A14" i="132" s="1"/>
  <c r="A15" i="132" s="1"/>
  <c r="AE7" i="132"/>
  <c r="Z7" i="132"/>
  <c r="Y7" i="132"/>
  <c r="X7" i="132"/>
  <c r="V7" i="132"/>
  <c r="U7" i="132"/>
  <c r="S7" i="132"/>
  <c r="Q7" i="132"/>
  <c r="Q61" i="132" s="1"/>
  <c r="N27" i="91"/>
  <c r="P82" i="91"/>
  <c r="Q82" i="91"/>
  <c r="R82" i="91"/>
  <c r="S82" i="91"/>
  <c r="T82" i="91"/>
  <c r="U82" i="91"/>
  <c r="V82" i="91"/>
  <c r="W82" i="91"/>
  <c r="X82" i="91"/>
  <c r="Y82" i="91"/>
  <c r="Z82" i="91"/>
  <c r="O82" i="91"/>
  <c r="X19" i="110"/>
  <c r="X65" i="53"/>
  <c r="X60" i="53"/>
  <c r="X57" i="53"/>
  <c r="X17" i="110"/>
  <c r="W59" i="91" s="1"/>
  <c r="X36" i="53"/>
  <c r="X29" i="53"/>
  <c r="P26" i="91"/>
  <c r="Q26" i="91"/>
  <c r="R26" i="91"/>
  <c r="N26" i="91" s="1"/>
  <c r="S26" i="91"/>
  <c r="T26" i="91"/>
  <c r="U26" i="91"/>
  <c r="V26" i="91"/>
  <c r="W26" i="91"/>
  <c r="O26" i="91"/>
  <c r="P68" i="91"/>
  <c r="Q68" i="91"/>
  <c r="R68" i="91"/>
  <c r="S68" i="91"/>
  <c r="T68" i="91"/>
  <c r="U68" i="91"/>
  <c r="V68" i="91"/>
  <c r="W68" i="91"/>
  <c r="O68" i="91"/>
  <c r="X59" i="91"/>
  <c r="Y59" i="91"/>
  <c r="Z59" i="91"/>
  <c r="O59" i="91"/>
  <c r="P59" i="91"/>
  <c r="Q59" i="91"/>
  <c r="R59" i="91"/>
  <c r="S59" i="91"/>
  <c r="T59" i="91"/>
  <c r="U59" i="91"/>
  <c r="V59" i="91"/>
  <c r="P16" i="91"/>
  <c r="Q16" i="91"/>
  <c r="R16" i="91"/>
  <c r="S16" i="91"/>
  <c r="T16" i="91"/>
  <c r="U16" i="91"/>
  <c r="V16" i="91"/>
  <c r="W16" i="91"/>
  <c r="X16" i="91"/>
  <c r="Y16" i="91"/>
  <c r="Z16" i="91"/>
  <c r="O16" i="91"/>
  <c r="O15" i="91"/>
  <c r="P15" i="91"/>
  <c r="Q15" i="91"/>
  <c r="R15" i="91"/>
  <c r="S15" i="91"/>
  <c r="T15" i="91"/>
  <c r="U15" i="91"/>
  <c r="V15" i="91"/>
  <c r="W15" i="91"/>
  <c r="X15" i="91"/>
  <c r="Y15" i="91"/>
  <c r="Z15" i="91"/>
  <c r="U61" i="132" l="1"/>
  <c r="Z61" i="132"/>
  <c r="AF8" i="132"/>
  <c r="AF12" i="132"/>
  <c r="AF19" i="132"/>
  <c r="AE61" i="132"/>
  <c r="X61" i="132"/>
  <c r="AF27" i="132"/>
  <c r="W23" i="132"/>
  <c r="AA23" i="132"/>
  <c r="U25" i="132"/>
  <c r="Y25" i="132"/>
  <c r="Y61" i="132" s="1"/>
  <c r="W30" i="132"/>
  <c r="W36" i="132"/>
  <c r="AA36" i="132"/>
  <c r="W41" i="132"/>
  <c r="AA41" i="132"/>
  <c r="W42" i="132"/>
  <c r="AA42" i="132"/>
  <c r="W49" i="132"/>
  <c r="AA49" i="132"/>
  <c r="W7" i="132"/>
  <c r="AA7" i="132"/>
  <c r="W8" i="132"/>
  <c r="W9" i="132"/>
  <c r="AF9" i="132" s="1"/>
  <c r="S23" i="132"/>
  <c r="X23" i="132"/>
  <c r="V25" i="132"/>
  <c r="V61" i="132" s="1"/>
  <c r="AA25" i="132"/>
  <c r="U27" i="132"/>
  <c r="U28" i="132"/>
  <c r="Y28" i="132"/>
  <c r="AF28" i="132" s="1"/>
  <c r="S30" i="132"/>
  <c r="AF30" i="132" s="1"/>
  <c r="X30" i="132"/>
  <c r="U31" i="132"/>
  <c r="AF31" i="132" s="1"/>
  <c r="Y31" i="132"/>
  <c r="S36" i="132"/>
  <c r="AF36" i="132" s="1"/>
  <c r="X36" i="132"/>
  <c r="S41" i="132"/>
  <c r="X41" i="132"/>
  <c r="S42" i="132"/>
  <c r="AF42" i="132" s="1"/>
  <c r="X42" i="132"/>
  <c r="U46" i="132"/>
  <c r="Y46" i="132"/>
  <c r="AF46" i="132" s="1"/>
  <c r="S49" i="132"/>
  <c r="AF49" i="132" s="1"/>
  <c r="X49" i="132"/>
  <c r="U50" i="132"/>
  <c r="AF50" i="132" s="1"/>
  <c r="Y50" i="132"/>
  <c r="W25" i="132"/>
  <c r="S25" i="132"/>
  <c r="W28" i="132"/>
  <c r="V30" i="132"/>
  <c r="W46" i="132"/>
  <c r="W50" i="132"/>
  <c r="N22" i="122"/>
  <c r="O44" i="53"/>
  <c r="X17" i="53"/>
  <c r="X16" i="53"/>
  <c r="X15" i="53"/>
  <c r="W29" i="90"/>
  <c r="X21" i="53"/>
  <c r="X20" i="53"/>
  <c r="X11" i="53"/>
  <c r="W12" i="53"/>
  <c r="M42" i="53"/>
  <c r="N42" i="53"/>
  <c r="X55" i="53"/>
  <c r="X34" i="53"/>
  <c r="X31" i="53"/>
  <c r="N25" i="90"/>
  <c r="M17" i="110"/>
  <c r="X48" i="53"/>
  <c r="O60" i="53"/>
  <c r="M60" i="53" s="1"/>
  <c r="O50" i="53"/>
  <c r="N50" i="53"/>
  <c r="W25" i="90"/>
  <c r="X27" i="53"/>
  <c r="W22" i="122"/>
  <c r="X68" i="53"/>
  <c r="X51" i="53"/>
  <c r="X42" i="53"/>
  <c r="W48" i="53"/>
  <c r="W19" i="110"/>
  <c r="W65" i="53"/>
  <c r="W17" i="110"/>
  <c r="W44" i="53"/>
  <c r="W36" i="53"/>
  <c r="O36" i="53"/>
  <c r="M36" i="53"/>
  <c r="V25" i="90"/>
  <c r="W15" i="53"/>
  <c r="O13" i="53"/>
  <c r="M13" i="53" s="1"/>
  <c r="O12" i="53"/>
  <c r="M12" i="53"/>
  <c r="W11" i="53"/>
  <c r="O11" i="53"/>
  <c r="U11" i="53"/>
  <c r="W62" i="53"/>
  <c r="W40" i="53"/>
  <c r="W34" i="53"/>
  <c r="W29" i="53"/>
  <c r="W24" i="53"/>
  <c r="U48" i="53"/>
  <c r="V48" i="53"/>
  <c r="W49" i="53"/>
  <c r="W33" i="53"/>
  <c r="V77" i="91"/>
  <c r="M77" i="91"/>
  <c r="K77" i="91"/>
  <c r="L77" i="91"/>
  <c r="J77" i="91"/>
  <c r="W77" i="91"/>
  <c r="X77" i="91"/>
  <c r="N77" i="91" s="1"/>
  <c r="Y77" i="91"/>
  <c r="Z77" i="91"/>
  <c r="X68" i="91"/>
  <c r="Y68" i="91"/>
  <c r="Z68" i="91"/>
  <c r="M68" i="91"/>
  <c r="K68" i="91"/>
  <c r="L68" i="91"/>
  <c r="J68" i="91"/>
  <c r="W61" i="91"/>
  <c r="N61" i="91"/>
  <c r="X61" i="91"/>
  <c r="Y61" i="91"/>
  <c r="Z61" i="91"/>
  <c r="V61" i="91"/>
  <c r="M61" i="91"/>
  <c r="K61" i="91"/>
  <c r="L61" i="91"/>
  <c r="J61" i="91"/>
  <c r="N59" i="91"/>
  <c r="L59" i="91"/>
  <c r="K59" i="91"/>
  <c r="L57" i="91"/>
  <c r="K57" i="91"/>
  <c r="M25" i="122"/>
  <c r="M26" i="122"/>
  <c r="M27" i="122"/>
  <c r="M28" i="122"/>
  <c r="M29" i="122"/>
  <c r="M24" i="122"/>
  <c r="L47" i="91"/>
  <c r="K47" i="91"/>
  <c r="W47" i="91"/>
  <c r="X47" i="91"/>
  <c r="Y47" i="91"/>
  <c r="Z47" i="91"/>
  <c r="V47" i="91"/>
  <c r="M22" i="122"/>
  <c r="N28" i="122"/>
  <c r="J29" i="122"/>
  <c r="J17" i="110"/>
  <c r="N17" i="110"/>
  <c r="O17" i="110"/>
  <c r="W21" i="53"/>
  <c r="W20" i="53"/>
  <c r="W17" i="53"/>
  <c r="W16" i="53"/>
  <c r="V29" i="90"/>
  <c r="W55" i="53"/>
  <c r="W63" i="53"/>
  <c r="L11" i="131"/>
  <c r="L15" i="131"/>
  <c r="G9" i="131"/>
  <c r="D9" i="131"/>
  <c r="W18" i="110"/>
  <c r="W68" i="53"/>
  <c r="W51" i="53"/>
  <c r="V42" i="53"/>
  <c r="V55" i="53"/>
  <c r="V49" i="53"/>
  <c r="U25" i="90"/>
  <c r="V24" i="53"/>
  <c r="P29" i="110"/>
  <c r="N29" i="110"/>
  <c r="J29" i="110"/>
  <c r="V36" i="53"/>
  <c r="V34" i="53"/>
  <c r="V33" i="53"/>
  <c r="V29" i="53"/>
  <c r="V65" i="53"/>
  <c r="V60" i="53"/>
  <c r="V15" i="53"/>
  <c r="V16" i="53"/>
  <c r="V17" i="53"/>
  <c r="U29" i="90"/>
  <c r="V21" i="53"/>
  <c r="V20" i="53"/>
  <c r="V11" i="53"/>
  <c r="V63" i="53"/>
  <c r="J18" i="110"/>
  <c r="S49" i="91"/>
  <c r="T49" i="91"/>
  <c r="U49" i="91"/>
  <c r="V49" i="91"/>
  <c r="W49" i="91"/>
  <c r="X49" i="91"/>
  <c r="Y49" i="91"/>
  <c r="U60" i="53"/>
  <c r="U44" i="53"/>
  <c r="D6" i="126"/>
  <c r="N31" i="90"/>
  <c r="N29" i="90"/>
  <c r="N28" i="90"/>
  <c r="N32" i="90" s="1"/>
  <c r="N27" i="90"/>
  <c r="M44" i="91"/>
  <c r="J78" i="91"/>
  <c r="J58" i="91"/>
  <c r="J55" i="91"/>
  <c r="U75" i="91"/>
  <c r="V75" i="91"/>
  <c r="W75" i="91"/>
  <c r="X75" i="91"/>
  <c r="Y75" i="91"/>
  <c r="Z75" i="91"/>
  <c r="J30" i="122"/>
  <c r="J32" i="90"/>
  <c r="J70" i="53"/>
  <c r="J75" i="91"/>
  <c r="J62" i="91"/>
  <c r="J79" i="91"/>
  <c r="L26" i="91"/>
  <c r="K26" i="91"/>
  <c r="K24" i="91"/>
  <c r="L23" i="91"/>
  <c r="K23" i="91"/>
  <c r="L22" i="91"/>
  <c r="K22" i="91"/>
  <c r="J22" i="91"/>
  <c r="L21" i="91"/>
  <c r="K21" i="91"/>
  <c r="L20" i="91"/>
  <c r="K20" i="91"/>
  <c r="L19" i="91"/>
  <c r="K19" i="91"/>
  <c r="L18" i="91"/>
  <c r="K18" i="91"/>
  <c r="K17" i="91"/>
  <c r="L17" i="91"/>
  <c r="L16" i="91"/>
  <c r="K16" i="91"/>
  <c r="L15" i="91"/>
  <c r="K15" i="91"/>
  <c r="L14" i="91"/>
  <c r="K14" i="91"/>
  <c r="K30" i="122"/>
  <c r="L30" i="122"/>
  <c r="O30" i="122"/>
  <c r="P30" i="122"/>
  <c r="Q30" i="122"/>
  <c r="R30" i="122"/>
  <c r="S30" i="122"/>
  <c r="T30" i="122"/>
  <c r="U30" i="122"/>
  <c r="V30" i="122"/>
  <c r="W30" i="122"/>
  <c r="X30" i="122"/>
  <c r="Y30" i="122"/>
  <c r="Z30" i="122"/>
  <c r="K21" i="122"/>
  <c r="L21" i="122"/>
  <c r="O21" i="122"/>
  <c r="P21" i="122"/>
  <c r="Q21" i="122"/>
  <c r="R21" i="122"/>
  <c r="S21" i="122"/>
  <c r="T21" i="122"/>
  <c r="U21" i="122"/>
  <c r="V21" i="122"/>
  <c r="V36" i="122"/>
  <c r="W21" i="122"/>
  <c r="X21" i="122"/>
  <c r="Y21" i="122"/>
  <c r="Z21" i="122"/>
  <c r="J23" i="122"/>
  <c r="J21" i="122"/>
  <c r="N20" i="122"/>
  <c r="M20" i="122"/>
  <c r="N19" i="122"/>
  <c r="M19" i="122"/>
  <c r="N18" i="122"/>
  <c r="M18" i="122"/>
  <c r="N17" i="122"/>
  <c r="M17" i="122"/>
  <c r="N16" i="122"/>
  <c r="M16" i="122"/>
  <c r="N15" i="122"/>
  <c r="M15" i="122"/>
  <c r="N14" i="122"/>
  <c r="M14" i="122"/>
  <c r="N13" i="122"/>
  <c r="M13" i="122"/>
  <c r="N12" i="122"/>
  <c r="M12" i="122"/>
  <c r="N11" i="122"/>
  <c r="M11" i="122"/>
  <c r="N24" i="122"/>
  <c r="M31" i="122"/>
  <c r="N31" i="122"/>
  <c r="M21" i="122"/>
  <c r="U65" i="53"/>
  <c r="U36" i="53"/>
  <c r="U29" i="53"/>
  <c r="T25" i="90"/>
  <c r="U49" i="53"/>
  <c r="U33" i="53"/>
  <c r="U71" i="53"/>
  <c r="U17" i="53"/>
  <c r="U15" i="53"/>
  <c r="U16" i="53"/>
  <c r="T29" i="90"/>
  <c r="U21" i="53"/>
  <c r="U20" i="53"/>
  <c r="U62" i="53"/>
  <c r="T63" i="91"/>
  <c r="U63" i="91"/>
  <c r="V63" i="91"/>
  <c r="W63" i="91"/>
  <c r="X63" i="91"/>
  <c r="Y63" i="91"/>
  <c r="Z63" i="91"/>
  <c r="P63" i="91"/>
  <c r="Q63" i="91"/>
  <c r="R63" i="91"/>
  <c r="S63" i="91"/>
  <c r="O63" i="91"/>
  <c r="K63" i="91"/>
  <c r="L63" i="91"/>
  <c r="J63" i="91"/>
  <c r="R29" i="90"/>
  <c r="Q29" i="90"/>
  <c r="P29" i="90"/>
  <c r="O29" i="90"/>
  <c r="T71" i="53"/>
  <c r="T69" i="53"/>
  <c r="S68" i="53"/>
  <c r="T66" i="53"/>
  <c r="T65" i="53"/>
  <c r="S65" i="53"/>
  <c r="S63" i="53"/>
  <c r="T60" i="53"/>
  <c r="S60" i="53"/>
  <c r="S56" i="53"/>
  <c r="T48" i="53"/>
  <c r="S48" i="53"/>
  <c r="T47" i="53"/>
  <c r="S47" i="53"/>
  <c r="S44" i="53"/>
  <c r="T36" i="53"/>
  <c r="S36" i="53"/>
  <c r="T34" i="53"/>
  <c r="S34" i="53"/>
  <c r="S29" i="53"/>
  <c r="T21" i="53"/>
  <c r="S21" i="53"/>
  <c r="T20" i="53"/>
  <c r="S20" i="53"/>
  <c r="T17" i="53"/>
  <c r="S17" i="53"/>
  <c r="T16" i="53"/>
  <c r="S16" i="53"/>
  <c r="T15" i="53"/>
  <c r="S15" i="53"/>
  <c r="T11" i="53"/>
  <c r="S11" i="53"/>
  <c r="T18" i="110"/>
  <c r="O18" i="110"/>
  <c r="S25" i="90"/>
  <c r="G19" i="124"/>
  <c r="C19" i="124"/>
  <c r="P22" i="110"/>
  <c r="R25" i="90"/>
  <c r="Z45" i="91"/>
  <c r="Y45" i="91"/>
  <c r="X45" i="91"/>
  <c r="W45" i="91"/>
  <c r="V45" i="91"/>
  <c r="U45" i="91"/>
  <c r="T45" i="91"/>
  <c r="S45" i="91"/>
  <c r="R45" i="91"/>
  <c r="Q45" i="91"/>
  <c r="P45" i="91"/>
  <c r="O45" i="91"/>
  <c r="P44" i="91"/>
  <c r="Q44" i="91"/>
  <c r="R44" i="91"/>
  <c r="S44" i="91"/>
  <c r="T44" i="91"/>
  <c r="U44" i="91"/>
  <c r="V44" i="91"/>
  <c r="W44" i="91"/>
  <c r="X44" i="91"/>
  <c r="Y44" i="91"/>
  <c r="Z44" i="91"/>
  <c r="O44" i="91"/>
  <c r="P62" i="91"/>
  <c r="Q62" i="91"/>
  <c r="R62" i="91"/>
  <c r="S62" i="91"/>
  <c r="T62" i="91"/>
  <c r="U62" i="91"/>
  <c r="V62" i="91"/>
  <c r="W62" i="91"/>
  <c r="X62" i="91"/>
  <c r="Y62" i="91"/>
  <c r="Z62" i="91"/>
  <c r="O62" i="91"/>
  <c r="N62" i="91"/>
  <c r="Q73" i="53"/>
  <c r="R73" i="53"/>
  <c r="S73" i="53"/>
  <c r="T73" i="53"/>
  <c r="U73" i="53"/>
  <c r="V73" i="53"/>
  <c r="W73" i="53"/>
  <c r="X73" i="53"/>
  <c r="Y73" i="53"/>
  <c r="Z73" i="53"/>
  <c r="AA73" i="53"/>
  <c r="P73" i="53"/>
  <c r="O72" i="53"/>
  <c r="M72" i="53" s="1"/>
  <c r="M73" i="53" s="1"/>
  <c r="O71" i="53"/>
  <c r="M71" i="53"/>
  <c r="O45" i="53"/>
  <c r="M45" i="53" s="1"/>
  <c r="O46" i="53"/>
  <c r="M46" i="53" s="1"/>
  <c r="O47" i="53"/>
  <c r="M47" i="53" s="1"/>
  <c r="O48" i="53"/>
  <c r="M48" i="53" s="1"/>
  <c r="O49" i="53"/>
  <c r="M49" i="53" s="1"/>
  <c r="M50" i="53"/>
  <c r="O51" i="53"/>
  <c r="M51" i="53"/>
  <c r="O52" i="53"/>
  <c r="M52" i="53"/>
  <c r="O53" i="53"/>
  <c r="M53" i="53"/>
  <c r="O54" i="53"/>
  <c r="M54" i="53"/>
  <c r="O55" i="53"/>
  <c r="M55" i="53"/>
  <c r="O56" i="53"/>
  <c r="M56" i="53"/>
  <c r="O57" i="53"/>
  <c r="M57" i="53"/>
  <c r="O58" i="53"/>
  <c r="M58" i="53"/>
  <c r="O59" i="53"/>
  <c r="O61" i="53"/>
  <c r="M61" i="53" s="1"/>
  <c r="O62" i="53"/>
  <c r="M62" i="53" s="1"/>
  <c r="O63" i="53"/>
  <c r="M63" i="53" s="1"/>
  <c r="O64" i="53"/>
  <c r="M64" i="53" s="1"/>
  <c r="O65" i="53"/>
  <c r="M65" i="53" s="1"/>
  <c r="O66" i="53"/>
  <c r="M66" i="53" s="1"/>
  <c r="O67" i="53"/>
  <c r="O68" i="53"/>
  <c r="O69" i="53"/>
  <c r="M69" i="53" s="1"/>
  <c r="M44" i="53"/>
  <c r="Q70" i="53"/>
  <c r="Q80" i="53"/>
  <c r="R70" i="53"/>
  <c r="S70" i="53"/>
  <c r="T70" i="53"/>
  <c r="U70" i="53"/>
  <c r="V70" i="53"/>
  <c r="W70" i="53"/>
  <c r="X70" i="53"/>
  <c r="Y70" i="53"/>
  <c r="Y43" i="53"/>
  <c r="Z70" i="53"/>
  <c r="AA70" i="53"/>
  <c r="AA80" i="53"/>
  <c r="P70" i="53"/>
  <c r="O25" i="53"/>
  <c r="O26" i="53"/>
  <c r="M26" i="53"/>
  <c r="O27" i="53"/>
  <c r="M27" i="53"/>
  <c r="O28" i="53"/>
  <c r="M28" i="53"/>
  <c r="O29" i="53"/>
  <c r="O43" i="53" s="1"/>
  <c r="M29" i="53"/>
  <c r="O30" i="53"/>
  <c r="M30" i="53"/>
  <c r="O31" i="53"/>
  <c r="O34" i="53"/>
  <c r="M34" i="53" s="1"/>
  <c r="M31" i="53"/>
  <c r="O32" i="53"/>
  <c r="M32" i="53"/>
  <c r="O33" i="53"/>
  <c r="O35" i="53"/>
  <c r="M35" i="53"/>
  <c r="O37" i="53"/>
  <c r="O38" i="53"/>
  <c r="O39" i="53"/>
  <c r="O40" i="53"/>
  <c r="M40" i="53"/>
  <c r="O41" i="53"/>
  <c r="M41" i="53"/>
  <c r="O42" i="53"/>
  <c r="O24" i="53"/>
  <c r="N24" i="53"/>
  <c r="Q43" i="53"/>
  <c r="R43" i="53"/>
  <c r="S43" i="53"/>
  <c r="T43" i="53"/>
  <c r="U43" i="53"/>
  <c r="V43" i="53"/>
  <c r="W43" i="53"/>
  <c r="X43" i="53"/>
  <c r="Z43" i="53"/>
  <c r="AA43" i="53"/>
  <c r="P43" i="53"/>
  <c r="Q23" i="53"/>
  <c r="R23" i="53"/>
  <c r="S23" i="53"/>
  <c r="T23" i="53"/>
  <c r="U23" i="53"/>
  <c r="V23" i="53"/>
  <c r="W23" i="53"/>
  <c r="W80" i="53"/>
  <c r="X23" i="53"/>
  <c r="Y23" i="53"/>
  <c r="Z23" i="53"/>
  <c r="AA23" i="53"/>
  <c r="P23" i="53"/>
  <c r="O14" i="53"/>
  <c r="M14" i="53" s="1"/>
  <c r="O15" i="53"/>
  <c r="O16" i="53"/>
  <c r="M16" i="53"/>
  <c r="O17" i="53"/>
  <c r="O18" i="53"/>
  <c r="M18" i="53"/>
  <c r="O19" i="53"/>
  <c r="O20" i="53"/>
  <c r="O21" i="53"/>
  <c r="M21" i="53"/>
  <c r="O22" i="53"/>
  <c r="P81" i="91"/>
  <c r="Q81" i="91"/>
  <c r="R81" i="91"/>
  <c r="S81" i="91"/>
  <c r="T81" i="91"/>
  <c r="U81" i="91"/>
  <c r="V81" i="91"/>
  <c r="W81" i="91"/>
  <c r="N81" i="91"/>
  <c r="X81" i="91"/>
  <c r="Y81" i="91"/>
  <c r="Z81" i="91"/>
  <c r="O81" i="91"/>
  <c r="P83" i="91"/>
  <c r="Q83" i="91"/>
  <c r="R83" i="91"/>
  <c r="S83" i="91"/>
  <c r="T83" i="91"/>
  <c r="X83" i="91"/>
  <c r="Y83" i="91"/>
  <c r="Z83" i="91"/>
  <c r="O83" i="91"/>
  <c r="P78" i="91"/>
  <c r="Q78" i="91"/>
  <c r="R78" i="91"/>
  <c r="S78" i="91"/>
  <c r="T78" i="91"/>
  <c r="U78" i="91"/>
  <c r="V78" i="91"/>
  <c r="W78" i="91"/>
  <c r="X78" i="91"/>
  <c r="N78" i="91" s="1"/>
  <c r="Y78" i="91"/>
  <c r="Z78" i="91"/>
  <c r="O78" i="91"/>
  <c r="P77" i="91"/>
  <c r="Q77" i="91"/>
  <c r="R77" i="91"/>
  <c r="S77" i="91"/>
  <c r="T77" i="91"/>
  <c r="U77" i="91"/>
  <c r="O77" i="91"/>
  <c r="O76" i="91"/>
  <c r="N76" i="91"/>
  <c r="P75" i="91"/>
  <c r="Q75" i="91"/>
  <c r="R75" i="91"/>
  <c r="S75" i="91"/>
  <c r="T75" i="91"/>
  <c r="O75" i="91"/>
  <c r="P74" i="91"/>
  <c r="Q74" i="91"/>
  <c r="R74" i="91"/>
  <c r="S74" i="91"/>
  <c r="T74" i="91"/>
  <c r="U74" i="91"/>
  <c r="V74" i="91"/>
  <c r="W74" i="91"/>
  <c r="N74" i="91" s="1"/>
  <c r="X74" i="91"/>
  <c r="Y74" i="91"/>
  <c r="Z74" i="91"/>
  <c r="O74" i="91"/>
  <c r="P73" i="91"/>
  <c r="Q73" i="91"/>
  <c r="R73" i="91"/>
  <c r="S73" i="91"/>
  <c r="T73" i="91"/>
  <c r="U73" i="91"/>
  <c r="V73" i="91"/>
  <c r="W73" i="91"/>
  <c r="X73" i="91"/>
  <c r="Y73" i="91"/>
  <c r="Z73" i="91"/>
  <c r="O73" i="91"/>
  <c r="P69" i="91"/>
  <c r="Q69" i="91"/>
  <c r="R69" i="91"/>
  <c r="S69" i="91"/>
  <c r="T69" i="91"/>
  <c r="U69" i="91"/>
  <c r="V69" i="91"/>
  <c r="W69" i="91"/>
  <c r="X69" i="91"/>
  <c r="Y69" i="91"/>
  <c r="Z69" i="91"/>
  <c r="O69" i="91"/>
  <c r="P67" i="91"/>
  <c r="Q67" i="91"/>
  <c r="R67" i="91"/>
  <c r="S67" i="91"/>
  <c r="T67" i="91"/>
  <c r="U67" i="91"/>
  <c r="V67" i="91"/>
  <c r="W67" i="91"/>
  <c r="X67" i="91"/>
  <c r="Y67" i="91"/>
  <c r="Z67" i="91"/>
  <c r="O67" i="91"/>
  <c r="P66" i="91"/>
  <c r="Q66" i="91"/>
  <c r="R66" i="91"/>
  <c r="S66" i="91"/>
  <c r="T66" i="91"/>
  <c r="U66" i="91"/>
  <c r="V66" i="91"/>
  <c r="W66" i="91"/>
  <c r="X66" i="91"/>
  <c r="N66" i="91" s="1"/>
  <c r="Y66" i="91"/>
  <c r="Z66" i="91"/>
  <c r="O66" i="91"/>
  <c r="P64" i="91"/>
  <c r="Q64" i="91"/>
  <c r="R64" i="91"/>
  <c r="S64" i="91"/>
  <c r="T64" i="91"/>
  <c r="U64" i="91"/>
  <c r="V64" i="91"/>
  <c r="W64" i="91"/>
  <c r="X64" i="91"/>
  <c r="Y64" i="91"/>
  <c r="Z64" i="91"/>
  <c r="O64" i="91"/>
  <c r="K78" i="91"/>
  <c r="M78" i="91"/>
  <c r="L78" i="91"/>
  <c r="K71" i="91"/>
  <c r="L71" i="91"/>
  <c r="K72" i="91"/>
  <c r="L72" i="91"/>
  <c r="K73" i="91"/>
  <c r="M73" i="91"/>
  <c r="L73" i="91"/>
  <c r="K74" i="91"/>
  <c r="L74" i="91"/>
  <c r="K75" i="91"/>
  <c r="M75" i="91"/>
  <c r="L75" i="91"/>
  <c r="K76" i="91"/>
  <c r="L76" i="91"/>
  <c r="M76" i="91"/>
  <c r="J76" i="91"/>
  <c r="J74" i="91"/>
  <c r="J73" i="91"/>
  <c r="J70" i="91"/>
  <c r="K69" i="91"/>
  <c r="M69" i="91"/>
  <c r="L69" i="91"/>
  <c r="J69" i="91"/>
  <c r="K64" i="91"/>
  <c r="L64" i="91"/>
  <c r="J64" i="91"/>
  <c r="M64" i="91"/>
  <c r="P47" i="91"/>
  <c r="Q47" i="91"/>
  <c r="R47" i="91"/>
  <c r="S47" i="91"/>
  <c r="T47" i="91"/>
  <c r="U47" i="91"/>
  <c r="O47" i="91"/>
  <c r="N47" i="91"/>
  <c r="P46" i="91"/>
  <c r="Q46" i="91"/>
  <c r="R46" i="91"/>
  <c r="S46" i="91"/>
  <c r="T46" i="91"/>
  <c r="U46" i="91"/>
  <c r="V46" i="91"/>
  <c r="W46" i="91"/>
  <c r="X46" i="91"/>
  <c r="Y46" i="91"/>
  <c r="Z46" i="91"/>
  <c r="O46" i="91"/>
  <c r="K46" i="91"/>
  <c r="L46" i="91"/>
  <c r="K45" i="91"/>
  <c r="L45" i="91"/>
  <c r="M47" i="91"/>
  <c r="J46" i="91"/>
  <c r="M46" i="91"/>
  <c r="J45" i="91"/>
  <c r="M45" i="91"/>
  <c r="P42" i="91"/>
  <c r="Q42" i="91"/>
  <c r="R42" i="91"/>
  <c r="S42" i="91"/>
  <c r="T42" i="91"/>
  <c r="U42" i="91"/>
  <c r="V42" i="91"/>
  <c r="W42" i="91"/>
  <c r="X42" i="91"/>
  <c r="Y42" i="91"/>
  <c r="Z42" i="91"/>
  <c r="M74" i="91"/>
  <c r="J20" i="110"/>
  <c r="R68" i="53"/>
  <c r="R62" i="53"/>
  <c r="R65" i="53"/>
  <c r="R36" i="53"/>
  <c r="R29" i="53"/>
  <c r="R24" i="53"/>
  <c r="R12" i="53"/>
  <c r="R13" i="53"/>
  <c r="R11" i="53"/>
  <c r="Q25" i="90"/>
  <c r="R51" i="53"/>
  <c r="R48" i="53"/>
  <c r="R27" i="53"/>
  <c r="R54" i="53"/>
  <c r="R15" i="53"/>
  <c r="R17" i="53"/>
  <c r="R16" i="53"/>
  <c r="R21" i="53"/>
  <c r="R20" i="53"/>
  <c r="Q44" i="53"/>
  <c r="Q36" i="53"/>
  <c r="Q65" i="53"/>
  <c r="Q48" i="53"/>
  <c r="P11" i="53"/>
  <c r="Q21" i="53"/>
  <c r="Q20" i="53"/>
  <c r="Q11" i="53"/>
  <c r="Q17" i="53"/>
  <c r="Q16" i="53"/>
  <c r="Q15" i="53"/>
  <c r="Q34" i="53"/>
  <c r="Q33" i="53"/>
  <c r="Q29" i="53"/>
  <c r="Q42" i="53"/>
  <c r="P25" i="90"/>
  <c r="P48" i="53"/>
  <c r="J45" i="90"/>
  <c r="J26" i="91"/>
  <c r="M26" i="91"/>
  <c r="J25" i="91"/>
  <c r="J24" i="91"/>
  <c r="J23" i="91"/>
  <c r="J21" i="91"/>
  <c r="J20" i="91"/>
  <c r="M20" i="91"/>
  <c r="J15" i="91"/>
  <c r="M15" i="91"/>
  <c r="J16" i="91"/>
  <c r="M16" i="91"/>
  <c r="J17" i="91"/>
  <c r="M17" i="91"/>
  <c r="J18" i="91"/>
  <c r="J19" i="91"/>
  <c r="M11" i="90"/>
  <c r="M12" i="90"/>
  <c r="M13" i="90"/>
  <c r="M24" i="90"/>
  <c r="M38" i="90"/>
  <c r="M14" i="90"/>
  <c r="M15" i="90"/>
  <c r="M16" i="90"/>
  <c r="M17" i="90"/>
  <c r="M18" i="90"/>
  <c r="M19" i="90"/>
  <c r="M20" i="90"/>
  <c r="M21" i="90"/>
  <c r="M22" i="90"/>
  <c r="M23" i="90"/>
  <c r="P17" i="53"/>
  <c r="P15" i="53"/>
  <c r="P16" i="53"/>
  <c r="P21" i="53"/>
  <c r="P20" i="53"/>
  <c r="P36" i="53"/>
  <c r="P34" i="53"/>
  <c r="M39" i="53"/>
  <c r="N39" i="53"/>
  <c r="N40" i="53"/>
  <c r="N41" i="53"/>
  <c r="N66" i="53"/>
  <c r="N67" i="53"/>
  <c r="M67" i="53"/>
  <c r="P28" i="91"/>
  <c r="Q28" i="91"/>
  <c r="R28" i="91"/>
  <c r="S28" i="91"/>
  <c r="T28" i="91"/>
  <c r="U28" i="91"/>
  <c r="V28" i="91"/>
  <c r="W28" i="91"/>
  <c r="X28" i="91"/>
  <c r="Y28" i="91"/>
  <c r="Z28" i="91"/>
  <c r="O28" i="91"/>
  <c r="L28" i="91"/>
  <c r="K28" i="91"/>
  <c r="J28" i="91"/>
  <c r="M28" i="91"/>
  <c r="N21" i="90"/>
  <c r="N23" i="90"/>
  <c r="J24" i="90"/>
  <c r="K24" i="90"/>
  <c r="L24" i="90"/>
  <c r="O24" i="90"/>
  <c r="P24" i="90"/>
  <c r="Q24" i="90"/>
  <c r="R24" i="90"/>
  <c r="S24" i="90"/>
  <c r="T24" i="90"/>
  <c r="U24" i="90"/>
  <c r="V24" i="90"/>
  <c r="V38" i="90"/>
  <c r="W24" i="90"/>
  <c r="X24" i="90"/>
  <c r="Y24" i="90"/>
  <c r="Z24" i="90"/>
  <c r="M25" i="90"/>
  <c r="M26" i="90"/>
  <c r="N26" i="90"/>
  <c r="J27" i="90"/>
  <c r="K27" i="90"/>
  <c r="L27" i="90"/>
  <c r="O27" i="90"/>
  <c r="P27" i="90"/>
  <c r="Q27" i="90"/>
  <c r="Q38" i="90"/>
  <c r="R27" i="90"/>
  <c r="S27" i="90"/>
  <c r="T27" i="90"/>
  <c r="U27" i="90"/>
  <c r="V27" i="90"/>
  <c r="W27" i="90"/>
  <c r="W32" i="90"/>
  <c r="X27" i="90"/>
  <c r="Y27" i="90"/>
  <c r="Z27" i="90"/>
  <c r="M28" i="90"/>
  <c r="M29" i="90"/>
  <c r="M30" i="90"/>
  <c r="N30" i="90"/>
  <c r="M31" i="90"/>
  <c r="M27" i="90"/>
  <c r="G27" i="124"/>
  <c r="C27" i="124"/>
  <c r="G13" i="124"/>
  <c r="D13" i="124"/>
  <c r="C13" i="124"/>
  <c r="N18" i="110"/>
  <c r="M18" i="110"/>
  <c r="N12" i="110"/>
  <c r="M12" i="110"/>
  <c r="M13" i="110"/>
  <c r="M14" i="110"/>
  <c r="M11" i="110"/>
  <c r="O21" i="110"/>
  <c r="O22" i="110"/>
  <c r="O56" i="91"/>
  <c r="P56" i="91"/>
  <c r="Q56" i="91"/>
  <c r="R56" i="91"/>
  <c r="S56" i="91"/>
  <c r="T56" i="91"/>
  <c r="U56" i="91"/>
  <c r="V56" i="91"/>
  <c r="W56" i="91"/>
  <c r="X56" i="91"/>
  <c r="Y56" i="91"/>
  <c r="N14" i="53"/>
  <c r="J29" i="109"/>
  <c r="J23" i="53"/>
  <c r="U14" i="91"/>
  <c r="N21" i="110"/>
  <c r="P71" i="91"/>
  <c r="Q71" i="91"/>
  <c r="R71" i="91"/>
  <c r="S71" i="91"/>
  <c r="T71" i="91"/>
  <c r="U71" i="91"/>
  <c r="V71" i="91"/>
  <c r="W71" i="91"/>
  <c r="X71" i="91"/>
  <c r="Y71" i="91"/>
  <c r="Z71" i="91"/>
  <c r="O71" i="91"/>
  <c r="J71" i="91"/>
  <c r="M71" i="91"/>
  <c r="O29" i="91"/>
  <c r="Z27" i="91"/>
  <c r="W14" i="91"/>
  <c r="N14" i="91"/>
  <c r="W24" i="91"/>
  <c r="W25" i="91"/>
  <c r="W19" i="91"/>
  <c r="W18" i="91"/>
  <c r="W21" i="91"/>
  <c r="W17" i="91"/>
  <c r="W22" i="91"/>
  <c r="W23" i="91"/>
  <c r="P17" i="91"/>
  <c r="Q17" i="91"/>
  <c r="R17" i="91"/>
  <c r="S17" i="91"/>
  <c r="T17" i="91"/>
  <c r="U17" i="91"/>
  <c r="V17" i="91"/>
  <c r="X17" i="91"/>
  <c r="X27" i="91"/>
  <c r="Y17" i="91"/>
  <c r="Z17" i="91"/>
  <c r="P18" i="91"/>
  <c r="Q18" i="91"/>
  <c r="R18" i="91"/>
  <c r="S18" i="91"/>
  <c r="T18" i="91"/>
  <c r="U18" i="91"/>
  <c r="V18" i="91"/>
  <c r="X18" i="91"/>
  <c r="Y18" i="91"/>
  <c r="Z18" i="91"/>
  <c r="P19" i="91"/>
  <c r="Q19" i="91"/>
  <c r="R19" i="91"/>
  <c r="S19" i="91"/>
  <c r="T19" i="91"/>
  <c r="U19" i="91"/>
  <c r="V19" i="91"/>
  <c r="X19" i="91"/>
  <c r="Y19" i="91"/>
  <c r="Z19" i="91"/>
  <c r="P20" i="91"/>
  <c r="Q20" i="91"/>
  <c r="R20" i="91"/>
  <c r="N20" i="91"/>
  <c r="S20" i="91"/>
  <c r="T20" i="91"/>
  <c r="U20" i="91"/>
  <c r="V20" i="91"/>
  <c r="W20" i="91"/>
  <c r="X20" i="91"/>
  <c r="Y20" i="91"/>
  <c r="Z20" i="91"/>
  <c r="P21" i="91"/>
  <c r="Q21" i="91"/>
  <c r="R21" i="91"/>
  <c r="S21" i="91"/>
  <c r="T21" i="91"/>
  <c r="U21" i="91"/>
  <c r="V21" i="91"/>
  <c r="X21" i="91"/>
  <c r="Y21" i="91"/>
  <c r="Z21" i="91"/>
  <c r="P22" i="91"/>
  <c r="Q22" i="91"/>
  <c r="R22" i="91"/>
  <c r="S22" i="91"/>
  <c r="T22" i="91"/>
  <c r="U22" i="91"/>
  <c r="V22" i="91"/>
  <c r="X22" i="91"/>
  <c r="Y22" i="91"/>
  <c r="Z22" i="91"/>
  <c r="P23" i="91"/>
  <c r="Q23" i="91"/>
  <c r="N23" i="91"/>
  <c r="R23" i="91"/>
  <c r="S23" i="91"/>
  <c r="T23" i="91"/>
  <c r="U23" i="91"/>
  <c r="V23" i="91"/>
  <c r="X23" i="91"/>
  <c r="Y23" i="91"/>
  <c r="Z23" i="91"/>
  <c r="P24" i="91"/>
  <c r="Q24" i="91"/>
  <c r="R24" i="91"/>
  <c r="S24" i="91"/>
  <c r="T24" i="91"/>
  <c r="U24" i="91"/>
  <c r="V24" i="91"/>
  <c r="X24" i="91"/>
  <c r="Y24" i="91"/>
  <c r="Z24" i="91"/>
  <c r="P25" i="91"/>
  <c r="Q25" i="91"/>
  <c r="R25" i="91"/>
  <c r="S25" i="91"/>
  <c r="T25" i="91"/>
  <c r="U25" i="91"/>
  <c r="V25" i="91"/>
  <c r="X25" i="91"/>
  <c r="Y25" i="91"/>
  <c r="Z25" i="91"/>
  <c r="X26" i="91"/>
  <c r="Y26" i="91"/>
  <c r="Z26" i="91"/>
  <c r="O14" i="91"/>
  <c r="P14" i="91"/>
  <c r="P27" i="91"/>
  <c r="Q14" i="91"/>
  <c r="R14" i="91"/>
  <c r="S14" i="91"/>
  <c r="T14" i="91"/>
  <c r="V14" i="91"/>
  <c r="X14" i="91"/>
  <c r="Y14" i="91"/>
  <c r="Y27" i="91"/>
  <c r="Z14" i="91"/>
  <c r="O17" i="91"/>
  <c r="O18" i="91"/>
  <c r="O19" i="91"/>
  <c r="O20" i="91"/>
  <c r="O21" i="91"/>
  <c r="M22" i="91"/>
  <c r="O22" i="91"/>
  <c r="O23" i="91"/>
  <c r="L24" i="91"/>
  <c r="M24" i="91"/>
  <c r="O24" i="91"/>
  <c r="K25" i="91"/>
  <c r="L25" i="91"/>
  <c r="O25" i="91"/>
  <c r="J29" i="91"/>
  <c r="K29" i="91"/>
  <c r="L29" i="91"/>
  <c r="M29" i="91"/>
  <c r="P29" i="91"/>
  <c r="Q29" i="91"/>
  <c r="R29" i="91"/>
  <c r="S29" i="91"/>
  <c r="T29" i="91"/>
  <c r="U29" i="91"/>
  <c r="J30" i="91"/>
  <c r="K30" i="91"/>
  <c r="M30" i="91"/>
  <c r="L30" i="91"/>
  <c r="O30" i="91"/>
  <c r="P30" i="91"/>
  <c r="Q30" i="91"/>
  <c r="R30" i="91"/>
  <c r="S30" i="91"/>
  <c r="T30" i="91"/>
  <c r="U30" i="91"/>
  <c r="J31" i="91"/>
  <c r="M31" i="91"/>
  <c r="K31" i="91"/>
  <c r="L31" i="91"/>
  <c r="O31" i="91"/>
  <c r="W31" i="91"/>
  <c r="N31" i="91"/>
  <c r="P31" i="91"/>
  <c r="Q31" i="91"/>
  <c r="R31" i="91"/>
  <c r="S31" i="91"/>
  <c r="T31" i="91"/>
  <c r="U31" i="91"/>
  <c r="J32" i="91"/>
  <c r="K32" i="91"/>
  <c r="L32" i="91"/>
  <c r="O32" i="91"/>
  <c r="P32" i="91"/>
  <c r="Q32" i="91"/>
  <c r="R32" i="91"/>
  <c r="S32" i="91"/>
  <c r="T32" i="91"/>
  <c r="U32" i="91"/>
  <c r="J33" i="91"/>
  <c r="K33" i="91"/>
  <c r="L33" i="91"/>
  <c r="O33" i="91"/>
  <c r="P33" i="91"/>
  <c r="Q33" i="91"/>
  <c r="R33" i="91"/>
  <c r="S33" i="91"/>
  <c r="T33" i="91"/>
  <c r="U33" i="91"/>
  <c r="J34" i="91"/>
  <c r="K34" i="91"/>
  <c r="L34" i="91"/>
  <c r="M34" i="91"/>
  <c r="O34" i="91"/>
  <c r="P34" i="91"/>
  <c r="Q34" i="91"/>
  <c r="R34" i="91"/>
  <c r="S34" i="91"/>
  <c r="T34" i="91"/>
  <c r="U34" i="91"/>
  <c r="J35" i="91"/>
  <c r="M35" i="91"/>
  <c r="K35" i="91"/>
  <c r="L35" i="91"/>
  <c r="O35" i="91"/>
  <c r="P35" i="91"/>
  <c r="Q35" i="91"/>
  <c r="R35" i="91"/>
  <c r="S35" i="91"/>
  <c r="T35" i="91"/>
  <c r="U35" i="91"/>
  <c r="J36" i="91"/>
  <c r="K36" i="91"/>
  <c r="L36" i="91"/>
  <c r="M36" i="91" s="1"/>
  <c r="O36" i="91"/>
  <c r="P36" i="91"/>
  <c r="Q36" i="91"/>
  <c r="R36" i="91"/>
  <c r="R48" i="91" s="1"/>
  <c r="S36" i="91"/>
  <c r="T36" i="91"/>
  <c r="U36" i="91"/>
  <c r="U48" i="91" s="1"/>
  <c r="J37" i="91"/>
  <c r="J48" i="91" s="1"/>
  <c r="K37" i="91"/>
  <c r="L37" i="91"/>
  <c r="O37" i="91"/>
  <c r="O48" i="91" s="1"/>
  <c r="P37" i="91"/>
  <c r="P48" i="91" s="1"/>
  <c r="W37" i="91"/>
  <c r="Q37" i="91"/>
  <c r="R37" i="91"/>
  <c r="S37" i="91"/>
  <c r="T37" i="91"/>
  <c r="U37" i="91"/>
  <c r="J38" i="91"/>
  <c r="M38" i="91" s="1"/>
  <c r="K38" i="91"/>
  <c r="L38" i="91"/>
  <c r="O38" i="91"/>
  <c r="P38" i="91"/>
  <c r="Q38" i="91"/>
  <c r="R38" i="91"/>
  <c r="S38" i="91"/>
  <c r="S48" i="91" s="1"/>
  <c r="T38" i="91"/>
  <c r="U38" i="91"/>
  <c r="J39" i="91"/>
  <c r="K39" i="91"/>
  <c r="K48" i="91" s="1"/>
  <c r="L39" i="91"/>
  <c r="O39" i="91"/>
  <c r="P39" i="91"/>
  <c r="N39" i="91" s="1"/>
  <c r="Q39" i="91"/>
  <c r="Q48" i="91" s="1"/>
  <c r="R39" i="91"/>
  <c r="S39" i="91"/>
  <c r="T39" i="91"/>
  <c r="U39" i="91"/>
  <c r="J40" i="91"/>
  <c r="K40" i="91"/>
  <c r="M40" i="91"/>
  <c r="L40" i="91"/>
  <c r="O40" i="91"/>
  <c r="P40" i="91"/>
  <c r="Q40" i="91"/>
  <c r="R40" i="91"/>
  <c r="S40" i="91"/>
  <c r="T40" i="91"/>
  <c r="U40" i="91"/>
  <c r="J41" i="91"/>
  <c r="M41" i="91"/>
  <c r="K41" i="91"/>
  <c r="L41" i="91"/>
  <c r="O41" i="91"/>
  <c r="P41" i="91"/>
  <c r="Q41" i="91"/>
  <c r="R41" i="91"/>
  <c r="S41" i="91"/>
  <c r="T41" i="91"/>
  <c r="U41" i="91"/>
  <c r="J42" i="91"/>
  <c r="K42" i="91"/>
  <c r="M42" i="91"/>
  <c r="L42" i="91"/>
  <c r="O42" i="91"/>
  <c r="J43" i="91"/>
  <c r="K43" i="91"/>
  <c r="L43" i="91"/>
  <c r="O43" i="91"/>
  <c r="P43" i="91"/>
  <c r="Q43" i="91"/>
  <c r="R43" i="91"/>
  <c r="S43" i="91"/>
  <c r="T43" i="91"/>
  <c r="U43" i="91"/>
  <c r="J49" i="91"/>
  <c r="K49" i="91"/>
  <c r="L49" i="91"/>
  <c r="O49" i="91"/>
  <c r="P49" i="91"/>
  <c r="N49" i="91"/>
  <c r="Q49" i="91"/>
  <c r="R49" i="91"/>
  <c r="J50" i="91"/>
  <c r="M50" i="91"/>
  <c r="K50" i="91"/>
  <c r="L50" i="91"/>
  <c r="O50" i="91"/>
  <c r="P50" i="91"/>
  <c r="Q50" i="91"/>
  <c r="R50" i="91"/>
  <c r="S50" i="91"/>
  <c r="T50" i="91"/>
  <c r="U50" i="91"/>
  <c r="J51" i="91"/>
  <c r="K51" i="91"/>
  <c r="M51" i="91"/>
  <c r="L51" i="91"/>
  <c r="O51" i="91"/>
  <c r="P51" i="91"/>
  <c r="Q51" i="91"/>
  <c r="R51" i="91"/>
  <c r="S51" i="91"/>
  <c r="T51" i="91"/>
  <c r="U51" i="91"/>
  <c r="J52" i="91"/>
  <c r="K52" i="91"/>
  <c r="L52" i="91"/>
  <c r="O52" i="91"/>
  <c r="P52" i="91"/>
  <c r="W52" i="91"/>
  <c r="N52" i="91"/>
  <c r="Q52" i="91"/>
  <c r="R52" i="91"/>
  <c r="S52" i="91"/>
  <c r="T52" i="91"/>
  <c r="U52" i="91"/>
  <c r="J53" i="91"/>
  <c r="K53" i="91"/>
  <c r="M53" i="91"/>
  <c r="L53" i="91"/>
  <c r="O53" i="91"/>
  <c r="P53" i="91"/>
  <c r="Q53" i="91"/>
  <c r="R53" i="91"/>
  <c r="S53" i="91"/>
  <c r="T53" i="91"/>
  <c r="U53" i="91"/>
  <c r="J54" i="91"/>
  <c r="M54" i="91"/>
  <c r="K54" i="91"/>
  <c r="L54" i="91"/>
  <c r="O54" i="91"/>
  <c r="P54" i="91"/>
  <c r="Q54" i="91"/>
  <c r="R54" i="91"/>
  <c r="S54" i="91"/>
  <c r="T54" i="91"/>
  <c r="U54" i="91"/>
  <c r="K55" i="91"/>
  <c r="L55" i="91"/>
  <c r="O55" i="91"/>
  <c r="P55" i="91"/>
  <c r="Q55" i="91"/>
  <c r="R55" i="91"/>
  <c r="S55" i="91"/>
  <c r="T55" i="91"/>
  <c r="U55" i="91"/>
  <c r="J56" i="91"/>
  <c r="K56" i="91"/>
  <c r="L56" i="91"/>
  <c r="K58" i="91"/>
  <c r="L58" i="91"/>
  <c r="O58" i="91"/>
  <c r="O80" i="91" s="1"/>
  <c r="P58" i="91"/>
  <c r="P80" i="91" s="1"/>
  <c r="Q58" i="91"/>
  <c r="R58" i="91"/>
  <c r="S58" i="91"/>
  <c r="S80" i="91" s="1"/>
  <c r="T58" i="91"/>
  <c r="U58" i="91"/>
  <c r="J60" i="91"/>
  <c r="K60" i="91"/>
  <c r="L60" i="91"/>
  <c r="M60" i="91"/>
  <c r="O60" i="91"/>
  <c r="P60" i="91"/>
  <c r="Q60" i="91"/>
  <c r="R60" i="91"/>
  <c r="S60" i="91"/>
  <c r="T60" i="91"/>
  <c r="U60" i="91"/>
  <c r="M62" i="91"/>
  <c r="M65" i="91"/>
  <c r="K65" i="91"/>
  <c r="L65" i="91"/>
  <c r="J66" i="91"/>
  <c r="M66" i="91"/>
  <c r="K66" i="91"/>
  <c r="L66" i="91"/>
  <c r="J67" i="91"/>
  <c r="K67" i="91"/>
  <c r="L67" i="91"/>
  <c r="K70" i="91"/>
  <c r="L70" i="91"/>
  <c r="O70" i="91"/>
  <c r="P70" i="91"/>
  <c r="Q70" i="91"/>
  <c r="R70" i="91"/>
  <c r="S70" i="91"/>
  <c r="T70" i="91"/>
  <c r="U70" i="91"/>
  <c r="J72" i="91"/>
  <c r="M72" i="91"/>
  <c r="O72" i="91"/>
  <c r="P72" i="91"/>
  <c r="Q72" i="91"/>
  <c r="R72" i="91"/>
  <c r="S72" i="91"/>
  <c r="T72" i="91"/>
  <c r="U72" i="91"/>
  <c r="K79" i="91"/>
  <c r="L79" i="91"/>
  <c r="O79" i="91"/>
  <c r="P79" i="91"/>
  <c r="Q79" i="91"/>
  <c r="R79" i="91"/>
  <c r="S79" i="91"/>
  <c r="T79" i="91"/>
  <c r="U79" i="91"/>
  <c r="J81" i="91"/>
  <c r="J84" i="91"/>
  <c r="M84" i="91"/>
  <c r="K84" i="91"/>
  <c r="K88" i="91"/>
  <c r="L84" i="91"/>
  <c r="O84" i="91"/>
  <c r="P84" i="91"/>
  <c r="Q84" i="91"/>
  <c r="Q88" i="91"/>
  <c r="R84" i="91"/>
  <c r="S84" i="91"/>
  <c r="T84" i="91"/>
  <c r="U84" i="91"/>
  <c r="U88" i="91"/>
  <c r="J85" i="91"/>
  <c r="K85" i="91"/>
  <c r="L85" i="91"/>
  <c r="M85" i="91"/>
  <c r="O85" i="91"/>
  <c r="P85" i="91"/>
  <c r="Q85" i="91"/>
  <c r="R85" i="91"/>
  <c r="S85" i="91"/>
  <c r="T85" i="91"/>
  <c r="U85" i="91"/>
  <c r="J86" i="91"/>
  <c r="L86" i="91"/>
  <c r="M86" i="91"/>
  <c r="O86" i="91"/>
  <c r="P86" i="91"/>
  <c r="Q86" i="91"/>
  <c r="R86" i="91"/>
  <c r="S86" i="91"/>
  <c r="T86" i="91"/>
  <c r="U86" i="91"/>
  <c r="J87" i="91"/>
  <c r="M87" i="91"/>
  <c r="L87" i="91"/>
  <c r="O87" i="91"/>
  <c r="P87" i="91"/>
  <c r="Q87" i="91"/>
  <c r="R87" i="91"/>
  <c r="S87" i="91"/>
  <c r="T87" i="91"/>
  <c r="U87" i="91"/>
  <c r="S32" i="90"/>
  <c r="S38" i="90"/>
  <c r="R32" i="90"/>
  <c r="R38" i="90"/>
  <c r="O32" i="90"/>
  <c r="O38" i="90"/>
  <c r="P32" i="90"/>
  <c r="P38" i="90"/>
  <c r="Q32" i="90"/>
  <c r="T32" i="90"/>
  <c r="U32" i="90"/>
  <c r="V32" i="90"/>
  <c r="X32" i="90"/>
  <c r="Y32" i="90"/>
  <c r="Z32" i="90"/>
  <c r="U18" i="109"/>
  <c r="P18" i="109"/>
  <c r="P24" i="109" s="1"/>
  <c r="Q18" i="109"/>
  <c r="R18" i="109"/>
  <c r="S18" i="109"/>
  <c r="T18" i="109"/>
  <c r="V18" i="109"/>
  <c r="W18" i="109"/>
  <c r="X18" i="109"/>
  <c r="Y18" i="109"/>
  <c r="Z18" i="109"/>
  <c r="O18" i="109"/>
  <c r="N17" i="109"/>
  <c r="N18" i="109" s="1"/>
  <c r="M17" i="109"/>
  <c r="J18" i="109"/>
  <c r="J15" i="109"/>
  <c r="S7" i="91"/>
  <c r="S4" i="109"/>
  <c r="T4" i="110"/>
  <c r="S4" i="122"/>
  <c r="S4" i="90"/>
  <c r="V79" i="91"/>
  <c r="W79" i="91"/>
  <c r="X79" i="91"/>
  <c r="Y79" i="91"/>
  <c r="Z79" i="91"/>
  <c r="V36" i="91"/>
  <c r="W36" i="91"/>
  <c r="W48" i="91" s="1"/>
  <c r="N36" i="91"/>
  <c r="X36" i="91"/>
  <c r="Y36" i="91"/>
  <c r="Z36" i="91"/>
  <c r="V30" i="91"/>
  <c r="Y30" i="91"/>
  <c r="W30" i="91"/>
  <c r="X30" i="91"/>
  <c r="Z30" i="91"/>
  <c r="N29" i="122"/>
  <c r="N30" i="122"/>
  <c r="M30" i="122"/>
  <c r="K32" i="90"/>
  <c r="L32" i="90"/>
  <c r="N12" i="90"/>
  <c r="N13" i="90"/>
  <c r="N14" i="90"/>
  <c r="N15" i="90"/>
  <c r="N16" i="90"/>
  <c r="N17" i="90"/>
  <c r="N18" i="90"/>
  <c r="N19" i="90"/>
  <c r="N20" i="90"/>
  <c r="N11" i="90"/>
  <c r="J86" i="53"/>
  <c r="U15" i="109"/>
  <c r="M19" i="109"/>
  <c r="M20" i="109"/>
  <c r="M16" i="109"/>
  <c r="M18" i="109" s="1"/>
  <c r="M14" i="109"/>
  <c r="M13" i="109"/>
  <c r="M15" i="109"/>
  <c r="M12" i="109"/>
  <c r="L15" i="109"/>
  <c r="M12" i="54"/>
  <c r="N14" i="109"/>
  <c r="N15" i="109" s="1"/>
  <c r="O23" i="110"/>
  <c r="O24" i="110"/>
  <c r="O19" i="110"/>
  <c r="M19" i="110" s="1"/>
  <c r="O16" i="110"/>
  <c r="M16" i="110" s="1"/>
  <c r="N64" i="54"/>
  <c r="Z34" i="122"/>
  <c r="Y34" i="122"/>
  <c r="X34" i="122"/>
  <c r="W34" i="122"/>
  <c r="V34" i="122"/>
  <c r="U34" i="122"/>
  <c r="T34" i="122"/>
  <c r="S34" i="122"/>
  <c r="R34" i="122"/>
  <c r="Q34" i="122"/>
  <c r="P34" i="122"/>
  <c r="O34" i="122"/>
  <c r="O36" i="122"/>
  <c r="L34" i="122"/>
  <c r="K34" i="122"/>
  <c r="J34" i="122"/>
  <c r="M33" i="122"/>
  <c r="M34" i="122"/>
  <c r="N34" i="122"/>
  <c r="Z32" i="122"/>
  <c r="Y32" i="122"/>
  <c r="X32" i="122"/>
  <c r="W32" i="122"/>
  <c r="V32" i="122"/>
  <c r="U32" i="122"/>
  <c r="T32" i="122"/>
  <c r="S32" i="122"/>
  <c r="R32" i="122"/>
  <c r="Q32" i="122"/>
  <c r="P32" i="122"/>
  <c r="O32" i="122"/>
  <c r="L32" i="122"/>
  <c r="K32" i="122"/>
  <c r="J32" i="122"/>
  <c r="N32" i="122"/>
  <c r="M32" i="122"/>
  <c r="Z23" i="122"/>
  <c r="Y23" i="122"/>
  <c r="X23" i="122"/>
  <c r="W23" i="122"/>
  <c r="V23" i="122"/>
  <c r="U23" i="122"/>
  <c r="U36" i="122"/>
  <c r="T23" i="122"/>
  <c r="S23" i="122"/>
  <c r="R23" i="122"/>
  <c r="Q23" i="122"/>
  <c r="Q36" i="122"/>
  <c r="P23" i="122"/>
  <c r="O23" i="122"/>
  <c r="L23" i="122"/>
  <c r="K23" i="122"/>
  <c r="M23" i="122"/>
  <c r="N23" i="122"/>
  <c r="L36" i="122"/>
  <c r="P36" i="90"/>
  <c r="Q36" i="90"/>
  <c r="R36" i="90"/>
  <c r="S36" i="90"/>
  <c r="T36" i="90"/>
  <c r="U36" i="90"/>
  <c r="V36" i="90"/>
  <c r="W36" i="90"/>
  <c r="X36" i="90"/>
  <c r="Y36" i="90"/>
  <c r="Z36" i="90"/>
  <c r="O36" i="90"/>
  <c r="N33" i="90"/>
  <c r="N34" i="90"/>
  <c r="W20" i="110"/>
  <c r="N36" i="90"/>
  <c r="N17" i="53"/>
  <c r="M17" i="53"/>
  <c r="M19" i="53"/>
  <c r="J61" i="54"/>
  <c r="V35" i="91"/>
  <c r="W35" i="91"/>
  <c r="N35" i="91"/>
  <c r="X35" i="91"/>
  <c r="Y35" i="91"/>
  <c r="Z35" i="91"/>
  <c r="G21" i="91"/>
  <c r="N21" i="54"/>
  <c r="N19" i="54"/>
  <c r="N19" i="53"/>
  <c r="N54" i="53"/>
  <c r="K36" i="90"/>
  <c r="L36" i="90"/>
  <c r="M35" i="90"/>
  <c r="M36" i="90"/>
  <c r="J36" i="90"/>
  <c r="M33" i="90"/>
  <c r="M34" i="90"/>
  <c r="K34" i="90"/>
  <c r="L34" i="90"/>
  <c r="J69" i="54"/>
  <c r="M68" i="54"/>
  <c r="M21" i="54"/>
  <c r="M19" i="54"/>
  <c r="N13" i="55"/>
  <c r="J24" i="110"/>
  <c r="J22" i="110"/>
  <c r="K20" i="110"/>
  <c r="L20" i="110"/>
  <c r="P20" i="110"/>
  <c r="Q20" i="110"/>
  <c r="R20" i="110"/>
  <c r="S20" i="110"/>
  <c r="T20" i="110"/>
  <c r="U20" i="110"/>
  <c r="U26" i="110"/>
  <c r="V20" i="110"/>
  <c r="X20" i="110"/>
  <c r="X26" i="110" s="1"/>
  <c r="Y20" i="110"/>
  <c r="Z20" i="110"/>
  <c r="AA20" i="110"/>
  <c r="M29" i="54"/>
  <c r="M62" i="54"/>
  <c r="M26" i="54"/>
  <c r="N24" i="110"/>
  <c r="M16" i="56"/>
  <c r="M17" i="56"/>
  <c r="M15" i="56"/>
  <c r="M13" i="56"/>
  <c r="M24" i="55"/>
  <c r="M25" i="55"/>
  <c r="M22" i="55"/>
  <c r="M21" i="55"/>
  <c r="M17" i="55"/>
  <c r="M18" i="55"/>
  <c r="M19" i="55"/>
  <c r="M20" i="55"/>
  <c r="M16" i="55"/>
  <c r="M14" i="55"/>
  <c r="M13" i="55"/>
  <c r="M52" i="54"/>
  <c r="N19" i="110"/>
  <c r="M46" i="54"/>
  <c r="M59" i="54"/>
  <c r="M56" i="54"/>
  <c r="M55" i="54"/>
  <c r="M37" i="54"/>
  <c r="M28" i="54"/>
  <c r="M27" i="54"/>
  <c r="M13" i="54"/>
  <c r="M74" i="54"/>
  <c r="M71" i="54"/>
  <c r="M72" i="54"/>
  <c r="M73" i="54"/>
  <c r="M70" i="54"/>
  <c r="M67" i="54"/>
  <c r="M69" i="54"/>
  <c r="M44" i="54"/>
  <c r="M45" i="54"/>
  <c r="M47" i="54"/>
  <c r="M49" i="54"/>
  <c r="M50" i="54"/>
  <c r="M51" i="54"/>
  <c r="M53" i="54"/>
  <c r="M54" i="54"/>
  <c r="M57" i="54"/>
  <c r="M60" i="54"/>
  <c r="M61" i="54"/>
  <c r="M64" i="54"/>
  <c r="M65" i="54"/>
  <c r="M43" i="54"/>
  <c r="M30" i="54"/>
  <c r="M31" i="54"/>
  <c r="M32" i="54"/>
  <c r="M33" i="54"/>
  <c r="M34" i="54"/>
  <c r="M35" i="54"/>
  <c r="M36" i="54"/>
  <c r="M39" i="54"/>
  <c r="M40" i="54"/>
  <c r="M41" i="54"/>
  <c r="M15" i="54"/>
  <c r="O20" i="109"/>
  <c r="P20" i="109"/>
  <c r="Q20" i="109"/>
  <c r="R20" i="109"/>
  <c r="S20" i="109"/>
  <c r="T20" i="109"/>
  <c r="U20" i="109"/>
  <c r="V20" i="109"/>
  <c r="W20" i="109"/>
  <c r="N24" i="55"/>
  <c r="N25" i="55"/>
  <c r="N17" i="55"/>
  <c r="N18" i="55"/>
  <c r="N19" i="55"/>
  <c r="N20" i="55"/>
  <c r="N21" i="55"/>
  <c r="N22" i="55"/>
  <c r="N16" i="55"/>
  <c r="N14" i="55"/>
  <c r="N15" i="55"/>
  <c r="Z12" i="55"/>
  <c r="Z15" i="55"/>
  <c r="Y15" i="55"/>
  <c r="X15" i="55"/>
  <c r="P23" i="55"/>
  <c r="N11" i="55"/>
  <c r="N12" i="55"/>
  <c r="N57" i="54"/>
  <c r="P25" i="55"/>
  <c r="Q25" i="55"/>
  <c r="R25" i="55"/>
  <c r="S25" i="55"/>
  <c r="T25" i="55"/>
  <c r="U25" i="55"/>
  <c r="V25" i="55"/>
  <c r="W25" i="55"/>
  <c r="X25" i="55"/>
  <c r="Y25" i="55"/>
  <c r="Z25" i="55"/>
  <c r="O25" i="55"/>
  <c r="Q23" i="55"/>
  <c r="R23" i="55"/>
  <c r="S23" i="55"/>
  <c r="T23" i="55"/>
  <c r="U23" i="55"/>
  <c r="V23" i="55"/>
  <c r="W23" i="55"/>
  <c r="X23" i="55"/>
  <c r="Y23" i="55"/>
  <c r="Z23" i="55"/>
  <c r="O23" i="55"/>
  <c r="P15" i="55"/>
  <c r="Q15" i="55"/>
  <c r="R15" i="55"/>
  <c r="S15" i="55"/>
  <c r="T15" i="55"/>
  <c r="U15" i="55"/>
  <c r="V15" i="55"/>
  <c r="W15" i="55"/>
  <c r="O15" i="55"/>
  <c r="O42" i="54"/>
  <c r="Y66" i="54"/>
  <c r="Y25" i="54"/>
  <c r="Y42" i="54"/>
  <c r="Y75" i="54"/>
  <c r="X66" i="54"/>
  <c r="X25" i="54"/>
  <c r="X42" i="54"/>
  <c r="W42" i="54"/>
  <c r="W25" i="54"/>
  <c r="R75" i="54"/>
  <c r="S75" i="54"/>
  <c r="T75" i="54"/>
  <c r="U75" i="54"/>
  <c r="V75" i="54"/>
  <c r="W75" i="54"/>
  <c r="X75" i="54"/>
  <c r="Z75" i="54"/>
  <c r="Q75" i="54"/>
  <c r="Q69" i="54"/>
  <c r="Q66" i="54"/>
  <c r="R69" i="54"/>
  <c r="S69" i="54"/>
  <c r="T69" i="54"/>
  <c r="U69" i="54"/>
  <c r="V69" i="54"/>
  <c r="W69" i="54"/>
  <c r="X69" i="54"/>
  <c r="Y69" i="54"/>
  <c r="Z69" i="54"/>
  <c r="R66" i="54"/>
  <c r="S66" i="54"/>
  <c r="T66" i="54"/>
  <c r="U66" i="54"/>
  <c r="V66" i="54"/>
  <c r="W66" i="54"/>
  <c r="Z66" i="54"/>
  <c r="P25" i="54"/>
  <c r="Q25" i="54"/>
  <c r="R25" i="54"/>
  <c r="S25" i="54"/>
  <c r="T25" i="54"/>
  <c r="U25" i="54"/>
  <c r="V25" i="54"/>
  <c r="Z25" i="54"/>
  <c r="O75" i="54"/>
  <c r="O66" i="54"/>
  <c r="O25" i="54"/>
  <c r="AA24" i="110"/>
  <c r="Z20" i="109"/>
  <c r="Z15" i="109"/>
  <c r="Z19" i="56"/>
  <c r="M23" i="55"/>
  <c r="M15" i="55"/>
  <c r="M63" i="54"/>
  <c r="M75" i="54"/>
  <c r="N23" i="55"/>
  <c r="N27" i="55"/>
  <c r="Y77" i="54"/>
  <c r="Z42" i="54"/>
  <c r="M18" i="56"/>
  <c r="M58" i="54"/>
  <c r="M48" i="54"/>
  <c r="M38" i="54"/>
  <c r="M42" i="54"/>
  <c r="M24" i="54"/>
  <c r="M23" i="54"/>
  <c r="M22" i="54"/>
  <c r="M20" i="54"/>
  <c r="M17" i="54"/>
  <c r="M14" i="54"/>
  <c r="M66" i="54"/>
  <c r="M16" i="54"/>
  <c r="N19" i="109"/>
  <c r="N20" i="109" s="1"/>
  <c r="N24" i="109" s="1"/>
  <c r="Z24" i="110"/>
  <c r="Y24" i="110"/>
  <c r="X24" i="110"/>
  <c r="W24" i="110"/>
  <c r="V24" i="110"/>
  <c r="U24" i="110"/>
  <c r="T24" i="110"/>
  <c r="S24" i="110"/>
  <c r="R24" i="110"/>
  <c r="Q24" i="110"/>
  <c r="P24" i="110"/>
  <c r="L24" i="110"/>
  <c r="K24" i="110"/>
  <c r="AA22" i="110"/>
  <c r="Z22" i="110"/>
  <c r="Y22" i="110"/>
  <c r="X22" i="110"/>
  <c r="W22" i="110"/>
  <c r="V22" i="110"/>
  <c r="U22" i="110"/>
  <c r="T22" i="110"/>
  <c r="S22" i="110"/>
  <c r="R22" i="110"/>
  <c r="Q22" i="110"/>
  <c r="N22" i="110"/>
  <c r="L22" i="110"/>
  <c r="K22" i="110"/>
  <c r="AA14" i="110"/>
  <c r="AA26" i="110"/>
  <c r="Z14" i="110"/>
  <c r="Y14" i="110"/>
  <c r="X14" i="110"/>
  <c r="W14" i="110"/>
  <c r="V14" i="110"/>
  <c r="U14" i="110"/>
  <c r="T14" i="110"/>
  <c r="S14" i="110"/>
  <c r="R14" i="110"/>
  <c r="Q14" i="110"/>
  <c r="P14" i="110"/>
  <c r="L14" i="110"/>
  <c r="K14" i="110"/>
  <c r="J14" i="110"/>
  <c r="O14" i="110"/>
  <c r="N14" i="110"/>
  <c r="AA12" i="110"/>
  <c r="Z12" i="110"/>
  <c r="Z26" i="110"/>
  <c r="Y12" i="110"/>
  <c r="Y26" i="110"/>
  <c r="X12" i="110"/>
  <c r="W12" i="110"/>
  <c r="V12" i="110"/>
  <c r="V26" i="110"/>
  <c r="U12" i="110"/>
  <c r="T12" i="110"/>
  <c r="S12" i="110"/>
  <c r="S26" i="110"/>
  <c r="R12" i="110"/>
  <c r="Q12" i="110"/>
  <c r="Q26" i="110"/>
  <c r="P12" i="110"/>
  <c r="O12" i="110"/>
  <c r="L12" i="110"/>
  <c r="K12" i="110"/>
  <c r="J12" i="110"/>
  <c r="R26" i="110"/>
  <c r="J24" i="56"/>
  <c r="Z22" i="109"/>
  <c r="Y22" i="109"/>
  <c r="X22" i="109"/>
  <c r="W22" i="109"/>
  <c r="V22" i="109"/>
  <c r="U22" i="109"/>
  <c r="U24" i="109" s="1"/>
  <c r="T22" i="109"/>
  <c r="S22" i="109"/>
  <c r="R22" i="109"/>
  <c r="Q22" i="109"/>
  <c r="P22" i="109"/>
  <c r="O22" i="109"/>
  <c r="N22" i="109"/>
  <c r="M22" i="109"/>
  <c r="L22" i="109"/>
  <c r="K22" i="109"/>
  <c r="J22" i="109"/>
  <c r="Y20" i="109"/>
  <c r="X20" i="109"/>
  <c r="L20" i="109"/>
  <c r="K20" i="109"/>
  <c r="J20" i="109"/>
  <c r="L18" i="109"/>
  <c r="L24" i="109" s="1"/>
  <c r="K18" i="109"/>
  <c r="N16" i="109"/>
  <c r="Y15" i="109"/>
  <c r="X15" i="109"/>
  <c r="W15" i="109"/>
  <c r="V15" i="109"/>
  <c r="T15" i="109"/>
  <c r="S15" i="109"/>
  <c r="R15" i="109"/>
  <c r="Q15" i="109"/>
  <c r="Q24" i="109" s="1"/>
  <c r="P15" i="109"/>
  <c r="O15" i="109"/>
  <c r="K15" i="109"/>
  <c r="N13" i="109"/>
  <c r="Z12" i="109"/>
  <c r="Z24" i="109"/>
  <c r="Y12" i="109"/>
  <c r="X12" i="109"/>
  <c r="W12" i="109"/>
  <c r="V12" i="109"/>
  <c r="V24" i="109" s="1"/>
  <c r="U12" i="109"/>
  <c r="T12" i="109"/>
  <c r="T24" i="109" s="1"/>
  <c r="S12" i="109"/>
  <c r="S24" i="109" s="1"/>
  <c r="R12" i="109"/>
  <c r="R24" i="109" s="1"/>
  <c r="Q12" i="109"/>
  <c r="P12" i="109"/>
  <c r="O12" i="109"/>
  <c r="O24" i="109" s="1"/>
  <c r="N12" i="109"/>
  <c r="L12" i="109"/>
  <c r="K12" i="109"/>
  <c r="K24" i="109" s="1"/>
  <c r="J12" i="109"/>
  <c r="W24" i="109"/>
  <c r="X24" i="109"/>
  <c r="Y24" i="109"/>
  <c r="M18" i="54"/>
  <c r="M25" i="54"/>
  <c r="M77" i="54"/>
  <c r="O14" i="56"/>
  <c r="P14" i="56"/>
  <c r="Q14" i="56"/>
  <c r="R14" i="56"/>
  <c r="S14" i="56"/>
  <c r="T14" i="56"/>
  <c r="U14" i="56"/>
  <c r="V14" i="56"/>
  <c r="W14" i="56"/>
  <c r="R19" i="56"/>
  <c r="S19" i="56"/>
  <c r="T19" i="56"/>
  <c r="V84" i="91"/>
  <c r="W84" i="91"/>
  <c r="X84" i="91"/>
  <c r="Y84" i="91"/>
  <c r="AA74" i="53"/>
  <c r="O74" i="53"/>
  <c r="V85" i="91"/>
  <c r="W85" i="91"/>
  <c r="N85" i="91" s="1"/>
  <c r="N88" i="91" s="1"/>
  <c r="X85" i="91"/>
  <c r="Y85" i="91"/>
  <c r="AA75" i="53"/>
  <c r="Z85" i="91"/>
  <c r="V86" i="91"/>
  <c r="W86" i="91"/>
  <c r="X86" i="91"/>
  <c r="N86" i="91" s="1"/>
  <c r="Y86" i="91"/>
  <c r="AA76" i="53"/>
  <c r="Z86" i="91"/>
  <c r="V87" i="91"/>
  <c r="W87" i="91"/>
  <c r="X87" i="91"/>
  <c r="Y87" i="91"/>
  <c r="AA77" i="53"/>
  <c r="O77" i="53"/>
  <c r="Q78" i="53"/>
  <c r="R78" i="53"/>
  <c r="S78" i="53"/>
  <c r="T78" i="53"/>
  <c r="V78" i="53"/>
  <c r="W78" i="53"/>
  <c r="J78" i="53"/>
  <c r="V29" i="91"/>
  <c r="W29" i="91"/>
  <c r="X29" i="91"/>
  <c r="Y29" i="91"/>
  <c r="Z29" i="91"/>
  <c r="V31" i="91"/>
  <c r="X31" i="91"/>
  <c r="Y31" i="91"/>
  <c r="Z31" i="91"/>
  <c r="V32" i="91"/>
  <c r="W32" i="91"/>
  <c r="X32" i="91"/>
  <c r="Y32" i="91"/>
  <c r="Z32" i="91"/>
  <c r="V33" i="91"/>
  <c r="W33" i="91"/>
  <c r="X33" i="91"/>
  <c r="Y33" i="91"/>
  <c r="Z33" i="91"/>
  <c r="V34" i="91"/>
  <c r="W34" i="91"/>
  <c r="X34" i="91"/>
  <c r="Y34" i="91"/>
  <c r="Z34" i="91"/>
  <c r="V37" i="91"/>
  <c r="V48" i="91" s="1"/>
  <c r="X37" i="91"/>
  <c r="Y37" i="91"/>
  <c r="Z37" i="91"/>
  <c r="V38" i="91"/>
  <c r="W38" i="91"/>
  <c r="X38" i="91"/>
  <c r="Y38" i="91"/>
  <c r="Z38" i="91"/>
  <c r="V39" i="91"/>
  <c r="W39" i="91"/>
  <c r="X39" i="91"/>
  <c r="Y39" i="91"/>
  <c r="Y48" i="91" s="1"/>
  <c r="Z39" i="91"/>
  <c r="Z48" i="91" s="1"/>
  <c r="V40" i="91"/>
  <c r="W40" i="91"/>
  <c r="N40" i="91"/>
  <c r="X40" i="91"/>
  <c r="Y40" i="91"/>
  <c r="Z40" i="91"/>
  <c r="V41" i="91"/>
  <c r="W41" i="91"/>
  <c r="X41" i="91"/>
  <c r="Y41" i="91"/>
  <c r="Z41" i="91"/>
  <c r="V43" i="91"/>
  <c r="W43" i="91"/>
  <c r="X43" i="91"/>
  <c r="Y43" i="91"/>
  <c r="Z43" i="91"/>
  <c r="N43" i="54"/>
  <c r="N44" i="54"/>
  <c r="N45" i="54"/>
  <c r="N46" i="54"/>
  <c r="N47" i="54"/>
  <c r="N48" i="54"/>
  <c r="N49" i="54"/>
  <c r="N50" i="54"/>
  <c r="N51" i="54"/>
  <c r="N52" i="54"/>
  <c r="N53" i="54"/>
  <c r="N54" i="54"/>
  <c r="N55" i="54"/>
  <c r="N56" i="54"/>
  <c r="N58" i="54"/>
  <c r="N59" i="54"/>
  <c r="N60" i="54"/>
  <c r="N61" i="54"/>
  <c r="N62" i="54"/>
  <c r="N63" i="54"/>
  <c r="N65" i="54"/>
  <c r="N20" i="53"/>
  <c r="N75" i="53"/>
  <c r="N21" i="53"/>
  <c r="N15" i="53"/>
  <c r="N76" i="53"/>
  <c r="M38" i="53"/>
  <c r="N18" i="53"/>
  <c r="N11" i="53"/>
  <c r="N74" i="53"/>
  <c r="N13" i="53"/>
  <c r="N22" i="53"/>
  <c r="N16" i="53"/>
  <c r="N12" i="53"/>
  <c r="M37" i="53"/>
  <c r="N77" i="53"/>
  <c r="Y78" i="53"/>
  <c r="X78" i="53"/>
  <c r="K23" i="53"/>
  <c r="L78" i="53"/>
  <c r="U78" i="53"/>
  <c r="N66" i="54"/>
  <c r="Z78" i="53"/>
  <c r="K78" i="53"/>
  <c r="L43" i="53"/>
  <c r="K43" i="53"/>
  <c r="V50" i="91"/>
  <c r="W50" i="91"/>
  <c r="X50" i="91"/>
  <c r="Y50" i="91"/>
  <c r="Z50" i="91"/>
  <c r="V51" i="91"/>
  <c r="W51" i="91"/>
  <c r="N51" i="91"/>
  <c r="X51" i="91"/>
  <c r="Y51" i="91"/>
  <c r="Z51" i="91"/>
  <c r="V52" i="91"/>
  <c r="X52" i="91"/>
  <c r="Y52" i="91"/>
  <c r="Z52" i="91"/>
  <c r="V53" i="91"/>
  <c r="W53" i="91"/>
  <c r="X53" i="91"/>
  <c r="Y53" i="91"/>
  <c r="Z53" i="91"/>
  <c r="V54" i="91"/>
  <c r="W54" i="91"/>
  <c r="X54" i="91"/>
  <c r="Y54" i="91"/>
  <c r="Z54" i="91"/>
  <c r="V55" i="91"/>
  <c r="W55" i="91"/>
  <c r="X55" i="91"/>
  <c r="Y55" i="91"/>
  <c r="Z55" i="91"/>
  <c r="Z56" i="91"/>
  <c r="V58" i="91"/>
  <c r="W58" i="91"/>
  <c r="X58" i="91"/>
  <c r="N58" i="91" s="1"/>
  <c r="Y58" i="91"/>
  <c r="Z58" i="91"/>
  <c r="Z80" i="91" s="1"/>
  <c r="V60" i="91"/>
  <c r="W60" i="91"/>
  <c r="X60" i="91"/>
  <c r="Y60" i="91"/>
  <c r="Z60" i="91"/>
  <c r="V70" i="91"/>
  <c r="W70" i="91"/>
  <c r="X70" i="91"/>
  <c r="N70" i="91" s="1"/>
  <c r="Y70" i="91"/>
  <c r="Z70" i="91"/>
  <c r="V72" i="91"/>
  <c r="W72" i="91"/>
  <c r="X72" i="91"/>
  <c r="Y72" i="91"/>
  <c r="Z72" i="91"/>
  <c r="M59" i="53"/>
  <c r="N16" i="56"/>
  <c r="N17" i="56"/>
  <c r="N18" i="56"/>
  <c r="L70" i="53"/>
  <c r="L80" i="53"/>
  <c r="N13" i="56"/>
  <c r="N14" i="56"/>
  <c r="K70" i="53"/>
  <c r="P42" i="54"/>
  <c r="Q42" i="54"/>
  <c r="R42" i="54"/>
  <c r="S42" i="54"/>
  <c r="T42" i="54"/>
  <c r="U42" i="54"/>
  <c r="V42" i="54"/>
  <c r="K71" i="53"/>
  <c r="L71" i="53"/>
  <c r="K72" i="53"/>
  <c r="K82" i="91"/>
  <c r="L72" i="53"/>
  <c r="L82" i="91"/>
  <c r="L19" i="56"/>
  <c r="K19" i="56"/>
  <c r="L15" i="55"/>
  <c r="L23" i="55"/>
  <c r="K23" i="55"/>
  <c r="K75" i="54"/>
  <c r="L66" i="54"/>
  <c r="K66" i="54"/>
  <c r="L42" i="54"/>
  <c r="K42" i="54"/>
  <c r="X19" i="56"/>
  <c r="Y19" i="56"/>
  <c r="W19" i="56"/>
  <c r="L25" i="54"/>
  <c r="K25" i="54"/>
  <c r="N71" i="54"/>
  <c r="N72" i="54"/>
  <c r="N73" i="54"/>
  <c r="N74" i="54"/>
  <c r="N27" i="54"/>
  <c r="N28" i="54"/>
  <c r="N29" i="54"/>
  <c r="N30" i="54"/>
  <c r="N31" i="54"/>
  <c r="N32" i="54"/>
  <c r="N33" i="54"/>
  <c r="N34" i="54"/>
  <c r="N35" i="54"/>
  <c r="N36" i="54"/>
  <c r="N37" i="54"/>
  <c r="N38" i="54"/>
  <c r="N39" i="54"/>
  <c r="N40" i="54"/>
  <c r="N41" i="54"/>
  <c r="N13" i="54"/>
  <c r="N14" i="54"/>
  <c r="N15" i="54"/>
  <c r="N16" i="54"/>
  <c r="N17" i="54"/>
  <c r="N20" i="54"/>
  <c r="N22" i="54"/>
  <c r="N23" i="54"/>
  <c r="N24" i="54"/>
  <c r="N49" i="53"/>
  <c r="N25" i="53"/>
  <c r="N67" i="54"/>
  <c r="N69" i="54"/>
  <c r="N26" i="54"/>
  <c r="J14" i="56"/>
  <c r="K14" i="56"/>
  <c r="L14" i="56"/>
  <c r="M14" i="56"/>
  <c r="X14" i="56"/>
  <c r="Y14" i="56"/>
  <c r="Z14" i="56"/>
  <c r="N12" i="54"/>
  <c r="N15" i="56"/>
  <c r="N19" i="56"/>
  <c r="J25" i="54"/>
  <c r="J42" i="54"/>
  <c r="J66" i="54"/>
  <c r="J75" i="54"/>
  <c r="K69" i="54"/>
  <c r="K77" i="54"/>
  <c r="L69" i="54"/>
  <c r="O69" i="54"/>
  <c r="O77" i="54"/>
  <c r="P69" i="54"/>
  <c r="X77" i="54"/>
  <c r="Z77" i="54"/>
  <c r="N70" i="54"/>
  <c r="J34" i="90"/>
  <c r="O34" i="90"/>
  <c r="P34" i="90"/>
  <c r="Q34" i="90"/>
  <c r="R34" i="90"/>
  <c r="S34" i="90"/>
  <c r="T34" i="90"/>
  <c r="U34" i="90"/>
  <c r="V34" i="90"/>
  <c r="W34" i="90"/>
  <c r="X34" i="90"/>
  <c r="Y34" i="90"/>
  <c r="Z34" i="90"/>
  <c r="P75" i="54"/>
  <c r="P66" i="54"/>
  <c r="K12" i="56"/>
  <c r="K21" i="56"/>
  <c r="L12" i="56"/>
  <c r="M19" i="56"/>
  <c r="M12" i="56"/>
  <c r="N12" i="56"/>
  <c r="O19" i="56"/>
  <c r="O12" i="56"/>
  <c r="P12" i="56"/>
  <c r="P19" i="56"/>
  <c r="P21" i="56"/>
  <c r="Q12" i="56"/>
  <c r="Q19" i="56"/>
  <c r="R12" i="56"/>
  <c r="R21" i="56"/>
  <c r="S12" i="56"/>
  <c r="S21" i="56"/>
  <c r="T12" i="56"/>
  <c r="T21" i="56"/>
  <c r="U19" i="56"/>
  <c r="U12" i="56"/>
  <c r="U21" i="56"/>
  <c r="V19" i="56"/>
  <c r="V12" i="56"/>
  <c r="W12" i="56"/>
  <c r="W21" i="56"/>
  <c r="X12" i="56"/>
  <c r="Y12" i="56"/>
  <c r="Y21" i="56"/>
  <c r="Z12" i="56"/>
  <c r="J19" i="56"/>
  <c r="J12" i="56"/>
  <c r="K25" i="55"/>
  <c r="K15" i="55"/>
  <c r="K12" i="55"/>
  <c r="L25" i="55"/>
  <c r="L12" i="55"/>
  <c r="M12" i="55"/>
  <c r="M27" i="55"/>
  <c r="O12" i="55"/>
  <c r="O27" i="55"/>
  <c r="P12" i="55"/>
  <c r="Q12" i="55"/>
  <c r="Q27" i="55"/>
  <c r="R12" i="55"/>
  <c r="R27" i="55"/>
  <c r="S12" i="55"/>
  <c r="S27" i="55"/>
  <c r="T12" i="55"/>
  <c r="T27" i="55"/>
  <c r="U12" i="55"/>
  <c r="U27" i="55"/>
  <c r="V12" i="55"/>
  <c r="V27" i="55"/>
  <c r="W12" i="55"/>
  <c r="W27" i="55"/>
  <c r="X12" i="55"/>
  <c r="X27" i="55"/>
  <c r="Y12" i="55"/>
  <c r="Y27" i="55"/>
  <c r="Z27" i="55"/>
  <c r="J25" i="55"/>
  <c r="J23" i="55"/>
  <c r="J15" i="55"/>
  <c r="J12" i="55"/>
  <c r="L75" i="54"/>
  <c r="Q77" i="54"/>
  <c r="R77" i="54"/>
  <c r="S77" i="54"/>
  <c r="T77" i="54"/>
  <c r="U77" i="54"/>
  <c r="V77" i="54"/>
  <c r="W77" i="54"/>
  <c r="V21" i="56"/>
  <c r="X21" i="56"/>
  <c r="J21" i="56"/>
  <c r="N63" i="53"/>
  <c r="Q21" i="56"/>
  <c r="N21" i="56"/>
  <c r="N35" i="53"/>
  <c r="N28" i="53"/>
  <c r="N64" i="53"/>
  <c r="N60" i="53"/>
  <c r="N56" i="53"/>
  <c r="N51" i="53"/>
  <c r="N47" i="53"/>
  <c r="N34" i="53"/>
  <c r="N69" i="53"/>
  <c r="N55" i="53"/>
  <c r="N46" i="53"/>
  <c r="L27" i="55"/>
  <c r="O21" i="56"/>
  <c r="N30" i="53"/>
  <c r="N26" i="53"/>
  <c r="N68" i="53"/>
  <c r="N62" i="53"/>
  <c r="N58" i="53"/>
  <c r="N53" i="53"/>
  <c r="N45" i="53"/>
  <c r="N32" i="53"/>
  <c r="N38" i="53"/>
  <c r="N31" i="53"/>
  <c r="N27" i="53"/>
  <c r="N59" i="53"/>
  <c r="N37" i="53"/>
  <c r="Z21" i="56"/>
  <c r="L21" i="56"/>
  <c r="N36" i="53"/>
  <c r="N29" i="53"/>
  <c r="N65" i="53"/>
  <c r="N61" i="53"/>
  <c r="N57" i="53"/>
  <c r="N52" i="53"/>
  <c r="N48" i="53"/>
  <c r="N44" i="53"/>
  <c r="N33" i="53"/>
  <c r="P77" i="54"/>
  <c r="J73" i="53"/>
  <c r="J27" i="55"/>
  <c r="L77" i="54"/>
  <c r="K27" i="55"/>
  <c r="J43" i="53"/>
  <c r="J80" i="53"/>
  <c r="J93" i="91"/>
  <c r="J77" i="54"/>
  <c r="N75" i="54"/>
  <c r="N42" i="54"/>
  <c r="P27" i="55"/>
  <c r="N18" i="54"/>
  <c r="M21" i="56"/>
  <c r="N25" i="54"/>
  <c r="N77" i="54"/>
  <c r="K26" i="110"/>
  <c r="M77" i="53"/>
  <c r="N78" i="53"/>
  <c r="L38" i="90"/>
  <c r="Y38" i="90"/>
  <c r="X38" i="90"/>
  <c r="K38" i="90"/>
  <c r="N24" i="90"/>
  <c r="Z87" i="91"/>
  <c r="K73" i="53"/>
  <c r="P78" i="53"/>
  <c r="O76" i="53"/>
  <c r="AA78" i="53"/>
  <c r="L81" i="91"/>
  <c r="L83" i="91"/>
  <c r="L73" i="53"/>
  <c r="N71" i="53"/>
  <c r="N72" i="53"/>
  <c r="Z84" i="91"/>
  <c r="Z88" i="91"/>
  <c r="K81" i="91"/>
  <c r="N43" i="53"/>
  <c r="O75" i="53"/>
  <c r="M75" i="53"/>
  <c r="M25" i="53"/>
  <c r="J24" i="109"/>
  <c r="J97" i="91"/>
  <c r="J99" i="91" s="1"/>
  <c r="M32" i="90"/>
  <c r="J38" i="90"/>
  <c r="J95" i="91"/>
  <c r="Z38" i="90"/>
  <c r="M74" i="53"/>
  <c r="Z80" i="53"/>
  <c r="N73" i="53"/>
  <c r="N70" i="53"/>
  <c r="P80" i="53"/>
  <c r="K83" i="91"/>
  <c r="J88" i="91"/>
  <c r="M32" i="91"/>
  <c r="M70" i="91"/>
  <c r="M55" i="91"/>
  <c r="M43" i="91"/>
  <c r="M57" i="91"/>
  <c r="N84" i="91"/>
  <c r="M58" i="91"/>
  <c r="M67" i="91"/>
  <c r="M63" i="91"/>
  <c r="M52" i="91"/>
  <c r="M33" i="91"/>
  <c r="N63" i="91"/>
  <c r="L88" i="91"/>
  <c r="M14" i="91"/>
  <c r="M27" i="91" s="1"/>
  <c r="R80" i="53"/>
  <c r="S80" i="53"/>
  <c r="V83" i="91"/>
  <c r="M33" i="53"/>
  <c r="M49" i="91"/>
  <c r="K80" i="53"/>
  <c r="M88" i="91"/>
  <c r="T88" i="91"/>
  <c r="O27" i="91"/>
  <c r="N65" i="91"/>
  <c r="L48" i="91"/>
  <c r="Y80" i="91"/>
  <c r="V88" i="91"/>
  <c r="S88" i="91"/>
  <c r="O88" i="91"/>
  <c r="M82" i="91"/>
  <c r="M83" i="91"/>
  <c r="R27" i="91"/>
  <c r="N22" i="91"/>
  <c r="N15" i="91"/>
  <c r="T48" i="91"/>
  <c r="N87" i="91"/>
  <c r="M81" i="91"/>
  <c r="P88" i="91"/>
  <c r="S27" i="91"/>
  <c r="Y88" i="91"/>
  <c r="R88" i="91"/>
  <c r="L80" i="91"/>
  <c r="Q27" i="91"/>
  <c r="N18" i="91"/>
  <c r="N69" i="91"/>
  <c r="Q80" i="91"/>
  <c r="J26" i="110"/>
  <c r="J98" i="91"/>
  <c r="P26" i="110"/>
  <c r="T26" i="110"/>
  <c r="L26" i="110"/>
  <c r="M59" i="91"/>
  <c r="N16" i="110"/>
  <c r="M56" i="91"/>
  <c r="K80" i="91"/>
  <c r="R80" i="91"/>
  <c r="N45" i="91"/>
  <c r="M21" i="110"/>
  <c r="M22" i="110"/>
  <c r="N46" i="91"/>
  <c r="N41" i="91"/>
  <c r="N29" i="91"/>
  <c r="N42" i="91"/>
  <c r="N30" i="91"/>
  <c r="N33" i="91"/>
  <c r="N44" i="91"/>
  <c r="M22" i="53"/>
  <c r="W26" i="110"/>
  <c r="N64" i="91"/>
  <c r="N82" i="91"/>
  <c r="N83" i="91" s="1"/>
  <c r="N57" i="91"/>
  <c r="U83" i="91"/>
  <c r="V27" i="91"/>
  <c r="N24" i="91"/>
  <c r="N56" i="91"/>
  <c r="N28" i="91"/>
  <c r="V80" i="91"/>
  <c r="U38" i="90"/>
  <c r="U27" i="91"/>
  <c r="N19" i="91"/>
  <c r="N21" i="91"/>
  <c r="V80" i="53"/>
  <c r="N73" i="91"/>
  <c r="N53" i="91"/>
  <c r="N50" i="91"/>
  <c r="T80" i="91"/>
  <c r="N16" i="91"/>
  <c r="T27" i="91"/>
  <c r="U80" i="91"/>
  <c r="N72" i="91"/>
  <c r="N60" i="91"/>
  <c r="N43" i="91"/>
  <c r="N34" i="91"/>
  <c r="N32" i="91"/>
  <c r="N17" i="91"/>
  <c r="M79" i="91"/>
  <c r="S36" i="122"/>
  <c r="J36" i="122"/>
  <c r="J96" i="91"/>
  <c r="M36" i="122"/>
  <c r="X36" i="122"/>
  <c r="P36" i="122"/>
  <c r="T36" i="122"/>
  <c r="W36" i="122"/>
  <c r="K36" i="122"/>
  <c r="Y36" i="122"/>
  <c r="R36" i="122"/>
  <c r="Z36" i="122"/>
  <c r="M68" i="53"/>
  <c r="N55" i="91"/>
  <c r="M20" i="53"/>
  <c r="N79" i="91"/>
  <c r="N23" i="53"/>
  <c r="N80" i="53"/>
  <c r="M18" i="91"/>
  <c r="N54" i="91"/>
  <c r="N38" i="91"/>
  <c r="N71" i="91"/>
  <c r="M23" i="91"/>
  <c r="M19" i="91"/>
  <c r="L27" i="91"/>
  <c r="K27" i="91"/>
  <c r="M25" i="91"/>
  <c r="M21" i="91"/>
  <c r="M15" i="53"/>
  <c r="T38" i="90"/>
  <c r="N25" i="91"/>
  <c r="U80" i="53"/>
  <c r="M24" i="53"/>
  <c r="T80" i="53"/>
  <c r="N20" i="110"/>
  <c r="N26" i="110"/>
  <c r="N21" i="122"/>
  <c r="N36" i="122" s="1"/>
  <c r="W38" i="90"/>
  <c r="W27" i="91"/>
  <c r="W83" i="91"/>
  <c r="N68" i="91"/>
  <c r="W80" i="91"/>
  <c r="N75" i="91"/>
  <c r="N67" i="91"/>
  <c r="N80" i="91" l="1"/>
  <c r="M80" i="91"/>
  <c r="J90" i="91"/>
  <c r="K90" i="91"/>
  <c r="X80" i="91"/>
  <c r="M39" i="91"/>
  <c r="M48" i="91" s="1"/>
  <c r="M90" i="91" s="1"/>
  <c r="N37" i="91"/>
  <c r="N48" i="91"/>
  <c r="M24" i="109"/>
  <c r="X48" i="91"/>
  <c r="L90" i="91"/>
  <c r="M37" i="91"/>
  <c r="W88" i="91"/>
  <c r="AF41" i="132"/>
  <c r="AA61" i="132"/>
  <c r="S61" i="132"/>
  <c r="AF25" i="132"/>
  <c r="AF23" i="132"/>
  <c r="W61" i="132"/>
  <c r="AF7" i="132"/>
  <c r="O78" i="53"/>
  <c r="Q90" i="91"/>
  <c r="O70" i="53"/>
  <c r="O80" i="53" s="1"/>
  <c r="X80" i="53"/>
  <c r="N38" i="90"/>
  <c r="M43" i="53"/>
  <c r="U90" i="91"/>
  <c r="P90" i="91"/>
  <c r="Z90" i="91"/>
  <c r="Y90" i="91"/>
  <c r="V90" i="91"/>
  <c r="T90" i="91"/>
  <c r="R90" i="91"/>
  <c r="O90" i="91"/>
  <c r="S90" i="91"/>
  <c r="W90" i="91"/>
  <c r="O23" i="53"/>
  <c r="M20" i="110"/>
  <c r="M26" i="110" s="1"/>
  <c r="O20" i="110"/>
  <c r="O26" i="110" s="1"/>
  <c r="X88" i="91"/>
  <c r="M76" i="53"/>
  <c r="M78" i="53" s="1"/>
  <c r="O73" i="53"/>
  <c r="Y80" i="53"/>
  <c r="M70" i="53"/>
  <c r="N90" i="91" l="1"/>
  <c r="X90" i="91"/>
  <c r="AF62" i="132"/>
  <c r="M80" i="53"/>
</calcChain>
</file>

<file path=xl/comments1.xml><?xml version="1.0" encoding="utf-8"?>
<comments xmlns="http://schemas.openxmlformats.org/spreadsheetml/2006/main">
  <authors>
    <author>SOPORTE IAJ</author>
  </authors>
  <commentList>
    <comment ref="I25" authorId="0">
      <text>
        <r>
          <rPr>
            <b/>
            <sz val="9"/>
            <color indexed="81"/>
            <rFont val="Tahoma"/>
            <family val="2"/>
          </rPr>
          <t>SOPORTE IAJ:</t>
        </r>
        <r>
          <rPr>
            <sz val="9"/>
            <color indexed="81"/>
            <rFont val="Tahoma"/>
            <family val="2"/>
          </rPr>
          <t xml:space="preserve">
Transferir suficiente recurso para compra de material para impresión de Credenciales</t>
        </r>
      </text>
    </comment>
  </commentList>
</comments>
</file>

<file path=xl/sharedStrings.xml><?xml version="1.0" encoding="utf-8"?>
<sst xmlns="http://schemas.openxmlformats.org/spreadsheetml/2006/main" count="2599" uniqueCount="476">
  <si>
    <t>PARTIDA</t>
  </si>
  <si>
    <t>DESCRIPCIÓN</t>
  </si>
  <si>
    <t>TOTAL CAPÍTULO 1000</t>
  </si>
  <si>
    <t>TOTAL CAPÍTULO 2000</t>
  </si>
  <si>
    <t>TOTAL CAPÍTULO 3000</t>
  </si>
  <si>
    <t>TOTAL CAPÍTULO 4000</t>
  </si>
  <si>
    <t>TOTAL CAPÍTULO 5000</t>
  </si>
  <si>
    <t>SUMAS</t>
  </si>
  <si>
    <t>Enero</t>
  </si>
  <si>
    <t>Febrero</t>
  </si>
  <si>
    <t>Marzo</t>
  </si>
  <si>
    <t>UP</t>
  </si>
  <si>
    <t>ORG</t>
  </si>
  <si>
    <t>PG</t>
  </si>
  <si>
    <t>SUB PG</t>
  </si>
  <si>
    <t>UEG</t>
  </si>
  <si>
    <t>ASIGNACIÓN MODIFICADA</t>
  </si>
  <si>
    <t>07</t>
  </si>
  <si>
    <t>02</t>
  </si>
  <si>
    <t>09</t>
  </si>
  <si>
    <t xml:space="preserve">    AVANCE ACUMULADO POR CLAVE PRESUPUESTAL MENSUAL</t>
  </si>
  <si>
    <t>ORGANISMO:</t>
  </si>
  <si>
    <t xml:space="preserve">PARTIDA: </t>
  </si>
  <si>
    <t>UNIDAD EJECUTORA DE GASTO:</t>
  </si>
  <si>
    <t>PY/PC</t>
  </si>
  <si>
    <t>DEST</t>
  </si>
  <si>
    <t>ASIGNACIÓN
INICIAL</t>
  </si>
  <si>
    <t>ADECUACIÓN</t>
  </si>
  <si>
    <t>EGRESO</t>
  </si>
  <si>
    <t>EGRESO MENSUAL</t>
  </si>
  <si>
    <t>ORIGEN</t>
  </si>
  <si>
    <t>DESTINO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</si>
  <si>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</si>
  <si>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</si>
  <si>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</si>
  <si>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</si>
  <si>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</si>
  <si>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</si>
  <si>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</si>
  <si>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</si>
  <si>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</si>
  <si>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00180</t>
  </si>
  <si>
    <t>05</t>
  </si>
  <si>
    <t>001</t>
  </si>
  <si>
    <t>INSTITUTO DE LA ARTESANÍA JALISCIENSE</t>
  </si>
  <si>
    <t>PROYECTO / PROCESO</t>
  </si>
  <si>
    <t>DIRECCIÓN Y ADMINISTRACIÓN DEL INSTITUTO</t>
  </si>
  <si>
    <t>IDENTIFICACIÓN SUSTENTABLE Y DESARROLLO INTEGRAL DEL SECTOR ARTESANAL EN EL ESTADO</t>
  </si>
  <si>
    <t>002</t>
  </si>
  <si>
    <t>003</t>
  </si>
  <si>
    <t>NATURALEZA DEL RECURSO:</t>
  </si>
  <si>
    <t xml:space="preserve">NATURALEZA DEL RECURSO: </t>
  </si>
  <si>
    <t>ESTATAL</t>
  </si>
  <si>
    <t xml:space="preserve"> ESTATAL</t>
  </si>
  <si>
    <t>PROMOCIÓN, EXHIBICIÓN Y COMERCIALIZACIÓN DEL SECTOR ARTESANAL</t>
  </si>
  <si>
    <t>Material de limpieza</t>
  </si>
  <si>
    <t>Sueldo base</t>
  </si>
  <si>
    <t>Prima vacacional y dominical</t>
  </si>
  <si>
    <t>Aguinaldo</t>
  </si>
  <si>
    <t>Cuotas a pensiones</t>
  </si>
  <si>
    <t>Cuotas para el sistema de ahorro para el retiro</t>
  </si>
  <si>
    <t>Otros productos de materia prima</t>
  </si>
  <si>
    <t>Combustibles</t>
  </si>
  <si>
    <t>Vestuarios y uniformes</t>
  </si>
  <si>
    <t>Servicio postal</t>
  </si>
  <si>
    <t>Servicio de agua potable</t>
  </si>
  <si>
    <t>Arrendamiento de edificios y locales</t>
  </si>
  <si>
    <t>Arrendamiento de mobiliario y equipo</t>
  </si>
  <si>
    <t>Servicios legales de contabilidad , auditoria</t>
  </si>
  <si>
    <t>Seguros de bienes patrimoniales</t>
  </si>
  <si>
    <t>Impuestos y derechos</t>
  </si>
  <si>
    <t>Pasajes terrestres</t>
  </si>
  <si>
    <t>Congresos y convenciones</t>
  </si>
  <si>
    <t>Materiales, útiles  y equipos de oficina</t>
  </si>
  <si>
    <t>Materiales, útiles  y equipos menores tec</t>
  </si>
  <si>
    <t>Alimentación para servidores públicos estatales</t>
  </si>
  <si>
    <t>Material eléctrico y electrónico</t>
  </si>
  <si>
    <t>Otros materiales de construcción y reparación</t>
  </si>
  <si>
    <t>Prendas de seguridad y protección</t>
  </si>
  <si>
    <t>Servicio de energía eléctrica</t>
  </si>
  <si>
    <t>Telefonía tradicional</t>
  </si>
  <si>
    <t>Capacitación institucional</t>
  </si>
  <si>
    <t>Capacitación especializada</t>
  </si>
  <si>
    <t>Impresión de papelería oficial</t>
  </si>
  <si>
    <t>Conservación y mantenimiento menor de inmuebles</t>
  </si>
  <si>
    <t>Servicios de jardinería y fumigación</t>
  </si>
  <si>
    <t>Difusión por radio , tv y otros medios</t>
  </si>
  <si>
    <t>Pasajes aéreos</t>
  </si>
  <si>
    <t>Viáticos en el país</t>
  </si>
  <si>
    <t>Aportación para erogaciones contingentes</t>
  </si>
  <si>
    <t>Muebles de oficina y estantería</t>
  </si>
  <si>
    <t>Equipo de comunicación y telecomunicación</t>
  </si>
  <si>
    <t>Aportación a la promoción , cultura y artes</t>
  </si>
  <si>
    <t>Mercancías para su comercialización</t>
  </si>
  <si>
    <t>Servicios financieros y bancarios</t>
  </si>
  <si>
    <t>Comisiones por ventas</t>
  </si>
  <si>
    <t>INGRESOS PROPIOS</t>
  </si>
  <si>
    <t>Materiales y útiles de enseñanza</t>
  </si>
  <si>
    <t>Servicio de acceso a Internet ,redes y p</t>
  </si>
  <si>
    <t>Aportación a la promoción, cultura y artes</t>
  </si>
  <si>
    <t>TRIMESTRE QUE REPORTA</t>
  </si>
  <si>
    <t>Mercancías adquiridas para su comercialización</t>
  </si>
  <si>
    <t>Reparación y mantenimiento de equipo de transporte</t>
  </si>
  <si>
    <t>Indemnizaciones por separación</t>
  </si>
  <si>
    <t>Vidrio y productos de vidrio</t>
  </si>
  <si>
    <t>Aportaciones a fondo de vivienda</t>
  </si>
  <si>
    <t>Materiales y útiles de impresión y reproducción</t>
  </si>
  <si>
    <t>Utensilios para el servicio de alimentación</t>
  </si>
  <si>
    <t>Medicinas y productos farmacéuticos</t>
  </si>
  <si>
    <t>Telefonía celular</t>
  </si>
  <si>
    <t>Equipo de cómputo y de tecnología de la información</t>
  </si>
  <si>
    <t>Cámaras fotográficas y de video</t>
  </si>
  <si>
    <t>SUBSIDIO</t>
  </si>
  <si>
    <t>Cuotas al IMSS por enfermedad y maternidad</t>
  </si>
  <si>
    <t>Refacciones y accesorios menores  de mobiliario y equipo administrativo</t>
  </si>
  <si>
    <t>Instalación, reparación  y mantenimiento mobiliario y equipo admón.</t>
  </si>
  <si>
    <t>Instalación, reparación  y mantenimiento equipo computo y tec</t>
  </si>
  <si>
    <t xml:space="preserve">    PRESUPUESTO DE EGRESOS 2014</t>
  </si>
  <si>
    <t>Sueldos base al personal permanente</t>
  </si>
  <si>
    <t>Sueldos base al personal eventual</t>
  </si>
  <si>
    <t>Prima Vacacional</t>
  </si>
  <si>
    <t>Cuotas IMSS</t>
  </si>
  <si>
    <t>Aportaciones a fondos de vivienda</t>
  </si>
  <si>
    <t>Impacto al salario</t>
  </si>
  <si>
    <t>Ayuda despensa</t>
  </si>
  <si>
    <t>Ayuda para pasaje</t>
  </si>
  <si>
    <t>Materiales, útiles y equipos menores de oficina</t>
  </si>
  <si>
    <t>Materiales, útiles y equipos menores de tecnología</t>
  </si>
  <si>
    <t>Otros materiales y artículos de construcción y rep</t>
  </si>
  <si>
    <t>Combustibles, lubricantes y aditivos</t>
  </si>
  <si>
    <t>Vestuario y uniformes</t>
  </si>
  <si>
    <t>Prendas de seguridad y protección personal</t>
  </si>
  <si>
    <t>Refacciones y accesorios menores de mobiliario y e</t>
  </si>
  <si>
    <t xml:space="preserve"> Refacciones y accesorios menores de equipo de cómp</t>
  </si>
  <si>
    <t>Servicios legales, de contabilidad, auditoría y re</t>
  </si>
  <si>
    <t>Seguro de bienes patrimoniales</t>
  </si>
  <si>
    <t>Difusión por radio, televisión y otros medios de m</t>
  </si>
  <si>
    <t>Estimulo al día del Servidor Publico</t>
  </si>
  <si>
    <t>Servicios de acceso de Internet, redes y procesamiento</t>
  </si>
  <si>
    <t>Capacitación Institucional</t>
  </si>
  <si>
    <t>Instalación, reparación y mantenimiento de maquina</t>
  </si>
  <si>
    <t>Refacciones y accesorios menores de equipo de cómp</t>
  </si>
  <si>
    <t>Aportaciones Artesanos</t>
  </si>
  <si>
    <t>El Artesano, Corazon de Jalisco</t>
  </si>
  <si>
    <t>Expo Venta en Tijuana</t>
  </si>
  <si>
    <t>Expo Decoestylo</t>
  </si>
  <si>
    <t>JALISCO PRODUCTIVO</t>
  </si>
  <si>
    <t>APOYOS FONART</t>
  </si>
  <si>
    <t>APORTACIONES FONART</t>
  </si>
  <si>
    <t>CUARTO</t>
  </si>
  <si>
    <t>Fiestas de Octubre</t>
  </si>
  <si>
    <t>Expo Obsequio</t>
  </si>
  <si>
    <t>Aportacion Extraordinaria</t>
  </si>
  <si>
    <t xml:space="preserve"> </t>
  </si>
  <si>
    <t>Otras medidas de carácter laboral</t>
  </si>
  <si>
    <t>Productos alimenticios para personal</t>
  </si>
  <si>
    <t>Ayuda a la promocion, cultura y las artes</t>
  </si>
  <si>
    <t>Ayuda para erogaciones contingentes</t>
  </si>
  <si>
    <t>Servicio de telefonía tradicional</t>
  </si>
  <si>
    <t>Servicio de telefonía celular</t>
  </si>
  <si>
    <t>Arrendamiento de equipo y bienes informaticos</t>
  </si>
  <si>
    <t>Servicio de impresión de documentos</t>
  </si>
  <si>
    <t>Mantenimiento y conserv menor de inmuebles</t>
  </si>
  <si>
    <t>Mantenimiento y conserv de mobiliario y equipo admon</t>
  </si>
  <si>
    <t>Instalación, reparación y mantenimiento de equipo computo</t>
  </si>
  <si>
    <t>Mantenimiento y conserv de vehiculos terrestres</t>
  </si>
  <si>
    <t>Pasajes aéreos nacionales</t>
  </si>
  <si>
    <t>Pasajes terrestres nacionales</t>
  </si>
  <si>
    <t>Productos Financieros</t>
  </si>
  <si>
    <t>Combustibles,lubricantes y adi</t>
  </si>
  <si>
    <t>Otros ingresos</t>
  </si>
  <si>
    <t>suma</t>
  </si>
  <si>
    <t xml:space="preserve">Integración </t>
  </si>
  <si>
    <t>Cuotas sistema d ahorro retiro</t>
  </si>
  <si>
    <t>Subsidio del Gobierno del Estado</t>
  </si>
  <si>
    <t>Subtotal</t>
  </si>
  <si>
    <t>Formacion Artesanal</t>
  </si>
  <si>
    <t>Formalizacion Artesanal</t>
  </si>
  <si>
    <t>Estimulos a la Innovacion</t>
  </si>
  <si>
    <t>REMANENTES</t>
  </si>
  <si>
    <t>Festival del Tequila Cd Juarez</t>
  </si>
  <si>
    <t>PROGRAMAS</t>
  </si>
  <si>
    <t>agragar partida para 2018</t>
  </si>
  <si>
    <t xml:space="preserve">Sueldo base </t>
  </si>
  <si>
    <t>Cuotas para la vivienda</t>
  </si>
  <si>
    <t>Cuotas para el sistema de ahorro p. retiro</t>
  </si>
  <si>
    <t>Impacto al salario en el transcurso</t>
  </si>
  <si>
    <t>Ayuda para despensa</t>
  </si>
  <si>
    <t>Ayuda para pasajes</t>
  </si>
  <si>
    <t>Estimulo por el día del servidor público</t>
  </si>
  <si>
    <t>Viaticos en el Pais</t>
  </si>
  <si>
    <t>Laudos Laborales</t>
  </si>
  <si>
    <t>POR EJERCER</t>
  </si>
  <si>
    <t>Repar y mant maqui y otros (rep . Artesanias)</t>
  </si>
  <si>
    <t>Tlaqueparte Chihuahua</t>
  </si>
  <si>
    <t>Tlaqueparte Monterrey</t>
  </si>
  <si>
    <t>venta navideña en Chapultepec</t>
  </si>
  <si>
    <t>viaticos en el Pais</t>
  </si>
  <si>
    <t>RECURSO DE SUBSIDIO ESTATAL</t>
  </si>
  <si>
    <t xml:space="preserve">TRANSFERENCIAS ENTRE PARTIDAS </t>
  </si>
  <si>
    <t>CAPITULO 1000</t>
  </si>
  <si>
    <t xml:space="preserve">PARTIDA DE ORIGEN </t>
  </si>
  <si>
    <t>PARTIDAS DESTINO</t>
  </si>
  <si>
    <t>No. PARTIDA</t>
  </si>
  <si>
    <t>CONCEPTO</t>
  </si>
  <si>
    <t>IMPORTE</t>
  </si>
  <si>
    <t>INICIAL</t>
  </si>
  <si>
    <t>TOTAL</t>
  </si>
  <si>
    <t>CAPITULO 2000 y 3000</t>
  </si>
  <si>
    <t>CAPITULOS 2000 Y 3000</t>
  </si>
  <si>
    <t xml:space="preserve">    PRESUPUESTO DE EGRESOS 2018</t>
  </si>
  <si>
    <t>Remanente de ingresos propios 2017</t>
  </si>
  <si>
    <t>Herramientas Menores</t>
  </si>
  <si>
    <t>Refacciones y accesorios menores  de Eq. De computo</t>
  </si>
  <si>
    <t>Refacciones y accesorios menores  de Eq. De Transporte</t>
  </si>
  <si>
    <t>Pasajes aéreos Nacionales</t>
  </si>
  <si>
    <t>Pasajes aéreos Internacionales</t>
  </si>
  <si>
    <t>Pasajes Terrestres Nacionales</t>
  </si>
  <si>
    <t>Viaticos en el Extranjero</t>
  </si>
  <si>
    <t>Exposiciones</t>
  </si>
  <si>
    <t>Camaras Fotograficas y de Video</t>
  </si>
  <si>
    <t>Muebles, excepto de oficina y estanteria</t>
  </si>
  <si>
    <t>Cuotas al IMSS por enfermedad y Maternidad</t>
  </si>
  <si>
    <t>Venta de artesania</t>
  </si>
  <si>
    <t>Adecuacion  y Capacitacion Centro Hoja de Maiz.</t>
  </si>
  <si>
    <t>Pasajes Aéreos Internacionales</t>
  </si>
  <si>
    <t>Pasajes Aéreos  Nacionales</t>
  </si>
  <si>
    <t>DEPENDENCIA: SECRETARIA DE DESARROLLO ECONOMICO</t>
  </si>
  <si>
    <t>ORGANISMO: INSTITUTO DE LA ARTESANIA JALISCIENSE</t>
  </si>
  <si>
    <t>COSTO MENSUAL</t>
  </si>
  <si>
    <t>COSTO ANUAL</t>
  </si>
  <si>
    <t>COLUMNAS ADICIONALES PARA CONCEPTOS PROPIOS DEL ORGANISMO</t>
  </si>
  <si>
    <t>No. Cons</t>
  </si>
  <si>
    <t>PC</t>
  </si>
  <si>
    <t xml:space="preserve">Codigo </t>
  </si>
  <si>
    <t>NOMBRE DEL BENEFICIARIO</t>
  </si>
  <si>
    <t>R.F.C.</t>
  </si>
  <si>
    <t>F-ING</t>
  </si>
  <si>
    <t>NIVEL</t>
  </si>
  <si>
    <t>JOR</t>
  </si>
  <si>
    <t>CATEG            B=BASE                C=CONFIANZA</t>
  </si>
  <si>
    <t>CATEGORÍA</t>
  </si>
  <si>
    <t>ZONA
ECONÓMICA</t>
  </si>
  <si>
    <t>ADSCRIPCIÓN</t>
  </si>
  <si>
    <t>SOBRE
SUELDO
1101</t>
  </si>
  <si>
    <t>QUINQUENIO
1301</t>
  </si>
  <si>
    <t>TOTAL
ANUAL</t>
  </si>
  <si>
    <t>MA. NATIVIDAD IBARRA NUÑEZ</t>
  </si>
  <si>
    <t>IANN610317QC1</t>
  </si>
  <si>
    <t>C</t>
  </si>
  <si>
    <t>ASISTENTE DE DIRECCIÓN  GENERAL</t>
  </si>
  <si>
    <t>A</t>
  </si>
  <si>
    <t>DIRECCIÓN GENERAL</t>
  </si>
  <si>
    <t>KENIA GARCÍA VILLA</t>
  </si>
  <si>
    <t>GAVK821129EB9</t>
  </si>
  <si>
    <t>SECRETARIA DE DIRECCIÓN GENERAL</t>
  </si>
  <si>
    <t>MIGUEL ANGEL ASCENCIO RAMIREZ</t>
  </si>
  <si>
    <t>AERM830720NW2</t>
  </si>
  <si>
    <t>COORDINADOR DE COMUNICACIÓN SOCIAL</t>
  </si>
  <si>
    <t>ERNESTO MEZA TEJEDA</t>
  </si>
  <si>
    <t>METE780105SG3</t>
  </si>
  <si>
    <t>DIRECTOR GENERAL</t>
  </si>
  <si>
    <t>KARLA NOHEMI ZARAGOZA PADILLA</t>
  </si>
  <si>
    <t>ZAPK770614MCZ</t>
  </si>
  <si>
    <t>B</t>
  </si>
  <si>
    <t>INTENDENTE</t>
  </si>
  <si>
    <t>DIRECCIÓN ADMINISTRATIVA</t>
  </si>
  <si>
    <t>JUAN CARLOS VILLALVAZO BENÍTEZ</t>
  </si>
  <si>
    <t>VIBJ7112162K3</t>
  </si>
  <si>
    <t>ARTURO TOVAR SANDOVAL</t>
  </si>
  <si>
    <t>TOSA640219N70</t>
  </si>
  <si>
    <t>JOSE GABRIEL MORA ESPINOZA</t>
  </si>
  <si>
    <t>MOEG810324FZ3</t>
  </si>
  <si>
    <t>CARLOS ALBERTO RIVERA IBARRA</t>
  </si>
  <si>
    <t>RIIC771104247</t>
  </si>
  <si>
    <t>AUXILIAR DE MANTENIMIENTO</t>
  </si>
  <si>
    <t>JUAN PADILLA GALLARDO</t>
  </si>
  <si>
    <t>PAGJ580208</t>
  </si>
  <si>
    <t>VELADOR</t>
  </si>
  <si>
    <t>JUAN MANUEL MURGUIA DE ANDA</t>
  </si>
  <si>
    <t>MUAJ591105BUT</t>
  </si>
  <si>
    <t>MARICELA RAMOS OLIVARES</t>
  </si>
  <si>
    <t>RAOM730926RR4</t>
  </si>
  <si>
    <t>AUXILIAR CONTABLE</t>
  </si>
  <si>
    <t>MARIA ALEJANDRA RAMONA OLIVA SANCHEZ</t>
  </si>
  <si>
    <t>OISA7506165L3</t>
  </si>
  <si>
    <t>SECRETARIA  DE DIRECCIÓN ADMINISTRATIVA</t>
  </si>
  <si>
    <t>JOSE ANTONIO AVALOS CHAVEZ</t>
  </si>
  <si>
    <t>AACA8006091GA</t>
  </si>
  <si>
    <t>ADMINISTRATIVO ESPECIALIZADO CONTABILIDAD</t>
  </si>
  <si>
    <t>MARIA DE LOS ANGELES GONZALEZ CARRILLO</t>
  </si>
  <si>
    <t>GOCA7907255Z0</t>
  </si>
  <si>
    <t>TÉCNICO ESPECIALIZADO MANTENIMIENTO</t>
  </si>
  <si>
    <t>DIEGO MAXIMILIANO YERENAS ROMERO</t>
  </si>
  <si>
    <t>YERD9210053T0</t>
  </si>
  <si>
    <t>TECNICO EN INFORMATICA</t>
  </si>
  <si>
    <t>EUSTOLIA DEL CARMEN GONZALEZ GRANADOS</t>
  </si>
  <si>
    <t>GOGE810907667</t>
  </si>
  <si>
    <t>COORDINADORA   DE RECURSOS HUMANOS</t>
  </si>
  <si>
    <t>FANI NAYELI RODRIGUEZ ALVARADO</t>
  </si>
  <si>
    <t>ROAF9208288N7</t>
  </si>
  <si>
    <t>COORDINADOR FINANCIERO CONTABLE</t>
  </si>
  <si>
    <t>KARLA BERENICE SOTO MARTINEZ</t>
  </si>
  <si>
    <t>SOMK850615MUA</t>
  </si>
  <si>
    <t>COORDINADOR JURÍDICO</t>
  </si>
  <si>
    <t>JORGE ENRIQUE DE JESUS GAMERO GUZMAN</t>
  </si>
  <si>
    <t>GAGJ7706028Z4</t>
  </si>
  <si>
    <t>AUXILIAR ADMINISTRATIVO DE COMPRAS Y ALMACEN</t>
  </si>
  <si>
    <t>DIRECCION ADMINISTRATIVA</t>
  </si>
  <si>
    <t>BLANCA ESTELA LOPEZ ARVIZU</t>
  </si>
  <si>
    <t>LOAB730628GK1</t>
  </si>
  <si>
    <t>JOSE ANTONIO CASTAÑEDA LIMON</t>
  </si>
  <si>
    <t>CALA610322KY1</t>
  </si>
  <si>
    <t>COORDINADOR DE SERVICIOS GENERALES</t>
  </si>
  <si>
    <t>MARISOL DIAZ AVILA</t>
  </si>
  <si>
    <t>DIAM840722TMA</t>
  </si>
  <si>
    <t>DIRECTOR ADMINISTRATIVO</t>
  </si>
  <si>
    <t>MARGARITA BARAJAS ZENDEJAS</t>
  </si>
  <si>
    <t>BAZM770927GUA</t>
  </si>
  <si>
    <t>COORDINADORA DE INVESTIGACIÓN ARTESANAL</t>
  </si>
  <si>
    <t>DIRECCIÓN DE INESTIGACION</t>
  </si>
  <si>
    <t>JULIO CESAR MARTINEZ GARCIA</t>
  </si>
  <si>
    <t>MAGJ781018EN3</t>
  </si>
  <si>
    <t>COORDINADOR DEL CENTRO DE DISEÑO  ARTESANAL</t>
  </si>
  <si>
    <t>CAROLINA VALTIERRA SANCHEZ</t>
  </si>
  <si>
    <t>VASC890304EZ9</t>
  </si>
  <si>
    <t>DISEÑADOR</t>
  </si>
  <si>
    <t>SARAI TAPIA TELLO</t>
  </si>
  <si>
    <t>TATS8711144K9</t>
  </si>
  <si>
    <t>INVESTIGADOR</t>
  </si>
  <si>
    <t>ELISA NOEMI MACEDO MARTINEZ</t>
  </si>
  <si>
    <t>MAMX770402C7A</t>
  </si>
  <si>
    <t>DIRECTORA DE INVESTIGACION</t>
  </si>
  <si>
    <t>CAMELIA RODRÍGUEZ RODRÍGUEZ</t>
  </si>
  <si>
    <t>RORC640218QK5</t>
  </si>
  <si>
    <t>COORDINADOR DE REGISTRO ARTESANAL</t>
  </si>
  <si>
    <t>ALDO VILLA ESTRELLA</t>
  </si>
  <si>
    <t>VIEA790110HUA</t>
  </si>
  <si>
    <t>ASISTENTE   DE REGISTRO ARTESANAL</t>
  </si>
  <si>
    <t>MOHL8412137A2</t>
  </si>
  <si>
    <t>NOELIA PASILLAS GARCÍA</t>
  </si>
  <si>
    <t>PAGN6407111Q9</t>
  </si>
  <si>
    <t>MARIA CRISTINA MUÑOZ MACIEL</t>
  </si>
  <si>
    <t>MUMC481009QX8</t>
  </si>
  <si>
    <t>SECRETARIA DE DIRECCIÓN DE  DESARROLLO ARTESANAL</t>
  </si>
  <si>
    <t>DIRECCIÓN DE DESARROLLO ARTESANAL</t>
  </si>
  <si>
    <t>MICHELLE GUADALUPE POLANCO AVALOS</t>
  </si>
  <si>
    <t>POAM920807J87</t>
  </si>
  <si>
    <t>COORDINADOR DE ASOCIACIONISMO</t>
  </si>
  <si>
    <t>JULIO ALBERTO AVALOS VALLE</t>
  </si>
  <si>
    <t>COORDINADOR DE PROMOCIÓN CULTURAL</t>
  </si>
  <si>
    <t>BLANCA ESTELA FAJARDO DURAN</t>
  </si>
  <si>
    <t>FADB730911385</t>
  </si>
  <si>
    <t>DIRECTOR DE  DESARROLLO ARTESANAL</t>
  </si>
  <si>
    <t>BEATRIZ FLORIANA GARCÍA CORTES</t>
  </si>
  <si>
    <t>GACB7908189AA</t>
  </si>
  <si>
    <t>AUXILIAR DE CAPACITACIÓN ARTESANAL</t>
  </si>
  <si>
    <t>MARÍA DEL ROSARIO MATEOS NUÑO</t>
  </si>
  <si>
    <t>COORDINADOR DE CAPACITACIÓN</t>
  </si>
  <si>
    <t>GONZALO IÑIGUEZ COVARRUBIAS</t>
  </si>
  <si>
    <t>IICG470110G41</t>
  </si>
  <si>
    <t>AUXILIAR DE MUSEO</t>
  </si>
  <si>
    <t>LEONARDO  ERNESTO JIMENEZ MAGDALENO</t>
  </si>
  <si>
    <t>JIML841107GH2</t>
  </si>
  <si>
    <t xml:space="preserve">RAMIRO MIRANDA </t>
  </si>
  <si>
    <t>MIRA580328K64</t>
  </si>
  <si>
    <t>COORDINADOR DE MUSEO</t>
  </si>
  <si>
    <t>REBECA RAZO PUGA</t>
  </si>
  <si>
    <t>RAPR850203JA2</t>
  </si>
  <si>
    <t>COORDINADOR TÉCNICO FERIAS</t>
  </si>
  <si>
    <t>DIRECCIÓN COMERCIALIZACIÓN</t>
  </si>
  <si>
    <t>SANDRA GEORGINA SOLÍS MANZO</t>
  </si>
  <si>
    <t>SOMS800901LQ7</t>
  </si>
  <si>
    <t>AUXILIAR DE FERIAS Y EXPOSICIONES</t>
  </si>
  <si>
    <t>JOSE JAIME CORAL ARANA</t>
  </si>
  <si>
    <t>COAJ800709</t>
  </si>
  <si>
    <t>VENDEDOR</t>
  </si>
  <si>
    <t>DAFNE ELIZABETH JIMENEZ DE ANDA</t>
  </si>
  <si>
    <t>JIAD9512059T7</t>
  </si>
  <si>
    <t>VENDEDORA</t>
  </si>
  <si>
    <t>OFELIA ESCAREÑO DEL RÍO</t>
  </si>
  <si>
    <t>EARO700726738</t>
  </si>
  <si>
    <t>ENCARGADA DE TIENDA</t>
  </si>
  <si>
    <t xml:space="preserve">DAVID JARERO CAMPECHANO </t>
  </si>
  <si>
    <t>JACD7602289B4</t>
  </si>
  <si>
    <t>ATALIA OROZCO QUINTERO</t>
  </si>
  <si>
    <t>OOQA900429HP0</t>
  </si>
  <si>
    <t>JERÓNIMO SÁNCHEZ GARCÍA</t>
  </si>
  <si>
    <t>SAGJ680720SV4</t>
  </si>
  <si>
    <t>0101/2000</t>
  </si>
  <si>
    <t>COORDINADOR DE PROMOCIÓN, COMERCIALIZACIÓN Y EXPOSICIONES</t>
  </si>
  <si>
    <t>HERMELINDA MENDOZA CONTRERAS</t>
  </si>
  <si>
    <t>MECH7805305X1</t>
  </si>
  <si>
    <t>TÉCNICO ESPECIALIZADO  DE COMERCIALIZACIÓN</t>
  </si>
  <si>
    <t>ABNER SIFUENTES GONZÁLEZ</t>
  </si>
  <si>
    <t>SIGA730517CY8</t>
  </si>
  <si>
    <t>CHOFER ESPECIALIZADO</t>
  </si>
  <si>
    <t>LUCIO RENE CARRILLO NUÑO</t>
  </si>
  <si>
    <t>CANL5107275L6</t>
  </si>
  <si>
    <t>DIRECTOR DE COMERCIALIZACIÓN</t>
  </si>
  <si>
    <t>TOTAL DE PLAZAS</t>
  </si>
  <si>
    <t>ACUMULADO</t>
  </si>
  <si>
    <t>Seguros de Bienes Patrimoniales</t>
  </si>
  <si>
    <t>DISTRIBUCION DEL GASTO REMANENTE 2017</t>
  </si>
  <si>
    <t>AMPLIACION  AL PRESUPUESTO INICIAL 2018</t>
  </si>
  <si>
    <t>PRESPUESTO DE EGRESOS INICIAL</t>
  </si>
  <si>
    <t>(+)</t>
  </si>
  <si>
    <t>AMPLIACION AL PRESUPUESTO</t>
  </si>
  <si>
    <t>(=)</t>
  </si>
  <si>
    <t>PRESUPUESTO MOFIDICADO</t>
  </si>
  <si>
    <t>CAPITULO</t>
  </si>
  <si>
    <t xml:space="preserve">NOMBRE </t>
  </si>
  <si>
    <t>PRESUPUESTO INICIAL</t>
  </si>
  <si>
    <t>PRESUPUESTO MODIFICADO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</si>
  <si>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</si>
  <si>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</si>
  <si>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</si>
  <si>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</si>
  <si>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</si>
  <si>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Laudos</t>
  </si>
  <si>
    <t>Cuotas SEDAR</t>
  </si>
  <si>
    <t>PRESUPUESTO DE EGRESOS 2018</t>
  </si>
  <si>
    <t>Impacto al Salario</t>
  </si>
  <si>
    <t xml:space="preserve">Sueldo Base al Personal Permanente </t>
  </si>
  <si>
    <t>Aportacion a la Vivienda</t>
  </si>
  <si>
    <t>Cuotas a Pensiones</t>
  </si>
  <si>
    <t>Otras Medidas de Carácter Laboral</t>
  </si>
  <si>
    <t>Estimulo Servidor Publico</t>
  </si>
  <si>
    <t>PLANTILLA 2018</t>
  </si>
  <si>
    <t>SUELDO
1131</t>
  </si>
  <si>
    <t>SUMA 
1131</t>
  </si>
  <si>
    <t>PRIMA
VACACIONAL
1321</t>
  </si>
  <si>
    <t>AGUINALDO
1322</t>
  </si>
  <si>
    <t>ESTIMULO AL SERVIDOR PÚBLICO         1715</t>
  </si>
  <si>
    <t>CUOTAS A
PENSIONES
1431</t>
  </si>
  <si>
    <t>CUOTAS PARA
LA VIVIENDA
1421</t>
  </si>
  <si>
    <t>CUOTAS 
AL IMSS
1411</t>
  </si>
  <si>
    <t>CUOTAS
AL SEDAR.
1432</t>
  </si>
  <si>
    <t>DESPENSA
1712</t>
  </si>
  <si>
    <t>PASAJES
1713</t>
  </si>
  <si>
    <t>IMPACTO AL
SALARIO
1611</t>
  </si>
  <si>
    <t>IMPUESTO A AGUINALDO   1612</t>
  </si>
  <si>
    <t>LUCIA MARISELA MORALES HERNANDEZ</t>
  </si>
  <si>
    <t>JONATHAN JOSUE G VALDIVIA AGUILAR</t>
  </si>
  <si>
    <t>GAJO810922KU6</t>
  </si>
  <si>
    <t>FERIAS</t>
  </si>
  <si>
    <t>Expo Artesanal Tijuana 2018</t>
  </si>
  <si>
    <t>Festival del Tequila y del Mariachi</t>
  </si>
  <si>
    <t>Tlaqueparte Chihuahua 2018</t>
  </si>
  <si>
    <t>Tlaqueparte Monterrey 2018</t>
  </si>
  <si>
    <t>Expo Venta Artesanal 2018</t>
  </si>
  <si>
    <t>TOTAL JALISCO COMPETITIVO</t>
  </si>
  <si>
    <t>REMANENTE 2017</t>
  </si>
  <si>
    <t>SUBSIDIO ESTATAL</t>
  </si>
  <si>
    <t>DEPOSITO SEPAF SUBSIDIO 2017</t>
  </si>
  <si>
    <t>AMPLIACION AL PRESUPUESTO 2018</t>
  </si>
  <si>
    <t>MONTO ORIGINAL</t>
  </si>
  <si>
    <t>Servicio de Energia Electrica</t>
  </si>
  <si>
    <t>Material Electrico y Electronico</t>
  </si>
  <si>
    <t>Servicios profesionales, científicos y técnicos</t>
  </si>
  <si>
    <t>Conservacion y mantenimiento menor de inmuebles</t>
  </si>
  <si>
    <t>Refacciones y Accesorios menores de eq. De Transporte</t>
  </si>
  <si>
    <t>Servicios Legales de Contabilidad y Auditoria</t>
  </si>
  <si>
    <t>Capacitacion Especializada</t>
  </si>
  <si>
    <t>Servicios Profesionales Cientificos y Tecnicos</t>
  </si>
  <si>
    <t>Reparacion y Mantenimiento de equipo de Transporte</t>
  </si>
  <si>
    <t>Servicios Profesionales, Cientificos y Tecnicos</t>
  </si>
  <si>
    <t>VACANTE</t>
  </si>
  <si>
    <t>PROMOTOR COMERCIAL</t>
  </si>
  <si>
    <t>TERCER</t>
  </si>
  <si>
    <t>Señalizacion para 17 corredores Turisticos Artesanales en Tlaquepaque</t>
  </si>
  <si>
    <t>Señalizacion para 10 Corredores Turisticos Artesanales en Lagos de Moreno</t>
  </si>
  <si>
    <t>Señalizacion para 17 Corredores Turisticos Artesanales en Tlajomulco de Zuñiga</t>
  </si>
  <si>
    <t>total</t>
  </si>
  <si>
    <t>1era Ministracion</t>
  </si>
  <si>
    <t>2da 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</si>
</sst>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_-* #,##0_-;\-* #,##0_-;_-* &quot;-&quot;??_-;_-@_-"/>
    <numFmt numFmtId="166" formatCode="00"/>
    <numFmt numFmtId="167" formatCode="000"/>
    <numFmt numFmtId="168" formatCode="_-[$€-2]* #,##0.00_-;\-[$€-2]* #,##0.00_-;_-[$€-2]* &quot;-&quot;??_-"/>
    <numFmt numFmtId="169" formatCode="00000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&quot;-&quot;_-;_-@_-"/>
    <numFmt numFmtId="173" formatCode="#,##0.00_ ;[Red]\-#,##0.00\ "/>
    <numFmt numFmtId="174" formatCode="#,##0.000"/>
    <numFmt numFmtId="175" formatCode="dd/mm/yyyy;@"/>
    <numFmt numFmtId="176" formatCode="&quot;$&quot;#,##0.00"/>
  </numFmts>
  <fonts count="8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4"/>
      <name val="Arial"/>
      <family val="2"/>
    </font>
    <font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2"/>
      <color theme="1"/>
      <name val="Tahoma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Book Antiqua"/>
      <family val="1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6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98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7" borderId="1" applyNumberFormat="0" applyAlignment="0" applyProtection="0"/>
    <xf numFmtId="168" fontId="13" fillId="0" borderId="0" applyFont="0" applyFill="0" applyBorder="0" applyAlignment="0" applyProtection="0"/>
    <xf numFmtId="0" fontId="36" fillId="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37" fillId="22" borderId="0" applyNumberFormat="0" applyBorder="0" applyAlignment="0" applyProtection="0"/>
    <xf numFmtId="0" fontId="13" fillId="0" borderId="0"/>
    <xf numFmtId="0" fontId="18" fillId="0" borderId="0"/>
    <xf numFmtId="0" fontId="18" fillId="23" borderId="4" applyNumberFormat="0" applyFont="0" applyAlignment="0" applyProtection="0"/>
    <xf numFmtId="9" fontId="18" fillId="0" borderId="0" applyFont="0" applyFill="0" applyBorder="0" applyAlignment="0" applyProtection="0"/>
    <xf numFmtId="0" fontId="38" fillId="16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56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6" fillId="0" borderId="0"/>
    <xf numFmtId="44" fontId="5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9" fontId="13" fillId="0" borderId="0" applyFont="0" applyFill="0" applyBorder="0" applyAlignment="0" applyProtection="0"/>
    <xf numFmtId="0" fontId="13" fillId="23" borderId="4" applyNumberFormat="0" applyFont="0" applyAlignment="0" applyProtection="0"/>
    <xf numFmtId="0" fontId="11" fillId="0" borderId="0"/>
    <xf numFmtId="0" fontId="10" fillId="0" borderId="0"/>
    <xf numFmtId="170" fontId="57" fillId="0" borderId="0" applyFont="0" applyFill="0" applyBorder="0" applyAlignment="0" applyProtection="0"/>
    <xf numFmtId="171" fontId="10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13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3" fillId="0" borderId="0" applyFont="0" applyFill="0" applyBorder="0" applyAlignment="0" applyProtection="0"/>
    <xf numFmtId="0" fontId="37" fillId="22" borderId="0" applyNumberFormat="0" applyBorder="0" applyAlignment="0" applyProtection="0"/>
    <xf numFmtId="0" fontId="13" fillId="23" borderId="4" applyNumberFormat="0" applyFont="0" applyAlignment="0" applyProtection="0"/>
    <xf numFmtId="0" fontId="38" fillId="16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  <xf numFmtId="0" fontId="13" fillId="0" borderId="0"/>
    <xf numFmtId="43" fontId="1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6" fillId="0" borderId="0"/>
    <xf numFmtId="0" fontId="56" fillId="0" borderId="0"/>
    <xf numFmtId="0" fontId="13" fillId="0" borderId="0"/>
    <xf numFmtId="0" fontId="68" fillId="0" borderId="0"/>
    <xf numFmtId="0" fontId="13" fillId="0" borderId="0"/>
    <xf numFmtId="0" fontId="5" fillId="0" borderId="0"/>
    <xf numFmtId="0" fontId="4" fillId="0" borderId="0"/>
    <xf numFmtId="0" fontId="7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3" fillId="0" borderId="0" applyFont="0" applyFill="0" applyBorder="0" applyAlignment="0" applyProtection="0"/>
    <xf numFmtId="0" fontId="37" fillId="22" borderId="0" applyNumberFormat="0" applyBorder="0" applyAlignment="0" applyProtection="0"/>
    <xf numFmtId="0" fontId="13" fillId="23" borderId="4" applyNumberFormat="0" applyFont="0" applyAlignment="0" applyProtection="0"/>
    <xf numFmtId="0" fontId="38" fillId="16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540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 applyFill="1" applyAlignment="1"/>
    <xf numFmtId="166" fontId="20" fillId="0" borderId="0" xfId="0" applyNumberFormat="1" applyFont="1" applyFill="1" applyAlignment="1"/>
    <xf numFmtId="0" fontId="18" fillId="0" borderId="0" xfId="0" applyFont="1"/>
    <xf numFmtId="0" fontId="21" fillId="0" borderId="0" xfId="0" applyFont="1" applyAlignment="1">
      <alignment horizontal="right" vertical="center"/>
    </xf>
    <xf numFmtId="0" fontId="21" fillId="0" borderId="0" xfId="0" applyFont="1" applyFill="1" applyAlignment="1"/>
    <xf numFmtId="166" fontId="18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center"/>
    </xf>
    <xf numFmtId="166" fontId="14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5" fillId="0" borderId="0" xfId="0" applyFont="1"/>
    <xf numFmtId="0" fontId="24" fillId="0" borderId="0" xfId="0" applyFont="1"/>
    <xf numFmtId="0" fontId="15" fillId="0" borderId="10" xfId="0" applyFont="1" applyBorder="1"/>
    <xf numFmtId="0" fontId="24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15" fillId="0" borderId="0" xfId="0" applyFont="1"/>
    <xf numFmtId="0" fontId="25" fillId="0" borderId="0" xfId="0" applyFont="1" applyAlignment="1">
      <alignment horizontal="center"/>
    </xf>
    <xf numFmtId="166" fontId="25" fillId="0" borderId="0" xfId="0" applyNumberFormat="1" applyFont="1" applyAlignment="1">
      <alignment horizontal="center"/>
    </xf>
    <xf numFmtId="0" fontId="27" fillId="0" borderId="0" xfId="0" applyFont="1" applyAlignment="1">
      <alignment horizontal="left" vertical="center"/>
    </xf>
    <xf numFmtId="0" fontId="18" fillId="0" borderId="10" xfId="0" quotePrefix="1" applyFont="1" applyFill="1" applyBorder="1" applyAlignment="1">
      <alignment horizontal="center" vertical="center"/>
    </xf>
    <xf numFmtId="164" fontId="14" fillId="24" borderId="10" xfId="0" applyNumberFormat="1" applyFont="1" applyFill="1" applyBorder="1" applyAlignment="1">
      <alignment horizontal="center" vertical="center"/>
    </xf>
    <xf numFmtId="0" fontId="24" fillId="0" borderId="0" xfId="0" applyFont="1" applyFill="1"/>
    <xf numFmtId="41" fontId="18" fillId="0" borderId="10" xfId="0" applyNumberFormat="1" applyFont="1" applyBorder="1" applyAlignment="1">
      <alignment horizontal="right" vertical="center"/>
    </xf>
    <xf numFmtId="0" fontId="14" fillId="0" borderId="0" xfId="0" applyFont="1"/>
    <xf numFmtId="41" fontId="18" fillId="0" borderId="10" xfId="0" applyNumberFormat="1" applyFont="1" applyBorder="1"/>
    <xf numFmtId="41" fontId="15" fillId="0" borderId="0" xfId="0" applyNumberFormat="1" applyFont="1"/>
    <xf numFmtId="41" fontId="15" fillId="0" borderId="0" xfId="0" applyNumberFormat="1" applyFont="1" applyAlignment="1">
      <alignment horizontal="left" indent="1"/>
    </xf>
    <xf numFmtId="165" fontId="15" fillId="0" borderId="0" xfId="0" applyNumberFormat="1" applyFont="1"/>
    <xf numFmtId="3" fontId="15" fillId="0" borderId="0" xfId="0" applyNumberFormat="1" applyFont="1" applyAlignment="1">
      <alignment horizontal="right"/>
    </xf>
    <xf numFmtId="0" fontId="15" fillId="0" borderId="10" xfId="0" quotePrefix="1" applyFont="1" applyFill="1" applyBorder="1" applyAlignment="1">
      <alignment horizontal="center" vertical="center"/>
    </xf>
    <xf numFmtId="0" fontId="25" fillId="0" borderId="0" xfId="0" applyFont="1" applyFill="1"/>
    <xf numFmtId="166" fontId="14" fillId="24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/>
    <xf numFmtId="0" fontId="15" fillId="0" borderId="0" xfId="0" applyFont="1" applyFill="1" applyAlignment="1"/>
    <xf numFmtId="41" fontId="15" fillId="0" borderId="0" xfId="0" applyNumberFormat="1" applyFont="1" applyFill="1" applyAlignment="1"/>
    <xf numFmtId="0" fontId="15" fillId="0" borderId="0" xfId="0" applyFont="1" applyBorder="1"/>
    <xf numFmtId="41" fontId="15" fillId="0" borderId="0" xfId="0" applyNumberFormat="1" applyFont="1" applyBorder="1" applyAlignment="1">
      <alignment horizontal="left" indent="1"/>
    </xf>
    <xf numFmtId="41" fontId="15" fillId="0" borderId="0" xfId="0" applyNumberFormat="1" applyFont="1" applyBorder="1"/>
    <xf numFmtId="165" fontId="15" fillId="0" borderId="0" xfId="0" applyNumberFormat="1" applyFont="1" applyBorder="1"/>
    <xf numFmtId="3" fontId="15" fillId="0" borderId="0" xfId="0" applyNumberFormat="1" applyFont="1" applyBorder="1" applyAlignment="1">
      <alignment horizontal="right"/>
    </xf>
    <xf numFmtId="166" fontId="18" fillId="0" borderId="10" xfId="0" applyNumberFormat="1" applyFont="1" applyBorder="1" applyAlignment="1">
      <alignment horizontal="center" vertical="center"/>
    </xf>
    <xf numFmtId="166" fontId="18" fillId="24" borderId="10" xfId="0" applyNumberFormat="1" applyFont="1" applyFill="1" applyBorder="1" applyAlignment="1">
      <alignment horizontal="center" vertical="center"/>
    </xf>
    <xf numFmtId="167" fontId="18" fillId="24" borderId="10" xfId="0" applyNumberFormat="1" applyFont="1" applyFill="1" applyBorder="1" applyAlignment="1">
      <alignment horizontal="center" vertical="center"/>
    </xf>
    <xf numFmtId="169" fontId="18" fillId="24" borderId="10" xfId="0" applyNumberFormat="1" applyFont="1" applyFill="1" applyBorder="1" applyAlignment="1">
      <alignment horizontal="center" vertical="center"/>
    </xf>
    <xf numFmtId="41" fontId="15" fillId="0" borderId="0" xfId="0" applyNumberFormat="1" applyFont="1" applyAlignment="1">
      <alignment horizontal="right" indent="1"/>
    </xf>
    <xf numFmtId="41" fontId="18" fillId="0" borderId="0" xfId="0" applyNumberFormat="1" applyFont="1" applyAlignment="1">
      <alignment horizontal="right" indent="1"/>
    </xf>
    <xf numFmtId="43" fontId="15" fillId="0" borderId="0" xfId="0" applyNumberFormat="1" applyFont="1"/>
    <xf numFmtId="43" fontId="25" fillId="0" borderId="0" xfId="0" applyNumberFormat="1" applyFont="1"/>
    <xf numFmtId="0" fontId="26" fillId="25" borderId="10" xfId="0" applyFont="1" applyFill="1" applyBorder="1" applyAlignment="1">
      <alignment horizontal="center" vertical="center"/>
    </xf>
    <xf numFmtId="166" fontId="26" fillId="25" borderId="10" xfId="0" applyNumberFormat="1" applyFont="1" applyFill="1" applyBorder="1" applyAlignment="1">
      <alignment horizontal="center" vertical="center"/>
    </xf>
    <xf numFmtId="41" fontId="24" fillId="0" borderId="0" xfId="0" applyNumberFormat="1" applyFont="1"/>
    <xf numFmtId="41" fontId="25" fillId="0" borderId="0" xfId="0" applyNumberFormat="1" applyFont="1"/>
    <xf numFmtId="41" fontId="14" fillId="24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9" fillId="0" borderId="0" xfId="0" applyFont="1" applyFill="1" applyAlignment="1">
      <alignment vertical="top"/>
    </xf>
    <xf numFmtId="166" fontId="22" fillId="0" borderId="0" xfId="0" applyNumberFormat="1" applyFont="1" applyBorder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16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21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166" fontId="27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27" fillId="0" borderId="0" xfId="0" applyFont="1" applyAlignment="1">
      <alignment horizontal="left" vertical="top"/>
    </xf>
    <xf numFmtId="41" fontId="15" fillId="0" borderId="0" xfId="0" applyNumberFormat="1" applyFont="1" applyAlignment="1">
      <alignment vertical="top"/>
    </xf>
    <xf numFmtId="166" fontId="22" fillId="0" borderId="0" xfId="0" applyNumberFormat="1" applyFont="1" applyFill="1" applyAlignment="1">
      <alignment vertical="top"/>
    </xf>
    <xf numFmtId="3" fontId="15" fillId="0" borderId="0" xfId="0" quotePrefix="1" applyNumberFormat="1" applyFont="1" applyFill="1" applyAlignment="1">
      <alignment horizontal="right" vertical="top"/>
    </xf>
    <xf numFmtId="165" fontId="15" fillId="0" borderId="0" xfId="0" quotePrefix="1" applyNumberFormat="1" applyFont="1" applyFill="1" applyAlignment="1">
      <alignment vertical="top"/>
    </xf>
    <xf numFmtId="166" fontId="18" fillId="26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41" fontId="14" fillId="24" borderId="10" xfId="0" applyNumberFormat="1" applyFont="1" applyFill="1" applyBorder="1" applyAlignment="1">
      <alignment horizontal="right"/>
    </xf>
    <xf numFmtId="0" fontId="18" fillId="0" borderId="0" xfId="0" applyFont="1" applyFill="1"/>
    <xf numFmtId="3" fontId="25" fillId="0" borderId="0" xfId="0" applyNumberFormat="1" applyFont="1"/>
    <xf numFmtId="0" fontId="45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27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5" fillId="0" borderId="0" xfId="0" applyFont="1" applyFill="1"/>
    <xf numFmtId="41" fontId="15" fillId="0" borderId="0" xfId="0" applyNumberFormat="1" applyFont="1" applyFill="1"/>
    <xf numFmtId="41" fontId="25" fillId="0" borderId="0" xfId="0" applyNumberFormat="1" applyFont="1" applyFill="1"/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26" borderId="0" xfId="0" applyFont="1" applyFill="1" applyAlignment="1">
      <alignment vertical="center"/>
    </xf>
    <xf numFmtId="0" fontId="23" fillId="26" borderId="0" xfId="0" applyFont="1" applyFill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3" fontId="18" fillId="0" borderId="0" xfId="0" applyNumberFormat="1" applyFont="1"/>
    <xf numFmtId="0" fontId="14" fillId="24" borderId="10" xfId="0" applyFont="1" applyFill="1" applyBorder="1" applyAlignment="1">
      <alignment horizontal="right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top"/>
    </xf>
    <xf numFmtId="41" fontId="18" fillId="0" borderId="0" xfId="0" applyNumberFormat="1" applyFont="1"/>
    <xf numFmtId="41" fontId="14" fillId="24" borderId="10" xfId="0" applyNumberFormat="1" applyFont="1" applyFill="1" applyBorder="1" applyAlignment="1">
      <alignment horizontal="right" indent="1"/>
    </xf>
    <xf numFmtId="0" fontId="18" fillId="0" borderId="10" xfId="0" applyFont="1" applyBorder="1" applyAlignment="1">
      <alignment horizontal="left" vertical="center" indent="1"/>
    </xf>
    <xf numFmtId="0" fontId="14" fillId="0" borderId="0" xfId="0" applyFont="1" applyFill="1" applyAlignment="1"/>
    <xf numFmtId="166" fontId="18" fillId="0" borderId="0" xfId="0" applyNumberFormat="1" applyFont="1" applyFill="1" applyAlignment="1"/>
    <xf numFmtId="0" fontId="14" fillId="0" borderId="0" xfId="0" applyFont="1" applyAlignment="1">
      <alignment horizontal="right" vertical="center"/>
    </xf>
    <xf numFmtId="0" fontId="18" fillId="0" borderId="0" xfId="0" applyFont="1" applyFill="1" applyAlignment="1"/>
    <xf numFmtId="0" fontId="18" fillId="0" borderId="0" xfId="0" applyFont="1" applyBorder="1"/>
    <xf numFmtId="166" fontId="18" fillId="0" borderId="0" xfId="0" applyNumberFormat="1" applyFont="1" applyBorder="1" applyAlignment="1">
      <alignment horizontal="left" vertical="top"/>
    </xf>
    <xf numFmtId="0" fontId="14" fillId="0" borderId="0" xfId="0" applyFont="1" applyFill="1" applyAlignment="1">
      <alignment vertical="top"/>
    </xf>
    <xf numFmtId="0" fontId="49" fillId="0" borderId="0" xfId="0" applyFont="1" applyFill="1" applyAlignment="1">
      <alignment vertical="top"/>
    </xf>
    <xf numFmtId="0" fontId="14" fillId="0" borderId="0" xfId="0" applyFont="1" applyAlignment="1">
      <alignment horizontal="right" vertical="top"/>
    </xf>
    <xf numFmtId="166" fontId="18" fillId="0" borderId="0" xfId="0" applyNumberFormat="1" applyFont="1" applyFill="1" applyAlignment="1">
      <alignment vertical="top"/>
    </xf>
    <xf numFmtId="0" fontId="50" fillId="0" borderId="0" xfId="0" applyFont="1" applyFill="1" applyAlignment="1">
      <alignment vertical="top"/>
    </xf>
    <xf numFmtId="0" fontId="14" fillId="24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26" borderId="10" xfId="0" quotePrefix="1" applyFont="1" applyFill="1" applyBorder="1" applyAlignment="1">
      <alignment horizontal="center" vertical="center"/>
    </xf>
    <xf numFmtId="41" fontId="18" fillId="0" borderId="10" xfId="0" applyNumberFormat="1" applyFont="1" applyFill="1" applyBorder="1" applyAlignment="1">
      <alignment horizontal="right" vertical="center"/>
    </xf>
    <xf numFmtId="43" fontId="18" fillId="0" borderId="0" xfId="0" applyNumberFormat="1" applyFont="1"/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Alignment="1">
      <alignment horizontal="right" vertical="center"/>
    </xf>
    <xf numFmtId="41" fontId="18" fillId="0" borderId="10" xfId="0" applyNumberFormat="1" applyFont="1" applyBorder="1" applyAlignment="1">
      <alignment horizontal="right" indent="1"/>
    </xf>
    <xf numFmtId="41" fontId="18" fillId="0" borderId="10" xfId="0" applyNumberFormat="1" applyFont="1" applyBorder="1" applyAlignment="1">
      <alignment horizontal="right" vertical="center" indent="1"/>
    </xf>
    <xf numFmtId="41" fontId="18" fillId="26" borderId="10" xfId="0" applyNumberFormat="1" applyFont="1" applyFill="1" applyBorder="1" applyAlignment="1">
      <alignment horizontal="right" vertical="center" indent="1"/>
    </xf>
    <xf numFmtId="41" fontId="18" fillId="26" borderId="10" xfId="0" applyNumberFormat="1" applyFont="1" applyFill="1" applyBorder="1" applyAlignment="1">
      <alignment horizontal="right" indent="1"/>
    </xf>
    <xf numFmtId="41" fontId="18" fillId="26" borderId="10" xfId="0" applyNumberFormat="1" applyFont="1" applyFill="1" applyBorder="1"/>
    <xf numFmtId="0" fontId="18" fillId="0" borderId="10" xfId="0" applyFont="1" applyBorder="1" applyAlignment="1">
      <alignment horizontal="left" indent="1"/>
    </xf>
    <xf numFmtId="165" fontId="18" fillId="0" borderId="0" xfId="0" applyNumberFormat="1" applyFont="1" applyFill="1" applyAlignment="1"/>
    <xf numFmtId="165" fontId="18" fillId="0" borderId="0" xfId="0" applyNumberFormat="1" applyFont="1" applyAlignment="1">
      <alignment horizontal="left" vertical="center"/>
    </xf>
    <xf numFmtId="41" fontId="18" fillId="0" borderId="10" xfId="0" applyNumberFormat="1" applyFont="1" applyFill="1" applyBorder="1" applyAlignment="1">
      <alignment horizontal="right" vertical="center" indent="1"/>
    </xf>
    <xf numFmtId="166" fontId="14" fillId="0" borderId="0" xfId="0" applyNumberFormat="1" applyFont="1" applyFill="1" applyAlignment="1">
      <alignment vertical="top"/>
    </xf>
    <xf numFmtId="0" fontId="14" fillId="0" borderId="0" xfId="0" applyFont="1" applyAlignment="1">
      <alignment horizontal="center" vertical="top"/>
    </xf>
    <xf numFmtId="41" fontId="18" fillId="0" borderId="0" xfId="0" applyNumberFormat="1" applyFont="1" applyAlignment="1">
      <alignment vertical="top"/>
    </xf>
    <xf numFmtId="41" fontId="18" fillId="0" borderId="0" xfId="0" quotePrefix="1" applyNumberFormat="1" applyFont="1" applyFill="1" applyAlignment="1">
      <alignment horizontal="left" vertical="top"/>
    </xf>
    <xf numFmtId="41" fontId="18" fillId="0" borderId="0" xfId="0" applyNumberFormat="1" applyFont="1" applyFill="1" applyAlignment="1">
      <alignment vertical="top"/>
    </xf>
    <xf numFmtId="41" fontId="18" fillId="0" borderId="0" xfId="0" applyNumberFormat="1" applyFont="1" applyFill="1" applyAlignment="1">
      <alignment horizontal="left" indent="1"/>
    </xf>
    <xf numFmtId="41" fontId="18" fillId="0" borderId="0" xfId="0" applyNumberFormat="1" applyFont="1" applyFill="1" applyAlignment="1"/>
    <xf numFmtId="41" fontId="18" fillId="0" borderId="0" xfId="0" applyNumberFormat="1" applyFont="1" applyAlignment="1">
      <alignment horizontal="left" vertical="center" indent="1"/>
    </xf>
    <xf numFmtId="41" fontId="18" fillId="0" borderId="0" xfId="0" applyNumberFormat="1" applyFont="1" applyAlignment="1">
      <alignment horizontal="left" vertical="center"/>
    </xf>
    <xf numFmtId="41" fontId="14" fillId="24" borderId="10" xfId="0" applyNumberFormat="1" applyFont="1" applyFill="1" applyBorder="1" applyAlignment="1">
      <alignment horizontal="center" vertical="center" wrapText="1"/>
    </xf>
    <xf numFmtId="41" fontId="18" fillId="24" borderId="10" xfId="0" applyNumberFormat="1" applyFont="1" applyFill="1" applyBorder="1" applyAlignment="1">
      <alignment horizontal="center" vertical="center"/>
    </xf>
    <xf numFmtId="41" fontId="14" fillId="24" borderId="10" xfId="33" applyNumberFormat="1" applyFont="1" applyFill="1" applyBorder="1"/>
    <xf numFmtId="164" fontId="18" fillId="0" borderId="11" xfId="0" applyNumberFormat="1" applyFont="1" applyBorder="1" applyAlignment="1">
      <alignment horizontal="center" vertical="center"/>
    </xf>
    <xf numFmtId="41" fontId="18" fillId="26" borderId="10" xfId="0" applyNumberFormat="1" applyFont="1" applyFill="1" applyBorder="1" applyAlignment="1">
      <alignment horizontal="right" vertical="center"/>
    </xf>
    <xf numFmtId="41" fontId="18" fillId="0" borderId="10" xfId="0" applyNumberFormat="1" applyFont="1" applyBorder="1" applyAlignment="1">
      <alignment horizontal="right"/>
    </xf>
    <xf numFmtId="43" fontId="18" fillId="0" borderId="0" xfId="0" applyNumberFormat="1" applyFont="1" applyAlignment="1">
      <alignment horizontal="right" indent="1"/>
    </xf>
    <xf numFmtId="0" fontId="48" fillId="0" borderId="0" xfId="0" applyNumberFormat="1" applyFont="1" applyFill="1" applyBorder="1" applyAlignment="1" applyProtection="1">
      <alignment vertical="top"/>
    </xf>
    <xf numFmtId="41" fontId="14" fillId="0" borderId="0" xfId="0" applyNumberFormat="1" applyFont="1"/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left" vertical="top"/>
    </xf>
    <xf numFmtId="0" fontId="55" fillId="0" borderId="0" xfId="0" applyFont="1" applyAlignment="1">
      <alignment vertical="center"/>
    </xf>
    <xf numFmtId="41" fontId="52" fillId="0" borderId="0" xfId="0" applyNumberFormat="1" applyFont="1"/>
    <xf numFmtId="0" fontId="52" fillId="0" borderId="0" xfId="0" applyFont="1"/>
    <xf numFmtId="0" fontId="18" fillId="0" borderId="0" xfId="0" applyFont="1" applyAlignment="1">
      <alignment wrapText="1"/>
    </xf>
    <xf numFmtId="0" fontId="13" fillId="0" borderId="10" xfId="0" applyFont="1" applyBorder="1" applyAlignment="1">
      <alignment horizontal="left" vertical="center" indent="1"/>
    </xf>
    <xf numFmtId="41" fontId="13" fillId="0" borderId="17" xfId="0" applyNumberFormat="1" applyFont="1" applyFill="1" applyBorder="1" applyAlignment="1">
      <alignment horizontal="right" vertical="center" indent="1"/>
    </xf>
    <xf numFmtId="0" fontId="18" fillId="0" borderId="10" xfId="0" applyFont="1" applyBorder="1"/>
    <xf numFmtId="41" fontId="18" fillId="0" borderId="16" xfId="0" applyNumberFormat="1" applyFont="1" applyBorder="1" applyAlignment="1">
      <alignment horizontal="right" vertical="center" indent="1"/>
    </xf>
    <xf numFmtId="0" fontId="54" fillId="27" borderId="10" xfId="0" applyFont="1" applyFill="1" applyBorder="1" applyAlignment="1">
      <alignment horizontal="center" vertical="center"/>
    </xf>
    <xf numFmtId="41" fontId="54" fillId="27" borderId="10" xfId="0" applyNumberFormat="1" applyFont="1" applyFill="1" applyBorder="1" applyAlignment="1">
      <alignment horizontal="right" vertical="center"/>
    </xf>
    <xf numFmtId="0" fontId="26" fillId="27" borderId="10" xfId="0" applyFont="1" applyFill="1" applyBorder="1" applyAlignment="1">
      <alignment horizontal="center" vertical="center"/>
    </xf>
    <xf numFmtId="41" fontId="26" fillId="27" borderId="10" xfId="0" applyNumberFormat="1" applyFont="1" applyFill="1" applyBorder="1" applyAlignment="1">
      <alignment horizontal="right" vertical="center" indent="1"/>
    </xf>
    <xf numFmtId="0" fontId="13" fillId="0" borderId="10" xfId="0" applyFont="1" applyBorder="1" applyAlignment="1">
      <alignment horizontal="left" vertical="center" wrapText="1" indent="1"/>
    </xf>
    <xf numFmtId="0" fontId="26" fillId="28" borderId="10" xfId="0" applyFont="1" applyFill="1" applyBorder="1" applyAlignment="1">
      <alignment horizontal="center" vertical="center"/>
    </xf>
    <xf numFmtId="41" fontId="26" fillId="28" borderId="10" xfId="0" applyNumberFormat="1" applyFont="1" applyFill="1" applyBorder="1" applyAlignment="1">
      <alignment horizontal="right" vertical="center"/>
    </xf>
    <xf numFmtId="0" fontId="54" fillId="28" borderId="10" xfId="0" applyFont="1" applyFill="1" applyBorder="1" applyAlignment="1">
      <alignment horizontal="center" vertical="center"/>
    </xf>
    <xf numFmtId="166" fontId="54" fillId="28" borderId="10" xfId="0" applyNumberFormat="1" applyFont="1" applyFill="1" applyBorder="1" applyAlignment="1">
      <alignment horizontal="center" vertical="center"/>
    </xf>
    <xf numFmtId="41" fontId="54" fillId="28" borderId="10" xfId="0" applyNumberFormat="1" applyFont="1" applyFill="1" applyBorder="1" applyAlignment="1">
      <alignment horizontal="right" vertical="center" indent="1"/>
    </xf>
    <xf numFmtId="0" fontId="13" fillId="0" borderId="0" xfId="0" applyFont="1"/>
    <xf numFmtId="0" fontId="16" fillId="0" borderId="0" xfId="0" applyFont="1"/>
    <xf numFmtId="3" fontId="15" fillId="0" borderId="0" xfId="0" applyNumberFormat="1" applyFont="1"/>
    <xf numFmtId="3" fontId="16" fillId="0" borderId="0" xfId="0" applyNumberFormat="1" applyFont="1" applyAlignment="1">
      <alignment horizontal="right"/>
    </xf>
    <xf numFmtId="0" fontId="14" fillId="24" borderId="10" xfId="0" applyFont="1" applyFill="1" applyBorder="1" applyAlignment="1">
      <alignment horizontal="center" vertical="center"/>
    </xf>
    <xf numFmtId="41" fontId="14" fillId="24" borderId="10" xfId="0" applyNumberFormat="1" applyFont="1" applyFill="1" applyBorder="1" applyAlignment="1">
      <alignment horizontal="center" vertical="center" wrapText="1"/>
    </xf>
    <xf numFmtId="41" fontId="14" fillId="24" borderId="10" xfId="0" applyNumberFormat="1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41" fontId="14" fillId="24" borderId="10" xfId="0" applyNumberFormat="1" applyFont="1" applyFill="1" applyBorder="1" applyAlignment="1">
      <alignment horizontal="center" vertical="center" wrapText="1"/>
    </xf>
    <xf numFmtId="41" fontId="14" fillId="24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24" borderId="10" xfId="0" applyFont="1" applyFill="1" applyBorder="1" applyAlignment="1">
      <alignment horizontal="center" vertical="center"/>
    </xf>
    <xf numFmtId="41" fontId="16" fillId="0" borderId="0" xfId="0" applyNumberFormat="1" applyFont="1" applyAlignment="1">
      <alignment horizontal="left" indent="1"/>
    </xf>
    <xf numFmtId="0" fontId="16" fillId="0" borderId="0" xfId="0" applyFont="1" applyAlignment="1">
      <alignment wrapText="1"/>
    </xf>
    <xf numFmtId="41" fontId="13" fillId="0" borderId="10" xfId="0" applyNumberFormat="1" applyFont="1" applyBorder="1" applyAlignment="1">
      <alignment horizontal="right" vertical="center" indent="1"/>
    </xf>
    <xf numFmtId="41" fontId="13" fillId="26" borderId="10" xfId="0" applyNumberFormat="1" applyFont="1" applyFill="1" applyBorder="1" applyAlignment="1">
      <alignment horizontal="right" vertical="center" indent="1"/>
    </xf>
    <xf numFmtId="164" fontId="13" fillId="0" borderId="10" xfId="0" applyNumberFormat="1" applyFont="1" applyBorder="1" applyAlignment="1">
      <alignment horizontal="left" vertical="center" indent="1"/>
    </xf>
    <xf numFmtId="41" fontId="56" fillId="26" borderId="10" xfId="0" applyNumberFormat="1" applyFont="1" applyFill="1" applyBorder="1" applyAlignment="1">
      <alignment horizontal="right" vertical="center" indent="1"/>
    </xf>
    <xf numFmtId="41" fontId="13" fillId="26" borderId="10" xfId="0" applyNumberFormat="1" applyFont="1" applyFill="1" applyBorder="1" applyAlignment="1">
      <alignment horizontal="right" indent="1"/>
    </xf>
    <xf numFmtId="41" fontId="14" fillId="24" borderId="10" xfId="0" applyNumberFormat="1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41" fontId="14" fillId="24" borderId="10" xfId="0" applyNumberFormat="1" applyFont="1" applyFill="1" applyBorder="1" applyAlignment="1">
      <alignment horizontal="center" vertical="center" wrapText="1"/>
    </xf>
    <xf numFmtId="41" fontId="14" fillId="24" borderId="10" xfId="0" applyNumberFormat="1" applyFont="1" applyFill="1" applyBorder="1" applyAlignment="1">
      <alignment horizontal="center" vertical="center"/>
    </xf>
    <xf numFmtId="41" fontId="14" fillId="0" borderId="0" xfId="0" applyNumberFormat="1" applyFont="1" applyAlignment="1">
      <alignment horizontal="left" indent="1"/>
    </xf>
    <xf numFmtId="41" fontId="13" fillId="0" borderId="0" xfId="0" applyNumberFormat="1" applyFont="1" applyAlignment="1">
      <alignment horizontal="left" indent="1"/>
    </xf>
    <xf numFmtId="164" fontId="18" fillId="0" borderId="10" xfId="0" applyNumberFormat="1" applyFont="1" applyFill="1" applyBorder="1" applyAlignment="1">
      <alignment horizontal="center" vertical="center"/>
    </xf>
    <xf numFmtId="166" fontId="18" fillId="0" borderId="10" xfId="0" applyNumberFormat="1" applyFont="1" applyFill="1" applyBorder="1" applyAlignment="1">
      <alignment horizontal="center" vertical="center"/>
    </xf>
    <xf numFmtId="0" fontId="13" fillId="0" borderId="10" xfId="0" quotePrefix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41" fontId="13" fillId="0" borderId="10" xfId="0" applyNumberFormat="1" applyFont="1" applyFill="1" applyBorder="1" applyAlignment="1">
      <alignment horizontal="right" vertical="center"/>
    </xf>
    <xf numFmtId="165" fontId="13" fillId="0" borderId="10" xfId="0" applyNumberFormat="1" applyFont="1" applyFill="1" applyBorder="1" applyAlignment="1">
      <alignment horizontal="right" vertical="center" wrapText="1"/>
    </xf>
    <xf numFmtId="165" fontId="13" fillId="0" borderId="10" xfId="0" applyNumberFormat="1" applyFont="1" applyBorder="1" applyAlignment="1">
      <alignment horizontal="right" vertical="center"/>
    </xf>
    <xf numFmtId="165" fontId="13" fillId="0" borderId="10" xfId="33" applyNumberFormat="1" applyFont="1" applyBorder="1" applyAlignment="1">
      <alignment horizontal="right" vertical="center"/>
    </xf>
    <xf numFmtId="165" fontId="13" fillId="0" borderId="10" xfId="33" applyNumberFormat="1" applyFont="1" applyFill="1" applyBorder="1" applyAlignment="1">
      <alignment horizontal="right" vertical="center"/>
    </xf>
    <xf numFmtId="165" fontId="13" fillId="0" borderId="10" xfId="33" applyNumberFormat="1" applyFont="1" applyFill="1" applyBorder="1" applyAlignment="1">
      <alignment vertical="center"/>
    </xf>
    <xf numFmtId="0" fontId="13" fillId="0" borderId="10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59" fillId="29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13" fillId="26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41" fontId="13" fillId="3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left" vertical="center" indent="1"/>
    </xf>
    <xf numFmtId="0" fontId="55" fillId="24" borderId="10" xfId="0" applyFont="1" applyFill="1" applyBorder="1" applyAlignment="1">
      <alignment horizontal="right"/>
    </xf>
    <xf numFmtId="41" fontId="55" fillId="24" borderId="10" xfId="0" applyNumberFormat="1" applyFont="1" applyFill="1" applyBorder="1" applyAlignment="1">
      <alignment horizontal="right"/>
    </xf>
    <xf numFmtId="3" fontId="16" fillId="0" borderId="0" xfId="0" quotePrefix="1" applyNumberFormat="1" applyFont="1" applyFill="1" applyAlignment="1">
      <alignment horizontal="right" vertical="top"/>
    </xf>
    <xf numFmtId="0" fontId="52" fillId="0" borderId="10" xfId="0" applyFont="1" applyBorder="1" applyAlignment="1">
      <alignment horizontal="left" vertical="center" wrapText="1" indent="1"/>
    </xf>
    <xf numFmtId="0" fontId="52" fillId="0" borderId="10" xfId="0" applyFont="1" applyFill="1" applyBorder="1" applyAlignment="1">
      <alignment horizontal="left" vertical="center" indent="1"/>
    </xf>
    <xf numFmtId="0" fontId="61" fillId="0" borderId="0" xfId="0" applyFont="1" applyAlignment="1">
      <alignment horizontal="center" vertical="top"/>
    </xf>
    <xf numFmtId="0" fontId="27" fillId="0" borderId="0" xfId="0" applyFont="1" applyFill="1" applyAlignment="1">
      <alignment vertical="top"/>
    </xf>
    <xf numFmtId="166" fontId="52" fillId="0" borderId="0" xfId="0" applyNumberFormat="1" applyFont="1" applyFill="1" applyAlignment="1">
      <alignment vertical="top"/>
    </xf>
    <xf numFmtId="166" fontId="61" fillId="0" borderId="0" xfId="0" applyNumberFormat="1" applyFont="1" applyFill="1" applyAlignment="1">
      <alignment vertical="top"/>
    </xf>
    <xf numFmtId="41" fontId="61" fillId="0" borderId="0" xfId="0" quotePrefix="1" applyNumberFormat="1" applyFont="1" applyFill="1" applyAlignment="1">
      <alignment horizontal="left" vertical="top"/>
    </xf>
    <xf numFmtId="0" fontId="61" fillId="0" borderId="10" xfId="0" applyFont="1" applyBorder="1" applyAlignment="1">
      <alignment horizontal="left" vertical="center"/>
    </xf>
    <xf numFmtId="165" fontId="52" fillId="26" borderId="10" xfId="0" applyNumberFormat="1" applyFont="1" applyFill="1" applyBorder="1" applyAlignment="1">
      <alignment horizontal="center" vertical="center" wrapText="1"/>
    </xf>
    <xf numFmtId="41" fontId="52" fillId="26" borderId="10" xfId="0" applyNumberFormat="1" applyFont="1" applyFill="1" applyBorder="1" applyAlignment="1">
      <alignment horizontal="right" indent="1"/>
    </xf>
    <xf numFmtId="41" fontId="52" fillId="26" borderId="10" xfId="0" applyNumberFormat="1" applyFont="1" applyFill="1" applyBorder="1" applyAlignment="1">
      <alignment horizontal="right" vertical="center" indent="1"/>
    </xf>
    <xf numFmtId="41" fontId="52" fillId="0" borderId="10" xfId="0" applyNumberFormat="1" applyFont="1" applyBorder="1" applyAlignment="1">
      <alignment horizontal="right" vertical="center" indent="1"/>
    </xf>
    <xf numFmtId="41" fontId="55" fillId="24" borderId="10" xfId="0" applyNumberFormat="1" applyFont="1" applyFill="1" applyBorder="1" applyAlignment="1">
      <alignment horizontal="right" indent="1"/>
    </xf>
    <xf numFmtId="0" fontId="52" fillId="0" borderId="0" xfId="0" applyFont="1" applyAlignment="1">
      <alignment horizontal="center"/>
    </xf>
    <xf numFmtId="0" fontId="52" fillId="0" borderId="0" xfId="0" applyFont="1" applyBorder="1"/>
    <xf numFmtId="0" fontId="52" fillId="0" borderId="0" xfId="0" applyFont="1" applyFill="1" applyAlignment="1"/>
    <xf numFmtId="0" fontId="55" fillId="0" borderId="0" xfId="0" applyFont="1" applyFill="1" applyAlignment="1"/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vertical="top"/>
    </xf>
    <xf numFmtId="0" fontId="52" fillId="0" borderId="0" xfId="0" applyFont="1" applyFill="1" applyAlignment="1">
      <alignment vertical="top"/>
    </xf>
    <xf numFmtId="0" fontId="52" fillId="0" borderId="0" xfId="0" quotePrefix="1" applyFont="1" applyFill="1" applyAlignment="1">
      <alignment vertical="top"/>
    </xf>
    <xf numFmtId="0" fontId="55" fillId="0" borderId="0" xfId="0" applyFont="1" applyFill="1" applyAlignment="1">
      <alignment vertical="top"/>
    </xf>
    <xf numFmtId="0" fontId="62" fillId="0" borderId="0" xfId="0" applyFont="1" applyFill="1" applyAlignment="1">
      <alignment vertical="top"/>
    </xf>
    <xf numFmtId="0" fontId="62" fillId="0" borderId="0" xfId="0" applyNumberFormat="1" applyFont="1" applyFill="1" applyBorder="1" applyAlignment="1" applyProtection="1">
      <alignment vertical="top"/>
    </xf>
    <xf numFmtId="0" fontId="63" fillId="0" borderId="0" xfId="0" applyFont="1" applyFill="1" applyAlignment="1">
      <alignment vertical="top"/>
    </xf>
    <xf numFmtId="0" fontId="55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41" fontId="13" fillId="0" borderId="10" xfId="0" applyNumberFormat="1" applyFont="1" applyBorder="1" applyAlignment="1">
      <alignment horizontal="right" vertical="center"/>
    </xf>
    <xf numFmtId="41" fontId="14" fillId="31" borderId="10" xfId="0" applyNumberFormat="1" applyFont="1" applyFill="1" applyBorder="1" applyAlignment="1">
      <alignment horizontal="right"/>
    </xf>
    <xf numFmtId="41" fontId="18" fillId="0" borderId="10" xfId="0" applyNumberFormat="1" applyFont="1" applyFill="1" applyBorder="1" applyAlignment="1">
      <alignment horizontal="right" indent="1"/>
    </xf>
    <xf numFmtId="41" fontId="13" fillId="0" borderId="10" xfId="0" applyNumberFormat="1" applyFont="1" applyFill="1" applyBorder="1" applyAlignment="1">
      <alignment horizontal="right" vertical="center" indent="1"/>
    </xf>
    <xf numFmtId="165" fontId="56" fillId="0" borderId="10" xfId="66" applyNumberFormat="1" applyFont="1" applyFill="1" applyBorder="1" applyAlignment="1">
      <alignment vertical="center"/>
    </xf>
    <xf numFmtId="165" fontId="56" fillId="0" borderId="10" xfId="0" applyNumberFormat="1" applyFont="1" applyFill="1" applyBorder="1" applyAlignment="1">
      <alignment horizontal="right" vertical="center" wrapText="1"/>
    </xf>
    <xf numFmtId="43" fontId="18" fillId="0" borderId="10" xfId="0" applyNumberFormat="1" applyFont="1" applyBorder="1" applyAlignment="1">
      <alignment horizontal="right" vertical="center"/>
    </xf>
    <xf numFmtId="0" fontId="52" fillId="0" borderId="10" xfId="0" applyFont="1" applyFill="1" applyBorder="1" applyAlignment="1">
      <alignment horizontal="left" vertical="center" wrapText="1" indent="1"/>
    </xf>
    <xf numFmtId="165" fontId="13" fillId="0" borderId="10" xfId="0" applyNumberFormat="1" applyFont="1" applyFill="1" applyBorder="1" applyAlignment="1">
      <alignment horizontal="right" vertical="center"/>
    </xf>
    <xf numFmtId="0" fontId="56" fillId="0" borderId="10" xfId="0" quotePrefix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166" fontId="56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 indent="1"/>
    </xf>
    <xf numFmtId="41" fontId="56" fillId="0" borderId="10" xfId="0" applyNumberFormat="1" applyFont="1" applyFill="1" applyBorder="1" applyAlignment="1">
      <alignment horizontal="right" vertical="center"/>
    </xf>
    <xf numFmtId="0" fontId="17" fillId="0" borderId="0" xfId="0" applyFont="1" applyFill="1"/>
    <xf numFmtId="41" fontId="14" fillId="24" borderId="10" xfId="0" applyNumberFormat="1" applyFont="1" applyFill="1" applyBorder="1" applyAlignment="1">
      <alignment horizontal="center" vertical="center" wrapText="1"/>
    </xf>
    <xf numFmtId="41" fontId="14" fillId="24" borderId="1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41" fontId="56" fillId="0" borderId="10" xfId="0" applyNumberFormat="1" applyFont="1" applyFill="1" applyBorder="1" applyAlignment="1">
      <alignment horizontal="right" vertical="center" indent="1"/>
    </xf>
    <xf numFmtId="0" fontId="14" fillId="32" borderId="24" xfId="0" applyFont="1" applyFill="1" applyBorder="1" applyAlignment="1">
      <alignment horizontal="center"/>
    </xf>
    <xf numFmtId="0" fontId="67" fillId="35" borderId="10" xfId="0" applyFont="1" applyFill="1" applyBorder="1" applyAlignment="1">
      <alignment horizontal="center"/>
    </xf>
    <xf numFmtId="0" fontId="0" fillId="0" borderId="10" xfId="0" applyBorder="1"/>
    <xf numFmtId="44" fontId="0" fillId="0" borderId="10" xfId="0" applyNumberFormat="1" applyBorder="1"/>
    <xf numFmtId="0" fontId="0" fillId="0" borderId="21" xfId="0" applyBorder="1"/>
    <xf numFmtId="0" fontId="14" fillId="0" borderId="26" xfId="0" applyFont="1" applyBorder="1"/>
    <xf numFmtId="44" fontId="14" fillId="0" borderId="27" xfId="0" applyNumberFormat="1" applyFont="1" applyBorder="1"/>
    <xf numFmtId="0" fontId="14" fillId="0" borderId="27" xfId="0" applyFont="1" applyBorder="1"/>
    <xf numFmtId="44" fontId="14" fillId="0" borderId="28" xfId="0" applyNumberFormat="1" applyFont="1" applyBorder="1"/>
    <xf numFmtId="0" fontId="67" fillId="35" borderId="15" xfId="0" applyFont="1" applyFill="1" applyBorder="1" applyAlignment="1">
      <alignment horizontal="center"/>
    </xf>
    <xf numFmtId="0" fontId="0" fillId="0" borderId="29" xfId="0" applyBorder="1"/>
    <xf numFmtId="0" fontId="52" fillId="0" borderId="30" xfId="0" applyFont="1" applyFill="1" applyBorder="1" applyAlignment="1">
      <alignment horizontal="left" vertical="center" indent="1"/>
    </xf>
    <xf numFmtId="44" fontId="0" fillId="0" borderId="30" xfId="0" applyNumberFormat="1" applyBorder="1"/>
    <xf numFmtId="172" fontId="18" fillId="0" borderId="10" xfId="0" applyNumberFormat="1" applyFont="1" applyFill="1" applyBorder="1" applyAlignment="1">
      <alignment horizontal="right" vertical="center"/>
    </xf>
    <xf numFmtId="172" fontId="56" fillId="0" borderId="10" xfId="0" applyNumberFormat="1" applyFont="1" applyFill="1" applyBorder="1" applyAlignment="1">
      <alignment horizontal="right" vertical="center"/>
    </xf>
    <xf numFmtId="172" fontId="14" fillId="24" borderId="10" xfId="0" applyNumberFormat="1" applyFont="1" applyFill="1" applyBorder="1" applyAlignment="1">
      <alignment horizontal="right"/>
    </xf>
    <xf numFmtId="44" fontId="13" fillId="0" borderId="10" xfId="0" applyNumberFormat="1" applyFont="1" applyBorder="1"/>
    <xf numFmtId="41" fontId="56" fillId="0" borderId="10" xfId="0" applyNumberFormat="1" applyFont="1" applyBorder="1" applyAlignment="1">
      <alignment horizontal="right" vertical="center"/>
    </xf>
    <xf numFmtId="164" fontId="18" fillId="0" borderId="16" xfId="0" applyNumberFormat="1" applyFont="1" applyBorder="1" applyAlignment="1">
      <alignment horizontal="center" vertical="center"/>
    </xf>
    <xf numFmtId="0" fontId="27" fillId="0" borderId="0" xfId="127" applyFont="1" applyAlignment="1">
      <alignment horizontal="left" vertical="center"/>
    </xf>
    <xf numFmtId="0" fontId="13" fillId="0" borderId="0" xfId="127" applyAlignment="1">
      <alignment horizontal="center"/>
    </xf>
    <xf numFmtId="0" fontId="13" fillId="0" borderId="0" xfId="127" applyAlignment="1"/>
    <xf numFmtId="0" fontId="13" fillId="0" borderId="0" xfId="128" applyFont="1" applyAlignment="1">
      <alignment horizontal="center" vertical="center"/>
    </xf>
    <xf numFmtId="0" fontId="69" fillId="0" borderId="0" xfId="127" applyFont="1" applyBorder="1" applyAlignment="1"/>
    <xf numFmtId="0" fontId="56" fillId="0" borderId="0" xfId="52" applyAlignment="1">
      <alignment horizontal="left"/>
    </xf>
    <xf numFmtId="0" fontId="56" fillId="0" borderId="0" xfId="52" applyFont="1" applyAlignment="1">
      <alignment horizontal="left"/>
    </xf>
    <xf numFmtId="0" fontId="56" fillId="0" borderId="0" xfId="52"/>
    <xf numFmtId="0" fontId="56" fillId="0" borderId="0" xfId="52" applyBorder="1"/>
    <xf numFmtId="0" fontId="13" fillId="0" borderId="0" xfId="127" applyBorder="1"/>
    <xf numFmtId="0" fontId="13" fillId="0" borderId="0" xfId="127"/>
    <xf numFmtId="4" fontId="56" fillId="0" borderId="0" xfId="52" applyNumberFormat="1" applyBorder="1"/>
    <xf numFmtId="44" fontId="56" fillId="0" borderId="0" xfId="56" applyFont="1" applyBorder="1"/>
    <xf numFmtId="0" fontId="14" fillId="26" borderId="18" xfId="128" applyFont="1" applyFill="1" applyBorder="1" applyAlignment="1">
      <alignment horizontal="center" vertical="center"/>
    </xf>
    <xf numFmtId="0" fontId="14" fillId="26" borderId="19" xfId="128" applyFont="1" applyFill="1" applyBorder="1" applyAlignment="1">
      <alignment horizontal="center" vertical="center"/>
    </xf>
    <xf numFmtId="0" fontId="14" fillId="26" borderId="20" xfId="128" applyFont="1" applyFill="1" applyBorder="1" applyAlignment="1">
      <alignment horizontal="center" vertical="center"/>
    </xf>
    <xf numFmtId="4" fontId="14" fillId="26" borderId="18" xfId="128" applyNumberFormat="1" applyFont="1" applyFill="1" applyBorder="1" applyAlignment="1">
      <alignment horizontal="center" vertical="center"/>
    </xf>
    <xf numFmtId="4" fontId="14" fillId="26" borderId="19" xfId="128" applyNumberFormat="1" applyFont="1" applyFill="1" applyBorder="1" applyAlignment="1">
      <alignment horizontal="center" vertical="center"/>
    </xf>
    <xf numFmtId="4" fontId="14" fillId="26" borderId="20" xfId="128" applyNumberFormat="1" applyFont="1" applyFill="1" applyBorder="1" applyAlignment="1">
      <alignment horizontal="center" vertical="center"/>
    </xf>
    <xf numFmtId="0" fontId="14" fillId="26" borderId="18" xfId="128" applyFont="1" applyFill="1" applyBorder="1" applyAlignment="1">
      <alignment horizontal="center" vertical="center" wrapText="1"/>
    </xf>
    <xf numFmtId="0" fontId="14" fillId="26" borderId="19" xfId="128" applyFont="1" applyFill="1" applyBorder="1" applyAlignment="1">
      <alignment horizontal="center" vertical="center" wrapText="1"/>
    </xf>
    <xf numFmtId="0" fontId="26" fillId="25" borderId="15" xfId="128" applyNumberFormat="1" applyFont="1" applyFill="1" applyBorder="1" applyAlignment="1">
      <alignment horizontal="center" vertical="center" wrapText="1"/>
    </xf>
    <xf numFmtId="0" fontId="26" fillId="25" borderId="15" xfId="128" applyNumberFormat="1" applyFont="1" applyFill="1" applyBorder="1" applyAlignment="1">
      <alignment horizontal="left" vertical="center" wrapText="1"/>
    </xf>
    <xf numFmtId="4" fontId="26" fillId="25" borderId="31" xfId="128" applyNumberFormat="1" applyFont="1" applyFill="1" applyBorder="1" applyAlignment="1">
      <alignment horizontal="center" vertical="center" wrapText="1"/>
    </xf>
    <xf numFmtId="0" fontId="13" fillId="30" borderId="10" xfId="128" applyFont="1" applyFill="1" applyBorder="1" applyAlignment="1">
      <alignment horizontal="center" vertical="center" wrapText="1"/>
    </xf>
    <xf numFmtId="0" fontId="13" fillId="30" borderId="10" xfId="128" applyNumberFormat="1" applyFont="1" applyFill="1" applyBorder="1" applyAlignment="1">
      <alignment horizontal="center" vertical="center" wrapText="1"/>
    </xf>
    <xf numFmtId="0" fontId="13" fillId="30" borderId="10" xfId="129" applyFont="1" applyFill="1" applyBorder="1" applyAlignment="1">
      <alignment horizontal="center" vertical="center" wrapText="1"/>
    </xf>
    <xf numFmtId="0" fontId="13" fillId="30" borderId="10" xfId="52" applyFont="1" applyFill="1" applyBorder="1" applyAlignment="1">
      <alignment vertical="center"/>
    </xf>
    <xf numFmtId="0" fontId="13" fillId="30" borderId="10" xfId="128" applyNumberFormat="1" applyFont="1" applyFill="1" applyBorder="1" applyAlignment="1">
      <alignment horizontal="left" vertical="center"/>
    </xf>
    <xf numFmtId="14" fontId="13" fillId="30" borderId="10" xfId="128" applyNumberFormat="1" applyFont="1" applyFill="1" applyBorder="1" applyAlignment="1">
      <alignment horizontal="left" vertical="center"/>
    </xf>
    <xf numFmtId="0" fontId="13" fillId="30" borderId="10" xfId="127" applyFont="1" applyFill="1" applyBorder="1" applyAlignment="1">
      <alignment horizontal="center" vertical="center"/>
    </xf>
    <xf numFmtId="0" fontId="13" fillId="30" borderId="10" xfId="128" applyFont="1" applyFill="1" applyBorder="1" applyAlignment="1">
      <alignment horizontal="center" vertical="center"/>
    </xf>
    <xf numFmtId="0" fontId="13" fillId="30" borderId="10" xfId="127" applyFont="1" applyFill="1" applyBorder="1" applyAlignment="1">
      <alignment vertical="center"/>
    </xf>
    <xf numFmtId="0" fontId="13" fillId="30" borderId="10" xfId="128" applyFont="1" applyFill="1" applyBorder="1" applyAlignment="1">
      <alignment horizontal="left" vertical="center"/>
    </xf>
    <xf numFmtId="4" fontId="13" fillId="30" borderId="10" xfId="52" applyNumberFormat="1" applyFont="1" applyFill="1" applyBorder="1" applyAlignment="1">
      <alignment horizontal="right" vertical="center" wrapText="1"/>
    </xf>
    <xf numFmtId="4" fontId="13" fillId="30" borderId="10" xfId="128" applyNumberFormat="1" applyFont="1" applyFill="1" applyBorder="1" applyAlignment="1">
      <alignment horizontal="right" vertical="center"/>
    </xf>
    <xf numFmtId="173" fontId="13" fillId="30" borderId="10" xfId="128" applyNumberFormat="1" applyFont="1" applyFill="1" applyBorder="1" applyAlignment="1">
      <alignment horizontal="right" vertical="center"/>
    </xf>
    <xf numFmtId="0" fontId="56" fillId="30" borderId="0" xfId="52" applyFill="1" applyBorder="1"/>
    <xf numFmtId="0" fontId="56" fillId="30" borderId="0" xfId="52" applyFill="1"/>
    <xf numFmtId="1" fontId="13" fillId="30" borderId="10" xfId="52" applyNumberFormat="1" applyFont="1" applyFill="1" applyBorder="1" applyAlignment="1">
      <alignment horizontal="center" vertical="center" wrapText="1"/>
    </xf>
    <xf numFmtId="0" fontId="13" fillId="30" borderId="10" xfId="128" applyFont="1" applyFill="1" applyBorder="1" applyAlignment="1">
      <alignment vertical="center"/>
    </xf>
    <xf numFmtId="4" fontId="13" fillId="30" borderId="10" xfId="52" applyNumberFormat="1" applyFont="1" applyFill="1" applyBorder="1" applyAlignment="1">
      <alignment wrapText="1"/>
    </xf>
    <xf numFmtId="0" fontId="13" fillId="30" borderId="10" xfId="52" applyFont="1" applyFill="1" applyBorder="1" applyAlignment="1">
      <alignment wrapText="1"/>
    </xf>
    <xf numFmtId="0" fontId="56" fillId="30" borderId="10" xfId="52" applyFill="1" applyBorder="1" applyAlignment="1">
      <alignment horizontal="center"/>
    </xf>
    <xf numFmtId="0" fontId="13" fillId="30" borderId="10" xfId="127" applyFont="1" applyFill="1" applyBorder="1" applyAlignment="1">
      <alignment horizontal="left" vertical="center"/>
    </xf>
    <xf numFmtId="1" fontId="13" fillId="30" borderId="10" xfId="129" applyNumberFormat="1" applyFont="1" applyFill="1" applyBorder="1" applyAlignment="1">
      <alignment horizontal="center" vertical="center" wrapText="1"/>
    </xf>
    <xf numFmtId="0" fontId="13" fillId="30" borderId="10" xfId="52" applyFont="1" applyFill="1" applyBorder="1" applyAlignment="1">
      <alignment horizontal="center" vertical="center" wrapText="1"/>
    </xf>
    <xf numFmtId="0" fontId="13" fillId="30" borderId="10" xfId="52" applyFont="1" applyFill="1" applyBorder="1" applyAlignment="1">
      <alignment horizontal="left" vertical="center"/>
    </xf>
    <xf numFmtId="0" fontId="13" fillId="30" borderId="10" xfId="128" applyNumberFormat="1" applyFont="1" applyFill="1" applyBorder="1" applyAlignment="1">
      <alignment vertical="center"/>
    </xf>
    <xf numFmtId="173" fontId="68" fillId="0" borderId="10" xfId="128" applyNumberFormat="1" applyFill="1" applyBorder="1" applyAlignment="1">
      <alignment vertical="center"/>
    </xf>
    <xf numFmtId="4" fontId="13" fillId="30" borderId="10" xfId="127" applyNumberFormat="1" applyFont="1" applyFill="1" applyBorder="1" applyAlignment="1">
      <alignment vertical="center"/>
    </xf>
    <xf numFmtId="0" fontId="13" fillId="30" borderId="10" xfId="52" applyFont="1" applyFill="1" applyBorder="1" applyAlignment="1">
      <alignment horizontal="center"/>
    </xf>
    <xf numFmtId="0" fontId="13" fillId="30" borderId="10" xfId="52" applyFont="1" applyFill="1" applyBorder="1"/>
    <xf numFmtId="0" fontId="13" fillId="30" borderId="10" xfId="52" applyFont="1" applyFill="1" applyBorder="1" applyAlignment="1">
      <alignment horizontal="left"/>
    </xf>
    <xf numFmtId="14" fontId="13" fillId="30" borderId="10" xfId="52" applyNumberFormat="1" applyFont="1" applyFill="1" applyBorder="1" applyAlignment="1">
      <alignment horizontal="left"/>
    </xf>
    <xf numFmtId="4" fontId="13" fillId="30" borderId="10" xfId="128" applyNumberFormat="1" applyFont="1" applyFill="1" applyBorder="1" applyAlignment="1">
      <alignment horizontal="right" vertical="center" wrapText="1"/>
    </xf>
    <xf numFmtId="0" fontId="13" fillId="30" borderId="0" xfId="52" applyFont="1" applyFill="1" applyBorder="1"/>
    <xf numFmtId="0" fontId="13" fillId="30" borderId="0" xfId="52" applyFont="1" applyFill="1"/>
    <xf numFmtId="4" fontId="13" fillId="30" borderId="10" xfId="127" applyNumberFormat="1" applyFont="1" applyFill="1" applyBorder="1" applyAlignment="1">
      <alignment horizontal="right" vertical="center" wrapText="1"/>
    </xf>
    <xf numFmtId="0" fontId="56" fillId="30" borderId="10" xfId="52" applyFont="1" applyFill="1" applyBorder="1" applyAlignment="1">
      <alignment horizontal="center" vertical="center" wrapText="1"/>
    </xf>
    <xf numFmtId="4" fontId="56" fillId="30" borderId="10" xfId="52" applyNumberFormat="1" applyFont="1" applyFill="1" applyBorder="1"/>
    <xf numFmtId="4" fontId="13" fillId="30" borderId="10" xfId="128" applyNumberFormat="1" applyFont="1" applyFill="1" applyBorder="1" applyAlignment="1">
      <alignment vertical="center"/>
    </xf>
    <xf numFmtId="173" fontId="13" fillId="30" borderId="10" xfId="128" applyNumberFormat="1" applyFont="1" applyFill="1" applyBorder="1" applyAlignment="1">
      <alignment vertical="center"/>
    </xf>
    <xf numFmtId="0" fontId="56" fillId="30" borderId="0" xfId="52" applyFont="1" applyFill="1" applyBorder="1"/>
    <xf numFmtId="0" fontId="56" fillId="30" borderId="0" xfId="52" applyFont="1" applyFill="1"/>
    <xf numFmtId="0" fontId="56" fillId="30" borderId="10" xfId="52" applyFont="1" applyFill="1" applyBorder="1" applyAlignment="1">
      <alignment horizontal="left" vertical="center" wrapText="1"/>
    </xf>
    <xf numFmtId="14" fontId="56" fillId="30" borderId="10" xfId="52" applyNumberFormat="1" applyFont="1" applyFill="1" applyBorder="1" applyAlignment="1">
      <alignment horizontal="left" vertical="center" wrapText="1"/>
    </xf>
    <xf numFmtId="0" fontId="13" fillId="30" borderId="15" xfId="128" applyFont="1" applyFill="1" applyBorder="1" applyAlignment="1">
      <alignment horizontal="center" vertical="center"/>
    </xf>
    <xf numFmtId="0" fontId="13" fillId="30" borderId="15" xfId="128" applyFont="1" applyFill="1" applyBorder="1" applyAlignment="1">
      <alignment vertical="center"/>
    </xf>
    <xf numFmtId="4" fontId="13" fillId="30" borderId="10" xfId="128" applyNumberFormat="1" applyFont="1" applyFill="1" applyBorder="1" applyAlignment="1">
      <alignment horizontal="center" vertical="center"/>
    </xf>
    <xf numFmtId="0" fontId="59" fillId="30" borderId="0" xfId="52" applyFont="1" applyFill="1" applyBorder="1"/>
    <xf numFmtId="0" fontId="59" fillId="30" borderId="0" xfId="52" applyFont="1" applyFill="1"/>
    <xf numFmtId="4" fontId="13" fillId="30" borderId="15" xfId="52" applyNumberFormat="1" applyFont="1" applyFill="1" applyBorder="1" applyAlignment="1">
      <alignment horizontal="right" vertical="center" wrapText="1"/>
    </xf>
    <xf numFmtId="0" fontId="13" fillId="30" borderId="13" xfId="128" applyFont="1" applyFill="1" applyBorder="1" applyAlignment="1">
      <alignment horizontal="left" vertical="center"/>
    </xf>
    <xf numFmtId="174" fontId="13" fillId="30" borderId="10" xfId="52" applyNumberFormat="1" applyFont="1" applyFill="1" applyBorder="1" applyAlignment="1">
      <alignment horizontal="right" vertical="center" wrapText="1"/>
    </xf>
    <xf numFmtId="4" fontId="13" fillId="30" borderId="16" xfId="128" applyNumberFormat="1" applyFont="1" applyFill="1" applyBorder="1" applyAlignment="1">
      <alignment horizontal="right" vertical="center"/>
    </xf>
    <xf numFmtId="4" fontId="13" fillId="30" borderId="12" xfId="52" applyNumberFormat="1" applyFont="1" applyFill="1" applyBorder="1" applyAlignment="1">
      <alignment horizontal="right" vertical="center" wrapText="1"/>
    </xf>
    <xf numFmtId="175" fontId="13" fillId="30" borderId="10" xfId="52" applyNumberFormat="1" applyFont="1" applyFill="1" applyBorder="1" applyAlignment="1">
      <alignment horizontal="left"/>
    </xf>
    <xf numFmtId="4" fontId="26" fillId="36" borderId="14" xfId="128" applyNumberFormat="1" applyFont="1" applyFill="1" applyBorder="1" applyAlignment="1">
      <alignment horizontal="left" vertical="center"/>
    </xf>
    <xf numFmtId="4" fontId="26" fillId="36" borderId="14" xfId="128" applyNumberFormat="1" applyFont="1" applyFill="1" applyBorder="1" applyAlignment="1">
      <alignment horizontal="right" vertical="center"/>
    </xf>
    <xf numFmtId="4" fontId="54" fillId="36" borderId="14" xfId="128" applyNumberFormat="1" applyFont="1" applyFill="1" applyBorder="1" applyAlignment="1">
      <alignment horizontal="right" vertical="center"/>
    </xf>
    <xf numFmtId="4" fontId="70" fillId="0" borderId="10" xfId="52" applyNumberFormat="1" applyFont="1" applyFill="1" applyBorder="1"/>
    <xf numFmtId="4" fontId="14" fillId="0" borderId="15" xfId="128" applyNumberFormat="1" applyFont="1" applyBorder="1" applyAlignment="1">
      <alignment horizontal="center" vertical="center"/>
    </xf>
    <xf numFmtId="4" fontId="14" fillId="0" borderId="10" xfId="128" applyNumberFormat="1" applyFont="1" applyFill="1" applyBorder="1" applyAlignment="1">
      <alignment vertical="center"/>
    </xf>
    <xf numFmtId="4" fontId="13" fillId="0" borderId="0" xfId="128" applyNumberFormat="1" applyFont="1" applyFill="1" applyAlignment="1">
      <alignment vertical="center"/>
    </xf>
    <xf numFmtId="0" fontId="13" fillId="0" borderId="0" xfId="128" applyFont="1" applyFill="1" applyAlignment="1">
      <alignment vertical="center"/>
    </xf>
    <xf numFmtId="0" fontId="27" fillId="36" borderId="15" xfId="128" applyFont="1" applyFill="1" applyBorder="1" applyAlignment="1">
      <alignment horizontal="center" vertical="center"/>
    </xf>
    <xf numFmtId="0" fontId="27" fillId="36" borderId="18" xfId="128" applyFont="1" applyFill="1" applyBorder="1" applyAlignment="1">
      <alignment vertical="center"/>
    </xf>
    <xf numFmtId="0" fontId="27" fillId="36" borderId="19" xfId="128" applyFont="1" applyFill="1" applyBorder="1" applyAlignment="1">
      <alignment vertical="center"/>
    </xf>
    <xf numFmtId="0" fontId="27" fillId="36" borderId="19" xfId="128" applyFont="1" applyFill="1" applyBorder="1" applyAlignment="1">
      <alignment horizontal="left" vertical="center"/>
    </xf>
    <xf numFmtId="4" fontId="26" fillId="36" borderId="19" xfId="128" applyNumberFormat="1" applyFont="1" applyFill="1" applyBorder="1" applyAlignment="1">
      <alignment horizontal="left" vertical="center"/>
    </xf>
    <xf numFmtId="4" fontId="26" fillId="36" borderId="19" xfId="128" applyNumberFormat="1" applyFont="1" applyFill="1" applyBorder="1" applyAlignment="1">
      <alignment horizontal="right" vertical="center"/>
    </xf>
    <xf numFmtId="44" fontId="54" fillId="36" borderId="20" xfId="53" applyFont="1" applyFill="1" applyBorder="1" applyAlignment="1">
      <alignment horizontal="right" vertical="center"/>
    </xf>
    <xf numFmtId="0" fontId="72" fillId="0" borderId="0" xfId="128" applyFont="1" applyFill="1" applyBorder="1" applyAlignment="1">
      <alignment horizontal="center" vertical="center"/>
    </xf>
    <xf numFmtId="0" fontId="72" fillId="0" borderId="0" xfId="128" applyFont="1" applyFill="1" applyBorder="1" applyAlignment="1">
      <alignment vertical="center"/>
    </xf>
    <xf numFmtId="0" fontId="72" fillId="0" borderId="0" xfId="128" applyFont="1" applyFill="1" applyBorder="1" applyAlignment="1">
      <alignment horizontal="left" vertical="center"/>
    </xf>
    <xf numFmtId="4" fontId="71" fillId="0" borderId="0" xfId="128" applyNumberFormat="1" applyFont="1" applyFill="1" applyBorder="1" applyAlignment="1">
      <alignment horizontal="left" vertical="center"/>
    </xf>
    <xf numFmtId="4" fontId="26" fillId="0" borderId="0" xfId="128" applyNumberFormat="1" applyFont="1" applyFill="1" applyBorder="1" applyAlignment="1">
      <alignment horizontal="right" vertical="center"/>
    </xf>
    <xf numFmtId="4" fontId="71" fillId="0" borderId="0" xfId="128" applyNumberFormat="1" applyFont="1" applyFill="1" applyBorder="1" applyAlignment="1">
      <alignment horizontal="right" vertical="center"/>
    </xf>
    <xf numFmtId="0" fontId="73" fillId="30" borderId="0" xfId="128" applyFont="1" applyFill="1" applyBorder="1" applyAlignment="1">
      <alignment horizontal="left" vertical="center"/>
    </xf>
    <xf numFmtId="44" fontId="74" fillId="30" borderId="0" xfId="53" applyFont="1" applyFill="1" applyBorder="1" applyAlignment="1">
      <alignment horizontal="right" vertical="center"/>
    </xf>
    <xf numFmtId="0" fontId="73" fillId="30" borderId="0" xfId="128" applyFont="1" applyFill="1" applyBorder="1" applyAlignment="1">
      <alignment horizontal="center" vertical="center"/>
    </xf>
    <xf numFmtId="0" fontId="71" fillId="30" borderId="0" xfId="128" applyFont="1" applyFill="1" applyBorder="1" applyAlignment="1">
      <alignment horizontal="left" vertical="center"/>
    </xf>
    <xf numFmtId="4" fontId="71" fillId="30" borderId="0" xfId="128" applyNumberFormat="1" applyFont="1" applyFill="1" applyAlignment="1">
      <alignment horizontal="right" vertical="center"/>
    </xf>
    <xf numFmtId="4" fontId="74" fillId="0" borderId="0" xfId="128" applyNumberFormat="1" applyFont="1" applyFill="1" applyBorder="1" applyAlignment="1">
      <alignment horizontal="right" vertical="center"/>
    </xf>
    <xf numFmtId="0" fontId="59" fillId="0" borderId="0" xfId="128" applyFont="1" applyFill="1" applyBorder="1" applyAlignment="1">
      <alignment horizontal="center" vertical="center"/>
    </xf>
    <xf numFmtId="0" fontId="59" fillId="0" borderId="0" xfId="128" applyNumberFormat="1" applyFont="1" applyFill="1" applyBorder="1" applyAlignment="1">
      <alignment horizontal="center" vertical="center"/>
    </xf>
    <xf numFmtId="0" fontId="59" fillId="0" borderId="0" xfId="52" applyFont="1" applyFill="1"/>
    <xf numFmtId="0" fontId="59" fillId="0" borderId="0" xfId="127" applyFont="1" applyFill="1" applyBorder="1" applyAlignment="1">
      <alignment horizontal="left" vertical="center"/>
    </xf>
    <xf numFmtId="14" fontId="59" fillId="0" borderId="0" xfId="128" applyNumberFormat="1" applyFont="1" applyFill="1" applyBorder="1" applyAlignment="1">
      <alignment horizontal="left" vertical="center"/>
    </xf>
    <xf numFmtId="0" fontId="75" fillId="0" borderId="0" xfId="127" applyFont="1" applyFill="1" applyBorder="1" applyAlignment="1">
      <alignment horizontal="center" vertical="center"/>
    </xf>
    <xf numFmtId="0" fontId="71" fillId="0" borderId="0" xfId="127" applyFont="1" applyFill="1" applyAlignment="1">
      <alignment horizontal="center" vertical="center"/>
    </xf>
    <xf numFmtId="0" fontId="71" fillId="0" borderId="0" xfId="127" applyFont="1" applyFill="1" applyAlignment="1">
      <alignment horizontal="right" vertical="center"/>
    </xf>
    <xf numFmtId="4" fontId="71" fillId="0" borderId="0" xfId="128" applyNumberFormat="1" applyFont="1" applyFill="1" applyBorder="1" applyAlignment="1">
      <alignment horizontal="center" vertical="center"/>
    </xf>
    <xf numFmtId="0" fontId="59" fillId="0" borderId="0" xfId="52" applyFont="1" applyFill="1" applyBorder="1"/>
    <xf numFmtId="0" fontId="13" fillId="0" borderId="0" xfId="52" applyFont="1" applyFill="1" applyBorder="1"/>
    <xf numFmtId="0" fontId="13" fillId="0" borderId="0" xfId="52" applyFont="1" applyFill="1"/>
    <xf numFmtId="0" fontId="56" fillId="0" borderId="0" xfId="52" applyBorder="1" applyAlignment="1">
      <alignment horizontal="left"/>
    </xf>
    <xf numFmtId="0" fontId="56" fillId="0" borderId="0" xfId="52" applyFont="1" applyBorder="1" applyAlignment="1">
      <alignment horizontal="left"/>
    </xf>
    <xf numFmtId="0" fontId="59" fillId="0" borderId="0" xfId="52" applyFont="1" applyBorder="1"/>
    <xf numFmtId="0" fontId="72" fillId="36" borderId="0" xfId="128" applyFont="1" applyFill="1" applyBorder="1" applyAlignment="1">
      <alignment horizontal="center" vertical="center"/>
    </xf>
    <xf numFmtId="0" fontId="72" fillId="36" borderId="0" xfId="128" applyFont="1" applyFill="1" applyBorder="1" applyAlignment="1">
      <alignment horizontal="left" vertical="center"/>
    </xf>
    <xf numFmtId="0" fontId="26" fillId="36" borderId="0" xfId="128" applyFont="1" applyFill="1" applyBorder="1" applyAlignment="1">
      <alignment horizontal="left" vertical="center"/>
    </xf>
    <xf numFmtId="0" fontId="73" fillId="36" borderId="0" xfId="128" applyFont="1" applyFill="1" applyBorder="1" applyAlignment="1">
      <alignment horizontal="left" vertical="center"/>
    </xf>
    <xf numFmtId="4" fontId="71" fillId="36" borderId="0" xfId="128" applyNumberFormat="1" applyFont="1" applyFill="1" applyAlignment="1">
      <alignment horizontal="right" vertical="center"/>
    </xf>
    <xf numFmtId="4" fontId="26" fillId="36" borderId="0" xfId="128" applyNumberFormat="1" applyFont="1" applyFill="1" applyAlignment="1">
      <alignment horizontal="right" vertical="center"/>
    </xf>
    <xf numFmtId="44" fontId="26" fillId="36" borderId="0" xfId="53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41" fontId="18" fillId="0" borderId="0" xfId="0" applyNumberFormat="1" applyFont="1" applyFill="1" applyBorder="1" applyAlignment="1">
      <alignment horizontal="right" vertical="center"/>
    </xf>
    <xf numFmtId="41" fontId="18" fillId="0" borderId="0" xfId="0" applyNumberFormat="1" applyFont="1" applyFill="1" applyBorder="1" applyAlignment="1">
      <alignment horizontal="right"/>
    </xf>
    <xf numFmtId="41" fontId="14" fillId="0" borderId="0" xfId="0" applyNumberFormat="1" applyFont="1" applyFill="1" applyBorder="1" applyAlignment="1">
      <alignment horizontal="right"/>
    </xf>
    <xf numFmtId="41" fontId="18" fillId="0" borderId="0" xfId="0" applyNumberFormat="1" applyFont="1" applyFill="1"/>
    <xf numFmtId="41" fontId="26" fillId="0" borderId="0" xfId="0" applyNumberFormat="1" applyFont="1" applyFill="1" applyBorder="1" applyAlignment="1">
      <alignment horizontal="right" vertical="center"/>
    </xf>
    <xf numFmtId="0" fontId="14" fillId="32" borderId="24" xfId="0" applyFont="1" applyFill="1" applyBorder="1" applyAlignment="1">
      <alignment horizontal="center"/>
    </xf>
    <xf numFmtId="176" fontId="0" fillId="0" borderId="10" xfId="0" applyNumberFormat="1" applyBorder="1"/>
    <xf numFmtId="172" fontId="13" fillId="26" borderId="10" xfId="0" applyNumberFormat="1" applyFont="1" applyFill="1" applyBorder="1" applyAlignment="1">
      <alignment horizontal="right" indent="1"/>
    </xf>
    <xf numFmtId="0" fontId="4" fillId="0" borderId="0" xfId="131"/>
    <xf numFmtId="44" fontId="4" fillId="0" borderId="0" xfId="131" applyNumberFormat="1"/>
    <xf numFmtId="0" fontId="4" fillId="0" borderId="10" xfId="131" applyBorder="1" applyAlignment="1">
      <alignment wrapText="1"/>
    </xf>
    <xf numFmtId="0" fontId="4" fillId="0" borderId="10" xfId="131" applyBorder="1" applyAlignment="1">
      <alignment horizontal="center"/>
    </xf>
    <xf numFmtId="44" fontId="4" fillId="0" borderId="10" xfId="131" applyNumberFormat="1" applyBorder="1"/>
    <xf numFmtId="0" fontId="4" fillId="0" borderId="0" xfId="131"/>
    <xf numFmtId="44" fontId="78" fillId="0" borderId="0" xfId="131" applyNumberFormat="1" applyFont="1"/>
    <xf numFmtId="0" fontId="78" fillId="38" borderId="10" xfId="131" applyFont="1" applyFill="1" applyBorder="1" applyAlignment="1">
      <alignment horizontal="center" vertical="center"/>
    </xf>
    <xf numFmtId="0" fontId="4" fillId="0" borderId="10" xfId="131" applyBorder="1"/>
    <xf numFmtId="0" fontId="78" fillId="0" borderId="34" xfId="131" applyFont="1" applyBorder="1"/>
    <xf numFmtId="0" fontId="78" fillId="0" borderId="35" xfId="131" applyFont="1" applyBorder="1"/>
    <xf numFmtId="0" fontId="4" fillId="0" borderId="0" xfId="131" applyBorder="1"/>
    <xf numFmtId="0" fontId="4" fillId="0" borderId="34" xfId="131" applyBorder="1"/>
    <xf numFmtId="0" fontId="4" fillId="0" borderId="10" xfId="131" applyBorder="1" applyAlignment="1">
      <alignment wrapText="1"/>
    </xf>
    <xf numFmtId="0" fontId="78" fillId="0" borderId="0" xfId="131" applyFont="1"/>
    <xf numFmtId="0" fontId="4" fillId="0" borderId="24" xfId="131" applyBorder="1"/>
    <xf numFmtId="0" fontId="4" fillId="0" borderId="32" xfId="131" applyBorder="1"/>
    <xf numFmtId="0" fontId="4" fillId="0" borderId="10" xfId="131" applyBorder="1" applyAlignment="1">
      <alignment horizontal="center"/>
    </xf>
    <xf numFmtId="0" fontId="13" fillId="0" borderId="16" xfId="38" applyBorder="1"/>
    <xf numFmtId="44" fontId="4" fillId="0" borderId="10" xfId="131" applyNumberFormat="1" applyBorder="1"/>
    <xf numFmtId="0" fontId="78" fillId="38" borderId="10" xfId="131" applyFont="1" applyFill="1" applyBorder="1" applyAlignment="1">
      <alignment horizontal="center" vertical="center" wrapText="1"/>
    </xf>
    <xf numFmtId="44" fontId="4" fillId="0" borderId="33" xfId="131" applyNumberFormat="1" applyBorder="1"/>
    <xf numFmtId="44" fontId="78" fillId="0" borderId="36" xfId="131" applyNumberFormat="1" applyFont="1" applyBorder="1"/>
    <xf numFmtId="0" fontId="4" fillId="0" borderId="23" xfId="131" applyBorder="1"/>
    <xf numFmtId="44" fontId="4" fillId="0" borderId="25" xfId="131" applyNumberFormat="1" applyBorder="1"/>
    <xf numFmtId="0" fontId="78" fillId="0" borderId="35" xfId="131" applyFont="1" applyBorder="1" applyAlignment="1">
      <alignment horizontal="right"/>
    </xf>
    <xf numFmtId="0" fontId="52" fillId="0" borderId="31" xfId="38" applyFont="1" applyBorder="1" applyAlignment="1">
      <alignment horizontal="left" vertical="center" wrapText="1" indent="1"/>
    </xf>
    <xf numFmtId="0" fontId="79" fillId="0" borderId="16" xfId="38" applyFont="1" applyFill="1" applyBorder="1" applyAlignment="1">
      <alignment horizontal="center"/>
    </xf>
    <xf numFmtId="0" fontId="79" fillId="0" borderId="10" xfId="38" applyFont="1" applyFill="1" applyBorder="1" applyAlignment="1">
      <alignment horizontal="center"/>
    </xf>
    <xf numFmtId="0" fontId="79" fillId="0" borderId="37" xfId="38" applyFont="1" applyFill="1" applyBorder="1" applyAlignment="1">
      <alignment horizontal="center"/>
    </xf>
    <xf numFmtId="44" fontId="13" fillId="0" borderId="39" xfId="38" applyNumberFormat="1" applyBorder="1"/>
    <xf numFmtId="0" fontId="13" fillId="0" borderId="38" xfId="38" applyBorder="1"/>
    <xf numFmtId="0" fontId="79" fillId="0" borderId="11" xfId="38" applyFont="1" applyFill="1" applyBorder="1" applyAlignment="1">
      <alignment horizontal="center"/>
    </xf>
    <xf numFmtId="0" fontId="13" fillId="0" borderId="10" xfId="38" applyBorder="1"/>
    <xf numFmtId="44" fontId="13" fillId="0" borderId="10" xfId="38" applyNumberFormat="1" applyBorder="1"/>
    <xf numFmtId="0" fontId="13" fillId="0" borderId="21" xfId="38" applyBorder="1"/>
    <xf numFmtId="0" fontId="14" fillId="0" borderId="26" xfId="38" applyFont="1" applyBorder="1"/>
    <xf numFmtId="44" fontId="14" fillId="0" borderId="27" xfId="38" applyNumberFormat="1" applyFont="1" applyBorder="1"/>
    <xf numFmtId="0" fontId="14" fillId="0" borderId="27" xfId="38" applyFont="1" applyBorder="1"/>
    <xf numFmtId="44" fontId="14" fillId="0" borderId="28" xfId="38" applyNumberFormat="1" applyFont="1" applyBorder="1"/>
    <xf numFmtId="41" fontId="0" fillId="0" borderId="0" xfId="0" applyNumberFormat="1"/>
    <xf numFmtId="0" fontId="3" fillId="0" borderId="10" xfId="131" applyFont="1" applyBorder="1"/>
    <xf numFmtId="44" fontId="0" fillId="0" borderId="0" xfId="0" applyNumberFormat="1"/>
    <xf numFmtId="0" fontId="81" fillId="0" borderId="0" xfId="127" applyFont="1" applyAlignment="1">
      <alignment horizontal="left" vertical="center"/>
    </xf>
    <xf numFmtId="0" fontId="82" fillId="0" borderId="0" xfId="127" applyFont="1" applyAlignment="1">
      <alignment horizontal="left" vertical="center"/>
    </xf>
    <xf numFmtId="165" fontId="56" fillId="0" borderId="10" xfId="33" applyNumberFormat="1" applyFont="1" applyFill="1" applyBorder="1" applyAlignment="1">
      <alignment vertical="center"/>
    </xf>
    <xf numFmtId="41" fontId="83" fillId="0" borderId="0" xfId="0" applyNumberFormat="1" applyFont="1" applyFill="1"/>
    <xf numFmtId="0" fontId="84" fillId="0" borderId="0" xfId="0" applyFont="1" applyFill="1"/>
    <xf numFmtId="43" fontId="16" fillId="0" borderId="0" xfId="0" applyNumberFormat="1" applyFont="1"/>
    <xf numFmtId="3" fontId="16" fillId="0" borderId="0" xfId="0" applyNumberFormat="1" applyFont="1"/>
    <xf numFmtId="0" fontId="78" fillId="38" borderId="10" xfId="196" applyFont="1" applyFill="1" applyBorder="1" applyAlignment="1">
      <alignment horizontal="center" vertical="center"/>
    </xf>
    <xf numFmtId="0" fontId="2" fillId="0" borderId="10" xfId="196" applyBorder="1"/>
    <xf numFmtId="44" fontId="2" fillId="0" borderId="10" xfId="196" applyNumberFormat="1" applyBorder="1"/>
    <xf numFmtId="0" fontId="79" fillId="0" borderId="13" xfId="38" applyFont="1" applyFill="1" applyBorder="1" applyAlignment="1">
      <alignment horizontal="center"/>
    </xf>
    <xf numFmtId="0" fontId="13" fillId="0" borderId="10" xfId="38" applyBorder="1" applyAlignment="1">
      <alignment wrapText="1"/>
    </xf>
    <xf numFmtId="0" fontId="14" fillId="0" borderId="40" xfId="38" applyFont="1" applyBorder="1"/>
    <xf numFmtId="0" fontId="2" fillId="0" borderId="10" xfId="196" applyFont="1" applyBorder="1"/>
    <xf numFmtId="0" fontId="2" fillId="0" borderId="34" xfId="196" applyBorder="1"/>
    <xf numFmtId="0" fontId="78" fillId="0" borderId="35" xfId="196" applyFont="1" applyBorder="1" applyAlignment="1">
      <alignment horizontal="right"/>
    </xf>
    <xf numFmtId="44" fontId="78" fillId="0" borderId="36" xfId="196" applyNumberFormat="1" applyFont="1" applyBorder="1"/>
    <xf numFmtId="43" fontId="52" fillId="26" borderId="10" xfId="0" applyNumberFormat="1" applyFont="1" applyFill="1" applyBorder="1" applyAlignment="1">
      <alignment horizontal="right" vertical="center" indent="1"/>
    </xf>
    <xf numFmtId="4" fontId="13" fillId="30" borderId="0" xfId="197" applyNumberFormat="1" applyFont="1" applyFill="1" applyAlignment="1">
      <alignment wrapText="1"/>
    </xf>
    <xf numFmtId="0" fontId="14" fillId="24" borderId="10" xfId="0" applyFont="1" applyFill="1" applyBorder="1" applyAlignment="1">
      <alignment horizontal="center" vertical="center"/>
    </xf>
    <xf numFmtId="41" fontId="14" fillId="24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41" fontId="14" fillId="24" borderId="1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4" fillId="24" borderId="10" xfId="0" applyFont="1" applyFill="1" applyBorder="1" applyAlignment="1">
      <alignment horizontal="center" vertical="center" textRotation="90"/>
    </xf>
    <xf numFmtId="166" fontId="14" fillId="24" borderId="10" xfId="0" applyNumberFormat="1" applyFont="1" applyFill="1" applyBorder="1" applyAlignment="1">
      <alignment horizontal="center" vertical="center" textRotation="90"/>
    </xf>
    <xf numFmtId="165" fontId="14" fillId="24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textRotation="90" wrapText="1"/>
    </xf>
    <xf numFmtId="166" fontId="14" fillId="24" borderId="10" xfId="0" applyNumberFormat="1" applyFont="1" applyFill="1" applyBorder="1" applyAlignment="1">
      <alignment horizontal="center" vertical="center" textRotation="90" wrapText="1"/>
    </xf>
    <xf numFmtId="0" fontId="14" fillId="24" borderId="15" xfId="0" applyFont="1" applyFill="1" applyBorder="1" applyAlignment="1">
      <alignment horizontal="center" vertical="center" textRotation="90"/>
    </xf>
    <xf numFmtId="0" fontId="14" fillId="24" borderId="12" xfId="0" applyFont="1" applyFill="1" applyBorder="1" applyAlignment="1">
      <alignment horizontal="center" vertical="center" textRotation="90"/>
    </xf>
    <xf numFmtId="3" fontId="14" fillId="24" borderId="15" xfId="0" applyNumberFormat="1" applyFont="1" applyFill="1" applyBorder="1" applyAlignment="1">
      <alignment horizontal="center" vertical="center" wrapText="1"/>
    </xf>
    <xf numFmtId="3" fontId="14" fillId="24" borderId="12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4" fillId="27" borderId="13" xfId="0" applyFont="1" applyFill="1" applyBorder="1" applyAlignment="1">
      <alignment horizontal="center" vertical="center"/>
    </xf>
    <xf numFmtId="0" fontId="54" fillId="27" borderId="14" xfId="0" applyFont="1" applyFill="1" applyBorder="1" applyAlignment="1">
      <alignment horizontal="center" vertical="center"/>
    </xf>
    <xf numFmtId="0" fontId="54" fillId="27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166" fontId="14" fillId="24" borderId="15" xfId="0" applyNumberFormat="1" applyFont="1" applyFill="1" applyBorder="1" applyAlignment="1">
      <alignment horizontal="center" vertical="center" textRotation="90"/>
    </xf>
    <xf numFmtId="166" fontId="14" fillId="24" borderId="12" xfId="0" applyNumberFormat="1" applyFont="1" applyFill="1" applyBorder="1" applyAlignment="1">
      <alignment horizontal="center" vertical="center" textRotation="90"/>
    </xf>
    <xf numFmtId="0" fontId="14" fillId="24" borderId="15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horizontal="center" vertical="center"/>
    </xf>
    <xf numFmtId="0" fontId="59" fillId="29" borderId="0" xfId="0" applyFont="1" applyFill="1" applyAlignment="1">
      <alignment horizontal="center"/>
    </xf>
    <xf numFmtId="0" fontId="14" fillId="24" borderId="13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26" fillId="27" borderId="13" xfId="0" applyFont="1" applyFill="1" applyBorder="1" applyAlignment="1">
      <alignment horizontal="center" vertical="center"/>
    </xf>
    <xf numFmtId="0" fontId="26" fillId="27" borderId="14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left" vertical="top" wrapText="1"/>
    </xf>
    <xf numFmtId="43" fontId="16" fillId="0" borderId="0" xfId="0" applyNumberFormat="1" applyFont="1" applyAlignment="1">
      <alignment horizontal="center"/>
    </xf>
    <xf numFmtId="41" fontId="16" fillId="0" borderId="0" xfId="0" applyNumberFormat="1" applyFont="1" applyAlignment="1">
      <alignment horizontal="center" wrapText="1"/>
    </xf>
    <xf numFmtId="0" fontId="27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/>
    </xf>
    <xf numFmtId="0" fontId="14" fillId="26" borderId="13" xfId="128" applyFont="1" applyFill="1" applyBorder="1" applyAlignment="1">
      <alignment horizontal="center" vertical="center"/>
    </xf>
    <xf numFmtId="0" fontId="14" fillId="26" borderId="14" xfId="128" applyFont="1" applyFill="1" applyBorder="1" applyAlignment="1">
      <alignment horizontal="center" vertical="center"/>
    </xf>
    <xf numFmtId="0" fontId="14" fillId="26" borderId="16" xfId="128" applyFont="1" applyFill="1" applyBorder="1" applyAlignment="1">
      <alignment horizontal="center" vertical="center"/>
    </xf>
    <xf numFmtId="4" fontId="14" fillId="26" borderId="13" xfId="128" applyNumberFormat="1" applyFont="1" applyFill="1" applyBorder="1" applyAlignment="1">
      <alignment horizontal="center" vertical="center"/>
    </xf>
    <xf numFmtId="4" fontId="14" fillId="26" borderId="14" xfId="128" applyNumberFormat="1" applyFont="1" applyFill="1" applyBorder="1" applyAlignment="1">
      <alignment horizontal="center" vertical="center"/>
    </xf>
    <xf numFmtId="4" fontId="14" fillId="26" borderId="16" xfId="128" applyNumberFormat="1" applyFont="1" applyFill="1" applyBorder="1" applyAlignment="1">
      <alignment horizontal="center" vertical="center"/>
    </xf>
    <xf numFmtId="0" fontId="14" fillId="26" borderId="13" xfId="128" applyFont="1" applyFill="1" applyBorder="1" applyAlignment="1">
      <alignment horizontal="center" vertical="center" wrapText="1"/>
    </xf>
    <xf numFmtId="0" fontId="14" fillId="26" borderId="14" xfId="128" applyFont="1" applyFill="1" applyBorder="1" applyAlignment="1">
      <alignment horizontal="center" vertical="center" wrapText="1"/>
    </xf>
    <xf numFmtId="0" fontId="27" fillId="36" borderId="14" xfId="128" applyFont="1" applyFill="1" applyBorder="1" applyAlignment="1">
      <alignment horizontal="right" vertical="center"/>
    </xf>
    <xf numFmtId="0" fontId="27" fillId="36" borderId="16" xfId="128" applyFont="1" applyFill="1" applyBorder="1" applyAlignment="1">
      <alignment horizontal="right" vertical="center"/>
    </xf>
    <xf numFmtId="0" fontId="14" fillId="32" borderId="23" xfId="0" applyFont="1" applyFill="1" applyBorder="1" applyAlignment="1">
      <alignment horizontal="center"/>
    </xf>
    <xf numFmtId="0" fontId="14" fillId="32" borderId="24" xfId="0" applyFont="1" applyFill="1" applyBorder="1" applyAlignment="1">
      <alignment horizontal="center"/>
    </xf>
    <xf numFmtId="0" fontId="14" fillId="32" borderId="25" xfId="0" applyFon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38" borderId="0" xfId="38" applyFont="1" applyFill="1" applyAlignment="1">
      <alignment horizontal="center"/>
    </xf>
    <xf numFmtId="0" fontId="79" fillId="0" borderId="23" xfId="38" applyFont="1" applyFill="1" applyBorder="1" applyAlignment="1">
      <alignment horizontal="center"/>
    </xf>
    <xf numFmtId="0" fontId="79" fillId="0" borderId="24" xfId="38" applyFont="1" applyFill="1" applyBorder="1" applyAlignment="1">
      <alignment horizontal="center"/>
    </xf>
    <xf numFmtId="0" fontId="79" fillId="0" borderId="25" xfId="38" applyFont="1" applyFill="1" applyBorder="1" applyAlignment="1">
      <alignment horizontal="center"/>
    </xf>
    <xf numFmtId="0" fontId="77" fillId="37" borderId="0" xfId="131" applyFont="1" applyFill="1" applyAlignment="1">
      <alignment horizontal="center"/>
    </xf>
    <xf numFmtId="0" fontId="80" fillId="0" borderId="0" xfId="131" applyFont="1" applyAlignment="1">
      <alignment horizontal="center"/>
    </xf>
    <xf numFmtId="0" fontId="77" fillId="37" borderId="22" xfId="131" applyFont="1" applyFill="1" applyBorder="1" applyAlignment="1">
      <alignment horizontal="center"/>
    </xf>
    <xf numFmtId="0" fontId="66" fillId="37" borderId="0" xfId="38" applyFont="1" applyFill="1" applyAlignment="1">
      <alignment horizontal="center"/>
    </xf>
    <xf numFmtId="0" fontId="80" fillId="0" borderId="0" xfId="196" applyFont="1" applyAlignment="1">
      <alignment horizontal="center"/>
    </xf>
    <xf numFmtId="0" fontId="77" fillId="37" borderId="0" xfId="196" applyFont="1" applyFill="1" applyAlignment="1">
      <alignment horizontal="center"/>
    </xf>
  </cellXfs>
  <cellStyles count="198">
    <cellStyle name="20% - Énfasis1" xfId="1" builtinId="30" customBuiltin="1"/>
    <cellStyle name="20% - Énfasis1 2" xfId="72"/>
    <cellStyle name="20% - Énfasis1 3" xfId="133"/>
    <cellStyle name="20% - Énfasis2" xfId="2" builtinId="34" customBuiltin="1"/>
    <cellStyle name="20% - Énfasis2 2" xfId="73"/>
    <cellStyle name="20% - Énfasis2 3" xfId="134"/>
    <cellStyle name="20% - Énfasis3" xfId="3" builtinId="38" customBuiltin="1"/>
    <cellStyle name="20% - Énfasis3 2" xfId="74"/>
    <cellStyle name="20% - Énfasis3 3" xfId="135"/>
    <cellStyle name="20% - Énfasis4" xfId="4" builtinId="42" customBuiltin="1"/>
    <cellStyle name="20% - Énfasis4 2" xfId="75"/>
    <cellStyle name="20% - Énfasis4 3" xfId="136"/>
    <cellStyle name="20% - Énfasis5" xfId="5" builtinId="46" customBuiltin="1"/>
    <cellStyle name="20% - Énfasis5 2" xfId="76"/>
    <cellStyle name="20% - Énfasis5 3" xfId="137"/>
    <cellStyle name="20% - Énfasis6" xfId="6" builtinId="50" customBuiltin="1"/>
    <cellStyle name="20% - Énfasis6 2" xfId="77"/>
    <cellStyle name="20% - Énfasis6 3" xfId="138"/>
    <cellStyle name="40% - Énfasis1" xfId="7" builtinId="31" customBuiltin="1"/>
    <cellStyle name="40% - Énfasis1 2" xfId="78"/>
    <cellStyle name="40% - Énfasis1 3" xfId="139"/>
    <cellStyle name="40% - Énfasis2" xfId="8" builtinId="35" customBuiltin="1"/>
    <cellStyle name="40% - Énfasis2 2" xfId="79"/>
    <cellStyle name="40% - Énfasis2 3" xfId="140"/>
    <cellStyle name="40% - Énfasis3" xfId="9" builtinId="39" customBuiltin="1"/>
    <cellStyle name="40% - Énfasis3 2" xfId="80"/>
    <cellStyle name="40% - Énfasis3 3" xfId="141"/>
    <cellStyle name="40% - Énfasis4" xfId="10" builtinId="43" customBuiltin="1"/>
    <cellStyle name="40% - Énfasis4 2" xfId="81"/>
    <cellStyle name="40% - Énfasis4 3" xfId="142"/>
    <cellStyle name="40% - Énfasis5" xfId="11" builtinId="47" customBuiltin="1"/>
    <cellStyle name="40% - Énfasis5 2" xfId="82"/>
    <cellStyle name="40% - Énfasis5 3" xfId="143"/>
    <cellStyle name="40% - Énfasis6" xfId="12" builtinId="51" customBuiltin="1"/>
    <cellStyle name="40% - Énfasis6 2" xfId="83"/>
    <cellStyle name="40% - Énfasis6 3" xfId="144"/>
    <cellStyle name="60% - Énfasis1" xfId="13" builtinId="32" customBuiltin="1"/>
    <cellStyle name="60% - Énfasis1 2" xfId="84"/>
    <cellStyle name="60% - Énfasis1 3" xfId="145"/>
    <cellStyle name="60% - Énfasis2" xfId="14" builtinId="36" customBuiltin="1"/>
    <cellStyle name="60% - Énfasis2 2" xfId="85"/>
    <cellStyle name="60% - Énfasis2 3" xfId="146"/>
    <cellStyle name="60% - Énfasis3" xfId="15" builtinId="40" customBuiltin="1"/>
    <cellStyle name="60% - Énfasis3 2" xfId="86"/>
    <cellStyle name="60% - Énfasis3 3" xfId="147"/>
    <cellStyle name="60% - Énfasis4" xfId="16" builtinId="44" customBuiltin="1"/>
    <cellStyle name="60% - Énfasis4 2" xfId="87"/>
    <cellStyle name="60% - Énfasis4 3" xfId="148"/>
    <cellStyle name="60% - Énfasis5" xfId="17" builtinId="48" customBuiltin="1"/>
    <cellStyle name="60% - Énfasis5 2" xfId="88"/>
    <cellStyle name="60% - Énfasis5 3" xfId="149"/>
    <cellStyle name="60% - Énfasis6" xfId="18" builtinId="52" customBuiltin="1"/>
    <cellStyle name="60% - Énfasis6 2" xfId="89"/>
    <cellStyle name="60% - Énfasis6 3" xfId="150"/>
    <cellStyle name="Buena" xfId="19" builtinId="26" customBuiltin="1"/>
    <cellStyle name="Buena 2" xfId="90"/>
    <cellStyle name="Buena 3" xfId="151"/>
    <cellStyle name="Cálculo" xfId="20" builtinId="22" customBuiltin="1"/>
    <cellStyle name="Cálculo 2" xfId="91"/>
    <cellStyle name="Cálculo 3" xfId="152"/>
    <cellStyle name="Celda de comprobación" xfId="21" builtinId="23" customBuiltin="1"/>
    <cellStyle name="Celda de comprobación 2" xfId="92"/>
    <cellStyle name="Celda de comprobación 3" xfId="153"/>
    <cellStyle name="Celda vinculada" xfId="22" builtinId="24" customBuiltin="1"/>
    <cellStyle name="Celda vinculada 2" xfId="93"/>
    <cellStyle name="Celda vinculada 3" xfId="154"/>
    <cellStyle name="Encabezado 4" xfId="23" builtinId="19" customBuiltin="1"/>
    <cellStyle name="Encabezado 4 2" xfId="94"/>
    <cellStyle name="Encabezado 4 3" xfId="155"/>
    <cellStyle name="Énfasis1" xfId="24" builtinId="29" customBuiltin="1"/>
    <cellStyle name="Énfasis1 2" xfId="95"/>
    <cellStyle name="Énfasis1 3" xfId="156"/>
    <cellStyle name="Énfasis2" xfId="25" builtinId="33" customBuiltin="1"/>
    <cellStyle name="Énfasis2 2" xfId="96"/>
    <cellStyle name="Énfasis2 3" xfId="157"/>
    <cellStyle name="Énfasis3" xfId="26" builtinId="37" customBuiltin="1"/>
    <cellStyle name="Énfasis3 2" xfId="97"/>
    <cellStyle name="Énfasis3 3" xfId="158"/>
    <cellStyle name="Énfasis4" xfId="27" builtinId="41" customBuiltin="1"/>
    <cellStyle name="Énfasis4 2" xfId="98"/>
    <cellStyle name="Énfasis4 3" xfId="159"/>
    <cellStyle name="Énfasis5" xfId="28" builtinId="45" customBuiltin="1"/>
    <cellStyle name="Énfasis5 2" xfId="99"/>
    <cellStyle name="Énfasis5 3" xfId="160"/>
    <cellStyle name="Énfasis6" xfId="29" builtinId="49" customBuiltin="1"/>
    <cellStyle name="Énfasis6 2" xfId="100"/>
    <cellStyle name="Énfasis6 3" xfId="161"/>
    <cellStyle name="Entrada" xfId="30" builtinId="20" customBuiltin="1"/>
    <cellStyle name="Entrada 2" xfId="101"/>
    <cellStyle name="Entrada 3" xfId="162"/>
    <cellStyle name="Euro" xfId="31"/>
    <cellStyle name="Incorrecto" xfId="32" builtinId="27" customBuiltin="1"/>
    <cellStyle name="Incorrecto 2" xfId="102"/>
    <cellStyle name="Incorrecto 3" xfId="163"/>
    <cellStyle name="Millares" xfId="33" builtinId="3"/>
    <cellStyle name="Millares 2" xfId="34"/>
    <cellStyle name="Millares 2 2" xfId="51"/>
    <cellStyle name="Millares 2 2 2" xfId="115"/>
    <cellStyle name="Millares 3" xfId="65"/>
    <cellStyle name="Millares 3 2" xfId="120"/>
    <cellStyle name="Millares 3 2 2" xfId="189"/>
    <cellStyle name="Millares 3 3" xfId="179"/>
    <cellStyle name="Millares 4" xfId="103"/>
    <cellStyle name="Millares 5" xfId="164"/>
    <cellStyle name="Moneda" xfId="66" builtinId="4"/>
    <cellStyle name="Moneda 2" xfId="35"/>
    <cellStyle name="Moneda 2 2" xfId="53"/>
    <cellStyle name="Moneda 2 2 2" xfId="64"/>
    <cellStyle name="Moneda 3" xfId="36"/>
    <cellStyle name="Moneda 3 2" xfId="57"/>
    <cellStyle name="Moneda 4" xfId="56"/>
    <cellStyle name="Moneda 5" xfId="121"/>
    <cellStyle name="Moneda 6" xfId="180"/>
    <cellStyle name="Neutral" xfId="37" builtinId="28" customBuiltin="1"/>
    <cellStyle name="Neutral 2" xfId="104"/>
    <cellStyle name="Neutral 3" xfId="165"/>
    <cellStyle name="Normal" xfId="0" builtinId="0"/>
    <cellStyle name="Normal 10" xfId="132"/>
    <cellStyle name="Normal 10 2" xfId="194"/>
    <cellStyle name="Normal 11" xfId="131"/>
    <cellStyle name="Normal 11 2" xfId="196"/>
    <cellStyle name="Normal 2" xfId="38"/>
    <cellStyle name="Normal 2 2" xfId="50"/>
    <cellStyle name="Normal 2 2 2" xfId="114"/>
    <cellStyle name="Normal 2_AvancesProgr.Presup.1° trim-13" xfId="39"/>
    <cellStyle name="Normal 2_AvancesProgr.Presup.1° trim-13 2" xfId="127"/>
    <cellStyle name="Normal 3" xfId="52"/>
    <cellStyle name="Normal 3 2" xfId="58"/>
    <cellStyle name="Normal 3 2 2" xfId="116"/>
    <cellStyle name="Normal 3 2 2 2" xfId="185"/>
    <cellStyle name="Normal 3 2 3" xfId="175"/>
    <cellStyle name="Normal 4" xfId="59"/>
    <cellStyle name="Normal 4 10" xfId="195"/>
    <cellStyle name="Normal 4 11" xfId="197"/>
    <cellStyle name="Normal 4 2" xfId="62"/>
    <cellStyle name="Normal 4 2 2" xfId="118"/>
    <cellStyle name="Normal 4 2 2 2" xfId="187"/>
    <cellStyle name="Normal 4 2 3" xfId="177"/>
    <cellStyle name="Normal 4 3" xfId="63"/>
    <cellStyle name="Normal 4 3 2" xfId="119"/>
    <cellStyle name="Normal 4 3 2 2" xfId="188"/>
    <cellStyle name="Normal 4 3 3" xfId="178"/>
    <cellStyle name="Normal 4 4" xfId="67"/>
    <cellStyle name="Normal 4 4 2" xfId="122"/>
    <cellStyle name="Normal 4 4 2 2" xfId="190"/>
    <cellStyle name="Normal 4 4 3" xfId="181"/>
    <cellStyle name="Normal 4 5" xfId="68"/>
    <cellStyle name="Normal 4 5 2" xfId="123"/>
    <cellStyle name="Normal 4 5 2 2" xfId="191"/>
    <cellStyle name="Normal 4 5 3" xfId="182"/>
    <cellStyle name="Normal 4 6" xfId="69"/>
    <cellStyle name="Normal 4 6 2" xfId="124"/>
    <cellStyle name="Normal 4 6 2 2" xfId="192"/>
    <cellStyle name="Normal 4 6 3" xfId="183"/>
    <cellStyle name="Normal 4 7" xfId="117"/>
    <cellStyle name="Normal 4 7 2" xfId="186"/>
    <cellStyle name="Normal 4 8" xfId="130"/>
    <cellStyle name="Normal 4 8 2" xfId="193"/>
    <cellStyle name="Normal 4 9" xfId="176"/>
    <cellStyle name="Normal 5" xfId="55"/>
    <cellStyle name="Normal 6" xfId="71"/>
    <cellStyle name="Normal 7" xfId="125"/>
    <cellStyle name="Normal 8" xfId="126"/>
    <cellStyle name="Normal 9" xfId="70"/>
    <cellStyle name="Normal 9 2" xfId="184"/>
    <cellStyle name="Normal_~9885111" xfId="128"/>
    <cellStyle name="Normal_Hoja1" xfId="129"/>
    <cellStyle name="Notas" xfId="40" builtinId="10" customBuiltin="1"/>
    <cellStyle name="Notas 2" xfId="61"/>
    <cellStyle name="Notas 3" xfId="105"/>
    <cellStyle name="Notas 4" xfId="166"/>
    <cellStyle name="Porcentaje 2" xfId="54"/>
    <cellStyle name="Porcentual 2" xfId="41"/>
    <cellStyle name="Porcentual 2 2" xfId="60"/>
    <cellStyle name="Salida" xfId="42" builtinId="21" customBuiltin="1"/>
    <cellStyle name="Salida 2" xfId="106"/>
    <cellStyle name="Salida 3" xfId="167"/>
    <cellStyle name="Texto de advertencia" xfId="43" builtinId="11" customBuiltin="1"/>
    <cellStyle name="Texto de advertencia 2" xfId="107"/>
    <cellStyle name="Texto de advertencia 3" xfId="168"/>
    <cellStyle name="Texto explicativo" xfId="44" builtinId="53" customBuiltin="1"/>
    <cellStyle name="Texto explicativo 2" xfId="108"/>
    <cellStyle name="Texto explicativo 3" xfId="169"/>
    <cellStyle name="Título" xfId="45" builtinId="15" customBuiltin="1"/>
    <cellStyle name="Título 1" xfId="46" builtinId="16" customBuiltin="1"/>
    <cellStyle name="Título 1 2" xfId="110"/>
    <cellStyle name="Título 1 3" xfId="171"/>
    <cellStyle name="Título 2" xfId="47" builtinId="17" customBuiltin="1"/>
    <cellStyle name="Título 2 2" xfId="111"/>
    <cellStyle name="Título 2 3" xfId="172"/>
    <cellStyle name="Título 3" xfId="48" builtinId="18" customBuiltin="1"/>
    <cellStyle name="Título 3 2" xfId="112"/>
    <cellStyle name="Título 3 3" xfId="173"/>
    <cellStyle name="Título 4" xfId="109"/>
    <cellStyle name="Título 5" xfId="170"/>
    <cellStyle name="Total" xfId="49" builtinId="25" customBuiltin="1"/>
    <cellStyle name="Total 2" xfId="113"/>
    <cellStyle name="Total 3" xfId="17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6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6</xdr:col>
      <xdr:colOff>93042</xdr:colOff>
      <xdr:row>1</xdr:row>
      <xdr:rowOff>22118</xdr:rowOff>
    </xdr:to>
    <xdr:pic>
      <xdr:nvPicPr>
        <xdr:cNvPr id="4" name="3 Imagen" descr="LOGO SEDEC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2096721" cy="105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6</xdr:col>
      <xdr:colOff>361950</xdr:colOff>
      <xdr:row>3</xdr:row>
      <xdr:rowOff>85725</xdr:rowOff>
    </xdr:to>
    <xdr:pic>
      <xdr:nvPicPr>
        <xdr:cNvPr id="2" name="1 Imagen" descr="LOGO SEDEC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20764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110559</xdr:colOff>
      <xdr:row>0</xdr:row>
      <xdr:rowOff>0</xdr:rowOff>
    </xdr:from>
    <xdr:to>
      <xdr:col>6</xdr:col>
      <xdr:colOff>81803</xdr:colOff>
      <xdr:row>0</xdr:row>
      <xdr:rowOff>205662</xdr:rowOff>
    </xdr:to>
    <xdr:pic>
      <xdr:nvPicPr>
        <xdr:cNvPr id="3" name="2 Imagen" descr="LOGO SEDEC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59" y="0"/>
          <a:ext cx="2096721" cy="105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9525</xdr:rowOff>
    </xdr:from>
    <xdr:to>
      <xdr:col>6</xdr:col>
      <xdr:colOff>293448</xdr:colOff>
      <xdr:row>0</xdr:row>
      <xdr:rowOff>51836</xdr:rowOff>
    </xdr:to>
    <xdr:pic>
      <xdr:nvPicPr>
        <xdr:cNvPr id="3" name="2 Imagen" descr="LOGO SEDEC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525"/>
          <a:ext cx="2096721" cy="105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85725</xdr:rowOff>
    </xdr:from>
    <xdr:to>
      <xdr:col>6</xdr:col>
      <xdr:colOff>396509</xdr:colOff>
      <xdr:row>5</xdr:row>
      <xdr:rowOff>252718</xdr:rowOff>
    </xdr:to>
    <xdr:pic>
      <xdr:nvPicPr>
        <xdr:cNvPr id="3" name="2 Imagen" descr="LOGO SEDEC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47650"/>
          <a:ext cx="2096721" cy="105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148168</xdr:colOff>
      <xdr:row>0</xdr:row>
      <xdr:rowOff>0</xdr:rowOff>
    </xdr:from>
    <xdr:to>
      <xdr:col>7</xdr:col>
      <xdr:colOff>31460</xdr:colOff>
      <xdr:row>3</xdr:row>
      <xdr:rowOff>97937</xdr:rowOff>
    </xdr:to>
    <xdr:pic>
      <xdr:nvPicPr>
        <xdr:cNvPr id="3" name="2 Imagen" descr="LOGO SEDEC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1" y="0"/>
          <a:ext cx="2096721" cy="105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148168</xdr:colOff>
      <xdr:row>0</xdr:row>
      <xdr:rowOff>0</xdr:rowOff>
    </xdr:from>
    <xdr:to>
      <xdr:col>7</xdr:col>
      <xdr:colOff>194746</xdr:colOff>
      <xdr:row>3</xdr:row>
      <xdr:rowOff>97937</xdr:rowOff>
    </xdr:to>
    <xdr:pic>
      <xdr:nvPicPr>
        <xdr:cNvPr id="2" name="1 Imagen" descr="LOGO SEDEC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868" y="0"/>
          <a:ext cx="2090371" cy="1040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205318</xdr:colOff>
      <xdr:row>0</xdr:row>
      <xdr:rowOff>0</xdr:rowOff>
    </xdr:from>
    <xdr:to>
      <xdr:col>7</xdr:col>
      <xdr:colOff>164</xdr:colOff>
      <xdr:row>3</xdr:row>
      <xdr:rowOff>97937</xdr:rowOff>
    </xdr:to>
    <xdr:pic>
      <xdr:nvPicPr>
        <xdr:cNvPr id="2" name="1 Imagen" descr="LOGO SEDEC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018" y="0"/>
          <a:ext cx="2090371" cy="1040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148168</xdr:colOff>
      <xdr:row>0</xdr:row>
      <xdr:rowOff>0</xdr:rowOff>
    </xdr:from>
    <xdr:to>
      <xdr:col>7</xdr:col>
      <xdr:colOff>85889</xdr:colOff>
      <xdr:row>3</xdr:row>
      <xdr:rowOff>97937</xdr:rowOff>
    </xdr:to>
    <xdr:pic>
      <xdr:nvPicPr>
        <xdr:cNvPr id="2" name="1 Imagen" descr="LOGO SEDEC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868" y="0"/>
          <a:ext cx="2090371" cy="1040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6</xdr:col>
      <xdr:colOff>15240</xdr:colOff>
      <xdr:row>6</xdr:row>
      <xdr:rowOff>714</xdr:rowOff>
    </xdr:to>
    <xdr:pic>
      <xdr:nvPicPr>
        <xdr:cNvPr id="81945" name="2 Imagen" descr="LOGO SEDE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" y="0"/>
          <a:ext cx="21488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>
    <tabColor indexed="40"/>
  </sheetPr>
  <dimension ref="A2:Z122"/>
  <sheetViews>
    <sheetView showGridLines="0" view="pageBreakPreview" topLeftCell="G8" zoomScale="80" zoomScaleNormal="75" zoomScaleSheetLayoutView="80" workbookViewId="0">
      <pane xSplit="3" ySplit="4" topLeftCell="K12" activePane="bottomRight" state="frozen"/>
      <selection activeCell="P31" sqref="P31"/>
      <selection pane="topRight" activeCell="P31" sqref="P31"/>
      <selection pane="bottomLeft" activeCell="P31" sqref="P31"/>
      <selection pane="bottomRight" activeCell="P31" sqref="P31"/>
    </sheetView>
  </sheetViews>
  <sheetFormatPr baseColWidth="10" defaultColWidth="11.42578125" defaultRowHeight="12.75" x14ac:dyDescent="0.2"/>
  <cols>
    <col min="1" max="1" width="4" style="1" customWidth="1"/>
    <col min="2" max="2" width="4.42578125" style="1" customWidth="1"/>
    <col min="3" max="3" width="4.5703125" style="1" customWidth="1"/>
    <col min="4" max="4" width="6.5703125" style="7" customWidth="1"/>
    <col min="5" max="5" width="6.28515625" style="1" customWidth="1"/>
    <col min="6" max="6" width="6.140625" style="1" customWidth="1"/>
    <col min="7" max="7" width="7.28515625" style="15" customWidth="1"/>
    <col min="8" max="8" width="4.7109375" style="15" customWidth="1"/>
    <col min="9" max="9" width="54.5703125" style="17" customWidth="1"/>
    <col min="10" max="10" width="17.42578125" style="28" customWidth="1"/>
    <col min="11" max="11" width="18.7109375" style="27" customWidth="1"/>
    <col min="12" max="12" width="14.7109375" style="27" customWidth="1"/>
    <col min="13" max="13" width="17.140625" style="27" customWidth="1"/>
    <col min="14" max="17" width="16" style="17" customWidth="1"/>
    <col min="18" max="18" width="15.28515625" style="4" bestFit="1" customWidth="1"/>
    <col min="19" max="19" width="15.7109375" style="4" bestFit="1" customWidth="1"/>
    <col min="20" max="20" width="15.28515625" style="4" bestFit="1" customWidth="1"/>
    <col min="21" max="21" width="16" style="4" customWidth="1"/>
    <col min="22" max="22" width="15.140625" style="4" customWidth="1"/>
    <col min="23" max="23" width="15.5703125" style="4" customWidth="1"/>
    <col min="24" max="24" width="14.85546875" style="4" customWidth="1"/>
    <col min="25" max="25" width="16.7109375" style="4" customWidth="1"/>
    <col min="26" max="26" width="14.42578125" style="4" customWidth="1"/>
    <col min="27" max="16384" width="11.42578125" style="4"/>
  </cols>
  <sheetData>
    <row r="2" spans="1:26" ht="25.5" x14ac:dyDescent="0.35">
      <c r="D2" s="3"/>
      <c r="G2" s="6" t="s">
        <v>117</v>
      </c>
      <c r="Z2" s="5"/>
    </row>
    <row r="3" spans="1:26" ht="23.25" x14ac:dyDescent="0.35">
      <c r="G3" s="2" t="s">
        <v>20</v>
      </c>
      <c r="M3" s="36"/>
      <c r="N3" s="35"/>
      <c r="O3" s="34"/>
      <c r="P3" s="34"/>
      <c r="Q3" s="34"/>
      <c r="R3" s="6"/>
      <c r="S3" s="6"/>
      <c r="T3" s="6"/>
      <c r="U3" s="6"/>
      <c r="V3" s="6"/>
      <c r="W3" s="6"/>
      <c r="X3" s="6"/>
      <c r="Y3" s="6"/>
      <c r="Z3" s="5"/>
    </row>
    <row r="4" spans="1:26" ht="25.5" x14ac:dyDescent="0.35">
      <c r="C4" s="2"/>
      <c r="D4" s="3"/>
      <c r="I4" s="37"/>
      <c r="J4" s="38"/>
      <c r="K4" s="39"/>
      <c r="L4" s="39"/>
      <c r="M4" s="36"/>
      <c r="N4" s="35"/>
      <c r="O4" s="34"/>
      <c r="P4" s="34"/>
      <c r="Q4" s="34"/>
      <c r="R4" s="6"/>
      <c r="S4" s="6"/>
      <c r="T4" s="6"/>
      <c r="U4" s="6"/>
      <c r="V4" s="6"/>
      <c r="W4" s="6"/>
      <c r="X4" s="6"/>
      <c r="Y4" s="6"/>
      <c r="Z4" s="5"/>
    </row>
    <row r="5" spans="1:26" s="63" customFormat="1" ht="23.25" customHeight="1" x14ac:dyDescent="0.2">
      <c r="A5" s="55"/>
      <c r="B5" s="55"/>
      <c r="C5" s="56"/>
      <c r="D5" s="57" t="s">
        <v>21</v>
      </c>
      <c r="E5" s="55"/>
      <c r="F5" s="55"/>
      <c r="G5" s="58"/>
      <c r="H5" s="58"/>
      <c r="I5" s="481" t="s">
        <v>44</v>
      </c>
      <c r="J5" s="481"/>
      <c r="K5" s="481"/>
      <c r="L5" s="481"/>
      <c r="M5" s="67"/>
      <c r="N5" s="59"/>
      <c r="O5" s="60"/>
      <c r="P5" s="93" t="s">
        <v>100</v>
      </c>
      <c r="Q5" s="93"/>
      <c r="R5" s="94"/>
      <c r="S5" s="142" t="s">
        <v>149</v>
      </c>
      <c r="T5" s="61"/>
      <c r="U5" s="61"/>
      <c r="V5" s="61"/>
      <c r="W5" s="61"/>
      <c r="X5" s="61"/>
      <c r="Y5" s="61"/>
      <c r="Z5" s="62"/>
    </row>
    <row r="6" spans="1:26" s="63" customFormat="1" ht="20.25" customHeight="1" x14ac:dyDescent="0.2">
      <c r="A6" s="55"/>
      <c r="B6" s="55"/>
      <c r="C6" s="55"/>
      <c r="D6" s="126" t="s">
        <v>45</v>
      </c>
      <c r="E6" s="127"/>
      <c r="F6" s="127"/>
      <c r="G6" s="127"/>
      <c r="H6" s="127"/>
      <c r="I6" s="482" t="s">
        <v>46</v>
      </c>
      <c r="J6" s="482"/>
      <c r="K6" s="482"/>
      <c r="L6" s="482"/>
      <c r="M6" s="128"/>
      <c r="N6" s="77"/>
      <c r="O6" s="104"/>
      <c r="P6" s="104"/>
      <c r="Q6" s="104"/>
      <c r="R6" s="108"/>
      <c r="S6" s="104"/>
      <c r="T6" s="104"/>
      <c r="U6" s="104"/>
      <c r="V6" s="104"/>
      <c r="W6" s="104"/>
      <c r="X6" s="104"/>
      <c r="Y6" s="104"/>
      <c r="Z6" s="106"/>
    </row>
    <row r="7" spans="1:26" s="63" customFormat="1" x14ac:dyDescent="0.2">
      <c r="A7" s="55"/>
      <c r="B7" s="55"/>
      <c r="C7" s="55"/>
      <c r="D7" s="107" t="s">
        <v>23</v>
      </c>
      <c r="E7" s="55"/>
      <c r="F7" s="55"/>
      <c r="G7" s="55"/>
      <c r="H7" s="55"/>
      <c r="I7" s="77"/>
      <c r="J7" s="129" t="s">
        <v>41</v>
      </c>
      <c r="K7" s="130"/>
      <c r="L7" s="130"/>
      <c r="M7" s="130"/>
      <c r="N7" s="77" t="s">
        <v>51</v>
      </c>
      <c r="O7" s="104"/>
      <c r="P7" s="104"/>
      <c r="Q7" s="104"/>
      <c r="R7" s="104"/>
      <c r="S7" s="104" t="s">
        <v>52</v>
      </c>
      <c r="T7" s="104"/>
      <c r="U7" s="104"/>
      <c r="V7" s="104"/>
      <c r="W7" s="104"/>
      <c r="X7" s="104"/>
      <c r="Y7" s="104"/>
      <c r="Z7" s="106"/>
    </row>
    <row r="8" spans="1:26" x14ac:dyDescent="0.2">
      <c r="G8" s="1"/>
      <c r="H8" s="1"/>
      <c r="I8" s="101"/>
      <c r="J8" s="131"/>
      <c r="K8" s="132"/>
      <c r="L8" s="132"/>
      <c r="M8" s="132"/>
      <c r="N8" s="101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100"/>
    </row>
    <row r="9" spans="1:26" x14ac:dyDescent="0.2">
      <c r="A9" s="8"/>
      <c r="B9" s="8"/>
      <c r="C9" s="8"/>
      <c r="D9" s="9"/>
      <c r="E9" s="8"/>
      <c r="F9" s="8"/>
      <c r="G9" s="8"/>
      <c r="H9" s="8"/>
      <c r="I9" s="10"/>
      <c r="J9" s="133"/>
      <c r="K9" s="134"/>
      <c r="L9" s="134"/>
      <c r="M9" s="134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6" s="88" customFormat="1" ht="15" customHeight="1" x14ac:dyDescent="0.2">
      <c r="A10" s="483" t="s">
        <v>11</v>
      </c>
      <c r="B10" s="483" t="s">
        <v>12</v>
      </c>
      <c r="C10" s="483" t="s">
        <v>13</v>
      </c>
      <c r="D10" s="484" t="s">
        <v>14</v>
      </c>
      <c r="E10" s="483" t="s">
        <v>24</v>
      </c>
      <c r="F10" s="483" t="s">
        <v>15</v>
      </c>
      <c r="G10" s="483" t="s">
        <v>0</v>
      </c>
      <c r="H10" s="483" t="s">
        <v>25</v>
      </c>
      <c r="I10" s="477" t="s">
        <v>1</v>
      </c>
      <c r="J10" s="478" t="s">
        <v>26</v>
      </c>
      <c r="K10" s="480" t="s">
        <v>27</v>
      </c>
      <c r="L10" s="480"/>
      <c r="M10" s="478" t="s">
        <v>16</v>
      </c>
      <c r="N10" s="479" t="s">
        <v>28</v>
      </c>
      <c r="O10" s="477" t="s">
        <v>29</v>
      </c>
      <c r="P10" s="477"/>
      <c r="Q10" s="477"/>
      <c r="R10" s="477"/>
      <c r="S10" s="477"/>
      <c r="T10" s="477"/>
      <c r="U10" s="477"/>
      <c r="V10" s="477"/>
      <c r="W10" s="477"/>
      <c r="X10" s="477"/>
      <c r="Y10" s="477"/>
      <c r="Z10" s="477"/>
    </row>
    <row r="11" spans="1:26" s="89" customFormat="1" ht="34.5" customHeight="1" x14ac:dyDescent="0.2">
      <c r="A11" s="483"/>
      <c r="B11" s="483"/>
      <c r="C11" s="483"/>
      <c r="D11" s="484"/>
      <c r="E11" s="483"/>
      <c r="F11" s="483"/>
      <c r="G11" s="483"/>
      <c r="H11" s="483"/>
      <c r="I11" s="477"/>
      <c r="J11" s="478"/>
      <c r="K11" s="135" t="s">
        <v>30</v>
      </c>
      <c r="L11" s="135" t="s">
        <v>31</v>
      </c>
      <c r="M11" s="478"/>
      <c r="N11" s="479"/>
      <c r="O11" s="90" t="s">
        <v>8</v>
      </c>
      <c r="P11" s="90" t="s">
        <v>9</v>
      </c>
      <c r="Q11" s="90" t="s">
        <v>10</v>
      </c>
      <c r="R11" s="90" t="s">
        <v>32</v>
      </c>
      <c r="S11" s="90" t="s">
        <v>33</v>
      </c>
      <c r="T11" s="90" t="s">
        <v>34</v>
      </c>
      <c r="U11" s="90" t="s">
        <v>35</v>
      </c>
      <c r="V11" s="90" t="s">
        <v>36</v>
      </c>
      <c r="W11" s="90" t="s">
        <v>37</v>
      </c>
      <c r="X11" s="90" t="s">
        <v>38</v>
      </c>
      <c r="Y11" s="90" t="s">
        <v>39</v>
      </c>
      <c r="Z11" s="90" t="s">
        <v>40</v>
      </c>
    </row>
    <row r="12" spans="1:26" s="17" customFormat="1" x14ac:dyDescent="0.2">
      <c r="A12" s="21" t="s">
        <v>17</v>
      </c>
      <c r="B12" s="21" t="s">
        <v>18</v>
      </c>
      <c r="C12" s="21" t="s">
        <v>19</v>
      </c>
      <c r="D12" s="21" t="s">
        <v>42</v>
      </c>
      <c r="E12" s="21" t="s">
        <v>43</v>
      </c>
      <c r="F12" s="21" t="s">
        <v>41</v>
      </c>
      <c r="G12" s="111">
        <v>1131</v>
      </c>
      <c r="H12" s="42">
        <v>0</v>
      </c>
      <c r="I12" s="150" t="s">
        <v>118</v>
      </c>
      <c r="J12" s="121">
        <v>7676014</v>
      </c>
      <c r="K12" s="120"/>
      <c r="L12" s="120"/>
      <c r="M12" s="119">
        <f>J12+L12-K12</f>
        <v>7676014</v>
      </c>
      <c r="N12" s="118">
        <f t="shared" ref="N12:N24" si="0">SUM(O12:Z12)</f>
        <v>0</v>
      </c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</row>
    <row r="13" spans="1:26" s="17" customFormat="1" x14ac:dyDescent="0.2">
      <c r="A13" s="21" t="s">
        <v>17</v>
      </c>
      <c r="B13" s="21" t="s">
        <v>18</v>
      </c>
      <c r="C13" s="21" t="s">
        <v>19</v>
      </c>
      <c r="D13" s="21" t="s">
        <v>42</v>
      </c>
      <c r="E13" s="21" t="s">
        <v>49</v>
      </c>
      <c r="F13" s="21" t="s">
        <v>41</v>
      </c>
      <c r="G13" s="110">
        <v>1221</v>
      </c>
      <c r="H13" s="42">
        <v>0</v>
      </c>
      <c r="I13" s="158" t="s">
        <v>119</v>
      </c>
      <c r="J13" s="121"/>
      <c r="K13" s="120"/>
      <c r="L13" s="26"/>
      <c r="M13" s="119">
        <f t="shared" ref="M13:M24" si="1">J13+L13-K13</f>
        <v>0</v>
      </c>
      <c r="N13" s="118">
        <f t="shared" si="0"/>
        <v>0</v>
      </c>
      <c r="O13" s="119"/>
      <c r="P13" s="119"/>
      <c r="Q13" s="119"/>
      <c r="R13" s="118"/>
      <c r="S13" s="118"/>
      <c r="T13" s="118"/>
      <c r="U13" s="118"/>
      <c r="V13" s="118"/>
      <c r="W13" s="118"/>
      <c r="X13" s="118"/>
      <c r="Y13" s="118"/>
      <c r="Z13" s="118"/>
    </row>
    <row r="14" spans="1:26" s="17" customFormat="1" x14ac:dyDescent="0.2">
      <c r="A14" s="21" t="s">
        <v>17</v>
      </c>
      <c r="B14" s="21" t="s">
        <v>18</v>
      </c>
      <c r="C14" s="21" t="s">
        <v>19</v>
      </c>
      <c r="D14" s="21" t="s">
        <v>42</v>
      </c>
      <c r="E14" s="21" t="s">
        <v>43</v>
      </c>
      <c r="F14" s="21" t="s">
        <v>41</v>
      </c>
      <c r="G14" s="111">
        <v>1321</v>
      </c>
      <c r="H14" s="42">
        <v>0</v>
      </c>
      <c r="I14" s="150" t="s">
        <v>120</v>
      </c>
      <c r="J14" s="121">
        <v>108286</v>
      </c>
      <c r="K14" s="120"/>
      <c r="L14" s="120"/>
      <c r="M14" s="119">
        <f t="shared" si="1"/>
        <v>108286</v>
      </c>
      <c r="N14" s="118">
        <f t="shared" si="0"/>
        <v>0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</row>
    <row r="15" spans="1:26" s="17" customFormat="1" x14ac:dyDescent="0.2">
      <c r="A15" s="21" t="s">
        <v>17</v>
      </c>
      <c r="B15" s="21" t="s">
        <v>18</v>
      </c>
      <c r="C15" s="21" t="s">
        <v>19</v>
      </c>
      <c r="D15" s="21" t="s">
        <v>42</v>
      </c>
      <c r="E15" s="21" t="s">
        <v>43</v>
      </c>
      <c r="F15" s="21" t="s">
        <v>41</v>
      </c>
      <c r="G15" s="111">
        <v>1322</v>
      </c>
      <c r="H15" s="42">
        <v>0</v>
      </c>
      <c r="I15" s="150" t="s">
        <v>58</v>
      </c>
      <c r="J15" s="121">
        <v>1082858</v>
      </c>
      <c r="K15" s="120"/>
      <c r="L15" s="26"/>
      <c r="M15" s="119">
        <f t="shared" si="1"/>
        <v>1082858</v>
      </c>
      <c r="N15" s="118">
        <f t="shared" si="0"/>
        <v>0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</row>
    <row r="16" spans="1:26" s="17" customFormat="1" x14ac:dyDescent="0.2">
      <c r="A16" s="21" t="s">
        <v>17</v>
      </c>
      <c r="B16" s="21" t="s">
        <v>18</v>
      </c>
      <c r="C16" s="21" t="s">
        <v>19</v>
      </c>
      <c r="D16" s="21" t="s">
        <v>42</v>
      </c>
      <c r="E16" s="21" t="s">
        <v>43</v>
      </c>
      <c r="F16" s="21" t="s">
        <v>41</v>
      </c>
      <c r="G16" s="72">
        <v>1411</v>
      </c>
      <c r="H16" s="42">
        <v>0</v>
      </c>
      <c r="I16" s="150" t="s">
        <v>121</v>
      </c>
      <c r="J16" s="121">
        <v>584575</v>
      </c>
      <c r="K16" s="120"/>
      <c r="L16" s="120"/>
      <c r="M16" s="119">
        <f t="shared" si="1"/>
        <v>584575</v>
      </c>
      <c r="N16" s="118">
        <f t="shared" si="0"/>
        <v>0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</row>
    <row r="17" spans="1:26" s="17" customFormat="1" x14ac:dyDescent="0.2">
      <c r="A17" s="21" t="s">
        <v>17</v>
      </c>
      <c r="B17" s="21" t="s">
        <v>18</v>
      </c>
      <c r="C17" s="21" t="s">
        <v>19</v>
      </c>
      <c r="D17" s="21" t="s">
        <v>42</v>
      </c>
      <c r="E17" s="21" t="s">
        <v>43</v>
      </c>
      <c r="F17" s="21" t="s">
        <v>41</v>
      </c>
      <c r="G17" s="111">
        <v>1421</v>
      </c>
      <c r="H17" s="42">
        <v>0</v>
      </c>
      <c r="I17" s="150" t="s">
        <v>122</v>
      </c>
      <c r="J17" s="121">
        <v>233898</v>
      </c>
      <c r="K17" s="120"/>
      <c r="L17" s="120"/>
      <c r="M17" s="119">
        <f t="shared" si="1"/>
        <v>233898</v>
      </c>
      <c r="N17" s="118">
        <f t="shared" si="0"/>
        <v>0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</row>
    <row r="18" spans="1:26" s="17" customFormat="1" x14ac:dyDescent="0.2">
      <c r="A18" s="21" t="s">
        <v>17</v>
      </c>
      <c r="B18" s="21" t="s">
        <v>18</v>
      </c>
      <c r="C18" s="21" t="s">
        <v>19</v>
      </c>
      <c r="D18" s="21" t="s">
        <v>42</v>
      </c>
      <c r="E18" s="21" t="s">
        <v>43</v>
      </c>
      <c r="F18" s="21" t="s">
        <v>41</v>
      </c>
      <c r="G18" s="111">
        <v>1431</v>
      </c>
      <c r="H18" s="42">
        <v>0</v>
      </c>
      <c r="I18" s="150" t="s">
        <v>59</v>
      </c>
      <c r="J18" s="121">
        <v>1353386</v>
      </c>
      <c r="K18" s="120"/>
      <c r="L18" s="120"/>
      <c r="M18" s="119">
        <f t="shared" si="1"/>
        <v>1353386</v>
      </c>
      <c r="N18" s="118">
        <f t="shared" ref="N18:N23" si="2">SUM(O18:Z18)</f>
        <v>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</row>
    <row r="19" spans="1:26" s="17" customFormat="1" x14ac:dyDescent="0.2">
      <c r="A19" s="21"/>
      <c r="B19" s="21"/>
      <c r="C19" s="21"/>
      <c r="D19" s="21"/>
      <c r="E19" s="21"/>
      <c r="F19" s="21"/>
      <c r="G19" s="111">
        <v>1432</v>
      </c>
      <c r="H19" s="42">
        <v>0</v>
      </c>
      <c r="I19" s="150" t="s">
        <v>60</v>
      </c>
      <c r="J19" s="121">
        <v>155933</v>
      </c>
      <c r="K19" s="120"/>
      <c r="L19" s="120"/>
      <c r="M19" s="119">
        <f t="shared" si="1"/>
        <v>155933</v>
      </c>
      <c r="N19" s="118">
        <f t="shared" si="2"/>
        <v>0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</row>
    <row r="20" spans="1:26" s="17" customFormat="1" x14ac:dyDescent="0.2">
      <c r="A20" s="21" t="s">
        <v>17</v>
      </c>
      <c r="B20" s="21" t="s">
        <v>18</v>
      </c>
      <c r="C20" s="21" t="s">
        <v>19</v>
      </c>
      <c r="D20" s="21" t="s">
        <v>42</v>
      </c>
      <c r="E20" s="21" t="s">
        <v>43</v>
      </c>
      <c r="F20" s="21" t="s">
        <v>41</v>
      </c>
      <c r="G20" s="72">
        <v>1611</v>
      </c>
      <c r="H20" s="42">
        <v>0</v>
      </c>
      <c r="I20" s="150" t="s">
        <v>123</v>
      </c>
      <c r="J20" s="121">
        <v>464475</v>
      </c>
      <c r="K20" s="120"/>
      <c r="L20" s="120"/>
      <c r="M20" s="119">
        <f t="shared" si="1"/>
        <v>464475</v>
      </c>
      <c r="N20" s="118">
        <f t="shared" si="2"/>
        <v>0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</row>
    <row r="21" spans="1:26" s="17" customFormat="1" x14ac:dyDescent="0.2">
      <c r="A21" s="21"/>
      <c r="B21" s="21"/>
      <c r="C21" s="21"/>
      <c r="D21" s="21"/>
      <c r="E21" s="21"/>
      <c r="F21" s="21"/>
      <c r="G21" s="72">
        <v>1612</v>
      </c>
      <c r="H21" s="42">
        <v>0</v>
      </c>
      <c r="I21" s="150" t="s">
        <v>154</v>
      </c>
      <c r="J21" s="121">
        <v>220092</v>
      </c>
      <c r="K21" s="120"/>
      <c r="L21" s="120"/>
      <c r="M21" s="119">
        <f t="shared" si="1"/>
        <v>220092</v>
      </c>
      <c r="N21" s="118">
        <f t="shared" si="2"/>
        <v>0</v>
      </c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</row>
    <row r="22" spans="1:26" s="17" customFormat="1" x14ac:dyDescent="0.2">
      <c r="A22" s="21" t="s">
        <v>17</v>
      </c>
      <c r="B22" s="21" t="s">
        <v>18</v>
      </c>
      <c r="C22" s="21" t="s">
        <v>19</v>
      </c>
      <c r="D22" s="21" t="s">
        <v>42</v>
      </c>
      <c r="E22" s="21" t="s">
        <v>43</v>
      </c>
      <c r="F22" s="21" t="s">
        <v>41</v>
      </c>
      <c r="G22" s="72">
        <v>1712</v>
      </c>
      <c r="H22" s="42">
        <v>0</v>
      </c>
      <c r="I22" s="150" t="s">
        <v>124</v>
      </c>
      <c r="J22" s="121">
        <v>363446</v>
      </c>
      <c r="K22" s="120"/>
      <c r="L22" s="120"/>
      <c r="M22" s="119">
        <f t="shared" si="1"/>
        <v>363446</v>
      </c>
      <c r="N22" s="118">
        <f t="shared" si="2"/>
        <v>0</v>
      </c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s="17" customFormat="1" x14ac:dyDescent="0.2">
      <c r="A23" s="21" t="s">
        <v>17</v>
      </c>
      <c r="B23" s="21" t="s">
        <v>18</v>
      </c>
      <c r="C23" s="21" t="s">
        <v>19</v>
      </c>
      <c r="D23" s="21" t="s">
        <v>42</v>
      </c>
      <c r="E23" s="21" t="s">
        <v>43</v>
      </c>
      <c r="F23" s="21" t="s">
        <v>41</v>
      </c>
      <c r="G23" s="72">
        <v>1713</v>
      </c>
      <c r="H23" s="42">
        <v>0</v>
      </c>
      <c r="I23" s="150" t="s">
        <v>125</v>
      </c>
      <c r="J23" s="121">
        <v>189312</v>
      </c>
      <c r="K23" s="120"/>
      <c r="L23" s="120"/>
      <c r="M23" s="119">
        <f t="shared" si="1"/>
        <v>189312</v>
      </c>
      <c r="N23" s="118">
        <f t="shared" si="2"/>
        <v>0</v>
      </c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6" s="17" customFormat="1" x14ac:dyDescent="0.2">
      <c r="A24" s="21" t="s">
        <v>17</v>
      </c>
      <c r="B24" s="21" t="s">
        <v>18</v>
      </c>
      <c r="C24" s="21" t="s">
        <v>19</v>
      </c>
      <c r="D24" s="21" t="s">
        <v>42</v>
      </c>
      <c r="E24" s="21" t="s">
        <v>43</v>
      </c>
      <c r="F24" s="21" t="s">
        <v>41</v>
      </c>
      <c r="G24" s="72">
        <v>1715</v>
      </c>
      <c r="H24" s="42">
        <v>0</v>
      </c>
      <c r="I24" s="150" t="s">
        <v>137</v>
      </c>
      <c r="J24" s="120">
        <v>297937</v>
      </c>
      <c r="K24" s="120"/>
      <c r="L24" s="120"/>
      <c r="M24" s="119">
        <f t="shared" si="1"/>
        <v>297937</v>
      </c>
      <c r="N24" s="118">
        <f t="shared" si="0"/>
        <v>0</v>
      </c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26" s="12" customFormat="1" x14ac:dyDescent="0.2">
      <c r="A25" s="22"/>
      <c r="B25" s="22"/>
      <c r="C25" s="22"/>
      <c r="D25" s="33"/>
      <c r="E25" s="22"/>
      <c r="F25" s="22"/>
      <c r="G25" s="22"/>
      <c r="H25" s="22"/>
      <c r="I25" s="92" t="s">
        <v>2</v>
      </c>
      <c r="J25" s="96">
        <f t="shared" ref="J25:Z25" si="3">SUM(J12:J24)</f>
        <v>12730212</v>
      </c>
      <c r="K25" s="96">
        <f t="shared" si="3"/>
        <v>0</v>
      </c>
      <c r="L25" s="96">
        <f t="shared" si="3"/>
        <v>0</v>
      </c>
      <c r="M25" s="96">
        <f t="shared" si="3"/>
        <v>12730212</v>
      </c>
      <c r="N25" s="96">
        <f t="shared" si="3"/>
        <v>0</v>
      </c>
      <c r="O25" s="96">
        <f t="shared" si="3"/>
        <v>0</v>
      </c>
      <c r="P25" s="96">
        <f t="shared" si="3"/>
        <v>0</v>
      </c>
      <c r="Q25" s="96">
        <f t="shared" si="3"/>
        <v>0</v>
      </c>
      <c r="R25" s="96">
        <f t="shared" si="3"/>
        <v>0</v>
      </c>
      <c r="S25" s="96">
        <f t="shared" si="3"/>
        <v>0</v>
      </c>
      <c r="T25" s="96">
        <f t="shared" si="3"/>
        <v>0</v>
      </c>
      <c r="U25" s="96">
        <f t="shared" si="3"/>
        <v>0</v>
      </c>
      <c r="V25" s="96">
        <f t="shared" si="3"/>
        <v>0</v>
      </c>
      <c r="W25" s="96">
        <f t="shared" si="3"/>
        <v>0</v>
      </c>
      <c r="X25" s="96">
        <f t="shared" si="3"/>
        <v>0</v>
      </c>
      <c r="Y25" s="96">
        <f t="shared" si="3"/>
        <v>0</v>
      </c>
      <c r="Z25" s="96">
        <f t="shared" si="3"/>
        <v>0</v>
      </c>
    </row>
    <row r="26" spans="1:26" s="17" customFormat="1" x14ac:dyDescent="0.2">
      <c r="A26" s="21" t="s">
        <v>17</v>
      </c>
      <c r="B26" s="21" t="s">
        <v>18</v>
      </c>
      <c r="C26" s="21" t="s">
        <v>19</v>
      </c>
      <c r="D26" s="21" t="s">
        <v>42</v>
      </c>
      <c r="E26" s="21" t="s">
        <v>43</v>
      </c>
      <c r="F26" s="21" t="s">
        <v>41</v>
      </c>
      <c r="G26" s="72">
        <v>2111</v>
      </c>
      <c r="H26" s="42">
        <v>0</v>
      </c>
      <c r="I26" s="150" t="s">
        <v>126</v>
      </c>
      <c r="J26" s="120">
        <v>60000</v>
      </c>
      <c r="K26" s="120"/>
      <c r="L26" s="120"/>
      <c r="M26" s="179">
        <f>J26+L26-K26</f>
        <v>60000</v>
      </c>
      <c r="N26" s="118">
        <f t="shared" ref="N26:N41" si="4">SUM(O26:Z26)</f>
        <v>0</v>
      </c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</row>
    <row r="27" spans="1:26" s="17" customFormat="1" x14ac:dyDescent="0.2">
      <c r="A27" s="21" t="s">
        <v>17</v>
      </c>
      <c r="B27" s="21" t="s">
        <v>18</v>
      </c>
      <c r="C27" s="21" t="s">
        <v>19</v>
      </c>
      <c r="D27" s="21" t="s">
        <v>42</v>
      </c>
      <c r="E27" s="21" t="s">
        <v>43</v>
      </c>
      <c r="F27" s="21" t="s">
        <v>41</v>
      </c>
      <c r="G27" s="72">
        <v>2121</v>
      </c>
      <c r="H27" s="42">
        <v>0</v>
      </c>
      <c r="I27" s="150" t="s">
        <v>106</v>
      </c>
      <c r="J27" s="120">
        <v>10000</v>
      </c>
      <c r="K27" s="120"/>
      <c r="L27" s="120"/>
      <c r="M27" s="119">
        <f t="shared" ref="M27:M73" si="5">J27+L27-K27</f>
        <v>10000</v>
      </c>
      <c r="N27" s="118">
        <f t="shared" si="4"/>
        <v>0</v>
      </c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</row>
    <row r="28" spans="1:26" s="17" customFormat="1" x14ac:dyDescent="0.2">
      <c r="A28" s="21" t="s">
        <v>17</v>
      </c>
      <c r="B28" s="21" t="s">
        <v>18</v>
      </c>
      <c r="C28" s="21" t="s">
        <v>19</v>
      </c>
      <c r="D28" s="21" t="s">
        <v>42</v>
      </c>
      <c r="E28" s="21" t="s">
        <v>43</v>
      </c>
      <c r="F28" s="21" t="s">
        <v>41</v>
      </c>
      <c r="G28" s="72">
        <v>2141</v>
      </c>
      <c r="H28" s="42">
        <v>0</v>
      </c>
      <c r="I28" s="150" t="s">
        <v>127</v>
      </c>
      <c r="J28" s="120">
        <v>20000</v>
      </c>
      <c r="K28" s="120"/>
      <c r="L28" s="120"/>
      <c r="M28" s="119">
        <f t="shared" si="5"/>
        <v>20000</v>
      </c>
      <c r="N28" s="118">
        <f t="shared" si="4"/>
        <v>0</v>
      </c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</row>
    <row r="29" spans="1:26" s="17" customFormat="1" x14ac:dyDescent="0.2">
      <c r="A29" s="21" t="s">
        <v>17</v>
      </c>
      <c r="B29" s="21" t="s">
        <v>18</v>
      </c>
      <c r="C29" s="21" t="s">
        <v>19</v>
      </c>
      <c r="D29" s="21" t="s">
        <v>42</v>
      </c>
      <c r="E29" s="21" t="s">
        <v>43</v>
      </c>
      <c r="F29" s="21" t="s">
        <v>41</v>
      </c>
      <c r="G29" s="72">
        <v>2161</v>
      </c>
      <c r="H29" s="42">
        <v>0</v>
      </c>
      <c r="I29" s="150" t="s">
        <v>55</v>
      </c>
      <c r="J29" s="120">
        <v>40000</v>
      </c>
      <c r="K29" s="120"/>
      <c r="L29" s="120"/>
      <c r="M29" s="179">
        <f>J29+L29-K29</f>
        <v>40000</v>
      </c>
      <c r="N29" s="118">
        <f t="shared" si="4"/>
        <v>0</v>
      </c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</row>
    <row r="30" spans="1:26" s="17" customFormat="1" x14ac:dyDescent="0.2">
      <c r="A30" s="21" t="s">
        <v>17</v>
      </c>
      <c r="B30" s="21" t="s">
        <v>18</v>
      </c>
      <c r="C30" s="21" t="s">
        <v>19</v>
      </c>
      <c r="D30" s="21" t="s">
        <v>42</v>
      </c>
      <c r="E30" s="21" t="s">
        <v>43</v>
      </c>
      <c r="F30" s="21" t="s">
        <v>41</v>
      </c>
      <c r="G30" s="72">
        <v>2171</v>
      </c>
      <c r="H30" s="42">
        <v>0</v>
      </c>
      <c r="I30" s="150" t="s">
        <v>97</v>
      </c>
      <c r="J30" s="120">
        <v>1500</v>
      </c>
      <c r="K30" s="120"/>
      <c r="L30" s="120"/>
      <c r="M30" s="119">
        <f t="shared" si="5"/>
        <v>1500</v>
      </c>
      <c r="N30" s="118">
        <f t="shared" si="4"/>
        <v>0</v>
      </c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</row>
    <row r="31" spans="1:26" s="17" customFormat="1" x14ac:dyDescent="0.2">
      <c r="A31" s="21" t="s">
        <v>17</v>
      </c>
      <c r="B31" s="21" t="s">
        <v>18</v>
      </c>
      <c r="C31" s="21" t="s">
        <v>19</v>
      </c>
      <c r="D31" s="21" t="s">
        <v>42</v>
      </c>
      <c r="E31" s="21" t="s">
        <v>43</v>
      </c>
      <c r="F31" s="21" t="s">
        <v>41</v>
      </c>
      <c r="G31" s="72">
        <v>2214</v>
      </c>
      <c r="H31" s="42">
        <v>0</v>
      </c>
      <c r="I31" s="150" t="s">
        <v>155</v>
      </c>
      <c r="J31" s="120">
        <v>36000</v>
      </c>
      <c r="K31" s="120"/>
      <c r="L31" s="120"/>
      <c r="M31" s="119">
        <f t="shared" si="5"/>
        <v>36000</v>
      </c>
      <c r="N31" s="118">
        <f t="shared" si="4"/>
        <v>0</v>
      </c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6" s="17" customFormat="1" x14ac:dyDescent="0.2">
      <c r="A32" s="21" t="s">
        <v>17</v>
      </c>
      <c r="B32" s="21" t="s">
        <v>18</v>
      </c>
      <c r="C32" s="21" t="s">
        <v>19</v>
      </c>
      <c r="D32" s="21" t="s">
        <v>42</v>
      </c>
      <c r="E32" s="21" t="s">
        <v>43</v>
      </c>
      <c r="F32" s="21" t="s">
        <v>41</v>
      </c>
      <c r="G32" s="72">
        <v>2231</v>
      </c>
      <c r="H32" s="42">
        <v>0</v>
      </c>
      <c r="I32" s="150" t="s">
        <v>107</v>
      </c>
      <c r="J32" s="120">
        <v>1500</v>
      </c>
      <c r="K32" s="120"/>
      <c r="L32" s="120"/>
      <c r="M32" s="119">
        <f t="shared" si="5"/>
        <v>1500</v>
      </c>
      <c r="N32" s="118">
        <f t="shared" si="4"/>
        <v>0</v>
      </c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</row>
    <row r="33" spans="1:26" s="17" customFormat="1" x14ac:dyDescent="0.2">
      <c r="A33" s="21" t="s">
        <v>17</v>
      </c>
      <c r="B33" s="21" t="s">
        <v>18</v>
      </c>
      <c r="C33" s="21" t="s">
        <v>19</v>
      </c>
      <c r="D33" s="21" t="s">
        <v>42</v>
      </c>
      <c r="E33" s="21" t="s">
        <v>43</v>
      </c>
      <c r="F33" s="21" t="s">
        <v>41</v>
      </c>
      <c r="G33" s="72">
        <v>2451</v>
      </c>
      <c r="H33" s="42">
        <v>0</v>
      </c>
      <c r="I33" s="150" t="s">
        <v>104</v>
      </c>
      <c r="J33" s="120">
        <v>3000</v>
      </c>
      <c r="K33" s="120"/>
      <c r="L33" s="120"/>
      <c r="M33" s="119">
        <f t="shared" si="5"/>
        <v>3000</v>
      </c>
      <c r="N33" s="118">
        <f t="shared" si="4"/>
        <v>0</v>
      </c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</row>
    <row r="34" spans="1:26" s="17" customFormat="1" x14ac:dyDescent="0.2">
      <c r="A34" s="21" t="s">
        <v>17</v>
      </c>
      <c r="B34" s="21" t="s">
        <v>18</v>
      </c>
      <c r="C34" s="21" t="s">
        <v>19</v>
      </c>
      <c r="D34" s="21" t="s">
        <v>42</v>
      </c>
      <c r="E34" s="21" t="s">
        <v>43</v>
      </c>
      <c r="F34" s="21" t="s">
        <v>41</v>
      </c>
      <c r="G34" s="72">
        <v>2461</v>
      </c>
      <c r="H34" s="42">
        <v>0</v>
      </c>
      <c r="I34" s="150" t="s">
        <v>76</v>
      </c>
      <c r="J34" s="120">
        <v>10000</v>
      </c>
      <c r="K34" s="120"/>
      <c r="L34" s="120"/>
      <c r="M34" s="119">
        <f t="shared" si="5"/>
        <v>10000</v>
      </c>
      <c r="N34" s="118">
        <f t="shared" si="4"/>
        <v>0</v>
      </c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</row>
    <row r="35" spans="1:26" s="17" customFormat="1" x14ac:dyDescent="0.2">
      <c r="A35" s="21" t="s">
        <v>17</v>
      </c>
      <c r="B35" s="21" t="s">
        <v>18</v>
      </c>
      <c r="C35" s="21" t="s">
        <v>19</v>
      </c>
      <c r="D35" s="21" t="s">
        <v>42</v>
      </c>
      <c r="E35" s="21" t="s">
        <v>43</v>
      </c>
      <c r="F35" s="21" t="s">
        <v>41</v>
      </c>
      <c r="G35" s="72">
        <v>2491</v>
      </c>
      <c r="H35" s="42">
        <v>0</v>
      </c>
      <c r="I35" s="150" t="s">
        <v>128</v>
      </c>
      <c r="J35" s="120">
        <v>27000</v>
      </c>
      <c r="K35" s="120"/>
      <c r="L35" s="120"/>
      <c r="M35" s="119">
        <f t="shared" si="5"/>
        <v>27000</v>
      </c>
      <c r="N35" s="118">
        <f t="shared" si="4"/>
        <v>0</v>
      </c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1:26" s="17" customFormat="1" x14ac:dyDescent="0.2">
      <c r="A36" s="21" t="s">
        <v>17</v>
      </c>
      <c r="B36" s="21" t="s">
        <v>18</v>
      </c>
      <c r="C36" s="21" t="s">
        <v>19</v>
      </c>
      <c r="D36" s="21" t="s">
        <v>42</v>
      </c>
      <c r="E36" s="21" t="s">
        <v>43</v>
      </c>
      <c r="F36" s="21" t="s">
        <v>41</v>
      </c>
      <c r="G36" s="72">
        <v>2531</v>
      </c>
      <c r="H36" s="42">
        <v>0</v>
      </c>
      <c r="I36" s="150" t="s">
        <v>108</v>
      </c>
      <c r="J36" s="120">
        <v>4000</v>
      </c>
      <c r="K36" s="120"/>
      <c r="L36" s="120"/>
      <c r="M36" s="119">
        <f t="shared" si="5"/>
        <v>4000</v>
      </c>
      <c r="N36" s="118">
        <f t="shared" si="4"/>
        <v>0</v>
      </c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1:26" s="17" customFormat="1" x14ac:dyDescent="0.2">
      <c r="A37" s="21" t="s">
        <v>17</v>
      </c>
      <c r="B37" s="21" t="s">
        <v>18</v>
      </c>
      <c r="C37" s="21" t="s">
        <v>19</v>
      </c>
      <c r="D37" s="21" t="s">
        <v>42</v>
      </c>
      <c r="E37" s="21" t="s">
        <v>43</v>
      </c>
      <c r="F37" s="21" t="s">
        <v>41</v>
      </c>
      <c r="G37" s="72">
        <v>2611</v>
      </c>
      <c r="H37" s="42">
        <v>0</v>
      </c>
      <c r="I37" s="150" t="s">
        <v>129</v>
      </c>
      <c r="J37" s="120">
        <v>61618</v>
      </c>
      <c r="K37" s="120"/>
      <c r="L37" s="120"/>
      <c r="M37" s="179">
        <f t="shared" si="5"/>
        <v>61618</v>
      </c>
      <c r="N37" s="118">
        <f t="shared" si="4"/>
        <v>0</v>
      </c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</row>
    <row r="38" spans="1:26" s="17" customFormat="1" x14ac:dyDescent="0.2">
      <c r="A38" s="21" t="s">
        <v>17</v>
      </c>
      <c r="B38" s="21" t="s">
        <v>18</v>
      </c>
      <c r="C38" s="21" t="s">
        <v>19</v>
      </c>
      <c r="D38" s="21" t="s">
        <v>42</v>
      </c>
      <c r="E38" s="21" t="s">
        <v>43</v>
      </c>
      <c r="F38" s="21" t="s">
        <v>41</v>
      </c>
      <c r="G38" s="72">
        <v>2711</v>
      </c>
      <c r="H38" s="42">
        <v>0</v>
      </c>
      <c r="I38" s="150" t="s">
        <v>130</v>
      </c>
      <c r="J38" s="120">
        <v>5000</v>
      </c>
      <c r="K38" s="120"/>
      <c r="L38" s="120"/>
      <c r="M38" s="119">
        <f t="shared" si="5"/>
        <v>5000</v>
      </c>
      <c r="N38" s="118">
        <f t="shared" si="4"/>
        <v>0</v>
      </c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:26" s="17" customFormat="1" x14ac:dyDescent="0.2">
      <c r="A39" s="21" t="s">
        <v>17</v>
      </c>
      <c r="B39" s="21" t="s">
        <v>18</v>
      </c>
      <c r="C39" s="21" t="s">
        <v>19</v>
      </c>
      <c r="D39" s="21" t="s">
        <v>42</v>
      </c>
      <c r="E39" s="21" t="s">
        <v>43</v>
      </c>
      <c r="F39" s="21" t="s">
        <v>41</v>
      </c>
      <c r="G39" s="72">
        <v>2721</v>
      </c>
      <c r="H39" s="42">
        <v>0</v>
      </c>
      <c r="I39" s="150" t="s">
        <v>131</v>
      </c>
      <c r="J39" s="120">
        <v>3000</v>
      </c>
      <c r="K39" s="120"/>
      <c r="L39" s="120"/>
      <c r="M39" s="119">
        <f t="shared" si="5"/>
        <v>3000</v>
      </c>
      <c r="N39" s="118">
        <f t="shared" si="4"/>
        <v>0</v>
      </c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</row>
    <row r="40" spans="1:26" s="17" customFormat="1" x14ac:dyDescent="0.2">
      <c r="A40" s="21" t="s">
        <v>17</v>
      </c>
      <c r="B40" s="21" t="s">
        <v>18</v>
      </c>
      <c r="C40" s="21" t="s">
        <v>19</v>
      </c>
      <c r="D40" s="21" t="s">
        <v>42</v>
      </c>
      <c r="E40" s="21" t="s">
        <v>43</v>
      </c>
      <c r="F40" s="21" t="s">
        <v>41</v>
      </c>
      <c r="G40" s="72">
        <v>2931</v>
      </c>
      <c r="H40" s="42">
        <v>0</v>
      </c>
      <c r="I40" s="150" t="s">
        <v>132</v>
      </c>
      <c r="J40" s="120">
        <v>20000</v>
      </c>
      <c r="K40" s="120"/>
      <c r="L40" s="120"/>
      <c r="M40" s="119">
        <f t="shared" si="5"/>
        <v>20000</v>
      </c>
      <c r="N40" s="118">
        <f t="shared" si="4"/>
        <v>0</v>
      </c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</row>
    <row r="41" spans="1:26" s="17" customFormat="1" x14ac:dyDescent="0.2">
      <c r="A41" s="21" t="s">
        <v>17</v>
      </c>
      <c r="B41" s="21" t="s">
        <v>18</v>
      </c>
      <c r="C41" s="21" t="s">
        <v>19</v>
      </c>
      <c r="D41" s="21" t="s">
        <v>42</v>
      </c>
      <c r="E41" s="21" t="s">
        <v>43</v>
      </c>
      <c r="F41" s="21" t="s">
        <v>41</v>
      </c>
      <c r="G41" s="72">
        <v>2941</v>
      </c>
      <c r="H41" s="42">
        <v>0</v>
      </c>
      <c r="I41" s="150" t="s">
        <v>133</v>
      </c>
      <c r="J41" s="120">
        <v>8000</v>
      </c>
      <c r="K41" s="120"/>
      <c r="L41" s="120"/>
      <c r="M41" s="119">
        <f t="shared" si="5"/>
        <v>8000</v>
      </c>
      <c r="N41" s="118">
        <f t="shared" si="4"/>
        <v>0</v>
      </c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:26" s="53" customFormat="1" x14ac:dyDescent="0.2">
      <c r="A42" s="136"/>
      <c r="B42" s="136"/>
      <c r="C42" s="136"/>
      <c r="D42" s="136"/>
      <c r="E42" s="136"/>
      <c r="F42" s="136"/>
      <c r="G42" s="54"/>
      <c r="H42" s="54"/>
      <c r="I42" s="73" t="s">
        <v>3</v>
      </c>
      <c r="J42" s="137">
        <f t="shared" ref="J42:Z42" si="6">SUM(J26:J41)</f>
        <v>310618</v>
      </c>
      <c r="K42" s="137">
        <f t="shared" si="6"/>
        <v>0</v>
      </c>
      <c r="L42" s="137">
        <f t="shared" si="6"/>
        <v>0</v>
      </c>
      <c r="M42" s="137">
        <f t="shared" si="6"/>
        <v>310618</v>
      </c>
      <c r="N42" s="137">
        <f t="shared" si="6"/>
        <v>0</v>
      </c>
      <c r="O42" s="137">
        <f t="shared" si="6"/>
        <v>0</v>
      </c>
      <c r="P42" s="137">
        <f t="shared" si="6"/>
        <v>0</v>
      </c>
      <c r="Q42" s="137">
        <f t="shared" si="6"/>
        <v>0</v>
      </c>
      <c r="R42" s="137">
        <f t="shared" si="6"/>
        <v>0</v>
      </c>
      <c r="S42" s="137">
        <f t="shared" si="6"/>
        <v>0</v>
      </c>
      <c r="T42" s="137">
        <f t="shared" si="6"/>
        <v>0</v>
      </c>
      <c r="U42" s="137">
        <f t="shared" si="6"/>
        <v>0</v>
      </c>
      <c r="V42" s="137">
        <f t="shared" si="6"/>
        <v>0</v>
      </c>
      <c r="W42" s="137">
        <f t="shared" si="6"/>
        <v>0</v>
      </c>
      <c r="X42" s="137">
        <f t="shared" si="6"/>
        <v>0</v>
      </c>
      <c r="Y42" s="137">
        <f t="shared" si="6"/>
        <v>0</v>
      </c>
      <c r="Z42" s="137">
        <f t="shared" si="6"/>
        <v>0</v>
      </c>
    </row>
    <row r="43" spans="1:26" s="17" customFormat="1" x14ac:dyDescent="0.2">
      <c r="A43" s="21" t="s">
        <v>17</v>
      </c>
      <c r="B43" s="21" t="s">
        <v>18</v>
      </c>
      <c r="C43" s="21" t="s">
        <v>19</v>
      </c>
      <c r="D43" s="21" t="s">
        <v>42</v>
      </c>
      <c r="E43" s="21" t="s">
        <v>43</v>
      </c>
      <c r="F43" s="21" t="s">
        <v>41</v>
      </c>
      <c r="G43" s="72">
        <v>3111</v>
      </c>
      <c r="H43" s="42">
        <v>0</v>
      </c>
      <c r="I43" s="150" t="s">
        <v>79</v>
      </c>
      <c r="J43" s="120">
        <v>210000</v>
      </c>
      <c r="K43" s="120"/>
      <c r="L43" s="120"/>
      <c r="M43" s="119">
        <f t="shared" si="5"/>
        <v>210000</v>
      </c>
      <c r="N43" s="118">
        <f t="shared" ref="N43:N65" si="7">SUM(O43:Z43)</f>
        <v>0</v>
      </c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:26" s="17" customFormat="1" x14ac:dyDescent="0.2">
      <c r="A44" s="21" t="s">
        <v>17</v>
      </c>
      <c r="B44" s="21" t="s">
        <v>18</v>
      </c>
      <c r="C44" s="21" t="s">
        <v>19</v>
      </c>
      <c r="D44" s="21" t="s">
        <v>42</v>
      </c>
      <c r="E44" s="21" t="s">
        <v>43</v>
      </c>
      <c r="F44" s="21" t="s">
        <v>41</v>
      </c>
      <c r="G44" s="72">
        <v>3131</v>
      </c>
      <c r="H44" s="42">
        <v>0</v>
      </c>
      <c r="I44" s="150" t="s">
        <v>65</v>
      </c>
      <c r="J44" s="120">
        <v>15000</v>
      </c>
      <c r="K44" s="120"/>
      <c r="L44" s="120"/>
      <c r="M44" s="119">
        <f t="shared" si="5"/>
        <v>15000</v>
      </c>
      <c r="N44" s="118">
        <f t="shared" si="7"/>
        <v>0</v>
      </c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</row>
    <row r="45" spans="1:26" s="17" customFormat="1" x14ac:dyDescent="0.2">
      <c r="A45" s="21" t="s">
        <v>17</v>
      </c>
      <c r="B45" s="21" t="s">
        <v>18</v>
      </c>
      <c r="C45" s="21" t="s">
        <v>19</v>
      </c>
      <c r="D45" s="21" t="s">
        <v>42</v>
      </c>
      <c r="E45" s="21" t="s">
        <v>43</v>
      </c>
      <c r="F45" s="21" t="s">
        <v>41</v>
      </c>
      <c r="G45" s="72">
        <v>3141</v>
      </c>
      <c r="H45" s="42">
        <v>0</v>
      </c>
      <c r="I45" s="150" t="s">
        <v>158</v>
      </c>
      <c r="J45" s="120">
        <v>226000</v>
      </c>
      <c r="K45" s="120"/>
      <c r="L45" s="120"/>
      <c r="M45" s="119">
        <f t="shared" si="5"/>
        <v>226000</v>
      </c>
      <c r="N45" s="118">
        <f t="shared" si="7"/>
        <v>0</v>
      </c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</row>
    <row r="46" spans="1:26" s="17" customFormat="1" x14ac:dyDescent="0.2">
      <c r="A46" s="21" t="s">
        <v>17</v>
      </c>
      <c r="B46" s="21" t="s">
        <v>18</v>
      </c>
      <c r="C46" s="21" t="s">
        <v>19</v>
      </c>
      <c r="D46" s="21" t="s">
        <v>42</v>
      </c>
      <c r="E46" s="21" t="s">
        <v>43</v>
      </c>
      <c r="F46" s="21" t="s">
        <v>41</v>
      </c>
      <c r="G46" s="72">
        <v>3151</v>
      </c>
      <c r="H46" s="42">
        <v>0</v>
      </c>
      <c r="I46" s="150" t="s">
        <v>159</v>
      </c>
      <c r="J46" s="120">
        <v>60000</v>
      </c>
      <c r="K46" s="120"/>
      <c r="L46" s="120"/>
      <c r="M46" s="119">
        <f>J46+L46-K46</f>
        <v>60000</v>
      </c>
      <c r="N46" s="118">
        <f t="shared" si="7"/>
        <v>0</v>
      </c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</row>
    <row r="47" spans="1:26" s="17" customFormat="1" x14ac:dyDescent="0.2">
      <c r="A47" s="21" t="s">
        <v>17</v>
      </c>
      <c r="B47" s="21" t="s">
        <v>18</v>
      </c>
      <c r="C47" s="21" t="s">
        <v>19</v>
      </c>
      <c r="D47" s="21" t="s">
        <v>42</v>
      </c>
      <c r="E47" s="21" t="s">
        <v>43</v>
      </c>
      <c r="F47" s="21" t="s">
        <v>41</v>
      </c>
      <c r="G47" s="72">
        <v>3171</v>
      </c>
      <c r="H47" s="42">
        <v>0</v>
      </c>
      <c r="I47" s="150" t="s">
        <v>138</v>
      </c>
      <c r="J47" s="120">
        <v>14000</v>
      </c>
      <c r="K47" s="120"/>
      <c r="L47" s="120"/>
      <c r="M47" s="119">
        <f t="shared" si="5"/>
        <v>14000</v>
      </c>
      <c r="N47" s="118">
        <f t="shared" si="7"/>
        <v>0</v>
      </c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</row>
    <row r="48" spans="1:26" s="17" customFormat="1" x14ac:dyDescent="0.2">
      <c r="A48" s="21" t="s">
        <v>17</v>
      </c>
      <c r="B48" s="21" t="s">
        <v>18</v>
      </c>
      <c r="C48" s="21" t="s">
        <v>19</v>
      </c>
      <c r="D48" s="21" t="s">
        <v>42</v>
      </c>
      <c r="E48" s="21" t="s">
        <v>43</v>
      </c>
      <c r="F48" s="21" t="s">
        <v>41</v>
      </c>
      <c r="G48" s="72">
        <v>3181</v>
      </c>
      <c r="H48" s="42">
        <v>0</v>
      </c>
      <c r="I48" s="150" t="s">
        <v>64</v>
      </c>
      <c r="J48" s="120">
        <v>14000</v>
      </c>
      <c r="K48" s="120"/>
      <c r="L48" s="120"/>
      <c r="M48" s="119">
        <f t="shared" si="5"/>
        <v>14000</v>
      </c>
      <c r="N48" s="118">
        <f t="shared" si="7"/>
        <v>0</v>
      </c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</row>
    <row r="49" spans="1:26" s="17" customFormat="1" x14ac:dyDescent="0.2">
      <c r="A49" s="21" t="s">
        <v>17</v>
      </c>
      <c r="B49" s="21" t="s">
        <v>18</v>
      </c>
      <c r="C49" s="21" t="s">
        <v>19</v>
      </c>
      <c r="D49" s="21" t="s">
        <v>42</v>
      </c>
      <c r="E49" s="21" t="s">
        <v>43</v>
      </c>
      <c r="F49" s="21" t="s">
        <v>41</v>
      </c>
      <c r="G49" s="72">
        <v>3221</v>
      </c>
      <c r="H49" s="42">
        <v>0</v>
      </c>
      <c r="I49" s="150" t="s">
        <v>66</v>
      </c>
      <c r="J49" s="120">
        <v>75600</v>
      </c>
      <c r="K49" s="120"/>
      <c r="L49" s="120"/>
      <c r="M49" s="119">
        <f t="shared" si="5"/>
        <v>75600</v>
      </c>
      <c r="N49" s="118">
        <f t="shared" si="7"/>
        <v>0</v>
      </c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</row>
    <row r="50" spans="1:26" s="17" customFormat="1" x14ac:dyDescent="0.2">
      <c r="A50" s="21" t="s">
        <v>17</v>
      </c>
      <c r="B50" s="21" t="s">
        <v>18</v>
      </c>
      <c r="C50" s="21" t="s">
        <v>19</v>
      </c>
      <c r="D50" s="21" t="s">
        <v>42</v>
      </c>
      <c r="E50" s="21" t="s">
        <v>43</v>
      </c>
      <c r="F50" s="21" t="s">
        <v>41</v>
      </c>
      <c r="G50" s="72">
        <v>3232</v>
      </c>
      <c r="H50" s="42">
        <v>0</v>
      </c>
      <c r="I50" s="150" t="s">
        <v>160</v>
      </c>
      <c r="J50" s="120">
        <v>70000</v>
      </c>
      <c r="K50" s="120"/>
      <c r="L50" s="120"/>
      <c r="M50" s="119">
        <f t="shared" si="5"/>
        <v>70000</v>
      </c>
      <c r="N50" s="118">
        <f t="shared" si="7"/>
        <v>0</v>
      </c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</row>
    <row r="51" spans="1:26" s="17" customFormat="1" x14ac:dyDescent="0.2">
      <c r="A51" s="21" t="s">
        <v>17</v>
      </c>
      <c r="B51" s="21" t="s">
        <v>18</v>
      </c>
      <c r="C51" s="21" t="s">
        <v>19</v>
      </c>
      <c r="D51" s="21" t="s">
        <v>42</v>
      </c>
      <c r="E51" s="21" t="s">
        <v>43</v>
      </c>
      <c r="F51" s="21" t="s">
        <v>41</v>
      </c>
      <c r="G51" s="72">
        <v>3311</v>
      </c>
      <c r="H51" s="42">
        <v>0</v>
      </c>
      <c r="I51" s="150" t="s">
        <v>134</v>
      </c>
      <c r="J51" s="120">
        <v>60000</v>
      </c>
      <c r="K51" s="120"/>
      <c r="L51" s="120"/>
      <c r="M51" s="119">
        <f t="shared" si="5"/>
        <v>60000</v>
      </c>
      <c r="N51" s="118">
        <f t="shared" si="7"/>
        <v>0</v>
      </c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</row>
    <row r="52" spans="1:26" x14ac:dyDescent="0.2">
      <c r="A52" s="21" t="s">
        <v>17</v>
      </c>
      <c r="B52" s="21" t="s">
        <v>18</v>
      </c>
      <c r="C52" s="21" t="s">
        <v>19</v>
      </c>
      <c r="D52" s="21" t="s">
        <v>42</v>
      </c>
      <c r="E52" s="21" t="s">
        <v>43</v>
      </c>
      <c r="F52" s="21" t="s">
        <v>41</v>
      </c>
      <c r="G52" s="72">
        <v>3341</v>
      </c>
      <c r="H52" s="42">
        <v>0</v>
      </c>
      <c r="I52" s="150" t="s">
        <v>139</v>
      </c>
      <c r="J52" s="120">
        <v>14000</v>
      </c>
      <c r="K52" s="120"/>
      <c r="L52" s="120"/>
      <c r="M52" s="119">
        <f>J52+L52-K52</f>
        <v>14000</v>
      </c>
      <c r="N52" s="118">
        <f t="shared" si="7"/>
        <v>0</v>
      </c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</row>
    <row r="53" spans="1:26" s="17" customFormat="1" x14ac:dyDescent="0.2">
      <c r="A53" s="21" t="s">
        <v>17</v>
      </c>
      <c r="B53" s="21" t="s">
        <v>18</v>
      </c>
      <c r="C53" s="21" t="s">
        <v>19</v>
      </c>
      <c r="D53" s="21" t="s">
        <v>42</v>
      </c>
      <c r="E53" s="21" t="s">
        <v>43</v>
      </c>
      <c r="F53" s="21" t="s">
        <v>41</v>
      </c>
      <c r="G53" s="72">
        <v>3362</v>
      </c>
      <c r="H53" s="42">
        <v>0</v>
      </c>
      <c r="I53" s="150" t="s">
        <v>161</v>
      </c>
      <c r="J53" s="120">
        <v>15000</v>
      </c>
      <c r="K53" s="120"/>
      <c r="L53" s="120"/>
      <c r="M53" s="119">
        <f t="shared" si="5"/>
        <v>15000</v>
      </c>
      <c r="N53" s="118">
        <f t="shared" si="7"/>
        <v>0</v>
      </c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</row>
    <row r="54" spans="1:26" s="17" customFormat="1" x14ac:dyDescent="0.2">
      <c r="A54" s="21" t="s">
        <v>17</v>
      </c>
      <c r="B54" s="21" t="s">
        <v>18</v>
      </c>
      <c r="C54" s="21" t="s">
        <v>19</v>
      </c>
      <c r="D54" s="21" t="s">
        <v>42</v>
      </c>
      <c r="E54" s="21" t="s">
        <v>43</v>
      </c>
      <c r="F54" s="21" t="s">
        <v>41</v>
      </c>
      <c r="G54" s="72">
        <v>3451</v>
      </c>
      <c r="H54" s="42">
        <v>0</v>
      </c>
      <c r="I54" s="150" t="s">
        <v>135</v>
      </c>
      <c r="J54" s="120">
        <v>221000</v>
      </c>
      <c r="K54" s="120"/>
      <c r="L54" s="120"/>
      <c r="M54" s="119">
        <f t="shared" si="5"/>
        <v>221000</v>
      </c>
      <c r="N54" s="118">
        <f t="shared" si="7"/>
        <v>0</v>
      </c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</row>
    <row r="55" spans="1:26" x14ac:dyDescent="0.2">
      <c r="A55" s="21" t="s">
        <v>17</v>
      </c>
      <c r="B55" s="21" t="s">
        <v>18</v>
      </c>
      <c r="C55" s="21" t="s">
        <v>19</v>
      </c>
      <c r="D55" s="21" t="s">
        <v>42</v>
      </c>
      <c r="E55" s="21" t="s">
        <v>43</v>
      </c>
      <c r="F55" s="21" t="s">
        <v>41</v>
      </c>
      <c r="G55" s="72">
        <v>3511</v>
      </c>
      <c r="H55" s="42">
        <v>0</v>
      </c>
      <c r="I55" s="150" t="s">
        <v>162</v>
      </c>
      <c r="J55" s="120">
        <v>100000</v>
      </c>
      <c r="K55" s="120"/>
      <c r="L55" s="120"/>
      <c r="M55" s="119">
        <f t="shared" si="5"/>
        <v>100000</v>
      </c>
      <c r="N55" s="118">
        <f t="shared" si="7"/>
        <v>0</v>
      </c>
      <c r="O55" s="118"/>
      <c r="P55" s="118"/>
      <c r="Q55" s="118"/>
      <c r="R55" s="118"/>
      <c r="S55" s="118"/>
      <c r="T55" s="118"/>
      <c r="U55" s="118"/>
      <c r="V55" s="118"/>
      <c r="W55" s="151"/>
      <c r="X55" s="152"/>
      <c r="Y55" s="152"/>
      <c r="Z55" s="152"/>
    </row>
    <row r="56" spans="1:26" s="17" customFormat="1" x14ac:dyDescent="0.2">
      <c r="A56" s="21" t="s">
        <v>17</v>
      </c>
      <c r="B56" s="21" t="s">
        <v>18</v>
      </c>
      <c r="C56" s="21" t="s">
        <v>19</v>
      </c>
      <c r="D56" s="21" t="s">
        <v>42</v>
      </c>
      <c r="E56" s="21" t="s">
        <v>43</v>
      </c>
      <c r="F56" s="21" t="s">
        <v>41</v>
      </c>
      <c r="G56" s="72">
        <v>3521</v>
      </c>
      <c r="H56" s="42">
        <v>0</v>
      </c>
      <c r="I56" s="150" t="s">
        <v>163</v>
      </c>
      <c r="J56" s="120">
        <v>20000</v>
      </c>
      <c r="K56" s="120"/>
      <c r="L56" s="120"/>
      <c r="M56" s="119">
        <f t="shared" si="5"/>
        <v>20000</v>
      </c>
      <c r="N56" s="118">
        <f t="shared" si="7"/>
        <v>0</v>
      </c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</row>
    <row r="57" spans="1:26" s="17" customFormat="1" x14ac:dyDescent="0.2">
      <c r="A57" s="21" t="s">
        <v>17</v>
      </c>
      <c r="B57" s="21" t="s">
        <v>18</v>
      </c>
      <c r="C57" s="21" t="s">
        <v>19</v>
      </c>
      <c r="D57" s="21" t="s">
        <v>42</v>
      </c>
      <c r="E57" s="21" t="s">
        <v>43</v>
      </c>
      <c r="F57" s="21" t="s">
        <v>41</v>
      </c>
      <c r="G57" s="72">
        <v>3531</v>
      </c>
      <c r="H57" s="42">
        <v>0</v>
      </c>
      <c r="I57" s="150" t="s">
        <v>164</v>
      </c>
      <c r="J57" s="120">
        <v>23000</v>
      </c>
      <c r="K57" s="120"/>
      <c r="L57" s="120"/>
      <c r="M57" s="119">
        <f t="shared" si="5"/>
        <v>23000</v>
      </c>
      <c r="N57" s="118">
        <f>SUM(O57:Z57)</f>
        <v>0</v>
      </c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</row>
    <row r="58" spans="1:26" s="17" customFormat="1" x14ac:dyDescent="0.2">
      <c r="A58" s="21" t="s">
        <v>17</v>
      </c>
      <c r="B58" s="21" t="s">
        <v>18</v>
      </c>
      <c r="C58" s="21" t="s">
        <v>19</v>
      </c>
      <c r="D58" s="21" t="s">
        <v>42</v>
      </c>
      <c r="E58" s="21" t="s">
        <v>43</v>
      </c>
      <c r="F58" s="21" t="s">
        <v>41</v>
      </c>
      <c r="G58" s="72">
        <v>3551</v>
      </c>
      <c r="H58" s="42">
        <v>0</v>
      </c>
      <c r="I58" s="150" t="s">
        <v>165</v>
      </c>
      <c r="J58" s="120">
        <v>100000</v>
      </c>
      <c r="K58" s="120"/>
      <c r="L58" s="120"/>
      <c r="M58" s="119">
        <f t="shared" si="5"/>
        <v>100000</v>
      </c>
      <c r="N58" s="118">
        <f t="shared" si="7"/>
        <v>0</v>
      </c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</row>
    <row r="59" spans="1:26" s="17" customFormat="1" x14ac:dyDescent="0.2">
      <c r="A59" s="21" t="s">
        <v>17</v>
      </c>
      <c r="B59" s="21" t="s">
        <v>18</v>
      </c>
      <c r="C59" s="21" t="s">
        <v>19</v>
      </c>
      <c r="D59" s="21" t="s">
        <v>42</v>
      </c>
      <c r="E59" s="21" t="s">
        <v>43</v>
      </c>
      <c r="F59" s="21" t="s">
        <v>41</v>
      </c>
      <c r="G59" s="72">
        <v>3591</v>
      </c>
      <c r="H59" s="42">
        <v>0</v>
      </c>
      <c r="I59" s="150" t="s">
        <v>85</v>
      </c>
      <c r="J59" s="120">
        <v>5000</v>
      </c>
      <c r="K59" s="120"/>
      <c r="L59" s="120"/>
      <c r="M59" s="119">
        <f t="shared" si="5"/>
        <v>5000</v>
      </c>
      <c r="N59" s="118">
        <f t="shared" si="7"/>
        <v>0</v>
      </c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</row>
    <row r="60" spans="1:26" s="17" customFormat="1" x14ac:dyDescent="0.2">
      <c r="A60" s="21" t="s">
        <v>17</v>
      </c>
      <c r="B60" s="21" t="s">
        <v>18</v>
      </c>
      <c r="C60" s="21" t="s">
        <v>19</v>
      </c>
      <c r="D60" s="21" t="s">
        <v>42</v>
      </c>
      <c r="E60" s="21" t="s">
        <v>43</v>
      </c>
      <c r="F60" s="21" t="s">
        <v>41</v>
      </c>
      <c r="G60" s="72">
        <v>3611</v>
      </c>
      <c r="H60" s="42">
        <v>0</v>
      </c>
      <c r="I60" s="150" t="s">
        <v>136</v>
      </c>
      <c r="J60" s="120">
        <v>200000</v>
      </c>
      <c r="K60" s="120"/>
      <c r="L60" s="120"/>
      <c r="M60" s="119">
        <f t="shared" si="5"/>
        <v>200000</v>
      </c>
      <c r="N60" s="118">
        <f t="shared" si="7"/>
        <v>0</v>
      </c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</row>
    <row r="61" spans="1:26" s="17" customFormat="1" x14ac:dyDescent="0.2">
      <c r="A61" s="21" t="s">
        <v>17</v>
      </c>
      <c r="B61" s="21" t="s">
        <v>18</v>
      </c>
      <c r="C61" s="21" t="s">
        <v>19</v>
      </c>
      <c r="D61" s="21" t="s">
        <v>42</v>
      </c>
      <c r="E61" s="21" t="s">
        <v>43</v>
      </c>
      <c r="F61" s="21" t="s">
        <v>41</v>
      </c>
      <c r="G61" s="72">
        <v>3711</v>
      </c>
      <c r="H61" s="42">
        <v>0</v>
      </c>
      <c r="I61" s="150" t="s">
        <v>166</v>
      </c>
      <c r="J61" s="120">
        <f>50000+20000</f>
        <v>70000</v>
      </c>
      <c r="K61" s="120"/>
      <c r="L61" s="120"/>
      <c r="M61" s="179">
        <f t="shared" si="5"/>
        <v>70000</v>
      </c>
      <c r="N61" s="118">
        <f t="shared" si="7"/>
        <v>0</v>
      </c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</row>
    <row r="62" spans="1:26" x14ac:dyDescent="0.2">
      <c r="A62" s="21" t="s">
        <v>17</v>
      </c>
      <c r="B62" s="21" t="s">
        <v>18</v>
      </c>
      <c r="C62" s="21" t="s">
        <v>19</v>
      </c>
      <c r="D62" s="21" t="s">
        <v>42</v>
      </c>
      <c r="E62" s="21" t="s">
        <v>43</v>
      </c>
      <c r="F62" s="21" t="s">
        <v>41</v>
      </c>
      <c r="G62" s="72">
        <v>3721</v>
      </c>
      <c r="H62" s="42">
        <v>0</v>
      </c>
      <c r="I62" s="150" t="s">
        <v>167</v>
      </c>
      <c r="J62" s="120">
        <v>60000</v>
      </c>
      <c r="K62" s="120"/>
      <c r="L62" s="120"/>
      <c r="M62" s="179">
        <f>J62+L62-K62</f>
        <v>60000</v>
      </c>
      <c r="N62" s="118">
        <f t="shared" si="7"/>
        <v>0</v>
      </c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</row>
    <row r="63" spans="1:26" x14ac:dyDescent="0.2">
      <c r="A63" s="21" t="s">
        <v>17</v>
      </c>
      <c r="B63" s="21" t="s">
        <v>18</v>
      </c>
      <c r="C63" s="21" t="s">
        <v>19</v>
      </c>
      <c r="D63" s="21" t="s">
        <v>42</v>
      </c>
      <c r="E63" s="21" t="s">
        <v>43</v>
      </c>
      <c r="F63" s="21" t="s">
        <v>41</v>
      </c>
      <c r="G63" s="72">
        <v>3751</v>
      </c>
      <c r="H63" s="42">
        <v>0</v>
      </c>
      <c r="I63" s="150" t="s">
        <v>88</v>
      </c>
      <c r="J63" s="120">
        <v>130000</v>
      </c>
      <c r="K63" s="120"/>
      <c r="L63" s="120"/>
      <c r="M63" s="179">
        <f t="shared" si="5"/>
        <v>130000</v>
      </c>
      <c r="N63" s="118">
        <f t="shared" si="7"/>
        <v>0</v>
      </c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</row>
    <row r="64" spans="1:26" s="17" customFormat="1" x14ac:dyDescent="0.2">
      <c r="A64" s="21" t="s">
        <v>17</v>
      </c>
      <c r="B64" s="21" t="s">
        <v>18</v>
      </c>
      <c r="C64" s="21" t="s">
        <v>19</v>
      </c>
      <c r="D64" s="21" t="s">
        <v>42</v>
      </c>
      <c r="E64" s="21" t="s">
        <v>43</v>
      </c>
      <c r="F64" s="21" t="s">
        <v>41</v>
      </c>
      <c r="G64" s="72">
        <v>3831</v>
      </c>
      <c r="H64" s="42">
        <v>0</v>
      </c>
      <c r="I64" s="150" t="s">
        <v>72</v>
      </c>
      <c r="J64" s="120">
        <v>100000</v>
      </c>
      <c r="K64" s="120"/>
      <c r="L64" s="120"/>
      <c r="M64" s="179">
        <f t="shared" si="5"/>
        <v>100000</v>
      </c>
      <c r="N64" s="118">
        <f>SUM(O64:Z64)</f>
        <v>0</v>
      </c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</row>
    <row r="65" spans="1:26" s="17" customFormat="1" x14ac:dyDescent="0.2">
      <c r="A65" s="21" t="s">
        <v>17</v>
      </c>
      <c r="B65" s="21" t="s">
        <v>18</v>
      </c>
      <c r="C65" s="21" t="s">
        <v>19</v>
      </c>
      <c r="D65" s="21" t="s">
        <v>42</v>
      </c>
      <c r="E65" s="21" t="s">
        <v>43</v>
      </c>
      <c r="F65" s="21" t="s">
        <v>41</v>
      </c>
      <c r="G65" s="72">
        <v>3921</v>
      </c>
      <c r="H65" s="42">
        <v>0</v>
      </c>
      <c r="I65" s="150" t="s">
        <v>70</v>
      </c>
      <c r="J65" s="120">
        <v>50000</v>
      </c>
      <c r="K65" s="120"/>
      <c r="L65" s="120"/>
      <c r="M65" s="119">
        <f t="shared" si="5"/>
        <v>50000</v>
      </c>
      <c r="N65" s="118">
        <f t="shared" si="7"/>
        <v>0</v>
      </c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</row>
    <row r="66" spans="1:26" x14ac:dyDescent="0.2">
      <c r="A66" s="22"/>
      <c r="B66" s="22"/>
      <c r="C66" s="22"/>
      <c r="D66" s="33"/>
      <c r="E66" s="22"/>
      <c r="F66" s="22"/>
      <c r="G66" s="22"/>
      <c r="H66" s="22"/>
      <c r="I66" s="92" t="s">
        <v>4</v>
      </c>
      <c r="J66" s="96">
        <f t="shared" ref="J66:Z66" si="8">SUM(J43:J65)</f>
        <v>1852600</v>
      </c>
      <c r="K66" s="96">
        <f t="shared" si="8"/>
        <v>0</v>
      </c>
      <c r="L66" s="96">
        <f t="shared" si="8"/>
        <v>0</v>
      </c>
      <c r="M66" s="96">
        <f t="shared" si="8"/>
        <v>1852600</v>
      </c>
      <c r="N66" s="96">
        <f t="shared" si="8"/>
        <v>0</v>
      </c>
      <c r="O66" s="96">
        <f t="shared" si="8"/>
        <v>0</v>
      </c>
      <c r="P66" s="96">
        <f t="shared" si="8"/>
        <v>0</v>
      </c>
      <c r="Q66" s="96">
        <f t="shared" si="8"/>
        <v>0</v>
      </c>
      <c r="R66" s="96">
        <f t="shared" si="8"/>
        <v>0</v>
      </c>
      <c r="S66" s="96">
        <f t="shared" si="8"/>
        <v>0</v>
      </c>
      <c r="T66" s="96">
        <f t="shared" si="8"/>
        <v>0</v>
      </c>
      <c r="U66" s="96">
        <f t="shared" si="8"/>
        <v>0</v>
      </c>
      <c r="V66" s="96">
        <f t="shared" si="8"/>
        <v>0</v>
      </c>
      <c r="W66" s="96">
        <f t="shared" si="8"/>
        <v>0</v>
      </c>
      <c r="X66" s="96">
        <f t="shared" si="8"/>
        <v>0</v>
      </c>
      <c r="Y66" s="96">
        <f t="shared" si="8"/>
        <v>0</v>
      </c>
      <c r="Z66" s="96">
        <f t="shared" si="8"/>
        <v>0</v>
      </c>
    </row>
    <row r="67" spans="1:26" s="17" customFormat="1" x14ac:dyDescent="0.2">
      <c r="A67" s="21" t="s">
        <v>17</v>
      </c>
      <c r="B67" s="21" t="s">
        <v>18</v>
      </c>
      <c r="C67" s="21" t="s">
        <v>19</v>
      </c>
      <c r="D67" s="21" t="s">
        <v>42</v>
      </c>
      <c r="E67" s="21" t="s">
        <v>43</v>
      </c>
      <c r="F67" s="21" t="s">
        <v>41</v>
      </c>
      <c r="G67" s="72">
        <v>4419</v>
      </c>
      <c r="H67" s="42">
        <v>0</v>
      </c>
      <c r="I67" s="180" t="s">
        <v>157</v>
      </c>
      <c r="J67" s="118">
        <v>30000</v>
      </c>
      <c r="K67" s="120"/>
      <c r="L67" s="120"/>
      <c r="M67" s="119">
        <f t="shared" si="5"/>
        <v>30000</v>
      </c>
      <c r="N67" s="118">
        <f>SUM(O67:Z67)</f>
        <v>0</v>
      </c>
      <c r="O67" s="118"/>
      <c r="P67" s="118"/>
      <c r="Q67" s="118"/>
      <c r="R67" s="118"/>
      <c r="S67" s="118"/>
      <c r="T67" s="118"/>
      <c r="U67" s="125"/>
      <c r="V67" s="118"/>
      <c r="W67" s="118"/>
      <c r="X67" s="118"/>
      <c r="Y67" s="118"/>
      <c r="Z67" s="118"/>
    </row>
    <row r="68" spans="1:26" s="17" customFormat="1" x14ac:dyDescent="0.2">
      <c r="A68" s="21"/>
      <c r="B68" s="21"/>
      <c r="C68" s="21"/>
      <c r="D68" s="21"/>
      <c r="E68" s="21"/>
      <c r="F68" s="21"/>
      <c r="G68" s="72">
        <v>4432</v>
      </c>
      <c r="H68" s="42">
        <v>0</v>
      </c>
      <c r="I68" s="180" t="s">
        <v>156</v>
      </c>
      <c r="J68" s="118"/>
      <c r="K68" s="120"/>
      <c r="L68" s="120"/>
      <c r="M68" s="119">
        <f t="shared" si="5"/>
        <v>0</v>
      </c>
      <c r="N68" s="118"/>
      <c r="O68" s="118"/>
      <c r="P68" s="118"/>
      <c r="Q68" s="118"/>
      <c r="R68" s="118"/>
      <c r="S68" s="118"/>
      <c r="T68" s="118"/>
      <c r="U68" s="125"/>
      <c r="V68" s="118"/>
      <c r="W68" s="118"/>
      <c r="X68" s="118"/>
      <c r="Y68" s="118"/>
      <c r="Z68" s="118"/>
    </row>
    <row r="69" spans="1:26" s="12" customFormat="1" x14ac:dyDescent="0.2">
      <c r="A69" s="22"/>
      <c r="B69" s="22"/>
      <c r="C69" s="22"/>
      <c r="D69" s="33"/>
      <c r="E69" s="22"/>
      <c r="F69" s="22"/>
      <c r="G69" s="22"/>
      <c r="H69" s="22"/>
      <c r="I69" s="92" t="s">
        <v>5</v>
      </c>
      <c r="J69" s="96">
        <f>SUM(J67:J68)</f>
        <v>30000</v>
      </c>
      <c r="K69" s="96">
        <f t="shared" ref="K69:Z69" si="9">SUM(K67:K67)</f>
        <v>0</v>
      </c>
      <c r="L69" s="96">
        <f t="shared" si="9"/>
        <v>0</v>
      </c>
      <c r="M69" s="96">
        <f>SUM(M67:M68)</f>
        <v>30000</v>
      </c>
      <c r="N69" s="96">
        <f t="shared" si="9"/>
        <v>0</v>
      </c>
      <c r="O69" s="96">
        <f t="shared" si="9"/>
        <v>0</v>
      </c>
      <c r="P69" s="96">
        <f t="shared" si="9"/>
        <v>0</v>
      </c>
      <c r="Q69" s="96">
        <f>SUM(Q67:Q67)</f>
        <v>0</v>
      </c>
      <c r="R69" s="96">
        <f t="shared" si="9"/>
        <v>0</v>
      </c>
      <c r="S69" s="96">
        <f t="shared" si="9"/>
        <v>0</v>
      </c>
      <c r="T69" s="96">
        <f t="shared" si="9"/>
        <v>0</v>
      </c>
      <c r="U69" s="96">
        <f t="shared" si="9"/>
        <v>0</v>
      </c>
      <c r="V69" s="96">
        <f t="shared" si="9"/>
        <v>0</v>
      </c>
      <c r="W69" s="96">
        <f t="shared" si="9"/>
        <v>0</v>
      </c>
      <c r="X69" s="96">
        <f t="shared" si="9"/>
        <v>0</v>
      </c>
      <c r="Y69" s="96">
        <f t="shared" si="9"/>
        <v>0</v>
      </c>
      <c r="Z69" s="96">
        <f t="shared" si="9"/>
        <v>0</v>
      </c>
    </row>
    <row r="70" spans="1:26" s="17" customFormat="1" x14ac:dyDescent="0.2">
      <c r="A70" s="21" t="s">
        <v>17</v>
      </c>
      <c r="B70" s="21" t="s">
        <v>18</v>
      </c>
      <c r="C70" s="21" t="s">
        <v>19</v>
      </c>
      <c r="D70" s="21" t="s">
        <v>42</v>
      </c>
      <c r="E70" s="21" t="s">
        <v>43</v>
      </c>
      <c r="F70" s="21" t="s">
        <v>41</v>
      </c>
      <c r="G70" s="72">
        <v>5111</v>
      </c>
      <c r="H70" s="42">
        <v>0</v>
      </c>
      <c r="I70" s="150" t="s">
        <v>90</v>
      </c>
      <c r="J70" s="118">
        <v>45000</v>
      </c>
      <c r="K70" s="120"/>
      <c r="L70" s="120"/>
      <c r="M70" s="119">
        <f t="shared" si="5"/>
        <v>45000</v>
      </c>
      <c r="N70" s="118">
        <f t="shared" ref="N70:N74" si="10">SUM(O70:Z70)</f>
        <v>0</v>
      </c>
      <c r="O70" s="118"/>
      <c r="P70" s="118"/>
      <c r="Q70" s="118"/>
      <c r="R70" s="118"/>
      <c r="S70" s="118"/>
      <c r="T70" s="118"/>
      <c r="U70" s="125"/>
      <c r="V70" s="118"/>
      <c r="W70" s="118"/>
      <c r="X70" s="118"/>
      <c r="Y70" s="118"/>
      <c r="Z70" s="118"/>
    </row>
    <row r="71" spans="1:26" s="17" customFormat="1" x14ac:dyDescent="0.2">
      <c r="A71" s="21" t="s">
        <v>17</v>
      </c>
      <c r="B71" s="21" t="s">
        <v>18</v>
      </c>
      <c r="C71" s="21" t="s">
        <v>19</v>
      </c>
      <c r="D71" s="21" t="s">
        <v>42</v>
      </c>
      <c r="E71" s="21" t="s">
        <v>43</v>
      </c>
      <c r="F71" s="21" t="s">
        <v>41</v>
      </c>
      <c r="G71" s="72">
        <v>5151</v>
      </c>
      <c r="H71" s="42">
        <v>0</v>
      </c>
      <c r="I71" s="150" t="s">
        <v>110</v>
      </c>
      <c r="J71" s="118">
        <v>69440</v>
      </c>
      <c r="K71" s="120"/>
      <c r="L71" s="120"/>
      <c r="M71" s="119">
        <f t="shared" si="5"/>
        <v>69440</v>
      </c>
      <c r="N71" s="118">
        <f t="shared" si="10"/>
        <v>0</v>
      </c>
      <c r="O71" s="118"/>
      <c r="P71" s="118"/>
      <c r="Q71" s="118"/>
      <c r="R71" s="118"/>
      <c r="S71" s="118"/>
      <c r="T71" s="118"/>
      <c r="U71" s="125"/>
      <c r="V71" s="118"/>
      <c r="W71" s="118"/>
      <c r="X71" s="118"/>
      <c r="Y71" s="118"/>
      <c r="Z71" s="118"/>
    </row>
    <row r="72" spans="1:26" s="17" customFormat="1" x14ac:dyDescent="0.2">
      <c r="A72" s="21" t="s">
        <v>17</v>
      </c>
      <c r="B72" s="21" t="s">
        <v>18</v>
      </c>
      <c r="C72" s="21" t="s">
        <v>19</v>
      </c>
      <c r="D72" s="21" t="s">
        <v>42</v>
      </c>
      <c r="E72" s="21" t="s">
        <v>43</v>
      </c>
      <c r="F72" s="21" t="s">
        <v>41</v>
      </c>
      <c r="G72" s="72">
        <v>5231</v>
      </c>
      <c r="H72" s="42">
        <v>0</v>
      </c>
      <c r="I72" s="150" t="s">
        <v>111</v>
      </c>
      <c r="J72" s="118">
        <v>5000</v>
      </c>
      <c r="K72" s="120"/>
      <c r="L72" s="120"/>
      <c r="M72" s="119">
        <f t="shared" si="5"/>
        <v>5000</v>
      </c>
      <c r="N72" s="118">
        <f t="shared" si="10"/>
        <v>0</v>
      </c>
      <c r="O72" s="118"/>
      <c r="P72" s="118"/>
      <c r="Q72" s="118"/>
      <c r="R72" s="118"/>
      <c r="S72" s="118"/>
      <c r="T72" s="118"/>
      <c r="U72" s="125"/>
      <c r="V72" s="118"/>
      <c r="W72" s="118"/>
      <c r="X72" s="118"/>
      <c r="Y72" s="118"/>
      <c r="Z72" s="118"/>
    </row>
    <row r="73" spans="1:26" s="17" customFormat="1" x14ac:dyDescent="0.2">
      <c r="A73" s="21" t="s">
        <v>17</v>
      </c>
      <c r="B73" s="21" t="s">
        <v>18</v>
      </c>
      <c r="C73" s="21" t="s">
        <v>19</v>
      </c>
      <c r="D73" s="21" t="s">
        <v>42</v>
      </c>
      <c r="E73" s="21" t="s">
        <v>43</v>
      </c>
      <c r="F73" s="21" t="s">
        <v>41</v>
      </c>
      <c r="G73" s="72">
        <v>5651</v>
      </c>
      <c r="H73" s="42">
        <v>0</v>
      </c>
      <c r="I73" s="150" t="s">
        <v>91</v>
      </c>
      <c r="J73" s="118">
        <v>5000</v>
      </c>
      <c r="K73" s="120"/>
      <c r="L73" s="120"/>
      <c r="M73" s="119">
        <f t="shared" si="5"/>
        <v>5000</v>
      </c>
      <c r="N73" s="118">
        <f t="shared" si="10"/>
        <v>0</v>
      </c>
      <c r="O73" s="118"/>
      <c r="P73" s="118"/>
      <c r="Q73" s="118"/>
      <c r="R73" s="118"/>
      <c r="S73" s="118"/>
      <c r="T73" s="118"/>
      <c r="U73" s="125"/>
      <c r="V73" s="118"/>
      <c r="W73" s="118"/>
      <c r="X73" s="118"/>
      <c r="Y73" s="118"/>
      <c r="Z73" s="118"/>
    </row>
    <row r="74" spans="1:26" s="17" customFormat="1" x14ac:dyDescent="0.2">
      <c r="A74" s="21" t="s">
        <v>17</v>
      </c>
      <c r="B74" s="21" t="s">
        <v>18</v>
      </c>
      <c r="C74" s="21" t="s">
        <v>19</v>
      </c>
      <c r="D74" s="21" t="s">
        <v>42</v>
      </c>
      <c r="E74" s="21" t="s">
        <v>43</v>
      </c>
      <c r="F74" s="21" t="s">
        <v>41</v>
      </c>
      <c r="G74" s="72"/>
      <c r="H74" s="42"/>
      <c r="I74" s="150"/>
      <c r="J74" s="118"/>
      <c r="K74" s="120"/>
      <c r="L74" s="120"/>
      <c r="M74" s="119">
        <f>J74+L74-K74</f>
        <v>0</v>
      </c>
      <c r="N74" s="118">
        <f t="shared" si="10"/>
        <v>0</v>
      </c>
      <c r="O74" s="118"/>
      <c r="P74" s="118"/>
      <c r="Q74" s="118"/>
      <c r="R74" s="118"/>
      <c r="S74" s="118"/>
      <c r="T74" s="118"/>
      <c r="U74" s="125"/>
      <c r="V74" s="118"/>
      <c r="W74" s="118"/>
      <c r="X74" s="118"/>
      <c r="Y74" s="118"/>
      <c r="Z74" s="118"/>
    </row>
    <row r="75" spans="1:26" s="12" customFormat="1" x14ac:dyDescent="0.2">
      <c r="A75" s="22"/>
      <c r="B75" s="22"/>
      <c r="C75" s="22"/>
      <c r="D75" s="33"/>
      <c r="E75" s="22"/>
      <c r="F75" s="22"/>
      <c r="G75" s="22"/>
      <c r="H75" s="22"/>
      <c r="I75" s="92" t="s">
        <v>6</v>
      </c>
      <c r="J75" s="96">
        <f t="shared" ref="J75:P75" si="11">SUM(J70:J74)</f>
        <v>124440</v>
      </c>
      <c r="K75" s="96">
        <f t="shared" si="11"/>
        <v>0</v>
      </c>
      <c r="L75" s="96">
        <f t="shared" si="11"/>
        <v>0</v>
      </c>
      <c r="M75" s="96">
        <f>SUM(M70:M74)</f>
        <v>124440</v>
      </c>
      <c r="N75" s="96">
        <f t="shared" si="11"/>
        <v>0</v>
      </c>
      <c r="O75" s="96">
        <f>SUM(O70:O74)</f>
        <v>0</v>
      </c>
      <c r="P75" s="96">
        <f t="shared" si="11"/>
        <v>0</v>
      </c>
      <c r="Q75" s="96">
        <f>SUM(Q70:Q74)</f>
        <v>0</v>
      </c>
      <c r="R75" s="96">
        <f t="shared" ref="R75:Z75" si="12">SUM(R70:R74)</f>
        <v>0</v>
      </c>
      <c r="S75" s="96">
        <f t="shared" si="12"/>
        <v>0</v>
      </c>
      <c r="T75" s="96">
        <f t="shared" si="12"/>
        <v>0</v>
      </c>
      <c r="U75" s="96">
        <f t="shared" si="12"/>
        <v>0</v>
      </c>
      <c r="V75" s="96">
        <f t="shared" si="12"/>
        <v>0</v>
      </c>
      <c r="W75" s="96">
        <f t="shared" si="12"/>
        <v>0</v>
      </c>
      <c r="X75" s="96">
        <f t="shared" si="12"/>
        <v>0</v>
      </c>
      <c r="Y75" s="96">
        <f>SUM(Y70:Y74)</f>
        <v>0</v>
      </c>
      <c r="Z75" s="96">
        <f t="shared" si="12"/>
        <v>0</v>
      </c>
    </row>
    <row r="76" spans="1:26" x14ac:dyDescent="0.2">
      <c r="G76" s="1"/>
      <c r="H76" s="1"/>
      <c r="I76" s="4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s="146" customFormat="1" ht="17.25" customHeight="1" x14ac:dyDescent="0.2">
      <c r="A77" s="161"/>
      <c r="B77" s="161"/>
      <c r="C77" s="161"/>
      <c r="D77" s="162"/>
      <c r="E77" s="161"/>
      <c r="F77" s="161"/>
      <c r="G77" s="161"/>
      <c r="H77" s="161"/>
      <c r="I77" s="161" t="s">
        <v>7</v>
      </c>
      <c r="J77" s="163">
        <f t="shared" ref="J77:Z77" si="13">SUM(J25,J42,J66,J69,J75)</f>
        <v>15047870</v>
      </c>
      <c r="K77" s="163">
        <f t="shared" si="13"/>
        <v>0</v>
      </c>
      <c r="L77" s="163">
        <f t="shared" si="13"/>
        <v>0</v>
      </c>
      <c r="M77" s="163">
        <f t="shared" si="13"/>
        <v>15047870</v>
      </c>
      <c r="N77" s="163">
        <f t="shared" si="13"/>
        <v>0</v>
      </c>
      <c r="O77" s="163">
        <f t="shared" si="13"/>
        <v>0</v>
      </c>
      <c r="P77" s="163">
        <f t="shared" si="13"/>
        <v>0</v>
      </c>
      <c r="Q77" s="163">
        <f t="shared" si="13"/>
        <v>0</v>
      </c>
      <c r="R77" s="163">
        <f t="shared" si="13"/>
        <v>0</v>
      </c>
      <c r="S77" s="163">
        <f t="shared" si="13"/>
        <v>0</v>
      </c>
      <c r="T77" s="163">
        <f t="shared" si="13"/>
        <v>0</v>
      </c>
      <c r="U77" s="163">
        <f t="shared" si="13"/>
        <v>0</v>
      </c>
      <c r="V77" s="163">
        <f t="shared" si="13"/>
        <v>0</v>
      </c>
      <c r="W77" s="163">
        <f t="shared" si="13"/>
        <v>0</v>
      </c>
      <c r="X77" s="163">
        <f t="shared" si="13"/>
        <v>0</v>
      </c>
      <c r="Y77" s="163">
        <f t="shared" si="13"/>
        <v>0</v>
      </c>
      <c r="Z77" s="163">
        <f t="shared" si="13"/>
        <v>0</v>
      </c>
    </row>
    <row r="78" spans="1:26" s="11" customFormat="1" ht="12" x14ac:dyDescent="0.2">
      <c r="A78" s="15"/>
      <c r="B78" s="15"/>
      <c r="C78" s="15"/>
      <c r="D78" s="16"/>
      <c r="E78" s="15"/>
      <c r="F78" s="15"/>
      <c r="G78" s="15"/>
      <c r="H78" s="15"/>
      <c r="I78" s="17"/>
      <c r="J78" s="28"/>
      <c r="K78" s="27"/>
      <c r="L78" s="27"/>
      <c r="M78" s="2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48"/>
      <c r="Z78" s="17"/>
    </row>
    <row r="79" spans="1:26" s="11" customFormat="1" ht="12" x14ac:dyDescent="0.2">
      <c r="A79" s="18"/>
      <c r="B79" s="18"/>
      <c r="C79" s="18"/>
      <c r="D79" s="19"/>
      <c r="E79" s="18"/>
      <c r="F79" s="18"/>
      <c r="G79" s="15"/>
      <c r="H79" s="15"/>
      <c r="I79" s="165"/>
      <c r="J79" s="176"/>
      <c r="K79" s="27"/>
      <c r="L79" s="27"/>
      <c r="M79" s="27"/>
      <c r="N79" s="17"/>
      <c r="O79" s="17"/>
      <c r="P79" s="48"/>
      <c r="Q79" s="17"/>
    </row>
    <row r="80" spans="1:26" s="11" customFormat="1" ht="12" x14ac:dyDescent="0.2">
      <c r="A80" s="18"/>
      <c r="B80" s="18"/>
      <c r="C80" s="18"/>
      <c r="D80" s="19"/>
      <c r="E80" s="18"/>
      <c r="F80" s="18"/>
      <c r="G80" s="15"/>
      <c r="H80" s="15"/>
      <c r="I80" s="165" t="s">
        <v>152</v>
      </c>
      <c r="J80" s="167"/>
      <c r="K80" s="27"/>
      <c r="L80" s="27"/>
      <c r="M80" s="27"/>
      <c r="N80" s="17"/>
      <c r="O80" s="17"/>
      <c r="P80" s="17"/>
      <c r="Q80" s="17"/>
      <c r="X80" s="53"/>
      <c r="Y80" s="53"/>
      <c r="Z80" s="53"/>
    </row>
    <row r="81" spans="1:18" s="11" customFormat="1" ht="12" x14ac:dyDescent="0.2">
      <c r="A81" s="18"/>
      <c r="B81" s="18"/>
      <c r="C81" s="18"/>
      <c r="D81" s="19"/>
      <c r="E81" s="18"/>
      <c r="F81" s="18"/>
      <c r="G81" s="15"/>
      <c r="H81" s="15"/>
      <c r="I81" s="17"/>
      <c r="J81" s="28"/>
      <c r="K81" s="28"/>
      <c r="L81" s="28"/>
      <c r="M81" s="28"/>
      <c r="N81" s="28"/>
      <c r="O81" s="28"/>
      <c r="P81" s="28"/>
      <c r="Q81" s="28"/>
      <c r="R81" s="28"/>
    </row>
    <row r="82" spans="1:18" s="11" customFormat="1" ht="12" x14ac:dyDescent="0.2">
      <c r="A82" s="18"/>
      <c r="B82" s="18"/>
      <c r="C82" s="18"/>
      <c r="D82" s="19"/>
      <c r="E82" s="18"/>
      <c r="F82" s="18"/>
      <c r="G82" s="15"/>
      <c r="H82" s="15"/>
      <c r="I82" s="17"/>
      <c r="J82" s="28"/>
      <c r="K82" s="27"/>
      <c r="L82" s="27"/>
      <c r="M82" s="27"/>
      <c r="N82" s="17"/>
      <c r="O82" s="17"/>
      <c r="P82" s="17"/>
      <c r="Q82" s="17"/>
    </row>
    <row r="83" spans="1:18" s="11" customFormat="1" ht="12" x14ac:dyDescent="0.2">
      <c r="A83" s="18"/>
      <c r="B83" s="18"/>
      <c r="C83" s="18"/>
      <c r="D83" s="19"/>
      <c r="E83" s="18"/>
      <c r="F83" s="18"/>
      <c r="G83" s="15"/>
      <c r="H83" s="15"/>
      <c r="I83" s="17"/>
      <c r="J83" s="28"/>
      <c r="K83" s="27"/>
      <c r="L83" s="27"/>
      <c r="M83" s="27"/>
      <c r="N83" s="17"/>
      <c r="O83" s="17"/>
      <c r="P83" s="17"/>
      <c r="Q83" s="17"/>
    </row>
    <row r="84" spans="1:18" s="11" customFormat="1" ht="12" x14ac:dyDescent="0.2">
      <c r="A84" s="18"/>
      <c r="B84" s="18"/>
      <c r="C84" s="18"/>
      <c r="D84" s="19"/>
      <c r="E84" s="18"/>
      <c r="F84" s="18"/>
      <c r="G84" s="15"/>
      <c r="H84" s="15"/>
      <c r="I84" s="17"/>
      <c r="J84" s="28"/>
      <c r="K84" s="27"/>
      <c r="L84" s="27"/>
      <c r="M84" s="27"/>
      <c r="N84" s="17"/>
      <c r="O84" s="17"/>
      <c r="P84" s="17"/>
      <c r="Q84" s="17"/>
    </row>
    <row r="85" spans="1:18" s="11" customFormat="1" ht="12" x14ac:dyDescent="0.2">
      <c r="A85" s="18"/>
      <c r="B85" s="18"/>
      <c r="C85" s="18"/>
      <c r="D85" s="19"/>
      <c r="E85" s="18"/>
      <c r="F85" s="18"/>
      <c r="G85" s="15"/>
      <c r="H85" s="15"/>
      <c r="I85" s="17"/>
      <c r="J85" s="28"/>
      <c r="K85" s="27"/>
      <c r="L85" s="27"/>
      <c r="M85" s="27"/>
      <c r="N85" s="17"/>
      <c r="O85" s="17"/>
      <c r="P85" s="17"/>
      <c r="Q85" s="17"/>
    </row>
    <row r="86" spans="1:18" s="11" customFormat="1" ht="12" x14ac:dyDescent="0.2">
      <c r="A86" s="18"/>
      <c r="B86" s="18"/>
      <c r="C86" s="18"/>
      <c r="D86" s="19"/>
      <c r="E86" s="18"/>
      <c r="F86" s="18"/>
      <c r="G86" s="15"/>
      <c r="H86" s="15"/>
      <c r="I86" s="17"/>
      <c r="J86" s="28"/>
      <c r="K86" s="27"/>
      <c r="L86" s="27"/>
      <c r="M86" s="27"/>
      <c r="N86" s="17"/>
      <c r="O86" s="17"/>
      <c r="P86" s="17"/>
      <c r="Q86" s="17"/>
    </row>
    <row r="87" spans="1:18" s="11" customFormat="1" ht="12" x14ac:dyDescent="0.2">
      <c r="A87" s="18"/>
      <c r="B87" s="18"/>
      <c r="C87" s="18"/>
      <c r="D87" s="19"/>
      <c r="E87" s="18"/>
      <c r="F87" s="18"/>
      <c r="G87" s="15"/>
      <c r="H87" s="15"/>
      <c r="I87" s="17"/>
      <c r="J87" s="28"/>
      <c r="K87" s="27"/>
      <c r="L87" s="27"/>
      <c r="M87" s="27"/>
      <c r="N87" s="17"/>
      <c r="O87" s="17"/>
      <c r="P87" s="17"/>
      <c r="Q87" s="17"/>
    </row>
    <row r="88" spans="1:18" s="11" customFormat="1" ht="12" x14ac:dyDescent="0.2">
      <c r="A88" s="18"/>
      <c r="B88" s="18"/>
      <c r="C88" s="18"/>
      <c r="D88" s="19"/>
      <c r="E88" s="18"/>
      <c r="F88" s="18"/>
      <c r="G88" s="15"/>
      <c r="H88" s="15"/>
      <c r="I88" s="17"/>
      <c r="J88" s="28"/>
      <c r="K88" s="27"/>
      <c r="L88" s="27"/>
      <c r="M88" s="27"/>
      <c r="N88" s="17"/>
      <c r="O88" s="17"/>
      <c r="P88" s="17"/>
      <c r="Q88" s="17"/>
    </row>
    <row r="89" spans="1:18" s="11" customFormat="1" ht="12" x14ac:dyDescent="0.2">
      <c r="A89" s="18"/>
      <c r="B89" s="18"/>
      <c r="C89" s="18"/>
      <c r="D89" s="19"/>
      <c r="E89" s="18"/>
      <c r="F89" s="18"/>
      <c r="G89" s="15"/>
      <c r="H89" s="15"/>
      <c r="I89" s="17"/>
      <c r="J89" s="28"/>
      <c r="K89" s="27"/>
      <c r="L89" s="27"/>
      <c r="M89" s="27"/>
      <c r="N89" s="17"/>
      <c r="O89" s="17"/>
      <c r="P89" s="17"/>
      <c r="Q89" s="17"/>
    </row>
    <row r="90" spans="1:18" s="11" customFormat="1" ht="12" x14ac:dyDescent="0.2">
      <c r="A90" s="18"/>
      <c r="B90" s="18"/>
      <c r="C90" s="18"/>
      <c r="D90" s="19"/>
      <c r="E90" s="18"/>
      <c r="F90" s="18"/>
      <c r="G90" s="15"/>
      <c r="H90" s="15"/>
      <c r="I90" s="17"/>
      <c r="J90" s="28"/>
      <c r="K90" s="27"/>
      <c r="L90" s="27"/>
      <c r="M90" s="27"/>
      <c r="N90" s="17"/>
      <c r="O90" s="17"/>
      <c r="P90" s="17"/>
      <c r="Q90" s="17"/>
    </row>
    <row r="91" spans="1:18" s="11" customFormat="1" ht="12" x14ac:dyDescent="0.2">
      <c r="A91" s="18"/>
      <c r="B91" s="18"/>
      <c r="C91" s="18"/>
      <c r="D91" s="19"/>
      <c r="E91" s="18"/>
      <c r="F91" s="18"/>
      <c r="G91" s="15"/>
      <c r="H91" s="15"/>
      <c r="I91" s="17"/>
      <c r="J91" s="28"/>
      <c r="K91" s="27"/>
      <c r="L91" s="27"/>
      <c r="M91" s="27"/>
      <c r="N91" s="17"/>
      <c r="O91" s="17"/>
      <c r="P91" s="17"/>
      <c r="Q91" s="17"/>
    </row>
    <row r="92" spans="1:18" s="11" customFormat="1" ht="12" x14ac:dyDescent="0.2">
      <c r="A92" s="18"/>
      <c r="B92" s="18"/>
      <c r="C92" s="18"/>
      <c r="D92" s="19"/>
      <c r="E92" s="18"/>
      <c r="F92" s="18"/>
      <c r="G92" s="15"/>
      <c r="H92" s="15"/>
      <c r="I92" s="17"/>
      <c r="J92" s="28"/>
      <c r="K92" s="27"/>
      <c r="L92" s="27"/>
      <c r="M92" s="27"/>
      <c r="N92" s="17"/>
      <c r="O92" s="17"/>
      <c r="P92" s="17"/>
      <c r="Q92" s="17"/>
    </row>
    <row r="93" spans="1:18" s="11" customFormat="1" ht="12" x14ac:dyDescent="0.2">
      <c r="A93" s="18"/>
      <c r="B93" s="18"/>
      <c r="C93" s="18"/>
      <c r="D93" s="19"/>
      <c r="E93" s="18"/>
      <c r="F93" s="18"/>
      <c r="G93" s="15"/>
      <c r="H93" s="15"/>
      <c r="I93" s="17"/>
      <c r="J93" s="28"/>
      <c r="K93" s="27"/>
      <c r="L93" s="27"/>
      <c r="M93" s="27"/>
      <c r="N93" s="17"/>
      <c r="O93" s="17"/>
      <c r="P93" s="17"/>
      <c r="Q93" s="17"/>
    </row>
    <row r="94" spans="1:18" s="11" customFormat="1" ht="12" x14ac:dyDescent="0.2">
      <c r="A94" s="18"/>
      <c r="B94" s="18"/>
      <c r="C94" s="18"/>
      <c r="D94" s="19"/>
      <c r="E94" s="18"/>
      <c r="F94" s="18"/>
      <c r="G94" s="15"/>
      <c r="H94" s="15"/>
      <c r="I94" s="17"/>
      <c r="J94" s="28"/>
      <c r="K94" s="27"/>
      <c r="L94" s="27"/>
      <c r="M94" s="27"/>
      <c r="N94" s="17"/>
      <c r="O94" s="17"/>
      <c r="P94" s="17"/>
      <c r="Q94" s="17"/>
    </row>
    <row r="95" spans="1:18" s="11" customFormat="1" ht="12" x14ac:dyDescent="0.2">
      <c r="A95" s="18"/>
      <c r="B95" s="18"/>
      <c r="C95" s="18"/>
      <c r="D95" s="19"/>
      <c r="E95" s="18"/>
      <c r="F95" s="18"/>
      <c r="G95" s="15"/>
      <c r="H95" s="15"/>
      <c r="I95" s="17"/>
      <c r="J95" s="28"/>
      <c r="K95" s="27"/>
      <c r="L95" s="27"/>
      <c r="M95" s="27"/>
      <c r="N95" s="17"/>
      <c r="O95" s="17"/>
      <c r="P95" s="17"/>
      <c r="Q95" s="17"/>
    </row>
    <row r="96" spans="1:18" s="11" customFormat="1" ht="12" x14ac:dyDescent="0.2">
      <c r="A96" s="18"/>
      <c r="B96" s="18"/>
      <c r="C96" s="18"/>
      <c r="D96" s="19"/>
      <c r="E96" s="18"/>
      <c r="F96" s="18"/>
      <c r="G96" s="15"/>
      <c r="H96" s="15"/>
      <c r="I96" s="17"/>
      <c r="J96" s="28"/>
      <c r="K96" s="27"/>
      <c r="L96" s="27"/>
      <c r="M96" s="27"/>
      <c r="N96" s="17"/>
      <c r="O96" s="17"/>
      <c r="P96" s="17"/>
      <c r="Q96" s="17"/>
    </row>
    <row r="97" spans="1:17" s="11" customFormat="1" ht="12" x14ac:dyDescent="0.2">
      <c r="A97" s="18"/>
      <c r="B97" s="18"/>
      <c r="C97" s="18"/>
      <c r="D97" s="19"/>
      <c r="E97" s="18"/>
      <c r="F97" s="18"/>
      <c r="G97" s="15"/>
      <c r="H97" s="15"/>
      <c r="I97" s="17"/>
      <c r="J97" s="28"/>
      <c r="K97" s="27"/>
      <c r="L97" s="27"/>
      <c r="M97" s="27"/>
      <c r="N97" s="17"/>
      <c r="O97" s="17"/>
      <c r="P97" s="17"/>
      <c r="Q97" s="17"/>
    </row>
    <row r="98" spans="1:17" s="11" customFormat="1" ht="12" x14ac:dyDescent="0.2">
      <c r="A98" s="18"/>
      <c r="B98" s="18"/>
      <c r="C98" s="18"/>
      <c r="D98" s="19"/>
      <c r="E98" s="18"/>
      <c r="F98" s="18"/>
      <c r="G98" s="15"/>
      <c r="H98" s="15"/>
      <c r="I98" s="17"/>
      <c r="J98" s="28"/>
      <c r="K98" s="27"/>
      <c r="L98" s="27"/>
      <c r="M98" s="27"/>
      <c r="N98" s="17"/>
      <c r="O98" s="17"/>
      <c r="P98" s="17"/>
      <c r="Q98" s="17"/>
    </row>
    <row r="99" spans="1:17" s="11" customFormat="1" ht="12" x14ac:dyDescent="0.2">
      <c r="A99" s="18"/>
      <c r="B99" s="18"/>
      <c r="C99" s="18"/>
      <c r="D99" s="19"/>
      <c r="E99" s="18"/>
      <c r="F99" s="18"/>
      <c r="G99" s="15"/>
      <c r="H99" s="15"/>
      <c r="I99" s="17"/>
      <c r="J99" s="28"/>
      <c r="K99" s="27"/>
      <c r="L99" s="27"/>
      <c r="M99" s="27"/>
      <c r="N99" s="17"/>
      <c r="O99" s="17"/>
      <c r="P99" s="17"/>
      <c r="Q99" s="17"/>
    </row>
    <row r="100" spans="1:17" s="11" customFormat="1" ht="12" x14ac:dyDescent="0.2">
      <c r="A100" s="18"/>
      <c r="B100" s="18"/>
      <c r="C100" s="18"/>
      <c r="D100" s="19"/>
      <c r="E100" s="18"/>
      <c r="F100" s="18"/>
      <c r="G100" s="15"/>
      <c r="H100" s="15"/>
      <c r="I100" s="17"/>
      <c r="J100" s="28"/>
      <c r="K100" s="27"/>
      <c r="L100" s="27"/>
      <c r="M100" s="27"/>
      <c r="N100" s="17"/>
      <c r="O100" s="17"/>
      <c r="P100" s="17"/>
      <c r="Q100" s="17"/>
    </row>
    <row r="101" spans="1:17" s="11" customFormat="1" ht="12" x14ac:dyDescent="0.2">
      <c r="A101" s="18"/>
      <c r="B101" s="18"/>
      <c r="C101" s="18"/>
      <c r="D101" s="19"/>
      <c r="E101" s="18"/>
      <c r="F101" s="18"/>
      <c r="G101" s="15"/>
      <c r="H101" s="15"/>
      <c r="I101" s="17"/>
      <c r="J101" s="28"/>
      <c r="K101" s="27"/>
      <c r="L101" s="27"/>
      <c r="M101" s="27"/>
      <c r="N101" s="17"/>
      <c r="O101" s="17"/>
      <c r="P101" s="17"/>
      <c r="Q101" s="17"/>
    </row>
    <row r="102" spans="1:17" s="11" customFormat="1" ht="12" x14ac:dyDescent="0.2">
      <c r="A102" s="18"/>
      <c r="B102" s="18"/>
      <c r="C102" s="18"/>
      <c r="D102" s="19"/>
      <c r="E102" s="18"/>
      <c r="F102" s="18"/>
      <c r="G102" s="15"/>
      <c r="H102" s="15"/>
      <c r="I102" s="17"/>
      <c r="J102" s="28"/>
      <c r="K102" s="27"/>
      <c r="L102" s="27"/>
      <c r="M102" s="27"/>
      <c r="N102" s="17"/>
      <c r="O102" s="17"/>
      <c r="P102" s="17"/>
      <c r="Q102" s="17"/>
    </row>
    <row r="103" spans="1:17" s="11" customFormat="1" ht="12" x14ac:dyDescent="0.2">
      <c r="A103" s="18"/>
      <c r="B103" s="18"/>
      <c r="C103" s="18"/>
      <c r="D103" s="19"/>
      <c r="E103" s="18"/>
      <c r="F103" s="18"/>
      <c r="G103" s="15"/>
      <c r="H103" s="15"/>
      <c r="I103" s="17"/>
      <c r="J103" s="28"/>
      <c r="K103" s="27"/>
      <c r="L103" s="27"/>
      <c r="M103" s="27"/>
      <c r="N103" s="17"/>
      <c r="O103" s="17"/>
      <c r="P103" s="17"/>
      <c r="Q103" s="17"/>
    </row>
    <row r="104" spans="1:17" s="11" customFormat="1" ht="12" x14ac:dyDescent="0.2">
      <c r="A104" s="18"/>
      <c r="B104" s="18"/>
      <c r="C104" s="18"/>
      <c r="D104" s="19"/>
      <c r="E104" s="18"/>
      <c r="F104" s="18"/>
      <c r="G104" s="15"/>
      <c r="H104" s="15"/>
      <c r="I104" s="17"/>
      <c r="J104" s="28"/>
      <c r="K104" s="27"/>
      <c r="L104" s="27"/>
      <c r="M104" s="27"/>
      <c r="N104" s="17"/>
      <c r="O104" s="17"/>
      <c r="P104" s="17"/>
      <c r="Q104" s="17"/>
    </row>
    <row r="105" spans="1:17" s="11" customFormat="1" ht="12" x14ac:dyDescent="0.2">
      <c r="A105" s="18"/>
      <c r="B105" s="18"/>
      <c r="C105" s="18"/>
      <c r="D105" s="19"/>
      <c r="E105" s="18"/>
      <c r="F105" s="18"/>
      <c r="G105" s="15"/>
      <c r="H105" s="15"/>
      <c r="I105" s="17"/>
      <c r="J105" s="28"/>
      <c r="K105" s="27"/>
      <c r="L105" s="27"/>
      <c r="M105" s="27"/>
      <c r="N105" s="17"/>
      <c r="O105" s="17"/>
      <c r="P105" s="17"/>
      <c r="Q105" s="17"/>
    </row>
    <row r="106" spans="1:17" s="11" customFormat="1" ht="12" x14ac:dyDescent="0.2">
      <c r="A106" s="18"/>
      <c r="B106" s="18"/>
      <c r="C106" s="18"/>
      <c r="D106" s="19"/>
      <c r="E106" s="18"/>
      <c r="F106" s="18"/>
      <c r="G106" s="15"/>
      <c r="H106" s="15"/>
      <c r="I106" s="17"/>
      <c r="J106" s="28"/>
      <c r="K106" s="27"/>
      <c r="L106" s="27"/>
      <c r="M106" s="27"/>
      <c r="N106" s="17"/>
      <c r="O106" s="17"/>
      <c r="P106" s="17"/>
      <c r="Q106" s="17"/>
    </row>
    <row r="107" spans="1:17" s="11" customFormat="1" ht="12" x14ac:dyDescent="0.2">
      <c r="A107" s="18"/>
      <c r="B107" s="18"/>
      <c r="C107" s="18"/>
      <c r="D107" s="19"/>
      <c r="E107" s="18"/>
      <c r="F107" s="18"/>
      <c r="G107" s="15"/>
      <c r="H107" s="15"/>
      <c r="I107" s="17"/>
      <c r="J107" s="28"/>
      <c r="K107" s="27"/>
      <c r="L107" s="27"/>
      <c r="M107" s="27"/>
      <c r="N107" s="17"/>
      <c r="O107" s="17"/>
      <c r="P107" s="17"/>
      <c r="Q107" s="17"/>
    </row>
    <row r="108" spans="1:17" s="11" customFormat="1" ht="12" x14ac:dyDescent="0.2">
      <c r="A108" s="18"/>
      <c r="B108" s="18"/>
      <c r="C108" s="18"/>
      <c r="D108" s="19"/>
      <c r="E108" s="18"/>
      <c r="F108" s="18"/>
      <c r="G108" s="15"/>
      <c r="H108" s="15"/>
      <c r="I108" s="17"/>
      <c r="J108" s="28"/>
      <c r="K108" s="27"/>
      <c r="L108" s="27"/>
      <c r="M108" s="27"/>
      <c r="N108" s="17"/>
      <c r="O108" s="17"/>
      <c r="P108" s="17"/>
      <c r="Q108" s="17"/>
    </row>
    <row r="109" spans="1:17" s="11" customFormat="1" ht="12" x14ac:dyDescent="0.2">
      <c r="A109" s="18"/>
      <c r="B109" s="18"/>
      <c r="C109" s="18"/>
      <c r="D109" s="19"/>
      <c r="E109" s="18"/>
      <c r="F109" s="18"/>
      <c r="G109" s="15"/>
      <c r="H109" s="15"/>
      <c r="I109" s="17"/>
      <c r="J109" s="28"/>
      <c r="K109" s="27"/>
      <c r="L109" s="27"/>
      <c r="M109" s="27"/>
      <c r="N109" s="17"/>
      <c r="O109" s="17"/>
      <c r="P109" s="17"/>
      <c r="Q109" s="17"/>
    </row>
    <row r="110" spans="1:17" s="11" customFormat="1" ht="12" x14ac:dyDescent="0.2">
      <c r="A110" s="18"/>
      <c r="B110" s="18"/>
      <c r="C110" s="18"/>
      <c r="D110" s="19"/>
      <c r="E110" s="18"/>
      <c r="F110" s="18"/>
      <c r="G110" s="15"/>
      <c r="H110" s="15"/>
      <c r="I110" s="17"/>
      <c r="J110" s="28"/>
      <c r="K110" s="27"/>
      <c r="L110" s="27"/>
      <c r="M110" s="27"/>
      <c r="N110" s="17"/>
      <c r="O110" s="17"/>
      <c r="P110" s="17"/>
      <c r="Q110" s="17"/>
    </row>
    <row r="111" spans="1:17" s="11" customFormat="1" ht="12" x14ac:dyDescent="0.2">
      <c r="A111" s="18"/>
      <c r="B111" s="18"/>
      <c r="C111" s="18"/>
      <c r="D111" s="19"/>
      <c r="E111" s="18"/>
      <c r="F111" s="18"/>
      <c r="G111" s="15"/>
      <c r="H111" s="15"/>
      <c r="I111" s="17"/>
      <c r="J111" s="28"/>
      <c r="K111" s="27"/>
      <c r="L111" s="27"/>
      <c r="M111" s="27"/>
      <c r="N111" s="17"/>
      <c r="O111" s="17"/>
      <c r="P111" s="17"/>
      <c r="Q111" s="17"/>
    </row>
    <row r="112" spans="1:17" s="11" customFormat="1" ht="12" x14ac:dyDescent="0.2">
      <c r="A112" s="18"/>
      <c r="B112" s="18"/>
      <c r="C112" s="18"/>
      <c r="D112" s="19"/>
      <c r="E112" s="18"/>
      <c r="F112" s="18"/>
      <c r="G112" s="15"/>
      <c r="H112" s="15"/>
      <c r="I112" s="17"/>
      <c r="J112" s="28"/>
      <c r="K112" s="27"/>
      <c r="L112" s="27"/>
      <c r="M112" s="27"/>
      <c r="N112" s="17"/>
      <c r="O112" s="17"/>
      <c r="P112" s="17"/>
      <c r="Q112" s="17"/>
    </row>
    <row r="113" spans="1:17" s="11" customFormat="1" ht="12" x14ac:dyDescent="0.2">
      <c r="A113" s="18"/>
      <c r="B113" s="18"/>
      <c r="C113" s="18"/>
      <c r="D113" s="19"/>
      <c r="E113" s="18"/>
      <c r="F113" s="18"/>
      <c r="G113" s="15"/>
      <c r="H113" s="15"/>
      <c r="I113" s="17"/>
      <c r="J113" s="28"/>
      <c r="K113" s="27"/>
      <c r="L113" s="27"/>
      <c r="M113" s="27"/>
      <c r="N113" s="17"/>
      <c r="O113" s="17"/>
      <c r="P113" s="17"/>
      <c r="Q113" s="17"/>
    </row>
    <row r="114" spans="1:17" s="11" customFormat="1" ht="12" x14ac:dyDescent="0.2">
      <c r="A114" s="18"/>
      <c r="B114" s="18"/>
      <c r="C114" s="18"/>
      <c r="D114" s="19"/>
      <c r="E114" s="18"/>
      <c r="F114" s="18"/>
      <c r="G114" s="15"/>
      <c r="H114" s="15"/>
      <c r="I114" s="17"/>
      <c r="J114" s="28"/>
      <c r="K114" s="27"/>
      <c r="L114" s="27"/>
      <c r="M114" s="27"/>
      <c r="N114" s="17"/>
      <c r="O114" s="17"/>
      <c r="P114" s="17"/>
      <c r="Q114" s="17"/>
    </row>
    <row r="115" spans="1:17" s="11" customFormat="1" ht="12" x14ac:dyDescent="0.2">
      <c r="A115" s="18"/>
      <c r="B115" s="18"/>
      <c r="C115" s="18"/>
      <c r="D115" s="19"/>
      <c r="E115" s="18"/>
      <c r="F115" s="18"/>
      <c r="G115" s="15"/>
      <c r="H115" s="15"/>
      <c r="I115" s="17"/>
      <c r="J115" s="28"/>
      <c r="K115" s="27"/>
      <c r="L115" s="27"/>
      <c r="M115" s="27"/>
      <c r="N115" s="17"/>
      <c r="O115" s="17"/>
      <c r="P115" s="17"/>
      <c r="Q115" s="17"/>
    </row>
    <row r="116" spans="1:17" s="11" customFormat="1" ht="12" x14ac:dyDescent="0.2">
      <c r="A116" s="18"/>
      <c r="B116" s="18"/>
      <c r="C116" s="18"/>
      <c r="D116" s="19"/>
      <c r="E116" s="18"/>
      <c r="F116" s="18"/>
      <c r="G116" s="15"/>
      <c r="H116" s="15"/>
      <c r="I116" s="17"/>
      <c r="J116" s="28"/>
      <c r="K116" s="27"/>
      <c r="L116" s="27"/>
      <c r="M116" s="27"/>
      <c r="N116" s="17"/>
      <c r="O116" s="17"/>
      <c r="P116" s="17"/>
      <c r="Q116" s="17"/>
    </row>
    <row r="117" spans="1:17" s="11" customFormat="1" ht="12" x14ac:dyDescent="0.2">
      <c r="A117" s="18"/>
      <c r="B117" s="18"/>
      <c r="C117" s="18"/>
      <c r="D117" s="19"/>
      <c r="E117" s="18"/>
      <c r="F117" s="18"/>
      <c r="G117" s="15"/>
      <c r="H117" s="15"/>
      <c r="I117" s="17"/>
      <c r="J117" s="28"/>
      <c r="K117" s="27"/>
      <c r="L117" s="27"/>
      <c r="M117" s="27"/>
      <c r="N117" s="17"/>
      <c r="O117" s="17"/>
      <c r="P117" s="17"/>
      <c r="Q117" s="17"/>
    </row>
    <row r="118" spans="1:17" s="11" customFormat="1" ht="12" x14ac:dyDescent="0.2">
      <c r="A118" s="18"/>
      <c r="B118" s="18"/>
      <c r="C118" s="18"/>
      <c r="D118" s="19"/>
      <c r="E118" s="18"/>
      <c r="F118" s="18"/>
      <c r="G118" s="15"/>
      <c r="H118" s="15"/>
      <c r="I118" s="17"/>
      <c r="J118" s="28"/>
      <c r="K118" s="27"/>
      <c r="L118" s="27"/>
      <c r="M118" s="27"/>
      <c r="N118" s="17"/>
      <c r="O118" s="17"/>
      <c r="P118" s="17"/>
      <c r="Q118" s="17"/>
    </row>
    <row r="119" spans="1:17" s="11" customFormat="1" ht="12" x14ac:dyDescent="0.2">
      <c r="A119" s="18"/>
      <c r="B119" s="18"/>
      <c r="C119" s="18"/>
      <c r="D119" s="19"/>
      <c r="E119" s="18"/>
      <c r="F119" s="18"/>
      <c r="G119" s="15"/>
      <c r="H119" s="15"/>
      <c r="I119" s="17"/>
      <c r="J119" s="28"/>
      <c r="K119" s="27"/>
      <c r="L119" s="27"/>
      <c r="M119" s="27"/>
      <c r="N119" s="17"/>
      <c r="O119" s="17"/>
      <c r="P119" s="17"/>
      <c r="Q119" s="17"/>
    </row>
    <row r="120" spans="1:17" s="11" customFormat="1" ht="12" x14ac:dyDescent="0.2">
      <c r="A120" s="18"/>
      <c r="B120" s="18"/>
      <c r="C120" s="18"/>
      <c r="D120" s="19"/>
      <c r="E120" s="18"/>
      <c r="F120" s="18"/>
      <c r="G120" s="15"/>
      <c r="H120" s="15"/>
      <c r="I120" s="17"/>
      <c r="J120" s="28"/>
      <c r="K120" s="27"/>
      <c r="L120" s="27"/>
      <c r="M120" s="27"/>
      <c r="N120" s="17"/>
      <c r="O120" s="17"/>
      <c r="P120" s="17"/>
      <c r="Q120" s="17"/>
    </row>
    <row r="121" spans="1:17" s="11" customFormat="1" ht="12" x14ac:dyDescent="0.2">
      <c r="A121" s="18"/>
      <c r="B121" s="18"/>
      <c r="C121" s="18"/>
      <c r="D121" s="19"/>
      <c r="E121" s="18"/>
      <c r="F121" s="18"/>
      <c r="G121" s="15"/>
      <c r="H121" s="15"/>
      <c r="I121" s="17"/>
      <c r="J121" s="28"/>
      <c r="K121" s="27"/>
      <c r="L121" s="27"/>
      <c r="M121" s="27"/>
      <c r="N121" s="17"/>
      <c r="O121" s="17"/>
      <c r="P121" s="17"/>
      <c r="Q121" s="17"/>
    </row>
    <row r="122" spans="1:17" s="11" customFormat="1" ht="12" x14ac:dyDescent="0.2">
      <c r="A122" s="18"/>
      <c r="B122" s="18"/>
      <c r="C122" s="18"/>
      <c r="D122" s="19"/>
      <c r="E122" s="18"/>
      <c r="F122" s="18"/>
      <c r="G122" s="15"/>
      <c r="H122" s="15"/>
      <c r="I122" s="17"/>
      <c r="J122" s="28"/>
      <c r="K122" s="27"/>
      <c r="L122" s="27"/>
      <c r="M122" s="27"/>
      <c r="N122" s="17"/>
      <c r="O122" s="17"/>
      <c r="P122" s="17"/>
      <c r="Q122" s="17"/>
    </row>
  </sheetData>
  <mergeCells count="16">
    <mergeCell ref="A10:A11"/>
    <mergeCell ref="B10:B11"/>
    <mergeCell ref="C10:C11"/>
    <mergeCell ref="E10:E11"/>
    <mergeCell ref="D10:D11"/>
    <mergeCell ref="I5:L5"/>
    <mergeCell ref="I6:L6"/>
    <mergeCell ref="F10:F11"/>
    <mergeCell ref="G10:G11"/>
    <mergeCell ref="H10:H11"/>
    <mergeCell ref="O10:Z10"/>
    <mergeCell ref="M10:M11"/>
    <mergeCell ref="I10:I11"/>
    <mergeCell ref="N10:N11"/>
    <mergeCell ref="K10:L10"/>
    <mergeCell ref="J10:J11"/>
  </mergeCells>
  <phoneticPr fontId="17" type="noConversion"/>
  <pageMargins left="0.19685039370078741" right="0.2" top="0.51" bottom="0.2" header="0.37" footer="0"/>
  <pageSetup paperSize="5" scale="45" orientation="landscape" r:id="rId1"/>
  <headerFooter alignWithMargins="0">
    <oddFooter>&amp;C&amp;P&amp;R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1"/>
  <sheetViews>
    <sheetView view="pageBreakPreview" zoomScale="60" zoomScaleNormal="100"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P48" sqref="P48"/>
    </sheetView>
  </sheetViews>
  <sheetFormatPr baseColWidth="10" defaultRowHeight="18" customHeight="1" x14ac:dyDescent="0.2"/>
  <cols>
    <col min="1" max="1" width="8" style="286" customWidth="1"/>
    <col min="2" max="2" width="3.5703125" style="286" bestFit="1" customWidth="1"/>
    <col min="3" max="3" width="5.140625" style="286" bestFit="1" customWidth="1"/>
    <col min="4" max="4" width="3.7109375" style="286" bestFit="1" customWidth="1"/>
    <col min="5" max="5" width="3.5703125" style="286" bestFit="1" customWidth="1"/>
    <col min="6" max="6" width="4.85546875" style="286" customWidth="1"/>
    <col min="7" max="7" width="7.7109375" style="286" customWidth="1"/>
    <col min="8" max="8" width="46.28515625" style="287" customWidth="1"/>
    <col min="9" max="9" width="19" style="396" bestFit="1" customWidth="1"/>
    <col min="10" max="10" width="12.5703125" style="397" customWidth="1"/>
    <col min="11" max="11" width="6.42578125" style="287" bestFit="1" customWidth="1"/>
    <col min="12" max="12" width="4.7109375" style="287" bestFit="1" customWidth="1"/>
    <col min="13" max="13" width="16.7109375" style="287" customWidth="1"/>
    <col min="14" max="14" width="51" style="287" customWidth="1"/>
    <col min="15" max="15" width="16.140625" style="287" bestFit="1" customWidth="1"/>
    <col min="16" max="16" width="39.28515625" style="287" customWidth="1"/>
    <col min="17" max="17" width="15.5703125" style="287" customWidth="1"/>
    <col min="18" max="18" width="11.140625" style="287" bestFit="1" customWidth="1"/>
    <col min="19" max="19" width="20.140625" style="287" customWidth="1"/>
    <col min="20" max="20" width="11.140625" style="287" customWidth="1"/>
    <col min="21" max="21" width="17.28515625" style="287" bestFit="1" customWidth="1"/>
    <col min="22" max="22" width="16.28515625" style="287" bestFit="1" customWidth="1"/>
    <col min="23" max="23" width="20.140625" style="287" customWidth="1"/>
    <col min="24" max="24" width="16.140625" style="287" bestFit="1" customWidth="1"/>
    <col min="25" max="25" width="16.5703125" style="287" customWidth="1"/>
    <col min="26" max="26" width="17.28515625" style="287" bestFit="1" customWidth="1"/>
    <col min="27" max="27" width="14.140625" style="287" bestFit="1" customWidth="1"/>
    <col min="28" max="28" width="15.5703125" style="287" customWidth="1"/>
    <col min="29" max="29" width="14.85546875" style="287" bestFit="1" customWidth="1"/>
    <col min="30" max="30" width="8.85546875" style="287" customWidth="1"/>
    <col min="31" max="31" width="20.140625" style="287" customWidth="1"/>
    <col min="32" max="32" width="22.7109375" style="287" bestFit="1" customWidth="1"/>
    <col min="33" max="39" width="11.42578125" style="287"/>
    <col min="40" max="256" width="11.42578125" style="286"/>
    <col min="257" max="257" width="8" style="286" customWidth="1"/>
    <col min="258" max="258" width="3.5703125" style="286" bestFit="1" customWidth="1"/>
    <col min="259" max="259" width="5.140625" style="286" bestFit="1" customWidth="1"/>
    <col min="260" max="260" width="3.7109375" style="286" bestFit="1" customWidth="1"/>
    <col min="261" max="261" width="3.5703125" style="286" bestFit="1" customWidth="1"/>
    <col min="262" max="262" width="4.85546875" style="286" customWidth="1"/>
    <col min="263" max="263" width="7.7109375" style="286" customWidth="1"/>
    <col min="264" max="264" width="46.28515625" style="286" customWidth="1"/>
    <col min="265" max="265" width="19" style="286" bestFit="1" customWidth="1"/>
    <col min="266" max="266" width="12.5703125" style="286" customWidth="1"/>
    <col min="267" max="267" width="6.42578125" style="286" bestFit="1" customWidth="1"/>
    <col min="268" max="268" width="4.7109375" style="286" bestFit="1" customWidth="1"/>
    <col min="269" max="269" width="18.42578125" style="286" customWidth="1"/>
    <col min="270" max="270" width="55.7109375" style="286" customWidth="1"/>
    <col min="271" max="271" width="16.140625" style="286" bestFit="1" customWidth="1"/>
    <col min="272" max="272" width="39.28515625" style="286" customWidth="1"/>
    <col min="273" max="273" width="15.5703125" style="286" customWidth="1"/>
    <col min="274" max="274" width="11.140625" style="286" bestFit="1" customWidth="1"/>
    <col min="275" max="275" width="20.140625" style="286" customWidth="1"/>
    <col min="276" max="276" width="11.140625" style="286" customWidth="1"/>
    <col min="277" max="277" width="17.28515625" style="286" bestFit="1" customWidth="1"/>
    <col min="278" max="278" width="16.28515625" style="286" bestFit="1" customWidth="1"/>
    <col min="279" max="279" width="20.140625" style="286" customWidth="1"/>
    <col min="280" max="280" width="16.140625" style="286" bestFit="1" customWidth="1"/>
    <col min="281" max="281" width="16.5703125" style="286" customWidth="1"/>
    <col min="282" max="282" width="17.28515625" style="286" bestFit="1" customWidth="1"/>
    <col min="283" max="283" width="14.140625" style="286" bestFit="1" customWidth="1"/>
    <col min="284" max="284" width="15.5703125" style="286" customWidth="1"/>
    <col min="285" max="285" width="14.85546875" style="286" bestFit="1" customWidth="1"/>
    <col min="286" max="286" width="8.85546875" style="286" customWidth="1"/>
    <col min="287" max="287" width="20.140625" style="286" customWidth="1"/>
    <col min="288" max="288" width="22.7109375" style="286" bestFit="1" customWidth="1"/>
    <col min="289" max="512" width="11.42578125" style="286"/>
    <col min="513" max="513" width="8" style="286" customWidth="1"/>
    <col min="514" max="514" width="3.5703125" style="286" bestFit="1" customWidth="1"/>
    <col min="515" max="515" width="5.140625" style="286" bestFit="1" customWidth="1"/>
    <col min="516" max="516" width="3.7109375" style="286" bestFit="1" customWidth="1"/>
    <col min="517" max="517" width="3.5703125" style="286" bestFit="1" customWidth="1"/>
    <col min="518" max="518" width="4.85546875" style="286" customWidth="1"/>
    <col min="519" max="519" width="7.7109375" style="286" customWidth="1"/>
    <col min="520" max="520" width="46.28515625" style="286" customWidth="1"/>
    <col min="521" max="521" width="19" style="286" bestFit="1" customWidth="1"/>
    <col min="522" max="522" width="12.5703125" style="286" customWidth="1"/>
    <col min="523" max="523" width="6.42578125" style="286" bestFit="1" customWidth="1"/>
    <col min="524" max="524" width="4.7109375" style="286" bestFit="1" customWidth="1"/>
    <col min="525" max="525" width="18.42578125" style="286" customWidth="1"/>
    <col min="526" max="526" width="55.7109375" style="286" customWidth="1"/>
    <col min="527" max="527" width="16.140625" style="286" bestFit="1" customWidth="1"/>
    <col min="528" max="528" width="39.28515625" style="286" customWidth="1"/>
    <col min="529" max="529" width="15.5703125" style="286" customWidth="1"/>
    <col min="530" max="530" width="11.140625" style="286" bestFit="1" customWidth="1"/>
    <col min="531" max="531" width="20.140625" style="286" customWidth="1"/>
    <col min="532" max="532" width="11.140625" style="286" customWidth="1"/>
    <col min="533" max="533" width="17.28515625" style="286" bestFit="1" customWidth="1"/>
    <col min="534" max="534" width="16.28515625" style="286" bestFit="1" customWidth="1"/>
    <col min="535" max="535" width="20.140625" style="286" customWidth="1"/>
    <col min="536" max="536" width="16.140625" style="286" bestFit="1" customWidth="1"/>
    <col min="537" max="537" width="16.5703125" style="286" customWidth="1"/>
    <col min="538" max="538" width="17.28515625" style="286" bestFit="1" customWidth="1"/>
    <col min="539" max="539" width="14.140625" style="286" bestFit="1" customWidth="1"/>
    <col min="540" max="540" width="15.5703125" style="286" customWidth="1"/>
    <col min="541" max="541" width="14.85546875" style="286" bestFit="1" customWidth="1"/>
    <col min="542" max="542" width="8.85546875" style="286" customWidth="1"/>
    <col min="543" max="543" width="20.140625" style="286" customWidth="1"/>
    <col min="544" max="544" width="22.7109375" style="286" bestFit="1" customWidth="1"/>
    <col min="545" max="768" width="11.42578125" style="286"/>
    <col min="769" max="769" width="8" style="286" customWidth="1"/>
    <col min="770" max="770" width="3.5703125" style="286" bestFit="1" customWidth="1"/>
    <col min="771" max="771" width="5.140625" style="286" bestFit="1" customWidth="1"/>
    <col min="772" max="772" width="3.7109375" style="286" bestFit="1" customWidth="1"/>
    <col min="773" max="773" width="3.5703125" style="286" bestFit="1" customWidth="1"/>
    <col min="774" max="774" width="4.85546875" style="286" customWidth="1"/>
    <col min="775" max="775" width="7.7109375" style="286" customWidth="1"/>
    <col min="776" max="776" width="46.28515625" style="286" customWidth="1"/>
    <col min="777" max="777" width="19" style="286" bestFit="1" customWidth="1"/>
    <col min="778" max="778" width="12.5703125" style="286" customWidth="1"/>
    <col min="779" max="779" width="6.42578125" style="286" bestFit="1" customWidth="1"/>
    <col min="780" max="780" width="4.7109375" style="286" bestFit="1" customWidth="1"/>
    <col min="781" max="781" width="18.42578125" style="286" customWidth="1"/>
    <col min="782" max="782" width="55.7109375" style="286" customWidth="1"/>
    <col min="783" max="783" width="16.140625" style="286" bestFit="1" customWidth="1"/>
    <col min="784" max="784" width="39.28515625" style="286" customWidth="1"/>
    <col min="785" max="785" width="15.5703125" style="286" customWidth="1"/>
    <col min="786" max="786" width="11.140625" style="286" bestFit="1" customWidth="1"/>
    <col min="787" max="787" width="20.140625" style="286" customWidth="1"/>
    <col min="788" max="788" width="11.140625" style="286" customWidth="1"/>
    <col min="789" max="789" width="17.28515625" style="286" bestFit="1" customWidth="1"/>
    <col min="790" max="790" width="16.28515625" style="286" bestFit="1" customWidth="1"/>
    <col min="791" max="791" width="20.140625" style="286" customWidth="1"/>
    <col min="792" max="792" width="16.140625" style="286" bestFit="1" customWidth="1"/>
    <col min="793" max="793" width="16.5703125" style="286" customWidth="1"/>
    <col min="794" max="794" width="17.28515625" style="286" bestFit="1" customWidth="1"/>
    <col min="795" max="795" width="14.140625" style="286" bestFit="1" customWidth="1"/>
    <col min="796" max="796" width="15.5703125" style="286" customWidth="1"/>
    <col min="797" max="797" width="14.85546875" style="286" bestFit="1" customWidth="1"/>
    <col min="798" max="798" width="8.85546875" style="286" customWidth="1"/>
    <col min="799" max="799" width="20.140625" style="286" customWidth="1"/>
    <col min="800" max="800" width="22.7109375" style="286" bestFit="1" customWidth="1"/>
    <col min="801" max="1024" width="11.42578125" style="286"/>
    <col min="1025" max="1025" width="8" style="286" customWidth="1"/>
    <col min="1026" max="1026" width="3.5703125" style="286" bestFit="1" customWidth="1"/>
    <col min="1027" max="1027" width="5.140625" style="286" bestFit="1" customWidth="1"/>
    <col min="1028" max="1028" width="3.7109375" style="286" bestFit="1" customWidth="1"/>
    <col min="1029" max="1029" width="3.5703125" style="286" bestFit="1" customWidth="1"/>
    <col min="1030" max="1030" width="4.85546875" style="286" customWidth="1"/>
    <col min="1031" max="1031" width="7.7109375" style="286" customWidth="1"/>
    <col min="1032" max="1032" width="46.28515625" style="286" customWidth="1"/>
    <col min="1033" max="1033" width="19" style="286" bestFit="1" customWidth="1"/>
    <col min="1034" max="1034" width="12.5703125" style="286" customWidth="1"/>
    <col min="1035" max="1035" width="6.42578125" style="286" bestFit="1" customWidth="1"/>
    <col min="1036" max="1036" width="4.7109375" style="286" bestFit="1" customWidth="1"/>
    <col min="1037" max="1037" width="18.42578125" style="286" customWidth="1"/>
    <col min="1038" max="1038" width="55.7109375" style="286" customWidth="1"/>
    <col min="1039" max="1039" width="16.140625" style="286" bestFit="1" customWidth="1"/>
    <col min="1040" max="1040" width="39.28515625" style="286" customWidth="1"/>
    <col min="1041" max="1041" width="15.5703125" style="286" customWidth="1"/>
    <col min="1042" max="1042" width="11.140625" style="286" bestFit="1" customWidth="1"/>
    <col min="1043" max="1043" width="20.140625" style="286" customWidth="1"/>
    <col min="1044" max="1044" width="11.140625" style="286" customWidth="1"/>
    <col min="1045" max="1045" width="17.28515625" style="286" bestFit="1" customWidth="1"/>
    <col min="1046" max="1046" width="16.28515625" style="286" bestFit="1" customWidth="1"/>
    <col min="1047" max="1047" width="20.140625" style="286" customWidth="1"/>
    <col min="1048" max="1048" width="16.140625" style="286" bestFit="1" customWidth="1"/>
    <col min="1049" max="1049" width="16.5703125" style="286" customWidth="1"/>
    <col min="1050" max="1050" width="17.28515625" style="286" bestFit="1" customWidth="1"/>
    <col min="1051" max="1051" width="14.140625" style="286" bestFit="1" customWidth="1"/>
    <col min="1052" max="1052" width="15.5703125" style="286" customWidth="1"/>
    <col min="1053" max="1053" width="14.85546875" style="286" bestFit="1" customWidth="1"/>
    <col min="1054" max="1054" width="8.85546875" style="286" customWidth="1"/>
    <col min="1055" max="1055" width="20.140625" style="286" customWidth="1"/>
    <col min="1056" max="1056" width="22.7109375" style="286" bestFit="1" customWidth="1"/>
    <col min="1057" max="1280" width="11.42578125" style="286"/>
    <col min="1281" max="1281" width="8" style="286" customWidth="1"/>
    <col min="1282" max="1282" width="3.5703125" style="286" bestFit="1" customWidth="1"/>
    <col min="1283" max="1283" width="5.140625" style="286" bestFit="1" customWidth="1"/>
    <col min="1284" max="1284" width="3.7109375" style="286" bestFit="1" customWidth="1"/>
    <col min="1285" max="1285" width="3.5703125" style="286" bestFit="1" customWidth="1"/>
    <col min="1286" max="1286" width="4.85546875" style="286" customWidth="1"/>
    <col min="1287" max="1287" width="7.7109375" style="286" customWidth="1"/>
    <col min="1288" max="1288" width="46.28515625" style="286" customWidth="1"/>
    <col min="1289" max="1289" width="19" style="286" bestFit="1" customWidth="1"/>
    <col min="1290" max="1290" width="12.5703125" style="286" customWidth="1"/>
    <col min="1291" max="1291" width="6.42578125" style="286" bestFit="1" customWidth="1"/>
    <col min="1292" max="1292" width="4.7109375" style="286" bestFit="1" customWidth="1"/>
    <col min="1293" max="1293" width="18.42578125" style="286" customWidth="1"/>
    <col min="1294" max="1294" width="55.7109375" style="286" customWidth="1"/>
    <col min="1295" max="1295" width="16.140625" style="286" bestFit="1" customWidth="1"/>
    <col min="1296" max="1296" width="39.28515625" style="286" customWidth="1"/>
    <col min="1297" max="1297" width="15.5703125" style="286" customWidth="1"/>
    <col min="1298" max="1298" width="11.140625" style="286" bestFit="1" customWidth="1"/>
    <col min="1299" max="1299" width="20.140625" style="286" customWidth="1"/>
    <col min="1300" max="1300" width="11.140625" style="286" customWidth="1"/>
    <col min="1301" max="1301" width="17.28515625" style="286" bestFit="1" customWidth="1"/>
    <col min="1302" max="1302" width="16.28515625" style="286" bestFit="1" customWidth="1"/>
    <col min="1303" max="1303" width="20.140625" style="286" customWidth="1"/>
    <col min="1304" max="1304" width="16.140625" style="286" bestFit="1" customWidth="1"/>
    <col min="1305" max="1305" width="16.5703125" style="286" customWidth="1"/>
    <col min="1306" max="1306" width="17.28515625" style="286" bestFit="1" customWidth="1"/>
    <col min="1307" max="1307" width="14.140625" style="286" bestFit="1" customWidth="1"/>
    <col min="1308" max="1308" width="15.5703125" style="286" customWidth="1"/>
    <col min="1309" max="1309" width="14.85546875" style="286" bestFit="1" customWidth="1"/>
    <col min="1310" max="1310" width="8.85546875" style="286" customWidth="1"/>
    <col min="1311" max="1311" width="20.140625" style="286" customWidth="1"/>
    <col min="1312" max="1312" width="22.7109375" style="286" bestFit="1" customWidth="1"/>
    <col min="1313" max="1536" width="11.42578125" style="286"/>
    <col min="1537" max="1537" width="8" style="286" customWidth="1"/>
    <col min="1538" max="1538" width="3.5703125" style="286" bestFit="1" customWidth="1"/>
    <col min="1539" max="1539" width="5.140625" style="286" bestFit="1" customWidth="1"/>
    <col min="1540" max="1540" width="3.7109375" style="286" bestFit="1" customWidth="1"/>
    <col min="1541" max="1541" width="3.5703125" style="286" bestFit="1" customWidth="1"/>
    <col min="1542" max="1542" width="4.85546875" style="286" customWidth="1"/>
    <col min="1543" max="1543" width="7.7109375" style="286" customWidth="1"/>
    <col min="1544" max="1544" width="46.28515625" style="286" customWidth="1"/>
    <col min="1545" max="1545" width="19" style="286" bestFit="1" customWidth="1"/>
    <col min="1546" max="1546" width="12.5703125" style="286" customWidth="1"/>
    <col min="1547" max="1547" width="6.42578125" style="286" bestFit="1" customWidth="1"/>
    <col min="1548" max="1548" width="4.7109375" style="286" bestFit="1" customWidth="1"/>
    <col min="1549" max="1549" width="18.42578125" style="286" customWidth="1"/>
    <col min="1550" max="1550" width="55.7109375" style="286" customWidth="1"/>
    <col min="1551" max="1551" width="16.140625" style="286" bestFit="1" customWidth="1"/>
    <col min="1552" max="1552" width="39.28515625" style="286" customWidth="1"/>
    <col min="1553" max="1553" width="15.5703125" style="286" customWidth="1"/>
    <col min="1554" max="1554" width="11.140625" style="286" bestFit="1" customWidth="1"/>
    <col min="1555" max="1555" width="20.140625" style="286" customWidth="1"/>
    <col min="1556" max="1556" width="11.140625" style="286" customWidth="1"/>
    <col min="1557" max="1557" width="17.28515625" style="286" bestFit="1" customWidth="1"/>
    <col min="1558" max="1558" width="16.28515625" style="286" bestFit="1" customWidth="1"/>
    <col min="1559" max="1559" width="20.140625" style="286" customWidth="1"/>
    <col min="1560" max="1560" width="16.140625" style="286" bestFit="1" customWidth="1"/>
    <col min="1561" max="1561" width="16.5703125" style="286" customWidth="1"/>
    <col min="1562" max="1562" width="17.28515625" style="286" bestFit="1" customWidth="1"/>
    <col min="1563" max="1563" width="14.140625" style="286" bestFit="1" customWidth="1"/>
    <col min="1564" max="1564" width="15.5703125" style="286" customWidth="1"/>
    <col min="1565" max="1565" width="14.85546875" style="286" bestFit="1" customWidth="1"/>
    <col min="1566" max="1566" width="8.85546875" style="286" customWidth="1"/>
    <col min="1567" max="1567" width="20.140625" style="286" customWidth="1"/>
    <col min="1568" max="1568" width="22.7109375" style="286" bestFit="1" customWidth="1"/>
    <col min="1569" max="1792" width="11.42578125" style="286"/>
    <col min="1793" max="1793" width="8" style="286" customWidth="1"/>
    <col min="1794" max="1794" width="3.5703125" style="286" bestFit="1" customWidth="1"/>
    <col min="1795" max="1795" width="5.140625" style="286" bestFit="1" customWidth="1"/>
    <col min="1796" max="1796" width="3.7109375" style="286" bestFit="1" customWidth="1"/>
    <col min="1797" max="1797" width="3.5703125" style="286" bestFit="1" customWidth="1"/>
    <col min="1798" max="1798" width="4.85546875" style="286" customWidth="1"/>
    <col min="1799" max="1799" width="7.7109375" style="286" customWidth="1"/>
    <col min="1800" max="1800" width="46.28515625" style="286" customWidth="1"/>
    <col min="1801" max="1801" width="19" style="286" bestFit="1" customWidth="1"/>
    <col min="1802" max="1802" width="12.5703125" style="286" customWidth="1"/>
    <col min="1803" max="1803" width="6.42578125" style="286" bestFit="1" customWidth="1"/>
    <col min="1804" max="1804" width="4.7109375" style="286" bestFit="1" customWidth="1"/>
    <col min="1805" max="1805" width="18.42578125" style="286" customWidth="1"/>
    <col min="1806" max="1806" width="55.7109375" style="286" customWidth="1"/>
    <col min="1807" max="1807" width="16.140625" style="286" bestFit="1" customWidth="1"/>
    <col min="1808" max="1808" width="39.28515625" style="286" customWidth="1"/>
    <col min="1809" max="1809" width="15.5703125" style="286" customWidth="1"/>
    <col min="1810" max="1810" width="11.140625" style="286" bestFit="1" customWidth="1"/>
    <col min="1811" max="1811" width="20.140625" style="286" customWidth="1"/>
    <col min="1812" max="1812" width="11.140625" style="286" customWidth="1"/>
    <col min="1813" max="1813" width="17.28515625" style="286" bestFit="1" customWidth="1"/>
    <col min="1814" max="1814" width="16.28515625" style="286" bestFit="1" customWidth="1"/>
    <col min="1815" max="1815" width="20.140625" style="286" customWidth="1"/>
    <col min="1816" max="1816" width="16.140625" style="286" bestFit="1" customWidth="1"/>
    <col min="1817" max="1817" width="16.5703125" style="286" customWidth="1"/>
    <col min="1818" max="1818" width="17.28515625" style="286" bestFit="1" customWidth="1"/>
    <col min="1819" max="1819" width="14.140625" style="286" bestFit="1" customWidth="1"/>
    <col min="1820" max="1820" width="15.5703125" style="286" customWidth="1"/>
    <col min="1821" max="1821" width="14.85546875" style="286" bestFit="1" customWidth="1"/>
    <col min="1822" max="1822" width="8.85546875" style="286" customWidth="1"/>
    <col min="1823" max="1823" width="20.140625" style="286" customWidth="1"/>
    <col min="1824" max="1824" width="22.7109375" style="286" bestFit="1" customWidth="1"/>
    <col min="1825" max="2048" width="11.42578125" style="286"/>
    <col min="2049" max="2049" width="8" style="286" customWidth="1"/>
    <col min="2050" max="2050" width="3.5703125" style="286" bestFit="1" customWidth="1"/>
    <col min="2051" max="2051" width="5.140625" style="286" bestFit="1" customWidth="1"/>
    <col min="2052" max="2052" width="3.7109375" style="286" bestFit="1" customWidth="1"/>
    <col min="2053" max="2053" width="3.5703125" style="286" bestFit="1" customWidth="1"/>
    <col min="2054" max="2054" width="4.85546875" style="286" customWidth="1"/>
    <col min="2055" max="2055" width="7.7109375" style="286" customWidth="1"/>
    <col min="2056" max="2056" width="46.28515625" style="286" customWidth="1"/>
    <col min="2057" max="2057" width="19" style="286" bestFit="1" customWidth="1"/>
    <col min="2058" max="2058" width="12.5703125" style="286" customWidth="1"/>
    <col min="2059" max="2059" width="6.42578125" style="286" bestFit="1" customWidth="1"/>
    <col min="2060" max="2060" width="4.7109375" style="286" bestFit="1" customWidth="1"/>
    <col min="2061" max="2061" width="18.42578125" style="286" customWidth="1"/>
    <col min="2062" max="2062" width="55.7109375" style="286" customWidth="1"/>
    <col min="2063" max="2063" width="16.140625" style="286" bestFit="1" customWidth="1"/>
    <col min="2064" max="2064" width="39.28515625" style="286" customWidth="1"/>
    <col min="2065" max="2065" width="15.5703125" style="286" customWidth="1"/>
    <col min="2066" max="2066" width="11.140625" style="286" bestFit="1" customWidth="1"/>
    <col min="2067" max="2067" width="20.140625" style="286" customWidth="1"/>
    <col min="2068" max="2068" width="11.140625" style="286" customWidth="1"/>
    <col min="2069" max="2069" width="17.28515625" style="286" bestFit="1" customWidth="1"/>
    <col min="2070" max="2070" width="16.28515625" style="286" bestFit="1" customWidth="1"/>
    <col min="2071" max="2071" width="20.140625" style="286" customWidth="1"/>
    <col min="2072" max="2072" width="16.140625" style="286" bestFit="1" customWidth="1"/>
    <col min="2073" max="2073" width="16.5703125" style="286" customWidth="1"/>
    <col min="2074" max="2074" width="17.28515625" style="286" bestFit="1" customWidth="1"/>
    <col min="2075" max="2075" width="14.140625" style="286" bestFit="1" customWidth="1"/>
    <col min="2076" max="2076" width="15.5703125" style="286" customWidth="1"/>
    <col min="2077" max="2077" width="14.85546875" style="286" bestFit="1" customWidth="1"/>
    <col min="2078" max="2078" width="8.85546875" style="286" customWidth="1"/>
    <col min="2079" max="2079" width="20.140625" style="286" customWidth="1"/>
    <col min="2080" max="2080" width="22.7109375" style="286" bestFit="1" customWidth="1"/>
    <col min="2081" max="2304" width="11.42578125" style="286"/>
    <col min="2305" max="2305" width="8" style="286" customWidth="1"/>
    <col min="2306" max="2306" width="3.5703125" style="286" bestFit="1" customWidth="1"/>
    <col min="2307" max="2307" width="5.140625" style="286" bestFit="1" customWidth="1"/>
    <col min="2308" max="2308" width="3.7109375" style="286" bestFit="1" customWidth="1"/>
    <col min="2309" max="2309" width="3.5703125" style="286" bestFit="1" customWidth="1"/>
    <col min="2310" max="2310" width="4.85546875" style="286" customWidth="1"/>
    <col min="2311" max="2311" width="7.7109375" style="286" customWidth="1"/>
    <col min="2312" max="2312" width="46.28515625" style="286" customWidth="1"/>
    <col min="2313" max="2313" width="19" style="286" bestFit="1" customWidth="1"/>
    <col min="2314" max="2314" width="12.5703125" style="286" customWidth="1"/>
    <col min="2315" max="2315" width="6.42578125" style="286" bestFit="1" customWidth="1"/>
    <col min="2316" max="2316" width="4.7109375" style="286" bestFit="1" customWidth="1"/>
    <col min="2317" max="2317" width="18.42578125" style="286" customWidth="1"/>
    <col min="2318" max="2318" width="55.7109375" style="286" customWidth="1"/>
    <col min="2319" max="2319" width="16.140625" style="286" bestFit="1" customWidth="1"/>
    <col min="2320" max="2320" width="39.28515625" style="286" customWidth="1"/>
    <col min="2321" max="2321" width="15.5703125" style="286" customWidth="1"/>
    <col min="2322" max="2322" width="11.140625" style="286" bestFit="1" customWidth="1"/>
    <col min="2323" max="2323" width="20.140625" style="286" customWidth="1"/>
    <col min="2324" max="2324" width="11.140625" style="286" customWidth="1"/>
    <col min="2325" max="2325" width="17.28515625" style="286" bestFit="1" customWidth="1"/>
    <col min="2326" max="2326" width="16.28515625" style="286" bestFit="1" customWidth="1"/>
    <col min="2327" max="2327" width="20.140625" style="286" customWidth="1"/>
    <col min="2328" max="2328" width="16.140625" style="286" bestFit="1" customWidth="1"/>
    <col min="2329" max="2329" width="16.5703125" style="286" customWidth="1"/>
    <col min="2330" max="2330" width="17.28515625" style="286" bestFit="1" customWidth="1"/>
    <col min="2331" max="2331" width="14.140625" style="286" bestFit="1" customWidth="1"/>
    <col min="2332" max="2332" width="15.5703125" style="286" customWidth="1"/>
    <col min="2333" max="2333" width="14.85546875" style="286" bestFit="1" customWidth="1"/>
    <col min="2334" max="2334" width="8.85546875" style="286" customWidth="1"/>
    <col min="2335" max="2335" width="20.140625" style="286" customWidth="1"/>
    <col min="2336" max="2336" width="22.7109375" style="286" bestFit="1" customWidth="1"/>
    <col min="2337" max="2560" width="11.42578125" style="286"/>
    <col min="2561" max="2561" width="8" style="286" customWidth="1"/>
    <col min="2562" max="2562" width="3.5703125" style="286" bestFit="1" customWidth="1"/>
    <col min="2563" max="2563" width="5.140625" style="286" bestFit="1" customWidth="1"/>
    <col min="2564" max="2564" width="3.7109375" style="286" bestFit="1" customWidth="1"/>
    <col min="2565" max="2565" width="3.5703125" style="286" bestFit="1" customWidth="1"/>
    <col min="2566" max="2566" width="4.85546875" style="286" customWidth="1"/>
    <col min="2567" max="2567" width="7.7109375" style="286" customWidth="1"/>
    <col min="2568" max="2568" width="46.28515625" style="286" customWidth="1"/>
    <col min="2569" max="2569" width="19" style="286" bestFit="1" customWidth="1"/>
    <col min="2570" max="2570" width="12.5703125" style="286" customWidth="1"/>
    <col min="2571" max="2571" width="6.42578125" style="286" bestFit="1" customWidth="1"/>
    <col min="2572" max="2572" width="4.7109375" style="286" bestFit="1" customWidth="1"/>
    <col min="2573" max="2573" width="18.42578125" style="286" customWidth="1"/>
    <col min="2574" max="2574" width="55.7109375" style="286" customWidth="1"/>
    <col min="2575" max="2575" width="16.140625" style="286" bestFit="1" customWidth="1"/>
    <col min="2576" max="2576" width="39.28515625" style="286" customWidth="1"/>
    <col min="2577" max="2577" width="15.5703125" style="286" customWidth="1"/>
    <col min="2578" max="2578" width="11.140625" style="286" bestFit="1" customWidth="1"/>
    <col min="2579" max="2579" width="20.140625" style="286" customWidth="1"/>
    <col min="2580" max="2580" width="11.140625" style="286" customWidth="1"/>
    <col min="2581" max="2581" width="17.28515625" style="286" bestFit="1" customWidth="1"/>
    <col min="2582" max="2582" width="16.28515625" style="286" bestFit="1" customWidth="1"/>
    <col min="2583" max="2583" width="20.140625" style="286" customWidth="1"/>
    <col min="2584" max="2584" width="16.140625" style="286" bestFit="1" customWidth="1"/>
    <col min="2585" max="2585" width="16.5703125" style="286" customWidth="1"/>
    <col min="2586" max="2586" width="17.28515625" style="286" bestFit="1" customWidth="1"/>
    <col min="2587" max="2587" width="14.140625" style="286" bestFit="1" customWidth="1"/>
    <col min="2588" max="2588" width="15.5703125" style="286" customWidth="1"/>
    <col min="2589" max="2589" width="14.85546875" style="286" bestFit="1" customWidth="1"/>
    <col min="2590" max="2590" width="8.85546875" style="286" customWidth="1"/>
    <col min="2591" max="2591" width="20.140625" style="286" customWidth="1"/>
    <col min="2592" max="2592" width="22.7109375" style="286" bestFit="1" customWidth="1"/>
    <col min="2593" max="2816" width="11.42578125" style="286"/>
    <col min="2817" max="2817" width="8" style="286" customWidth="1"/>
    <col min="2818" max="2818" width="3.5703125" style="286" bestFit="1" customWidth="1"/>
    <col min="2819" max="2819" width="5.140625" style="286" bestFit="1" customWidth="1"/>
    <col min="2820" max="2820" width="3.7109375" style="286" bestFit="1" customWidth="1"/>
    <col min="2821" max="2821" width="3.5703125" style="286" bestFit="1" customWidth="1"/>
    <col min="2822" max="2822" width="4.85546875" style="286" customWidth="1"/>
    <col min="2823" max="2823" width="7.7109375" style="286" customWidth="1"/>
    <col min="2824" max="2824" width="46.28515625" style="286" customWidth="1"/>
    <col min="2825" max="2825" width="19" style="286" bestFit="1" customWidth="1"/>
    <col min="2826" max="2826" width="12.5703125" style="286" customWidth="1"/>
    <col min="2827" max="2827" width="6.42578125" style="286" bestFit="1" customWidth="1"/>
    <col min="2828" max="2828" width="4.7109375" style="286" bestFit="1" customWidth="1"/>
    <col min="2829" max="2829" width="18.42578125" style="286" customWidth="1"/>
    <col min="2830" max="2830" width="55.7109375" style="286" customWidth="1"/>
    <col min="2831" max="2831" width="16.140625" style="286" bestFit="1" customWidth="1"/>
    <col min="2832" max="2832" width="39.28515625" style="286" customWidth="1"/>
    <col min="2833" max="2833" width="15.5703125" style="286" customWidth="1"/>
    <col min="2834" max="2834" width="11.140625" style="286" bestFit="1" customWidth="1"/>
    <col min="2835" max="2835" width="20.140625" style="286" customWidth="1"/>
    <col min="2836" max="2836" width="11.140625" style="286" customWidth="1"/>
    <col min="2837" max="2837" width="17.28515625" style="286" bestFit="1" customWidth="1"/>
    <col min="2838" max="2838" width="16.28515625" style="286" bestFit="1" customWidth="1"/>
    <col min="2839" max="2839" width="20.140625" style="286" customWidth="1"/>
    <col min="2840" max="2840" width="16.140625" style="286" bestFit="1" customWidth="1"/>
    <col min="2841" max="2841" width="16.5703125" style="286" customWidth="1"/>
    <col min="2842" max="2842" width="17.28515625" style="286" bestFit="1" customWidth="1"/>
    <col min="2843" max="2843" width="14.140625" style="286" bestFit="1" customWidth="1"/>
    <col min="2844" max="2844" width="15.5703125" style="286" customWidth="1"/>
    <col min="2845" max="2845" width="14.85546875" style="286" bestFit="1" customWidth="1"/>
    <col min="2846" max="2846" width="8.85546875" style="286" customWidth="1"/>
    <col min="2847" max="2847" width="20.140625" style="286" customWidth="1"/>
    <col min="2848" max="2848" width="22.7109375" style="286" bestFit="1" customWidth="1"/>
    <col min="2849" max="3072" width="11.42578125" style="286"/>
    <col min="3073" max="3073" width="8" style="286" customWidth="1"/>
    <col min="3074" max="3074" width="3.5703125" style="286" bestFit="1" customWidth="1"/>
    <col min="3075" max="3075" width="5.140625" style="286" bestFit="1" customWidth="1"/>
    <col min="3076" max="3076" width="3.7109375" style="286" bestFit="1" customWidth="1"/>
    <col min="3077" max="3077" width="3.5703125" style="286" bestFit="1" customWidth="1"/>
    <col min="3078" max="3078" width="4.85546875" style="286" customWidth="1"/>
    <col min="3079" max="3079" width="7.7109375" style="286" customWidth="1"/>
    <col min="3080" max="3080" width="46.28515625" style="286" customWidth="1"/>
    <col min="3081" max="3081" width="19" style="286" bestFit="1" customWidth="1"/>
    <col min="3082" max="3082" width="12.5703125" style="286" customWidth="1"/>
    <col min="3083" max="3083" width="6.42578125" style="286" bestFit="1" customWidth="1"/>
    <col min="3084" max="3084" width="4.7109375" style="286" bestFit="1" customWidth="1"/>
    <col min="3085" max="3085" width="18.42578125" style="286" customWidth="1"/>
    <col min="3086" max="3086" width="55.7109375" style="286" customWidth="1"/>
    <col min="3087" max="3087" width="16.140625" style="286" bestFit="1" customWidth="1"/>
    <col min="3088" max="3088" width="39.28515625" style="286" customWidth="1"/>
    <col min="3089" max="3089" width="15.5703125" style="286" customWidth="1"/>
    <col min="3090" max="3090" width="11.140625" style="286" bestFit="1" customWidth="1"/>
    <col min="3091" max="3091" width="20.140625" style="286" customWidth="1"/>
    <col min="3092" max="3092" width="11.140625" style="286" customWidth="1"/>
    <col min="3093" max="3093" width="17.28515625" style="286" bestFit="1" customWidth="1"/>
    <col min="3094" max="3094" width="16.28515625" style="286" bestFit="1" customWidth="1"/>
    <col min="3095" max="3095" width="20.140625" style="286" customWidth="1"/>
    <col min="3096" max="3096" width="16.140625" style="286" bestFit="1" customWidth="1"/>
    <col min="3097" max="3097" width="16.5703125" style="286" customWidth="1"/>
    <col min="3098" max="3098" width="17.28515625" style="286" bestFit="1" customWidth="1"/>
    <col min="3099" max="3099" width="14.140625" style="286" bestFit="1" customWidth="1"/>
    <col min="3100" max="3100" width="15.5703125" style="286" customWidth="1"/>
    <col min="3101" max="3101" width="14.85546875" style="286" bestFit="1" customWidth="1"/>
    <col min="3102" max="3102" width="8.85546875" style="286" customWidth="1"/>
    <col min="3103" max="3103" width="20.140625" style="286" customWidth="1"/>
    <col min="3104" max="3104" width="22.7109375" style="286" bestFit="1" customWidth="1"/>
    <col min="3105" max="3328" width="11.42578125" style="286"/>
    <col min="3329" max="3329" width="8" style="286" customWidth="1"/>
    <col min="3330" max="3330" width="3.5703125" style="286" bestFit="1" customWidth="1"/>
    <col min="3331" max="3331" width="5.140625" style="286" bestFit="1" customWidth="1"/>
    <col min="3332" max="3332" width="3.7109375" style="286" bestFit="1" customWidth="1"/>
    <col min="3333" max="3333" width="3.5703125" style="286" bestFit="1" customWidth="1"/>
    <col min="3334" max="3334" width="4.85546875" style="286" customWidth="1"/>
    <col min="3335" max="3335" width="7.7109375" style="286" customWidth="1"/>
    <col min="3336" max="3336" width="46.28515625" style="286" customWidth="1"/>
    <col min="3337" max="3337" width="19" style="286" bestFit="1" customWidth="1"/>
    <col min="3338" max="3338" width="12.5703125" style="286" customWidth="1"/>
    <col min="3339" max="3339" width="6.42578125" style="286" bestFit="1" customWidth="1"/>
    <col min="3340" max="3340" width="4.7109375" style="286" bestFit="1" customWidth="1"/>
    <col min="3341" max="3341" width="18.42578125" style="286" customWidth="1"/>
    <col min="3342" max="3342" width="55.7109375" style="286" customWidth="1"/>
    <col min="3343" max="3343" width="16.140625" style="286" bestFit="1" customWidth="1"/>
    <col min="3344" max="3344" width="39.28515625" style="286" customWidth="1"/>
    <col min="3345" max="3345" width="15.5703125" style="286" customWidth="1"/>
    <col min="3346" max="3346" width="11.140625" style="286" bestFit="1" customWidth="1"/>
    <col min="3347" max="3347" width="20.140625" style="286" customWidth="1"/>
    <col min="3348" max="3348" width="11.140625" style="286" customWidth="1"/>
    <col min="3349" max="3349" width="17.28515625" style="286" bestFit="1" customWidth="1"/>
    <col min="3350" max="3350" width="16.28515625" style="286" bestFit="1" customWidth="1"/>
    <col min="3351" max="3351" width="20.140625" style="286" customWidth="1"/>
    <col min="3352" max="3352" width="16.140625" style="286" bestFit="1" customWidth="1"/>
    <col min="3353" max="3353" width="16.5703125" style="286" customWidth="1"/>
    <col min="3354" max="3354" width="17.28515625" style="286" bestFit="1" customWidth="1"/>
    <col min="3355" max="3355" width="14.140625" style="286" bestFit="1" customWidth="1"/>
    <col min="3356" max="3356" width="15.5703125" style="286" customWidth="1"/>
    <col min="3357" max="3357" width="14.85546875" style="286" bestFit="1" customWidth="1"/>
    <col min="3358" max="3358" width="8.85546875" style="286" customWidth="1"/>
    <col min="3359" max="3359" width="20.140625" style="286" customWidth="1"/>
    <col min="3360" max="3360" width="22.7109375" style="286" bestFit="1" customWidth="1"/>
    <col min="3361" max="3584" width="11.42578125" style="286"/>
    <col min="3585" max="3585" width="8" style="286" customWidth="1"/>
    <col min="3586" max="3586" width="3.5703125" style="286" bestFit="1" customWidth="1"/>
    <col min="3587" max="3587" width="5.140625" style="286" bestFit="1" customWidth="1"/>
    <col min="3588" max="3588" width="3.7109375" style="286" bestFit="1" customWidth="1"/>
    <col min="3589" max="3589" width="3.5703125" style="286" bestFit="1" customWidth="1"/>
    <col min="3590" max="3590" width="4.85546875" style="286" customWidth="1"/>
    <col min="3591" max="3591" width="7.7109375" style="286" customWidth="1"/>
    <col min="3592" max="3592" width="46.28515625" style="286" customWidth="1"/>
    <col min="3593" max="3593" width="19" style="286" bestFit="1" customWidth="1"/>
    <col min="3594" max="3594" width="12.5703125" style="286" customWidth="1"/>
    <col min="3595" max="3595" width="6.42578125" style="286" bestFit="1" customWidth="1"/>
    <col min="3596" max="3596" width="4.7109375" style="286" bestFit="1" customWidth="1"/>
    <col min="3597" max="3597" width="18.42578125" style="286" customWidth="1"/>
    <col min="3598" max="3598" width="55.7109375" style="286" customWidth="1"/>
    <col min="3599" max="3599" width="16.140625" style="286" bestFit="1" customWidth="1"/>
    <col min="3600" max="3600" width="39.28515625" style="286" customWidth="1"/>
    <col min="3601" max="3601" width="15.5703125" style="286" customWidth="1"/>
    <col min="3602" max="3602" width="11.140625" style="286" bestFit="1" customWidth="1"/>
    <col min="3603" max="3603" width="20.140625" style="286" customWidth="1"/>
    <col min="3604" max="3604" width="11.140625" style="286" customWidth="1"/>
    <col min="3605" max="3605" width="17.28515625" style="286" bestFit="1" customWidth="1"/>
    <col min="3606" max="3606" width="16.28515625" style="286" bestFit="1" customWidth="1"/>
    <col min="3607" max="3607" width="20.140625" style="286" customWidth="1"/>
    <col min="3608" max="3608" width="16.140625" style="286" bestFit="1" customWidth="1"/>
    <col min="3609" max="3609" width="16.5703125" style="286" customWidth="1"/>
    <col min="3610" max="3610" width="17.28515625" style="286" bestFit="1" customWidth="1"/>
    <col min="3611" max="3611" width="14.140625" style="286" bestFit="1" customWidth="1"/>
    <col min="3612" max="3612" width="15.5703125" style="286" customWidth="1"/>
    <col min="3613" max="3613" width="14.85546875" style="286" bestFit="1" customWidth="1"/>
    <col min="3614" max="3614" width="8.85546875" style="286" customWidth="1"/>
    <col min="3615" max="3615" width="20.140625" style="286" customWidth="1"/>
    <col min="3616" max="3616" width="22.7109375" style="286" bestFit="1" customWidth="1"/>
    <col min="3617" max="3840" width="11.42578125" style="286"/>
    <col min="3841" max="3841" width="8" style="286" customWidth="1"/>
    <col min="3842" max="3842" width="3.5703125" style="286" bestFit="1" customWidth="1"/>
    <col min="3843" max="3843" width="5.140625" style="286" bestFit="1" customWidth="1"/>
    <col min="3844" max="3844" width="3.7109375" style="286" bestFit="1" customWidth="1"/>
    <col min="3845" max="3845" width="3.5703125" style="286" bestFit="1" customWidth="1"/>
    <col min="3846" max="3846" width="4.85546875" style="286" customWidth="1"/>
    <col min="3847" max="3847" width="7.7109375" style="286" customWidth="1"/>
    <col min="3848" max="3848" width="46.28515625" style="286" customWidth="1"/>
    <col min="3849" max="3849" width="19" style="286" bestFit="1" customWidth="1"/>
    <col min="3850" max="3850" width="12.5703125" style="286" customWidth="1"/>
    <col min="3851" max="3851" width="6.42578125" style="286" bestFit="1" customWidth="1"/>
    <col min="3852" max="3852" width="4.7109375" style="286" bestFit="1" customWidth="1"/>
    <col min="3853" max="3853" width="18.42578125" style="286" customWidth="1"/>
    <col min="3854" max="3854" width="55.7109375" style="286" customWidth="1"/>
    <col min="3855" max="3855" width="16.140625" style="286" bestFit="1" customWidth="1"/>
    <col min="3856" max="3856" width="39.28515625" style="286" customWidth="1"/>
    <col min="3857" max="3857" width="15.5703125" style="286" customWidth="1"/>
    <col min="3858" max="3858" width="11.140625" style="286" bestFit="1" customWidth="1"/>
    <col min="3859" max="3859" width="20.140625" style="286" customWidth="1"/>
    <col min="3860" max="3860" width="11.140625" style="286" customWidth="1"/>
    <col min="3861" max="3861" width="17.28515625" style="286" bestFit="1" customWidth="1"/>
    <col min="3862" max="3862" width="16.28515625" style="286" bestFit="1" customWidth="1"/>
    <col min="3863" max="3863" width="20.140625" style="286" customWidth="1"/>
    <col min="3864" max="3864" width="16.140625" style="286" bestFit="1" customWidth="1"/>
    <col min="3865" max="3865" width="16.5703125" style="286" customWidth="1"/>
    <col min="3866" max="3866" width="17.28515625" style="286" bestFit="1" customWidth="1"/>
    <col min="3867" max="3867" width="14.140625" style="286" bestFit="1" customWidth="1"/>
    <col min="3868" max="3868" width="15.5703125" style="286" customWidth="1"/>
    <col min="3869" max="3869" width="14.85546875" style="286" bestFit="1" customWidth="1"/>
    <col min="3870" max="3870" width="8.85546875" style="286" customWidth="1"/>
    <col min="3871" max="3871" width="20.140625" style="286" customWidth="1"/>
    <col min="3872" max="3872" width="22.7109375" style="286" bestFit="1" customWidth="1"/>
    <col min="3873" max="4096" width="11.42578125" style="286"/>
    <col min="4097" max="4097" width="8" style="286" customWidth="1"/>
    <col min="4098" max="4098" width="3.5703125" style="286" bestFit="1" customWidth="1"/>
    <col min="4099" max="4099" width="5.140625" style="286" bestFit="1" customWidth="1"/>
    <col min="4100" max="4100" width="3.7109375" style="286" bestFit="1" customWidth="1"/>
    <col min="4101" max="4101" width="3.5703125" style="286" bestFit="1" customWidth="1"/>
    <col min="4102" max="4102" width="4.85546875" style="286" customWidth="1"/>
    <col min="4103" max="4103" width="7.7109375" style="286" customWidth="1"/>
    <col min="4104" max="4104" width="46.28515625" style="286" customWidth="1"/>
    <col min="4105" max="4105" width="19" style="286" bestFit="1" customWidth="1"/>
    <col min="4106" max="4106" width="12.5703125" style="286" customWidth="1"/>
    <col min="4107" max="4107" width="6.42578125" style="286" bestFit="1" customWidth="1"/>
    <col min="4108" max="4108" width="4.7109375" style="286" bestFit="1" customWidth="1"/>
    <col min="4109" max="4109" width="18.42578125" style="286" customWidth="1"/>
    <col min="4110" max="4110" width="55.7109375" style="286" customWidth="1"/>
    <col min="4111" max="4111" width="16.140625" style="286" bestFit="1" customWidth="1"/>
    <col min="4112" max="4112" width="39.28515625" style="286" customWidth="1"/>
    <col min="4113" max="4113" width="15.5703125" style="286" customWidth="1"/>
    <col min="4114" max="4114" width="11.140625" style="286" bestFit="1" customWidth="1"/>
    <col min="4115" max="4115" width="20.140625" style="286" customWidth="1"/>
    <col min="4116" max="4116" width="11.140625" style="286" customWidth="1"/>
    <col min="4117" max="4117" width="17.28515625" style="286" bestFit="1" customWidth="1"/>
    <col min="4118" max="4118" width="16.28515625" style="286" bestFit="1" customWidth="1"/>
    <col min="4119" max="4119" width="20.140625" style="286" customWidth="1"/>
    <col min="4120" max="4120" width="16.140625" style="286" bestFit="1" customWidth="1"/>
    <col min="4121" max="4121" width="16.5703125" style="286" customWidth="1"/>
    <col min="4122" max="4122" width="17.28515625" style="286" bestFit="1" customWidth="1"/>
    <col min="4123" max="4123" width="14.140625" style="286" bestFit="1" customWidth="1"/>
    <col min="4124" max="4124" width="15.5703125" style="286" customWidth="1"/>
    <col min="4125" max="4125" width="14.85546875" style="286" bestFit="1" customWidth="1"/>
    <col min="4126" max="4126" width="8.85546875" style="286" customWidth="1"/>
    <col min="4127" max="4127" width="20.140625" style="286" customWidth="1"/>
    <col min="4128" max="4128" width="22.7109375" style="286" bestFit="1" customWidth="1"/>
    <col min="4129" max="4352" width="11.42578125" style="286"/>
    <col min="4353" max="4353" width="8" style="286" customWidth="1"/>
    <col min="4354" max="4354" width="3.5703125" style="286" bestFit="1" customWidth="1"/>
    <col min="4355" max="4355" width="5.140625" style="286" bestFit="1" customWidth="1"/>
    <col min="4356" max="4356" width="3.7109375" style="286" bestFit="1" customWidth="1"/>
    <col min="4357" max="4357" width="3.5703125" style="286" bestFit="1" customWidth="1"/>
    <col min="4358" max="4358" width="4.85546875" style="286" customWidth="1"/>
    <col min="4359" max="4359" width="7.7109375" style="286" customWidth="1"/>
    <col min="4360" max="4360" width="46.28515625" style="286" customWidth="1"/>
    <col min="4361" max="4361" width="19" style="286" bestFit="1" customWidth="1"/>
    <col min="4362" max="4362" width="12.5703125" style="286" customWidth="1"/>
    <col min="4363" max="4363" width="6.42578125" style="286" bestFit="1" customWidth="1"/>
    <col min="4364" max="4364" width="4.7109375" style="286" bestFit="1" customWidth="1"/>
    <col min="4365" max="4365" width="18.42578125" style="286" customWidth="1"/>
    <col min="4366" max="4366" width="55.7109375" style="286" customWidth="1"/>
    <col min="4367" max="4367" width="16.140625" style="286" bestFit="1" customWidth="1"/>
    <col min="4368" max="4368" width="39.28515625" style="286" customWidth="1"/>
    <col min="4369" max="4369" width="15.5703125" style="286" customWidth="1"/>
    <col min="4370" max="4370" width="11.140625" style="286" bestFit="1" customWidth="1"/>
    <col min="4371" max="4371" width="20.140625" style="286" customWidth="1"/>
    <col min="4372" max="4372" width="11.140625" style="286" customWidth="1"/>
    <col min="4373" max="4373" width="17.28515625" style="286" bestFit="1" customWidth="1"/>
    <col min="4374" max="4374" width="16.28515625" style="286" bestFit="1" customWidth="1"/>
    <col min="4375" max="4375" width="20.140625" style="286" customWidth="1"/>
    <col min="4376" max="4376" width="16.140625" style="286" bestFit="1" customWidth="1"/>
    <col min="4377" max="4377" width="16.5703125" style="286" customWidth="1"/>
    <col min="4378" max="4378" width="17.28515625" style="286" bestFit="1" customWidth="1"/>
    <col min="4379" max="4379" width="14.140625" style="286" bestFit="1" customWidth="1"/>
    <col min="4380" max="4380" width="15.5703125" style="286" customWidth="1"/>
    <col min="4381" max="4381" width="14.85546875" style="286" bestFit="1" customWidth="1"/>
    <col min="4382" max="4382" width="8.85546875" style="286" customWidth="1"/>
    <col min="4383" max="4383" width="20.140625" style="286" customWidth="1"/>
    <col min="4384" max="4384" width="22.7109375" style="286" bestFit="1" customWidth="1"/>
    <col min="4385" max="4608" width="11.42578125" style="286"/>
    <col min="4609" max="4609" width="8" style="286" customWidth="1"/>
    <col min="4610" max="4610" width="3.5703125" style="286" bestFit="1" customWidth="1"/>
    <col min="4611" max="4611" width="5.140625" style="286" bestFit="1" customWidth="1"/>
    <col min="4612" max="4612" width="3.7109375" style="286" bestFit="1" customWidth="1"/>
    <col min="4613" max="4613" width="3.5703125" style="286" bestFit="1" customWidth="1"/>
    <col min="4614" max="4614" width="4.85546875" style="286" customWidth="1"/>
    <col min="4615" max="4615" width="7.7109375" style="286" customWidth="1"/>
    <col min="4616" max="4616" width="46.28515625" style="286" customWidth="1"/>
    <col min="4617" max="4617" width="19" style="286" bestFit="1" customWidth="1"/>
    <col min="4618" max="4618" width="12.5703125" style="286" customWidth="1"/>
    <col min="4619" max="4619" width="6.42578125" style="286" bestFit="1" customWidth="1"/>
    <col min="4620" max="4620" width="4.7109375" style="286" bestFit="1" customWidth="1"/>
    <col min="4621" max="4621" width="18.42578125" style="286" customWidth="1"/>
    <col min="4622" max="4622" width="55.7109375" style="286" customWidth="1"/>
    <col min="4623" max="4623" width="16.140625" style="286" bestFit="1" customWidth="1"/>
    <col min="4624" max="4624" width="39.28515625" style="286" customWidth="1"/>
    <col min="4625" max="4625" width="15.5703125" style="286" customWidth="1"/>
    <col min="4626" max="4626" width="11.140625" style="286" bestFit="1" customWidth="1"/>
    <col min="4627" max="4627" width="20.140625" style="286" customWidth="1"/>
    <col min="4628" max="4628" width="11.140625" style="286" customWidth="1"/>
    <col min="4629" max="4629" width="17.28515625" style="286" bestFit="1" customWidth="1"/>
    <col min="4630" max="4630" width="16.28515625" style="286" bestFit="1" customWidth="1"/>
    <col min="4631" max="4631" width="20.140625" style="286" customWidth="1"/>
    <col min="4632" max="4632" width="16.140625" style="286" bestFit="1" customWidth="1"/>
    <col min="4633" max="4633" width="16.5703125" style="286" customWidth="1"/>
    <col min="4634" max="4634" width="17.28515625" style="286" bestFit="1" customWidth="1"/>
    <col min="4635" max="4635" width="14.140625" style="286" bestFit="1" customWidth="1"/>
    <col min="4636" max="4636" width="15.5703125" style="286" customWidth="1"/>
    <col min="4637" max="4637" width="14.85546875" style="286" bestFit="1" customWidth="1"/>
    <col min="4638" max="4638" width="8.85546875" style="286" customWidth="1"/>
    <col min="4639" max="4639" width="20.140625" style="286" customWidth="1"/>
    <col min="4640" max="4640" width="22.7109375" style="286" bestFit="1" customWidth="1"/>
    <col min="4641" max="4864" width="11.42578125" style="286"/>
    <col min="4865" max="4865" width="8" style="286" customWidth="1"/>
    <col min="4866" max="4866" width="3.5703125" style="286" bestFit="1" customWidth="1"/>
    <col min="4867" max="4867" width="5.140625" style="286" bestFit="1" customWidth="1"/>
    <col min="4868" max="4868" width="3.7109375" style="286" bestFit="1" customWidth="1"/>
    <col min="4869" max="4869" width="3.5703125" style="286" bestFit="1" customWidth="1"/>
    <col min="4870" max="4870" width="4.85546875" style="286" customWidth="1"/>
    <col min="4871" max="4871" width="7.7109375" style="286" customWidth="1"/>
    <col min="4872" max="4872" width="46.28515625" style="286" customWidth="1"/>
    <col min="4873" max="4873" width="19" style="286" bestFit="1" customWidth="1"/>
    <col min="4874" max="4874" width="12.5703125" style="286" customWidth="1"/>
    <col min="4875" max="4875" width="6.42578125" style="286" bestFit="1" customWidth="1"/>
    <col min="4876" max="4876" width="4.7109375" style="286" bestFit="1" customWidth="1"/>
    <col min="4877" max="4877" width="18.42578125" style="286" customWidth="1"/>
    <col min="4878" max="4878" width="55.7109375" style="286" customWidth="1"/>
    <col min="4879" max="4879" width="16.140625" style="286" bestFit="1" customWidth="1"/>
    <col min="4880" max="4880" width="39.28515625" style="286" customWidth="1"/>
    <col min="4881" max="4881" width="15.5703125" style="286" customWidth="1"/>
    <col min="4882" max="4882" width="11.140625" style="286" bestFit="1" customWidth="1"/>
    <col min="4883" max="4883" width="20.140625" style="286" customWidth="1"/>
    <col min="4884" max="4884" width="11.140625" style="286" customWidth="1"/>
    <col min="4885" max="4885" width="17.28515625" style="286" bestFit="1" customWidth="1"/>
    <col min="4886" max="4886" width="16.28515625" style="286" bestFit="1" customWidth="1"/>
    <col min="4887" max="4887" width="20.140625" style="286" customWidth="1"/>
    <col min="4888" max="4888" width="16.140625" style="286" bestFit="1" customWidth="1"/>
    <col min="4889" max="4889" width="16.5703125" style="286" customWidth="1"/>
    <col min="4890" max="4890" width="17.28515625" style="286" bestFit="1" customWidth="1"/>
    <col min="4891" max="4891" width="14.140625" style="286" bestFit="1" customWidth="1"/>
    <col min="4892" max="4892" width="15.5703125" style="286" customWidth="1"/>
    <col min="4893" max="4893" width="14.85546875" style="286" bestFit="1" customWidth="1"/>
    <col min="4894" max="4894" width="8.85546875" style="286" customWidth="1"/>
    <col min="4895" max="4895" width="20.140625" style="286" customWidth="1"/>
    <col min="4896" max="4896" width="22.7109375" style="286" bestFit="1" customWidth="1"/>
    <col min="4897" max="5120" width="11.42578125" style="286"/>
    <col min="5121" max="5121" width="8" style="286" customWidth="1"/>
    <col min="5122" max="5122" width="3.5703125" style="286" bestFit="1" customWidth="1"/>
    <col min="5123" max="5123" width="5.140625" style="286" bestFit="1" customWidth="1"/>
    <col min="5124" max="5124" width="3.7109375" style="286" bestFit="1" customWidth="1"/>
    <col min="5125" max="5125" width="3.5703125" style="286" bestFit="1" customWidth="1"/>
    <col min="5126" max="5126" width="4.85546875" style="286" customWidth="1"/>
    <col min="5127" max="5127" width="7.7109375" style="286" customWidth="1"/>
    <col min="5128" max="5128" width="46.28515625" style="286" customWidth="1"/>
    <col min="5129" max="5129" width="19" style="286" bestFit="1" customWidth="1"/>
    <col min="5130" max="5130" width="12.5703125" style="286" customWidth="1"/>
    <col min="5131" max="5131" width="6.42578125" style="286" bestFit="1" customWidth="1"/>
    <col min="5132" max="5132" width="4.7109375" style="286" bestFit="1" customWidth="1"/>
    <col min="5133" max="5133" width="18.42578125" style="286" customWidth="1"/>
    <col min="5134" max="5134" width="55.7109375" style="286" customWidth="1"/>
    <col min="5135" max="5135" width="16.140625" style="286" bestFit="1" customWidth="1"/>
    <col min="5136" max="5136" width="39.28515625" style="286" customWidth="1"/>
    <col min="5137" max="5137" width="15.5703125" style="286" customWidth="1"/>
    <col min="5138" max="5138" width="11.140625" style="286" bestFit="1" customWidth="1"/>
    <col min="5139" max="5139" width="20.140625" style="286" customWidth="1"/>
    <col min="5140" max="5140" width="11.140625" style="286" customWidth="1"/>
    <col min="5141" max="5141" width="17.28515625" style="286" bestFit="1" customWidth="1"/>
    <col min="5142" max="5142" width="16.28515625" style="286" bestFit="1" customWidth="1"/>
    <col min="5143" max="5143" width="20.140625" style="286" customWidth="1"/>
    <col min="5144" max="5144" width="16.140625" style="286" bestFit="1" customWidth="1"/>
    <col min="5145" max="5145" width="16.5703125" style="286" customWidth="1"/>
    <col min="5146" max="5146" width="17.28515625" style="286" bestFit="1" customWidth="1"/>
    <col min="5147" max="5147" width="14.140625" style="286" bestFit="1" customWidth="1"/>
    <col min="5148" max="5148" width="15.5703125" style="286" customWidth="1"/>
    <col min="5149" max="5149" width="14.85546875" style="286" bestFit="1" customWidth="1"/>
    <col min="5150" max="5150" width="8.85546875" style="286" customWidth="1"/>
    <col min="5151" max="5151" width="20.140625" style="286" customWidth="1"/>
    <col min="5152" max="5152" width="22.7109375" style="286" bestFit="1" customWidth="1"/>
    <col min="5153" max="5376" width="11.42578125" style="286"/>
    <col min="5377" max="5377" width="8" style="286" customWidth="1"/>
    <col min="5378" max="5378" width="3.5703125" style="286" bestFit="1" customWidth="1"/>
    <col min="5379" max="5379" width="5.140625" style="286" bestFit="1" customWidth="1"/>
    <col min="5380" max="5380" width="3.7109375" style="286" bestFit="1" customWidth="1"/>
    <col min="5381" max="5381" width="3.5703125" style="286" bestFit="1" customWidth="1"/>
    <col min="5382" max="5382" width="4.85546875" style="286" customWidth="1"/>
    <col min="5383" max="5383" width="7.7109375" style="286" customWidth="1"/>
    <col min="5384" max="5384" width="46.28515625" style="286" customWidth="1"/>
    <col min="5385" max="5385" width="19" style="286" bestFit="1" customWidth="1"/>
    <col min="5386" max="5386" width="12.5703125" style="286" customWidth="1"/>
    <col min="5387" max="5387" width="6.42578125" style="286" bestFit="1" customWidth="1"/>
    <col min="5388" max="5388" width="4.7109375" style="286" bestFit="1" customWidth="1"/>
    <col min="5389" max="5389" width="18.42578125" style="286" customWidth="1"/>
    <col min="5390" max="5390" width="55.7109375" style="286" customWidth="1"/>
    <col min="5391" max="5391" width="16.140625" style="286" bestFit="1" customWidth="1"/>
    <col min="5392" max="5392" width="39.28515625" style="286" customWidth="1"/>
    <col min="5393" max="5393" width="15.5703125" style="286" customWidth="1"/>
    <col min="5394" max="5394" width="11.140625" style="286" bestFit="1" customWidth="1"/>
    <col min="5395" max="5395" width="20.140625" style="286" customWidth="1"/>
    <col min="5396" max="5396" width="11.140625" style="286" customWidth="1"/>
    <col min="5397" max="5397" width="17.28515625" style="286" bestFit="1" customWidth="1"/>
    <col min="5398" max="5398" width="16.28515625" style="286" bestFit="1" customWidth="1"/>
    <col min="5399" max="5399" width="20.140625" style="286" customWidth="1"/>
    <col min="5400" max="5400" width="16.140625" style="286" bestFit="1" customWidth="1"/>
    <col min="5401" max="5401" width="16.5703125" style="286" customWidth="1"/>
    <col min="5402" max="5402" width="17.28515625" style="286" bestFit="1" customWidth="1"/>
    <col min="5403" max="5403" width="14.140625" style="286" bestFit="1" customWidth="1"/>
    <col min="5404" max="5404" width="15.5703125" style="286" customWidth="1"/>
    <col min="5405" max="5405" width="14.85546875" style="286" bestFit="1" customWidth="1"/>
    <col min="5406" max="5406" width="8.85546875" style="286" customWidth="1"/>
    <col min="5407" max="5407" width="20.140625" style="286" customWidth="1"/>
    <col min="5408" max="5408" width="22.7109375" style="286" bestFit="1" customWidth="1"/>
    <col min="5409" max="5632" width="11.42578125" style="286"/>
    <col min="5633" max="5633" width="8" style="286" customWidth="1"/>
    <col min="5634" max="5634" width="3.5703125" style="286" bestFit="1" customWidth="1"/>
    <col min="5635" max="5635" width="5.140625" style="286" bestFit="1" customWidth="1"/>
    <col min="5636" max="5636" width="3.7109375" style="286" bestFit="1" customWidth="1"/>
    <col min="5637" max="5637" width="3.5703125" style="286" bestFit="1" customWidth="1"/>
    <col min="5638" max="5638" width="4.85546875" style="286" customWidth="1"/>
    <col min="5639" max="5639" width="7.7109375" style="286" customWidth="1"/>
    <col min="5640" max="5640" width="46.28515625" style="286" customWidth="1"/>
    <col min="5641" max="5641" width="19" style="286" bestFit="1" customWidth="1"/>
    <col min="5642" max="5642" width="12.5703125" style="286" customWidth="1"/>
    <col min="5643" max="5643" width="6.42578125" style="286" bestFit="1" customWidth="1"/>
    <col min="5644" max="5644" width="4.7109375" style="286" bestFit="1" customWidth="1"/>
    <col min="5645" max="5645" width="18.42578125" style="286" customWidth="1"/>
    <col min="5646" max="5646" width="55.7109375" style="286" customWidth="1"/>
    <col min="5647" max="5647" width="16.140625" style="286" bestFit="1" customWidth="1"/>
    <col min="5648" max="5648" width="39.28515625" style="286" customWidth="1"/>
    <col min="5649" max="5649" width="15.5703125" style="286" customWidth="1"/>
    <col min="5650" max="5650" width="11.140625" style="286" bestFit="1" customWidth="1"/>
    <col min="5651" max="5651" width="20.140625" style="286" customWidth="1"/>
    <col min="5652" max="5652" width="11.140625" style="286" customWidth="1"/>
    <col min="5653" max="5653" width="17.28515625" style="286" bestFit="1" customWidth="1"/>
    <col min="5654" max="5654" width="16.28515625" style="286" bestFit="1" customWidth="1"/>
    <col min="5655" max="5655" width="20.140625" style="286" customWidth="1"/>
    <col min="5656" max="5656" width="16.140625" style="286" bestFit="1" customWidth="1"/>
    <col min="5657" max="5657" width="16.5703125" style="286" customWidth="1"/>
    <col min="5658" max="5658" width="17.28515625" style="286" bestFit="1" customWidth="1"/>
    <col min="5659" max="5659" width="14.140625" style="286" bestFit="1" customWidth="1"/>
    <col min="5660" max="5660" width="15.5703125" style="286" customWidth="1"/>
    <col min="5661" max="5661" width="14.85546875" style="286" bestFit="1" customWidth="1"/>
    <col min="5662" max="5662" width="8.85546875" style="286" customWidth="1"/>
    <col min="5663" max="5663" width="20.140625" style="286" customWidth="1"/>
    <col min="5664" max="5664" width="22.7109375" style="286" bestFit="1" customWidth="1"/>
    <col min="5665" max="5888" width="11.42578125" style="286"/>
    <col min="5889" max="5889" width="8" style="286" customWidth="1"/>
    <col min="5890" max="5890" width="3.5703125" style="286" bestFit="1" customWidth="1"/>
    <col min="5891" max="5891" width="5.140625" style="286" bestFit="1" customWidth="1"/>
    <col min="5892" max="5892" width="3.7109375" style="286" bestFit="1" customWidth="1"/>
    <col min="5893" max="5893" width="3.5703125" style="286" bestFit="1" customWidth="1"/>
    <col min="5894" max="5894" width="4.85546875" style="286" customWidth="1"/>
    <col min="5895" max="5895" width="7.7109375" style="286" customWidth="1"/>
    <col min="5896" max="5896" width="46.28515625" style="286" customWidth="1"/>
    <col min="5897" max="5897" width="19" style="286" bestFit="1" customWidth="1"/>
    <col min="5898" max="5898" width="12.5703125" style="286" customWidth="1"/>
    <col min="5899" max="5899" width="6.42578125" style="286" bestFit="1" customWidth="1"/>
    <col min="5900" max="5900" width="4.7109375" style="286" bestFit="1" customWidth="1"/>
    <col min="5901" max="5901" width="18.42578125" style="286" customWidth="1"/>
    <col min="5902" max="5902" width="55.7109375" style="286" customWidth="1"/>
    <col min="5903" max="5903" width="16.140625" style="286" bestFit="1" customWidth="1"/>
    <col min="5904" max="5904" width="39.28515625" style="286" customWidth="1"/>
    <col min="5905" max="5905" width="15.5703125" style="286" customWidth="1"/>
    <col min="5906" max="5906" width="11.140625" style="286" bestFit="1" customWidth="1"/>
    <col min="5907" max="5907" width="20.140625" style="286" customWidth="1"/>
    <col min="5908" max="5908" width="11.140625" style="286" customWidth="1"/>
    <col min="5909" max="5909" width="17.28515625" style="286" bestFit="1" customWidth="1"/>
    <col min="5910" max="5910" width="16.28515625" style="286" bestFit="1" customWidth="1"/>
    <col min="5911" max="5911" width="20.140625" style="286" customWidth="1"/>
    <col min="5912" max="5912" width="16.140625" style="286" bestFit="1" customWidth="1"/>
    <col min="5913" max="5913" width="16.5703125" style="286" customWidth="1"/>
    <col min="5914" max="5914" width="17.28515625" style="286" bestFit="1" customWidth="1"/>
    <col min="5915" max="5915" width="14.140625" style="286" bestFit="1" customWidth="1"/>
    <col min="5916" max="5916" width="15.5703125" style="286" customWidth="1"/>
    <col min="5917" max="5917" width="14.85546875" style="286" bestFit="1" customWidth="1"/>
    <col min="5918" max="5918" width="8.85546875" style="286" customWidth="1"/>
    <col min="5919" max="5919" width="20.140625" style="286" customWidth="1"/>
    <col min="5920" max="5920" width="22.7109375" style="286" bestFit="1" customWidth="1"/>
    <col min="5921" max="6144" width="11.42578125" style="286"/>
    <col min="6145" max="6145" width="8" style="286" customWidth="1"/>
    <col min="6146" max="6146" width="3.5703125" style="286" bestFit="1" customWidth="1"/>
    <col min="6147" max="6147" width="5.140625" style="286" bestFit="1" customWidth="1"/>
    <col min="6148" max="6148" width="3.7109375" style="286" bestFit="1" customWidth="1"/>
    <col min="6149" max="6149" width="3.5703125" style="286" bestFit="1" customWidth="1"/>
    <col min="6150" max="6150" width="4.85546875" style="286" customWidth="1"/>
    <col min="6151" max="6151" width="7.7109375" style="286" customWidth="1"/>
    <col min="6152" max="6152" width="46.28515625" style="286" customWidth="1"/>
    <col min="6153" max="6153" width="19" style="286" bestFit="1" customWidth="1"/>
    <col min="6154" max="6154" width="12.5703125" style="286" customWidth="1"/>
    <col min="6155" max="6155" width="6.42578125" style="286" bestFit="1" customWidth="1"/>
    <col min="6156" max="6156" width="4.7109375" style="286" bestFit="1" customWidth="1"/>
    <col min="6157" max="6157" width="18.42578125" style="286" customWidth="1"/>
    <col min="6158" max="6158" width="55.7109375" style="286" customWidth="1"/>
    <col min="6159" max="6159" width="16.140625" style="286" bestFit="1" customWidth="1"/>
    <col min="6160" max="6160" width="39.28515625" style="286" customWidth="1"/>
    <col min="6161" max="6161" width="15.5703125" style="286" customWidth="1"/>
    <col min="6162" max="6162" width="11.140625" style="286" bestFit="1" customWidth="1"/>
    <col min="6163" max="6163" width="20.140625" style="286" customWidth="1"/>
    <col min="6164" max="6164" width="11.140625" style="286" customWidth="1"/>
    <col min="6165" max="6165" width="17.28515625" style="286" bestFit="1" customWidth="1"/>
    <col min="6166" max="6166" width="16.28515625" style="286" bestFit="1" customWidth="1"/>
    <col min="6167" max="6167" width="20.140625" style="286" customWidth="1"/>
    <col min="6168" max="6168" width="16.140625" style="286" bestFit="1" customWidth="1"/>
    <col min="6169" max="6169" width="16.5703125" style="286" customWidth="1"/>
    <col min="6170" max="6170" width="17.28515625" style="286" bestFit="1" customWidth="1"/>
    <col min="6171" max="6171" width="14.140625" style="286" bestFit="1" customWidth="1"/>
    <col min="6172" max="6172" width="15.5703125" style="286" customWidth="1"/>
    <col min="6173" max="6173" width="14.85546875" style="286" bestFit="1" customWidth="1"/>
    <col min="6174" max="6174" width="8.85546875" style="286" customWidth="1"/>
    <col min="6175" max="6175" width="20.140625" style="286" customWidth="1"/>
    <col min="6176" max="6176" width="22.7109375" style="286" bestFit="1" customWidth="1"/>
    <col min="6177" max="6400" width="11.42578125" style="286"/>
    <col min="6401" max="6401" width="8" style="286" customWidth="1"/>
    <col min="6402" max="6402" width="3.5703125" style="286" bestFit="1" customWidth="1"/>
    <col min="6403" max="6403" width="5.140625" style="286" bestFit="1" customWidth="1"/>
    <col min="6404" max="6404" width="3.7109375" style="286" bestFit="1" customWidth="1"/>
    <col min="6405" max="6405" width="3.5703125" style="286" bestFit="1" customWidth="1"/>
    <col min="6406" max="6406" width="4.85546875" style="286" customWidth="1"/>
    <col min="6407" max="6407" width="7.7109375" style="286" customWidth="1"/>
    <col min="6408" max="6408" width="46.28515625" style="286" customWidth="1"/>
    <col min="6409" max="6409" width="19" style="286" bestFit="1" customWidth="1"/>
    <col min="6410" max="6410" width="12.5703125" style="286" customWidth="1"/>
    <col min="6411" max="6411" width="6.42578125" style="286" bestFit="1" customWidth="1"/>
    <col min="6412" max="6412" width="4.7109375" style="286" bestFit="1" customWidth="1"/>
    <col min="6413" max="6413" width="18.42578125" style="286" customWidth="1"/>
    <col min="6414" max="6414" width="55.7109375" style="286" customWidth="1"/>
    <col min="6415" max="6415" width="16.140625" style="286" bestFit="1" customWidth="1"/>
    <col min="6416" max="6416" width="39.28515625" style="286" customWidth="1"/>
    <col min="6417" max="6417" width="15.5703125" style="286" customWidth="1"/>
    <col min="6418" max="6418" width="11.140625" style="286" bestFit="1" customWidth="1"/>
    <col min="6419" max="6419" width="20.140625" style="286" customWidth="1"/>
    <col min="6420" max="6420" width="11.140625" style="286" customWidth="1"/>
    <col min="6421" max="6421" width="17.28515625" style="286" bestFit="1" customWidth="1"/>
    <col min="6422" max="6422" width="16.28515625" style="286" bestFit="1" customWidth="1"/>
    <col min="6423" max="6423" width="20.140625" style="286" customWidth="1"/>
    <col min="6424" max="6424" width="16.140625" style="286" bestFit="1" customWidth="1"/>
    <col min="6425" max="6425" width="16.5703125" style="286" customWidth="1"/>
    <col min="6426" max="6426" width="17.28515625" style="286" bestFit="1" customWidth="1"/>
    <col min="6427" max="6427" width="14.140625" style="286" bestFit="1" customWidth="1"/>
    <col min="6428" max="6428" width="15.5703125" style="286" customWidth="1"/>
    <col min="6429" max="6429" width="14.85546875" style="286" bestFit="1" customWidth="1"/>
    <col min="6430" max="6430" width="8.85546875" style="286" customWidth="1"/>
    <col min="6431" max="6431" width="20.140625" style="286" customWidth="1"/>
    <col min="6432" max="6432" width="22.7109375" style="286" bestFit="1" customWidth="1"/>
    <col min="6433" max="6656" width="11.42578125" style="286"/>
    <col min="6657" max="6657" width="8" style="286" customWidth="1"/>
    <col min="6658" max="6658" width="3.5703125" style="286" bestFit="1" customWidth="1"/>
    <col min="6659" max="6659" width="5.140625" style="286" bestFit="1" customWidth="1"/>
    <col min="6660" max="6660" width="3.7109375" style="286" bestFit="1" customWidth="1"/>
    <col min="6661" max="6661" width="3.5703125" style="286" bestFit="1" customWidth="1"/>
    <col min="6662" max="6662" width="4.85546875" style="286" customWidth="1"/>
    <col min="6663" max="6663" width="7.7109375" style="286" customWidth="1"/>
    <col min="6664" max="6664" width="46.28515625" style="286" customWidth="1"/>
    <col min="6665" max="6665" width="19" style="286" bestFit="1" customWidth="1"/>
    <col min="6666" max="6666" width="12.5703125" style="286" customWidth="1"/>
    <col min="6667" max="6667" width="6.42578125" style="286" bestFit="1" customWidth="1"/>
    <col min="6668" max="6668" width="4.7109375" style="286" bestFit="1" customWidth="1"/>
    <col min="6669" max="6669" width="18.42578125" style="286" customWidth="1"/>
    <col min="6670" max="6670" width="55.7109375" style="286" customWidth="1"/>
    <col min="6671" max="6671" width="16.140625" style="286" bestFit="1" customWidth="1"/>
    <col min="6672" max="6672" width="39.28515625" style="286" customWidth="1"/>
    <col min="6673" max="6673" width="15.5703125" style="286" customWidth="1"/>
    <col min="6674" max="6674" width="11.140625" style="286" bestFit="1" customWidth="1"/>
    <col min="6675" max="6675" width="20.140625" style="286" customWidth="1"/>
    <col min="6676" max="6676" width="11.140625" style="286" customWidth="1"/>
    <col min="6677" max="6677" width="17.28515625" style="286" bestFit="1" customWidth="1"/>
    <col min="6678" max="6678" width="16.28515625" style="286" bestFit="1" customWidth="1"/>
    <col min="6679" max="6679" width="20.140625" style="286" customWidth="1"/>
    <col min="6680" max="6680" width="16.140625" style="286" bestFit="1" customWidth="1"/>
    <col min="6681" max="6681" width="16.5703125" style="286" customWidth="1"/>
    <col min="6682" max="6682" width="17.28515625" style="286" bestFit="1" customWidth="1"/>
    <col min="6683" max="6683" width="14.140625" style="286" bestFit="1" customWidth="1"/>
    <col min="6684" max="6684" width="15.5703125" style="286" customWidth="1"/>
    <col min="6685" max="6685" width="14.85546875" style="286" bestFit="1" customWidth="1"/>
    <col min="6686" max="6686" width="8.85546875" style="286" customWidth="1"/>
    <col min="6687" max="6687" width="20.140625" style="286" customWidth="1"/>
    <col min="6688" max="6688" width="22.7109375" style="286" bestFit="1" customWidth="1"/>
    <col min="6689" max="6912" width="11.42578125" style="286"/>
    <col min="6913" max="6913" width="8" style="286" customWidth="1"/>
    <col min="6914" max="6914" width="3.5703125" style="286" bestFit="1" customWidth="1"/>
    <col min="6915" max="6915" width="5.140625" style="286" bestFit="1" customWidth="1"/>
    <col min="6916" max="6916" width="3.7109375" style="286" bestFit="1" customWidth="1"/>
    <col min="6917" max="6917" width="3.5703125" style="286" bestFit="1" customWidth="1"/>
    <col min="6918" max="6918" width="4.85546875" style="286" customWidth="1"/>
    <col min="6919" max="6919" width="7.7109375" style="286" customWidth="1"/>
    <col min="6920" max="6920" width="46.28515625" style="286" customWidth="1"/>
    <col min="6921" max="6921" width="19" style="286" bestFit="1" customWidth="1"/>
    <col min="6922" max="6922" width="12.5703125" style="286" customWidth="1"/>
    <col min="6923" max="6923" width="6.42578125" style="286" bestFit="1" customWidth="1"/>
    <col min="6924" max="6924" width="4.7109375" style="286" bestFit="1" customWidth="1"/>
    <col min="6925" max="6925" width="18.42578125" style="286" customWidth="1"/>
    <col min="6926" max="6926" width="55.7109375" style="286" customWidth="1"/>
    <col min="6927" max="6927" width="16.140625" style="286" bestFit="1" customWidth="1"/>
    <col min="6928" max="6928" width="39.28515625" style="286" customWidth="1"/>
    <col min="6929" max="6929" width="15.5703125" style="286" customWidth="1"/>
    <col min="6930" max="6930" width="11.140625" style="286" bestFit="1" customWidth="1"/>
    <col min="6931" max="6931" width="20.140625" style="286" customWidth="1"/>
    <col min="6932" max="6932" width="11.140625" style="286" customWidth="1"/>
    <col min="6933" max="6933" width="17.28515625" style="286" bestFit="1" customWidth="1"/>
    <col min="6934" max="6934" width="16.28515625" style="286" bestFit="1" customWidth="1"/>
    <col min="6935" max="6935" width="20.140625" style="286" customWidth="1"/>
    <col min="6936" max="6936" width="16.140625" style="286" bestFit="1" customWidth="1"/>
    <col min="6937" max="6937" width="16.5703125" style="286" customWidth="1"/>
    <col min="6938" max="6938" width="17.28515625" style="286" bestFit="1" customWidth="1"/>
    <col min="6939" max="6939" width="14.140625" style="286" bestFit="1" customWidth="1"/>
    <col min="6940" max="6940" width="15.5703125" style="286" customWidth="1"/>
    <col min="6941" max="6941" width="14.85546875" style="286" bestFit="1" customWidth="1"/>
    <col min="6942" max="6942" width="8.85546875" style="286" customWidth="1"/>
    <col min="6943" max="6943" width="20.140625" style="286" customWidth="1"/>
    <col min="6944" max="6944" width="22.7109375" style="286" bestFit="1" customWidth="1"/>
    <col min="6945" max="7168" width="11.42578125" style="286"/>
    <col min="7169" max="7169" width="8" style="286" customWidth="1"/>
    <col min="7170" max="7170" width="3.5703125" style="286" bestFit="1" customWidth="1"/>
    <col min="7171" max="7171" width="5.140625" style="286" bestFit="1" customWidth="1"/>
    <col min="7172" max="7172" width="3.7109375" style="286" bestFit="1" customWidth="1"/>
    <col min="7173" max="7173" width="3.5703125" style="286" bestFit="1" customWidth="1"/>
    <col min="7174" max="7174" width="4.85546875" style="286" customWidth="1"/>
    <col min="7175" max="7175" width="7.7109375" style="286" customWidth="1"/>
    <col min="7176" max="7176" width="46.28515625" style="286" customWidth="1"/>
    <col min="7177" max="7177" width="19" style="286" bestFit="1" customWidth="1"/>
    <col min="7178" max="7178" width="12.5703125" style="286" customWidth="1"/>
    <col min="7179" max="7179" width="6.42578125" style="286" bestFit="1" customWidth="1"/>
    <col min="7180" max="7180" width="4.7109375" style="286" bestFit="1" customWidth="1"/>
    <col min="7181" max="7181" width="18.42578125" style="286" customWidth="1"/>
    <col min="7182" max="7182" width="55.7109375" style="286" customWidth="1"/>
    <col min="7183" max="7183" width="16.140625" style="286" bestFit="1" customWidth="1"/>
    <col min="7184" max="7184" width="39.28515625" style="286" customWidth="1"/>
    <col min="7185" max="7185" width="15.5703125" style="286" customWidth="1"/>
    <col min="7186" max="7186" width="11.140625" style="286" bestFit="1" customWidth="1"/>
    <col min="7187" max="7187" width="20.140625" style="286" customWidth="1"/>
    <col min="7188" max="7188" width="11.140625" style="286" customWidth="1"/>
    <col min="7189" max="7189" width="17.28515625" style="286" bestFit="1" customWidth="1"/>
    <col min="7190" max="7190" width="16.28515625" style="286" bestFit="1" customWidth="1"/>
    <col min="7191" max="7191" width="20.140625" style="286" customWidth="1"/>
    <col min="7192" max="7192" width="16.140625" style="286" bestFit="1" customWidth="1"/>
    <col min="7193" max="7193" width="16.5703125" style="286" customWidth="1"/>
    <col min="7194" max="7194" width="17.28515625" style="286" bestFit="1" customWidth="1"/>
    <col min="7195" max="7195" width="14.140625" style="286" bestFit="1" customWidth="1"/>
    <col min="7196" max="7196" width="15.5703125" style="286" customWidth="1"/>
    <col min="7197" max="7197" width="14.85546875" style="286" bestFit="1" customWidth="1"/>
    <col min="7198" max="7198" width="8.85546875" style="286" customWidth="1"/>
    <col min="7199" max="7199" width="20.140625" style="286" customWidth="1"/>
    <col min="7200" max="7200" width="22.7109375" style="286" bestFit="1" customWidth="1"/>
    <col min="7201" max="7424" width="11.42578125" style="286"/>
    <col min="7425" max="7425" width="8" style="286" customWidth="1"/>
    <col min="7426" max="7426" width="3.5703125" style="286" bestFit="1" customWidth="1"/>
    <col min="7427" max="7427" width="5.140625" style="286" bestFit="1" customWidth="1"/>
    <col min="7428" max="7428" width="3.7109375" style="286" bestFit="1" customWidth="1"/>
    <col min="7429" max="7429" width="3.5703125" style="286" bestFit="1" customWidth="1"/>
    <col min="7430" max="7430" width="4.85546875" style="286" customWidth="1"/>
    <col min="7431" max="7431" width="7.7109375" style="286" customWidth="1"/>
    <col min="7432" max="7432" width="46.28515625" style="286" customWidth="1"/>
    <col min="7433" max="7433" width="19" style="286" bestFit="1" customWidth="1"/>
    <col min="7434" max="7434" width="12.5703125" style="286" customWidth="1"/>
    <col min="7435" max="7435" width="6.42578125" style="286" bestFit="1" customWidth="1"/>
    <col min="7436" max="7436" width="4.7109375" style="286" bestFit="1" customWidth="1"/>
    <col min="7437" max="7437" width="18.42578125" style="286" customWidth="1"/>
    <col min="7438" max="7438" width="55.7109375" style="286" customWidth="1"/>
    <col min="7439" max="7439" width="16.140625" style="286" bestFit="1" customWidth="1"/>
    <col min="7440" max="7440" width="39.28515625" style="286" customWidth="1"/>
    <col min="7441" max="7441" width="15.5703125" style="286" customWidth="1"/>
    <col min="7442" max="7442" width="11.140625" style="286" bestFit="1" customWidth="1"/>
    <col min="7443" max="7443" width="20.140625" style="286" customWidth="1"/>
    <col min="7444" max="7444" width="11.140625" style="286" customWidth="1"/>
    <col min="7445" max="7445" width="17.28515625" style="286" bestFit="1" customWidth="1"/>
    <col min="7446" max="7446" width="16.28515625" style="286" bestFit="1" customWidth="1"/>
    <col min="7447" max="7447" width="20.140625" style="286" customWidth="1"/>
    <col min="7448" max="7448" width="16.140625" style="286" bestFit="1" customWidth="1"/>
    <col min="7449" max="7449" width="16.5703125" style="286" customWidth="1"/>
    <col min="7450" max="7450" width="17.28515625" style="286" bestFit="1" customWidth="1"/>
    <col min="7451" max="7451" width="14.140625" style="286" bestFit="1" customWidth="1"/>
    <col min="7452" max="7452" width="15.5703125" style="286" customWidth="1"/>
    <col min="7453" max="7453" width="14.85546875" style="286" bestFit="1" customWidth="1"/>
    <col min="7454" max="7454" width="8.85546875" style="286" customWidth="1"/>
    <col min="7455" max="7455" width="20.140625" style="286" customWidth="1"/>
    <col min="7456" max="7456" width="22.7109375" style="286" bestFit="1" customWidth="1"/>
    <col min="7457" max="7680" width="11.42578125" style="286"/>
    <col min="7681" max="7681" width="8" style="286" customWidth="1"/>
    <col min="7682" max="7682" width="3.5703125" style="286" bestFit="1" customWidth="1"/>
    <col min="7683" max="7683" width="5.140625" style="286" bestFit="1" customWidth="1"/>
    <col min="7684" max="7684" width="3.7109375" style="286" bestFit="1" customWidth="1"/>
    <col min="7685" max="7685" width="3.5703125" style="286" bestFit="1" customWidth="1"/>
    <col min="7686" max="7686" width="4.85546875" style="286" customWidth="1"/>
    <col min="7687" max="7687" width="7.7109375" style="286" customWidth="1"/>
    <col min="7688" max="7688" width="46.28515625" style="286" customWidth="1"/>
    <col min="7689" max="7689" width="19" style="286" bestFit="1" customWidth="1"/>
    <col min="7690" max="7690" width="12.5703125" style="286" customWidth="1"/>
    <col min="7691" max="7691" width="6.42578125" style="286" bestFit="1" customWidth="1"/>
    <col min="7692" max="7692" width="4.7109375" style="286" bestFit="1" customWidth="1"/>
    <col min="7693" max="7693" width="18.42578125" style="286" customWidth="1"/>
    <col min="7694" max="7694" width="55.7109375" style="286" customWidth="1"/>
    <col min="7695" max="7695" width="16.140625" style="286" bestFit="1" customWidth="1"/>
    <col min="7696" max="7696" width="39.28515625" style="286" customWidth="1"/>
    <col min="7697" max="7697" width="15.5703125" style="286" customWidth="1"/>
    <col min="7698" max="7698" width="11.140625" style="286" bestFit="1" customWidth="1"/>
    <col min="7699" max="7699" width="20.140625" style="286" customWidth="1"/>
    <col min="7700" max="7700" width="11.140625" style="286" customWidth="1"/>
    <col min="7701" max="7701" width="17.28515625" style="286" bestFit="1" customWidth="1"/>
    <col min="7702" max="7702" width="16.28515625" style="286" bestFit="1" customWidth="1"/>
    <col min="7703" max="7703" width="20.140625" style="286" customWidth="1"/>
    <col min="7704" max="7704" width="16.140625" style="286" bestFit="1" customWidth="1"/>
    <col min="7705" max="7705" width="16.5703125" style="286" customWidth="1"/>
    <col min="7706" max="7706" width="17.28515625" style="286" bestFit="1" customWidth="1"/>
    <col min="7707" max="7707" width="14.140625" style="286" bestFit="1" customWidth="1"/>
    <col min="7708" max="7708" width="15.5703125" style="286" customWidth="1"/>
    <col min="7709" max="7709" width="14.85546875" style="286" bestFit="1" customWidth="1"/>
    <col min="7710" max="7710" width="8.85546875" style="286" customWidth="1"/>
    <col min="7711" max="7711" width="20.140625" style="286" customWidth="1"/>
    <col min="7712" max="7712" width="22.7109375" style="286" bestFit="1" customWidth="1"/>
    <col min="7713" max="7936" width="11.42578125" style="286"/>
    <col min="7937" max="7937" width="8" style="286" customWidth="1"/>
    <col min="7938" max="7938" width="3.5703125" style="286" bestFit="1" customWidth="1"/>
    <col min="7939" max="7939" width="5.140625" style="286" bestFit="1" customWidth="1"/>
    <col min="7940" max="7940" width="3.7109375" style="286" bestFit="1" customWidth="1"/>
    <col min="7941" max="7941" width="3.5703125" style="286" bestFit="1" customWidth="1"/>
    <col min="7942" max="7942" width="4.85546875" style="286" customWidth="1"/>
    <col min="7943" max="7943" width="7.7109375" style="286" customWidth="1"/>
    <col min="7944" max="7944" width="46.28515625" style="286" customWidth="1"/>
    <col min="7945" max="7945" width="19" style="286" bestFit="1" customWidth="1"/>
    <col min="7946" max="7946" width="12.5703125" style="286" customWidth="1"/>
    <col min="7947" max="7947" width="6.42578125" style="286" bestFit="1" customWidth="1"/>
    <col min="7948" max="7948" width="4.7109375" style="286" bestFit="1" customWidth="1"/>
    <col min="7949" max="7949" width="18.42578125" style="286" customWidth="1"/>
    <col min="7950" max="7950" width="55.7109375" style="286" customWidth="1"/>
    <col min="7951" max="7951" width="16.140625" style="286" bestFit="1" customWidth="1"/>
    <col min="7952" max="7952" width="39.28515625" style="286" customWidth="1"/>
    <col min="7953" max="7953" width="15.5703125" style="286" customWidth="1"/>
    <col min="7954" max="7954" width="11.140625" style="286" bestFit="1" customWidth="1"/>
    <col min="7955" max="7955" width="20.140625" style="286" customWidth="1"/>
    <col min="7956" max="7956" width="11.140625" style="286" customWidth="1"/>
    <col min="7957" max="7957" width="17.28515625" style="286" bestFit="1" customWidth="1"/>
    <col min="7958" max="7958" width="16.28515625" style="286" bestFit="1" customWidth="1"/>
    <col min="7959" max="7959" width="20.140625" style="286" customWidth="1"/>
    <col min="7960" max="7960" width="16.140625" style="286" bestFit="1" customWidth="1"/>
    <col min="7961" max="7961" width="16.5703125" style="286" customWidth="1"/>
    <col min="7962" max="7962" width="17.28515625" style="286" bestFit="1" customWidth="1"/>
    <col min="7963" max="7963" width="14.140625" style="286" bestFit="1" customWidth="1"/>
    <col min="7964" max="7964" width="15.5703125" style="286" customWidth="1"/>
    <col min="7965" max="7965" width="14.85546875" style="286" bestFit="1" customWidth="1"/>
    <col min="7966" max="7966" width="8.85546875" style="286" customWidth="1"/>
    <col min="7967" max="7967" width="20.140625" style="286" customWidth="1"/>
    <col min="7968" max="7968" width="22.7109375" style="286" bestFit="1" customWidth="1"/>
    <col min="7969" max="8192" width="11.42578125" style="286"/>
    <col min="8193" max="8193" width="8" style="286" customWidth="1"/>
    <col min="8194" max="8194" width="3.5703125" style="286" bestFit="1" customWidth="1"/>
    <col min="8195" max="8195" width="5.140625" style="286" bestFit="1" customWidth="1"/>
    <col min="8196" max="8196" width="3.7109375" style="286" bestFit="1" customWidth="1"/>
    <col min="8197" max="8197" width="3.5703125" style="286" bestFit="1" customWidth="1"/>
    <col min="8198" max="8198" width="4.85546875" style="286" customWidth="1"/>
    <col min="8199" max="8199" width="7.7109375" style="286" customWidth="1"/>
    <col min="8200" max="8200" width="46.28515625" style="286" customWidth="1"/>
    <col min="8201" max="8201" width="19" style="286" bestFit="1" customWidth="1"/>
    <col min="8202" max="8202" width="12.5703125" style="286" customWidth="1"/>
    <col min="8203" max="8203" width="6.42578125" style="286" bestFit="1" customWidth="1"/>
    <col min="8204" max="8204" width="4.7109375" style="286" bestFit="1" customWidth="1"/>
    <col min="8205" max="8205" width="18.42578125" style="286" customWidth="1"/>
    <col min="8206" max="8206" width="55.7109375" style="286" customWidth="1"/>
    <col min="8207" max="8207" width="16.140625" style="286" bestFit="1" customWidth="1"/>
    <col min="8208" max="8208" width="39.28515625" style="286" customWidth="1"/>
    <col min="8209" max="8209" width="15.5703125" style="286" customWidth="1"/>
    <col min="8210" max="8210" width="11.140625" style="286" bestFit="1" customWidth="1"/>
    <col min="8211" max="8211" width="20.140625" style="286" customWidth="1"/>
    <col min="8212" max="8212" width="11.140625" style="286" customWidth="1"/>
    <col min="8213" max="8213" width="17.28515625" style="286" bestFit="1" customWidth="1"/>
    <col min="8214" max="8214" width="16.28515625" style="286" bestFit="1" customWidth="1"/>
    <col min="8215" max="8215" width="20.140625" style="286" customWidth="1"/>
    <col min="8216" max="8216" width="16.140625" style="286" bestFit="1" customWidth="1"/>
    <col min="8217" max="8217" width="16.5703125" style="286" customWidth="1"/>
    <col min="8218" max="8218" width="17.28515625" style="286" bestFit="1" customWidth="1"/>
    <col min="8219" max="8219" width="14.140625" style="286" bestFit="1" customWidth="1"/>
    <col min="8220" max="8220" width="15.5703125" style="286" customWidth="1"/>
    <col min="8221" max="8221" width="14.85546875" style="286" bestFit="1" customWidth="1"/>
    <col min="8222" max="8222" width="8.85546875" style="286" customWidth="1"/>
    <col min="8223" max="8223" width="20.140625" style="286" customWidth="1"/>
    <col min="8224" max="8224" width="22.7109375" style="286" bestFit="1" customWidth="1"/>
    <col min="8225" max="8448" width="11.42578125" style="286"/>
    <col min="8449" max="8449" width="8" style="286" customWidth="1"/>
    <col min="8450" max="8450" width="3.5703125" style="286" bestFit="1" customWidth="1"/>
    <col min="8451" max="8451" width="5.140625" style="286" bestFit="1" customWidth="1"/>
    <col min="8452" max="8452" width="3.7109375" style="286" bestFit="1" customWidth="1"/>
    <col min="8453" max="8453" width="3.5703125" style="286" bestFit="1" customWidth="1"/>
    <col min="8454" max="8454" width="4.85546875" style="286" customWidth="1"/>
    <col min="8455" max="8455" width="7.7109375" style="286" customWidth="1"/>
    <col min="8456" max="8456" width="46.28515625" style="286" customWidth="1"/>
    <col min="8457" max="8457" width="19" style="286" bestFit="1" customWidth="1"/>
    <col min="8458" max="8458" width="12.5703125" style="286" customWidth="1"/>
    <col min="8459" max="8459" width="6.42578125" style="286" bestFit="1" customWidth="1"/>
    <col min="8460" max="8460" width="4.7109375" style="286" bestFit="1" customWidth="1"/>
    <col min="8461" max="8461" width="18.42578125" style="286" customWidth="1"/>
    <col min="8462" max="8462" width="55.7109375" style="286" customWidth="1"/>
    <col min="8463" max="8463" width="16.140625" style="286" bestFit="1" customWidth="1"/>
    <col min="8464" max="8464" width="39.28515625" style="286" customWidth="1"/>
    <col min="8465" max="8465" width="15.5703125" style="286" customWidth="1"/>
    <col min="8466" max="8466" width="11.140625" style="286" bestFit="1" customWidth="1"/>
    <col min="8467" max="8467" width="20.140625" style="286" customWidth="1"/>
    <col min="8468" max="8468" width="11.140625" style="286" customWidth="1"/>
    <col min="8469" max="8469" width="17.28515625" style="286" bestFit="1" customWidth="1"/>
    <col min="8470" max="8470" width="16.28515625" style="286" bestFit="1" customWidth="1"/>
    <col min="8471" max="8471" width="20.140625" style="286" customWidth="1"/>
    <col min="8472" max="8472" width="16.140625" style="286" bestFit="1" customWidth="1"/>
    <col min="8473" max="8473" width="16.5703125" style="286" customWidth="1"/>
    <col min="8474" max="8474" width="17.28515625" style="286" bestFit="1" customWidth="1"/>
    <col min="8475" max="8475" width="14.140625" style="286" bestFit="1" customWidth="1"/>
    <col min="8476" max="8476" width="15.5703125" style="286" customWidth="1"/>
    <col min="8477" max="8477" width="14.85546875" style="286" bestFit="1" customWidth="1"/>
    <col min="8478" max="8478" width="8.85546875" style="286" customWidth="1"/>
    <col min="8479" max="8479" width="20.140625" style="286" customWidth="1"/>
    <col min="8480" max="8480" width="22.7109375" style="286" bestFit="1" customWidth="1"/>
    <col min="8481" max="8704" width="11.42578125" style="286"/>
    <col min="8705" max="8705" width="8" style="286" customWidth="1"/>
    <col min="8706" max="8706" width="3.5703125" style="286" bestFit="1" customWidth="1"/>
    <col min="8707" max="8707" width="5.140625" style="286" bestFit="1" customWidth="1"/>
    <col min="8708" max="8708" width="3.7109375" style="286" bestFit="1" customWidth="1"/>
    <col min="8709" max="8709" width="3.5703125" style="286" bestFit="1" customWidth="1"/>
    <col min="8710" max="8710" width="4.85546875" style="286" customWidth="1"/>
    <col min="8711" max="8711" width="7.7109375" style="286" customWidth="1"/>
    <col min="8712" max="8712" width="46.28515625" style="286" customWidth="1"/>
    <col min="8713" max="8713" width="19" style="286" bestFit="1" customWidth="1"/>
    <col min="8714" max="8714" width="12.5703125" style="286" customWidth="1"/>
    <col min="8715" max="8715" width="6.42578125" style="286" bestFit="1" customWidth="1"/>
    <col min="8716" max="8716" width="4.7109375" style="286" bestFit="1" customWidth="1"/>
    <col min="8717" max="8717" width="18.42578125" style="286" customWidth="1"/>
    <col min="8718" max="8718" width="55.7109375" style="286" customWidth="1"/>
    <col min="8719" max="8719" width="16.140625" style="286" bestFit="1" customWidth="1"/>
    <col min="8720" max="8720" width="39.28515625" style="286" customWidth="1"/>
    <col min="8721" max="8721" width="15.5703125" style="286" customWidth="1"/>
    <col min="8722" max="8722" width="11.140625" style="286" bestFit="1" customWidth="1"/>
    <col min="8723" max="8723" width="20.140625" style="286" customWidth="1"/>
    <col min="8724" max="8724" width="11.140625" style="286" customWidth="1"/>
    <col min="8725" max="8725" width="17.28515625" style="286" bestFit="1" customWidth="1"/>
    <col min="8726" max="8726" width="16.28515625" style="286" bestFit="1" customWidth="1"/>
    <col min="8727" max="8727" width="20.140625" style="286" customWidth="1"/>
    <col min="8728" max="8728" width="16.140625" style="286" bestFit="1" customWidth="1"/>
    <col min="8729" max="8729" width="16.5703125" style="286" customWidth="1"/>
    <col min="8730" max="8730" width="17.28515625" style="286" bestFit="1" customWidth="1"/>
    <col min="8731" max="8731" width="14.140625" style="286" bestFit="1" customWidth="1"/>
    <col min="8732" max="8732" width="15.5703125" style="286" customWidth="1"/>
    <col min="8733" max="8733" width="14.85546875" style="286" bestFit="1" customWidth="1"/>
    <col min="8734" max="8734" width="8.85546875" style="286" customWidth="1"/>
    <col min="8735" max="8735" width="20.140625" style="286" customWidth="1"/>
    <col min="8736" max="8736" width="22.7109375" style="286" bestFit="1" customWidth="1"/>
    <col min="8737" max="8960" width="11.42578125" style="286"/>
    <col min="8961" max="8961" width="8" style="286" customWidth="1"/>
    <col min="8962" max="8962" width="3.5703125" style="286" bestFit="1" customWidth="1"/>
    <col min="8963" max="8963" width="5.140625" style="286" bestFit="1" customWidth="1"/>
    <col min="8964" max="8964" width="3.7109375" style="286" bestFit="1" customWidth="1"/>
    <col min="8965" max="8965" width="3.5703125" style="286" bestFit="1" customWidth="1"/>
    <col min="8966" max="8966" width="4.85546875" style="286" customWidth="1"/>
    <col min="8967" max="8967" width="7.7109375" style="286" customWidth="1"/>
    <col min="8968" max="8968" width="46.28515625" style="286" customWidth="1"/>
    <col min="8969" max="8969" width="19" style="286" bestFit="1" customWidth="1"/>
    <col min="8970" max="8970" width="12.5703125" style="286" customWidth="1"/>
    <col min="8971" max="8971" width="6.42578125" style="286" bestFit="1" customWidth="1"/>
    <col min="8972" max="8972" width="4.7109375" style="286" bestFit="1" customWidth="1"/>
    <col min="8973" max="8973" width="18.42578125" style="286" customWidth="1"/>
    <col min="8974" max="8974" width="55.7109375" style="286" customWidth="1"/>
    <col min="8975" max="8975" width="16.140625" style="286" bestFit="1" customWidth="1"/>
    <col min="8976" max="8976" width="39.28515625" style="286" customWidth="1"/>
    <col min="8977" max="8977" width="15.5703125" style="286" customWidth="1"/>
    <col min="8978" max="8978" width="11.140625" style="286" bestFit="1" customWidth="1"/>
    <col min="8979" max="8979" width="20.140625" style="286" customWidth="1"/>
    <col min="8980" max="8980" width="11.140625" style="286" customWidth="1"/>
    <col min="8981" max="8981" width="17.28515625" style="286" bestFit="1" customWidth="1"/>
    <col min="8982" max="8982" width="16.28515625" style="286" bestFit="1" customWidth="1"/>
    <col min="8983" max="8983" width="20.140625" style="286" customWidth="1"/>
    <col min="8984" max="8984" width="16.140625" style="286" bestFit="1" customWidth="1"/>
    <col min="8985" max="8985" width="16.5703125" style="286" customWidth="1"/>
    <col min="8986" max="8986" width="17.28515625" style="286" bestFit="1" customWidth="1"/>
    <col min="8987" max="8987" width="14.140625" style="286" bestFit="1" customWidth="1"/>
    <col min="8988" max="8988" width="15.5703125" style="286" customWidth="1"/>
    <col min="8989" max="8989" width="14.85546875" style="286" bestFit="1" customWidth="1"/>
    <col min="8990" max="8990" width="8.85546875" style="286" customWidth="1"/>
    <col min="8991" max="8991" width="20.140625" style="286" customWidth="1"/>
    <col min="8992" max="8992" width="22.7109375" style="286" bestFit="1" customWidth="1"/>
    <col min="8993" max="9216" width="11.42578125" style="286"/>
    <col min="9217" max="9217" width="8" style="286" customWidth="1"/>
    <col min="9218" max="9218" width="3.5703125" style="286" bestFit="1" customWidth="1"/>
    <col min="9219" max="9219" width="5.140625" style="286" bestFit="1" customWidth="1"/>
    <col min="9220" max="9220" width="3.7109375" style="286" bestFit="1" customWidth="1"/>
    <col min="9221" max="9221" width="3.5703125" style="286" bestFit="1" customWidth="1"/>
    <col min="9222" max="9222" width="4.85546875" style="286" customWidth="1"/>
    <col min="9223" max="9223" width="7.7109375" style="286" customWidth="1"/>
    <col min="9224" max="9224" width="46.28515625" style="286" customWidth="1"/>
    <col min="9225" max="9225" width="19" style="286" bestFit="1" customWidth="1"/>
    <col min="9226" max="9226" width="12.5703125" style="286" customWidth="1"/>
    <col min="9227" max="9227" width="6.42578125" style="286" bestFit="1" customWidth="1"/>
    <col min="9228" max="9228" width="4.7109375" style="286" bestFit="1" customWidth="1"/>
    <col min="9229" max="9229" width="18.42578125" style="286" customWidth="1"/>
    <col min="9230" max="9230" width="55.7109375" style="286" customWidth="1"/>
    <col min="9231" max="9231" width="16.140625" style="286" bestFit="1" customWidth="1"/>
    <col min="9232" max="9232" width="39.28515625" style="286" customWidth="1"/>
    <col min="9233" max="9233" width="15.5703125" style="286" customWidth="1"/>
    <col min="9234" max="9234" width="11.140625" style="286" bestFit="1" customWidth="1"/>
    <col min="9235" max="9235" width="20.140625" style="286" customWidth="1"/>
    <col min="9236" max="9236" width="11.140625" style="286" customWidth="1"/>
    <col min="9237" max="9237" width="17.28515625" style="286" bestFit="1" customWidth="1"/>
    <col min="9238" max="9238" width="16.28515625" style="286" bestFit="1" customWidth="1"/>
    <col min="9239" max="9239" width="20.140625" style="286" customWidth="1"/>
    <col min="9240" max="9240" width="16.140625" style="286" bestFit="1" customWidth="1"/>
    <col min="9241" max="9241" width="16.5703125" style="286" customWidth="1"/>
    <col min="9242" max="9242" width="17.28515625" style="286" bestFit="1" customWidth="1"/>
    <col min="9243" max="9243" width="14.140625" style="286" bestFit="1" customWidth="1"/>
    <col min="9244" max="9244" width="15.5703125" style="286" customWidth="1"/>
    <col min="9245" max="9245" width="14.85546875" style="286" bestFit="1" customWidth="1"/>
    <col min="9246" max="9246" width="8.85546875" style="286" customWidth="1"/>
    <col min="9247" max="9247" width="20.140625" style="286" customWidth="1"/>
    <col min="9248" max="9248" width="22.7109375" style="286" bestFit="1" customWidth="1"/>
    <col min="9249" max="9472" width="11.42578125" style="286"/>
    <col min="9473" max="9473" width="8" style="286" customWidth="1"/>
    <col min="9474" max="9474" width="3.5703125" style="286" bestFit="1" customWidth="1"/>
    <col min="9475" max="9475" width="5.140625" style="286" bestFit="1" customWidth="1"/>
    <col min="9476" max="9476" width="3.7109375" style="286" bestFit="1" customWidth="1"/>
    <col min="9477" max="9477" width="3.5703125" style="286" bestFit="1" customWidth="1"/>
    <col min="9478" max="9478" width="4.85546875" style="286" customWidth="1"/>
    <col min="9479" max="9479" width="7.7109375" style="286" customWidth="1"/>
    <col min="9480" max="9480" width="46.28515625" style="286" customWidth="1"/>
    <col min="9481" max="9481" width="19" style="286" bestFit="1" customWidth="1"/>
    <col min="9482" max="9482" width="12.5703125" style="286" customWidth="1"/>
    <col min="9483" max="9483" width="6.42578125" style="286" bestFit="1" customWidth="1"/>
    <col min="9484" max="9484" width="4.7109375" style="286" bestFit="1" customWidth="1"/>
    <col min="9485" max="9485" width="18.42578125" style="286" customWidth="1"/>
    <col min="9486" max="9486" width="55.7109375" style="286" customWidth="1"/>
    <col min="9487" max="9487" width="16.140625" style="286" bestFit="1" customWidth="1"/>
    <col min="9488" max="9488" width="39.28515625" style="286" customWidth="1"/>
    <col min="9489" max="9489" width="15.5703125" style="286" customWidth="1"/>
    <col min="9490" max="9490" width="11.140625" style="286" bestFit="1" customWidth="1"/>
    <col min="9491" max="9491" width="20.140625" style="286" customWidth="1"/>
    <col min="9492" max="9492" width="11.140625" style="286" customWidth="1"/>
    <col min="9493" max="9493" width="17.28515625" style="286" bestFit="1" customWidth="1"/>
    <col min="9494" max="9494" width="16.28515625" style="286" bestFit="1" customWidth="1"/>
    <col min="9495" max="9495" width="20.140625" style="286" customWidth="1"/>
    <col min="9496" max="9496" width="16.140625" style="286" bestFit="1" customWidth="1"/>
    <col min="9497" max="9497" width="16.5703125" style="286" customWidth="1"/>
    <col min="9498" max="9498" width="17.28515625" style="286" bestFit="1" customWidth="1"/>
    <col min="9499" max="9499" width="14.140625" style="286" bestFit="1" customWidth="1"/>
    <col min="9500" max="9500" width="15.5703125" style="286" customWidth="1"/>
    <col min="9501" max="9501" width="14.85546875" style="286" bestFit="1" customWidth="1"/>
    <col min="9502" max="9502" width="8.85546875" style="286" customWidth="1"/>
    <col min="9503" max="9503" width="20.140625" style="286" customWidth="1"/>
    <col min="9504" max="9504" width="22.7109375" style="286" bestFit="1" customWidth="1"/>
    <col min="9505" max="9728" width="11.42578125" style="286"/>
    <col min="9729" max="9729" width="8" style="286" customWidth="1"/>
    <col min="9730" max="9730" width="3.5703125" style="286" bestFit="1" customWidth="1"/>
    <col min="9731" max="9731" width="5.140625" style="286" bestFit="1" customWidth="1"/>
    <col min="9732" max="9732" width="3.7109375" style="286" bestFit="1" customWidth="1"/>
    <col min="9733" max="9733" width="3.5703125" style="286" bestFit="1" customWidth="1"/>
    <col min="9734" max="9734" width="4.85546875" style="286" customWidth="1"/>
    <col min="9735" max="9735" width="7.7109375" style="286" customWidth="1"/>
    <col min="9736" max="9736" width="46.28515625" style="286" customWidth="1"/>
    <col min="9737" max="9737" width="19" style="286" bestFit="1" customWidth="1"/>
    <col min="9738" max="9738" width="12.5703125" style="286" customWidth="1"/>
    <col min="9739" max="9739" width="6.42578125" style="286" bestFit="1" customWidth="1"/>
    <col min="9740" max="9740" width="4.7109375" style="286" bestFit="1" customWidth="1"/>
    <col min="9741" max="9741" width="18.42578125" style="286" customWidth="1"/>
    <col min="9742" max="9742" width="55.7109375" style="286" customWidth="1"/>
    <col min="9743" max="9743" width="16.140625" style="286" bestFit="1" customWidth="1"/>
    <col min="9744" max="9744" width="39.28515625" style="286" customWidth="1"/>
    <col min="9745" max="9745" width="15.5703125" style="286" customWidth="1"/>
    <col min="9746" max="9746" width="11.140625" style="286" bestFit="1" customWidth="1"/>
    <col min="9747" max="9747" width="20.140625" style="286" customWidth="1"/>
    <col min="9748" max="9748" width="11.140625" style="286" customWidth="1"/>
    <col min="9749" max="9749" width="17.28515625" style="286" bestFit="1" customWidth="1"/>
    <col min="9750" max="9750" width="16.28515625" style="286" bestFit="1" customWidth="1"/>
    <col min="9751" max="9751" width="20.140625" style="286" customWidth="1"/>
    <col min="9752" max="9752" width="16.140625" style="286" bestFit="1" customWidth="1"/>
    <col min="9753" max="9753" width="16.5703125" style="286" customWidth="1"/>
    <col min="9754" max="9754" width="17.28515625" style="286" bestFit="1" customWidth="1"/>
    <col min="9755" max="9755" width="14.140625" style="286" bestFit="1" customWidth="1"/>
    <col min="9756" max="9756" width="15.5703125" style="286" customWidth="1"/>
    <col min="9757" max="9757" width="14.85546875" style="286" bestFit="1" customWidth="1"/>
    <col min="9758" max="9758" width="8.85546875" style="286" customWidth="1"/>
    <col min="9759" max="9759" width="20.140625" style="286" customWidth="1"/>
    <col min="9760" max="9760" width="22.7109375" style="286" bestFit="1" customWidth="1"/>
    <col min="9761" max="9984" width="11.42578125" style="286"/>
    <col min="9985" max="9985" width="8" style="286" customWidth="1"/>
    <col min="9986" max="9986" width="3.5703125" style="286" bestFit="1" customWidth="1"/>
    <col min="9987" max="9987" width="5.140625" style="286" bestFit="1" customWidth="1"/>
    <col min="9988" max="9988" width="3.7109375" style="286" bestFit="1" customWidth="1"/>
    <col min="9989" max="9989" width="3.5703125" style="286" bestFit="1" customWidth="1"/>
    <col min="9990" max="9990" width="4.85546875" style="286" customWidth="1"/>
    <col min="9991" max="9991" width="7.7109375" style="286" customWidth="1"/>
    <col min="9992" max="9992" width="46.28515625" style="286" customWidth="1"/>
    <col min="9993" max="9993" width="19" style="286" bestFit="1" customWidth="1"/>
    <col min="9994" max="9994" width="12.5703125" style="286" customWidth="1"/>
    <col min="9995" max="9995" width="6.42578125" style="286" bestFit="1" customWidth="1"/>
    <col min="9996" max="9996" width="4.7109375" style="286" bestFit="1" customWidth="1"/>
    <col min="9997" max="9997" width="18.42578125" style="286" customWidth="1"/>
    <col min="9998" max="9998" width="55.7109375" style="286" customWidth="1"/>
    <col min="9999" max="9999" width="16.140625" style="286" bestFit="1" customWidth="1"/>
    <col min="10000" max="10000" width="39.28515625" style="286" customWidth="1"/>
    <col min="10001" max="10001" width="15.5703125" style="286" customWidth="1"/>
    <col min="10002" max="10002" width="11.140625" style="286" bestFit="1" customWidth="1"/>
    <col min="10003" max="10003" width="20.140625" style="286" customWidth="1"/>
    <col min="10004" max="10004" width="11.140625" style="286" customWidth="1"/>
    <col min="10005" max="10005" width="17.28515625" style="286" bestFit="1" customWidth="1"/>
    <col min="10006" max="10006" width="16.28515625" style="286" bestFit="1" customWidth="1"/>
    <col min="10007" max="10007" width="20.140625" style="286" customWidth="1"/>
    <col min="10008" max="10008" width="16.140625" style="286" bestFit="1" customWidth="1"/>
    <col min="10009" max="10009" width="16.5703125" style="286" customWidth="1"/>
    <col min="10010" max="10010" width="17.28515625" style="286" bestFit="1" customWidth="1"/>
    <col min="10011" max="10011" width="14.140625" style="286" bestFit="1" customWidth="1"/>
    <col min="10012" max="10012" width="15.5703125" style="286" customWidth="1"/>
    <col min="10013" max="10013" width="14.85546875" style="286" bestFit="1" customWidth="1"/>
    <col min="10014" max="10014" width="8.85546875" style="286" customWidth="1"/>
    <col min="10015" max="10015" width="20.140625" style="286" customWidth="1"/>
    <col min="10016" max="10016" width="22.7109375" style="286" bestFit="1" customWidth="1"/>
    <col min="10017" max="10240" width="11.42578125" style="286"/>
    <col min="10241" max="10241" width="8" style="286" customWidth="1"/>
    <col min="10242" max="10242" width="3.5703125" style="286" bestFit="1" customWidth="1"/>
    <col min="10243" max="10243" width="5.140625" style="286" bestFit="1" customWidth="1"/>
    <col min="10244" max="10244" width="3.7109375" style="286" bestFit="1" customWidth="1"/>
    <col min="10245" max="10245" width="3.5703125" style="286" bestFit="1" customWidth="1"/>
    <col min="10246" max="10246" width="4.85546875" style="286" customWidth="1"/>
    <col min="10247" max="10247" width="7.7109375" style="286" customWidth="1"/>
    <col min="10248" max="10248" width="46.28515625" style="286" customWidth="1"/>
    <col min="10249" max="10249" width="19" style="286" bestFit="1" customWidth="1"/>
    <col min="10250" max="10250" width="12.5703125" style="286" customWidth="1"/>
    <col min="10251" max="10251" width="6.42578125" style="286" bestFit="1" customWidth="1"/>
    <col min="10252" max="10252" width="4.7109375" style="286" bestFit="1" customWidth="1"/>
    <col min="10253" max="10253" width="18.42578125" style="286" customWidth="1"/>
    <col min="10254" max="10254" width="55.7109375" style="286" customWidth="1"/>
    <col min="10255" max="10255" width="16.140625" style="286" bestFit="1" customWidth="1"/>
    <col min="10256" max="10256" width="39.28515625" style="286" customWidth="1"/>
    <col min="10257" max="10257" width="15.5703125" style="286" customWidth="1"/>
    <col min="10258" max="10258" width="11.140625" style="286" bestFit="1" customWidth="1"/>
    <col min="10259" max="10259" width="20.140625" style="286" customWidth="1"/>
    <col min="10260" max="10260" width="11.140625" style="286" customWidth="1"/>
    <col min="10261" max="10261" width="17.28515625" style="286" bestFit="1" customWidth="1"/>
    <col min="10262" max="10262" width="16.28515625" style="286" bestFit="1" customWidth="1"/>
    <col min="10263" max="10263" width="20.140625" style="286" customWidth="1"/>
    <col min="10264" max="10264" width="16.140625" style="286" bestFit="1" customWidth="1"/>
    <col min="10265" max="10265" width="16.5703125" style="286" customWidth="1"/>
    <col min="10266" max="10266" width="17.28515625" style="286" bestFit="1" customWidth="1"/>
    <col min="10267" max="10267" width="14.140625" style="286" bestFit="1" customWidth="1"/>
    <col min="10268" max="10268" width="15.5703125" style="286" customWidth="1"/>
    <col min="10269" max="10269" width="14.85546875" style="286" bestFit="1" customWidth="1"/>
    <col min="10270" max="10270" width="8.85546875" style="286" customWidth="1"/>
    <col min="10271" max="10271" width="20.140625" style="286" customWidth="1"/>
    <col min="10272" max="10272" width="22.7109375" style="286" bestFit="1" customWidth="1"/>
    <col min="10273" max="10496" width="11.42578125" style="286"/>
    <col min="10497" max="10497" width="8" style="286" customWidth="1"/>
    <col min="10498" max="10498" width="3.5703125" style="286" bestFit="1" customWidth="1"/>
    <col min="10499" max="10499" width="5.140625" style="286" bestFit="1" customWidth="1"/>
    <col min="10500" max="10500" width="3.7109375" style="286" bestFit="1" customWidth="1"/>
    <col min="10501" max="10501" width="3.5703125" style="286" bestFit="1" customWidth="1"/>
    <col min="10502" max="10502" width="4.85546875" style="286" customWidth="1"/>
    <col min="10503" max="10503" width="7.7109375" style="286" customWidth="1"/>
    <col min="10504" max="10504" width="46.28515625" style="286" customWidth="1"/>
    <col min="10505" max="10505" width="19" style="286" bestFit="1" customWidth="1"/>
    <col min="10506" max="10506" width="12.5703125" style="286" customWidth="1"/>
    <col min="10507" max="10507" width="6.42578125" style="286" bestFit="1" customWidth="1"/>
    <col min="10508" max="10508" width="4.7109375" style="286" bestFit="1" customWidth="1"/>
    <col min="10509" max="10509" width="18.42578125" style="286" customWidth="1"/>
    <col min="10510" max="10510" width="55.7109375" style="286" customWidth="1"/>
    <col min="10511" max="10511" width="16.140625" style="286" bestFit="1" customWidth="1"/>
    <col min="10512" max="10512" width="39.28515625" style="286" customWidth="1"/>
    <col min="10513" max="10513" width="15.5703125" style="286" customWidth="1"/>
    <col min="10514" max="10514" width="11.140625" style="286" bestFit="1" customWidth="1"/>
    <col min="10515" max="10515" width="20.140625" style="286" customWidth="1"/>
    <col min="10516" max="10516" width="11.140625" style="286" customWidth="1"/>
    <col min="10517" max="10517" width="17.28515625" style="286" bestFit="1" customWidth="1"/>
    <col min="10518" max="10518" width="16.28515625" style="286" bestFit="1" customWidth="1"/>
    <col min="10519" max="10519" width="20.140625" style="286" customWidth="1"/>
    <col min="10520" max="10520" width="16.140625" style="286" bestFit="1" customWidth="1"/>
    <col min="10521" max="10521" width="16.5703125" style="286" customWidth="1"/>
    <col min="10522" max="10522" width="17.28515625" style="286" bestFit="1" customWidth="1"/>
    <col min="10523" max="10523" width="14.140625" style="286" bestFit="1" customWidth="1"/>
    <col min="10524" max="10524" width="15.5703125" style="286" customWidth="1"/>
    <col min="10525" max="10525" width="14.85546875" style="286" bestFit="1" customWidth="1"/>
    <col min="10526" max="10526" width="8.85546875" style="286" customWidth="1"/>
    <col min="10527" max="10527" width="20.140625" style="286" customWidth="1"/>
    <col min="10528" max="10528" width="22.7109375" style="286" bestFit="1" customWidth="1"/>
    <col min="10529" max="10752" width="11.42578125" style="286"/>
    <col min="10753" max="10753" width="8" style="286" customWidth="1"/>
    <col min="10754" max="10754" width="3.5703125" style="286" bestFit="1" customWidth="1"/>
    <col min="10755" max="10755" width="5.140625" style="286" bestFit="1" customWidth="1"/>
    <col min="10756" max="10756" width="3.7109375" style="286" bestFit="1" customWidth="1"/>
    <col min="10757" max="10757" width="3.5703125" style="286" bestFit="1" customWidth="1"/>
    <col min="10758" max="10758" width="4.85546875" style="286" customWidth="1"/>
    <col min="10759" max="10759" width="7.7109375" style="286" customWidth="1"/>
    <col min="10760" max="10760" width="46.28515625" style="286" customWidth="1"/>
    <col min="10761" max="10761" width="19" style="286" bestFit="1" customWidth="1"/>
    <col min="10762" max="10762" width="12.5703125" style="286" customWidth="1"/>
    <col min="10763" max="10763" width="6.42578125" style="286" bestFit="1" customWidth="1"/>
    <col min="10764" max="10764" width="4.7109375" style="286" bestFit="1" customWidth="1"/>
    <col min="10765" max="10765" width="18.42578125" style="286" customWidth="1"/>
    <col min="10766" max="10766" width="55.7109375" style="286" customWidth="1"/>
    <col min="10767" max="10767" width="16.140625" style="286" bestFit="1" customWidth="1"/>
    <col min="10768" max="10768" width="39.28515625" style="286" customWidth="1"/>
    <col min="10769" max="10769" width="15.5703125" style="286" customWidth="1"/>
    <col min="10770" max="10770" width="11.140625" style="286" bestFit="1" customWidth="1"/>
    <col min="10771" max="10771" width="20.140625" style="286" customWidth="1"/>
    <col min="10772" max="10772" width="11.140625" style="286" customWidth="1"/>
    <col min="10773" max="10773" width="17.28515625" style="286" bestFit="1" customWidth="1"/>
    <col min="10774" max="10774" width="16.28515625" style="286" bestFit="1" customWidth="1"/>
    <col min="10775" max="10775" width="20.140625" style="286" customWidth="1"/>
    <col min="10776" max="10776" width="16.140625" style="286" bestFit="1" customWidth="1"/>
    <col min="10777" max="10777" width="16.5703125" style="286" customWidth="1"/>
    <col min="10778" max="10778" width="17.28515625" style="286" bestFit="1" customWidth="1"/>
    <col min="10779" max="10779" width="14.140625" style="286" bestFit="1" customWidth="1"/>
    <col min="10780" max="10780" width="15.5703125" style="286" customWidth="1"/>
    <col min="10781" max="10781" width="14.85546875" style="286" bestFit="1" customWidth="1"/>
    <col min="10782" max="10782" width="8.85546875" style="286" customWidth="1"/>
    <col min="10783" max="10783" width="20.140625" style="286" customWidth="1"/>
    <col min="10784" max="10784" width="22.7109375" style="286" bestFit="1" customWidth="1"/>
    <col min="10785" max="11008" width="11.42578125" style="286"/>
    <col min="11009" max="11009" width="8" style="286" customWidth="1"/>
    <col min="11010" max="11010" width="3.5703125" style="286" bestFit="1" customWidth="1"/>
    <col min="11011" max="11011" width="5.140625" style="286" bestFit="1" customWidth="1"/>
    <col min="11012" max="11012" width="3.7109375" style="286" bestFit="1" customWidth="1"/>
    <col min="11013" max="11013" width="3.5703125" style="286" bestFit="1" customWidth="1"/>
    <col min="11014" max="11014" width="4.85546875" style="286" customWidth="1"/>
    <col min="11015" max="11015" width="7.7109375" style="286" customWidth="1"/>
    <col min="11016" max="11016" width="46.28515625" style="286" customWidth="1"/>
    <col min="11017" max="11017" width="19" style="286" bestFit="1" customWidth="1"/>
    <col min="11018" max="11018" width="12.5703125" style="286" customWidth="1"/>
    <col min="11019" max="11019" width="6.42578125" style="286" bestFit="1" customWidth="1"/>
    <col min="11020" max="11020" width="4.7109375" style="286" bestFit="1" customWidth="1"/>
    <col min="11021" max="11021" width="18.42578125" style="286" customWidth="1"/>
    <col min="11022" max="11022" width="55.7109375" style="286" customWidth="1"/>
    <col min="11023" max="11023" width="16.140625" style="286" bestFit="1" customWidth="1"/>
    <col min="11024" max="11024" width="39.28515625" style="286" customWidth="1"/>
    <col min="11025" max="11025" width="15.5703125" style="286" customWidth="1"/>
    <col min="11026" max="11026" width="11.140625" style="286" bestFit="1" customWidth="1"/>
    <col min="11027" max="11027" width="20.140625" style="286" customWidth="1"/>
    <col min="11028" max="11028" width="11.140625" style="286" customWidth="1"/>
    <col min="11029" max="11029" width="17.28515625" style="286" bestFit="1" customWidth="1"/>
    <col min="11030" max="11030" width="16.28515625" style="286" bestFit="1" customWidth="1"/>
    <col min="11031" max="11031" width="20.140625" style="286" customWidth="1"/>
    <col min="11032" max="11032" width="16.140625" style="286" bestFit="1" customWidth="1"/>
    <col min="11033" max="11033" width="16.5703125" style="286" customWidth="1"/>
    <col min="11034" max="11034" width="17.28515625" style="286" bestFit="1" customWidth="1"/>
    <col min="11035" max="11035" width="14.140625" style="286" bestFit="1" customWidth="1"/>
    <col min="11036" max="11036" width="15.5703125" style="286" customWidth="1"/>
    <col min="11037" max="11037" width="14.85546875" style="286" bestFit="1" customWidth="1"/>
    <col min="11038" max="11038" width="8.85546875" style="286" customWidth="1"/>
    <col min="11039" max="11039" width="20.140625" style="286" customWidth="1"/>
    <col min="11040" max="11040" width="22.7109375" style="286" bestFit="1" customWidth="1"/>
    <col min="11041" max="11264" width="11.42578125" style="286"/>
    <col min="11265" max="11265" width="8" style="286" customWidth="1"/>
    <col min="11266" max="11266" width="3.5703125" style="286" bestFit="1" customWidth="1"/>
    <col min="11267" max="11267" width="5.140625" style="286" bestFit="1" customWidth="1"/>
    <col min="11268" max="11268" width="3.7109375" style="286" bestFit="1" customWidth="1"/>
    <col min="11269" max="11269" width="3.5703125" style="286" bestFit="1" customWidth="1"/>
    <col min="11270" max="11270" width="4.85546875" style="286" customWidth="1"/>
    <col min="11271" max="11271" width="7.7109375" style="286" customWidth="1"/>
    <col min="11272" max="11272" width="46.28515625" style="286" customWidth="1"/>
    <col min="11273" max="11273" width="19" style="286" bestFit="1" customWidth="1"/>
    <col min="11274" max="11274" width="12.5703125" style="286" customWidth="1"/>
    <col min="11275" max="11275" width="6.42578125" style="286" bestFit="1" customWidth="1"/>
    <col min="11276" max="11276" width="4.7109375" style="286" bestFit="1" customWidth="1"/>
    <col min="11277" max="11277" width="18.42578125" style="286" customWidth="1"/>
    <col min="11278" max="11278" width="55.7109375" style="286" customWidth="1"/>
    <col min="11279" max="11279" width="16.140625" style="286" bestFit="1" customWidth="1"/>
    <col min="11280" max="11280" width="39.28515625" style="286" customWidth="1"/>
    <col min="11281" max="11281" width="15.5703125" style="286" customWidth="1"/>
    <col min="11282" max="11282" width="11.140625" style="286" bestFit="1" customWidth="1"/>
    <col min="11283" max="11283" width="20.140625" style="286" customWidth="1"/>
    <col min="11284" max="11284" width="11.140625" style="286" customWidth="1"/>
    <col min="11285" max="11285" width="17.28515625" style="286" bestFit="1" customWidth="1"/>
    <col min="11286" max="11286" width="16.28515625" style="286" bestFit="1" customWidth="1"/>
    <col min="11287" max="11287" width="20.140625" style="286" customWidth="1"/>
    <col min="11288" max="11288" width="16.140625" style="286" bestFit="1" customWidth="1"/>
    <col min="11289" max="11289" width="16.5703125" style="286" customWidth="1"/>
    <col min="11290" max="11290" width="17.28515625" style="286" bestFit="1" customWidth="1"/>
    <col min="11291" max="11291" width="14.140625" style="286" bestFit="1" customWidth="1"/>
    <col min="11292" max="11292" width="15.5703125" style="286" customWidth="1"/>
    <col min="11293" max="11293" width="14.85546875" style="286" bestFit="1" customWidth="1"/>
    <col min="11294" max="11294" width="8.85546875" style="286" customWidth="1"/>
    <col min="11295" max="11295" width="20.140625" style="286" customWidth="1"/>
    <col min="11296" max="11296" width="22.7109375" style="286" bestFit="1" customWidth="1"/>
    <col min="11297" max="11520" width="11.42578125" style="286"/>
    <col min="11521" max="11521" width="8" style="286" customWidth="1"/>
    <col min="11522" max="11522" width="3.5703125" style="286" bestFit="1" customWidth="1"/>
    <col min="11523" max="11523" width="5.140625" style="286" bestFit="1" customWidth="1"/>
    <col min="11524" max="11524" width="3.7109375" style="286" bestFit="1" customWidth="1"/>
    <col min="11525" max="11525" width="3.5703125" style="286" bestFit="1" customWidth="1"/>
    <col min="11526" max="11526" width="4.85546875" style="286" customWidth="1"/>
    <col min="11527" max="11527" width="7.7109375" style="286" customWidth="1"/>
    <col min="11528" max="11528" width="46.28515625" style="286" customWidth="1"/>
    <col min="11529" max="11529" width="19" style="286" bestFit="1" customWidth="1"/>
    <col min="11530" max="11530" width="12.5703125" style="286" customWidth="1"/>
    <col min="11531" max="11531" width="6.42578125" style="286" bestFit="1" customWidth="1"/>
    <col min="11532" max="11532" width="4.7109375" style="286" bestFit="1" customWidth="1"/>
    <col min="11533" max="11533" width="18.42578125" style="286" customWidth="1"/>
    <col min="11534" max="11534" width="55.7109375" style="286" customWidth="1"/>
    <col min="11535" max="11535" width="16.140625" style="286" bestFit="1" customWidth="1"/>
    <col min="11536" max="11536" width="39.28515625" style="286" customWidth="1"/>
    <col min="11537" max="11537" width="15.5703125" style="286" customWidth="1"/>
    <col min="11538" max="11538" width="11.140625" style="286" bestFit="1" customWidth="1"/>
    <col min="11539" max="11539" width="20.140625" style="286" customWidth="1"/>
    <col min="11540" max="11540" width="11.140625" style="286" customWidth="1"/>
    <col min="11541" max="11541" width="17.28515625" style="286" bestFit="1" customWidth="1"/>
    <col min="11542" max="11542" width="16.28515625" style="286" bestFit="1" customWidth="1"/>
    <col min="11543" max="11543" width="20.140625" style="286" customWidth="1"/>
    <col min="11544" max="11544" width="16.140625" style="286" bestFit="1" customWidth="1"/>
    <col min="11545" max="11545" width="16.5703125" style="286" customWidth="1"/>
    <col min="11546" max="11546" width="17.28515625" style="286" bestFit="1" customWidth="1"/>
    <col min="11547" max="11547" width="14.140625" style="286" bestFit="1" customWidth="1"/>
    <col min="11548" max="11548" width="15.5703125" style="286" customWidth="1"/>
    <col min="11549" max="11549" width="14.85546875" style="286" bestFit="1" customWidth="1"/>
    <col min="11550" max="11550" width="8.85546875" style="286" customWidth="1"/>
    <col min="11551" max="11551" width="20.140625" style="286" customWidth="1"/>
    <col min="11552" max="11552" width="22.7109375" style="286" bestFit="1" customWidth="1"/>
    <col min="11553" max="11776" width="11.42578125" style="286"/>
    <col min="11777" max="11777" width="8" style="286" customWidth="1"/>
    <col min="11778" max="11778" width="3.5703125" style="286" bestFit="1" customWidth="1"/>
    <col min="11779" max="11779" width="5.140625" style="286" bestFit="1" customWidth="1"/>
    <col min="11780" max="11780" width="3.7109375" style="286" bestFit="1" customWidth="1"/>
    <col min="11781" max="11781" width="3.5703125" style="286" bestFit="1" customWidth="1"/>
    <col min="11782" max="11782" width="4.85546875" style="286" customWidth="1"/>
    <col min="11783" max="11783" width="7.7109375" style="286" customWidth="1"/>
    <col min="11784" max="11784" width="46.28515625" style="286" customWidth="1"/>
    <col min="11785" max="11785" width="19" style="286" bestFit="1" customWidth="1"/>
    <col min="11786" max="11786" width="12.5703125" style="286" customWidth="1"/>
    <col min="11787" max="11787" width="6.42578125" style="286" bestFit="1" customWidth="1"/>
    <col min="11788" max="11788" width="4.7109375" style="286" bestFit="1" customWidth="1"/>
    <col min="11789" max="11789" width="18.42578125" style="286" customWidth="1"/>
    <col min="11790" max="11790" width="55.7109375" style="286" customWidth="1"/>
    <col min="11791" max="11791" width="16.140625" style="286" bestFit="1" customWidth="1"/>
    <col min="11792" max="11792" width="39.28515625" style="286" customWidth="1"/>
    <col min="11793" max="11793" width="15.5703125" style="286" customWidth="1"/>
    <col min="11794" max="11794" width="11.140625" style="286" bestFit="1" customWidth="1"/>
    <col min="11795" max="11795" width="20.140625" style="286" customWidth="1"/>
    <col min="11796" max="11796" width="11.140625" style="286" customWidth="1"/>
    <col min="11797" max="11797" width="17.28515625" style="286" bestFit="1" customWidth="1"/>
    <col min="11798" max="11798" width="16.28515625" style="286" bestFit="1" customWidth="1"/>
    <col min="11799" max="11799" width="20.140625" style="286" customWidth="1"/>
    <col min="11800" max="11800" width="16.140625" style="286" bestFit="1" customWidth="1"/>
    <col min="11801" max="11801" width="16.5703125" style="286" customWidth="1"/>
    <col min="11802" max="11802" width="17.28515625" style="286" bestFit="1" customWidth="1"/>
    <col min="11803" max="11803" width="14.140625" style="286" bestFit="1" customWidth="1"/>
    <col min="11804" max="11804" width="15.5703125" style="286" customWidth="1"/>
    <col min="11805" max="11805" width="14.85546875" style="286" bestFit="1" customWidth="1"/>
    <col min="11806" max="11806" width="8.85546875" style="286" customWidth="1"/>
    <col min="11807" max="11807" width="20.140625" style="286" customWidth="1"/>
    <col min="11808" max="11808" width="22.7109375" style="286" bestFit="1" customWidth="1"/>
    <col min="11809" max="12032" width="11.42578125" style="286"/>
    <col min="12033" max="12033" width="8" style="286" customWidth="1"/>
    <col min="12034" max="12034" width="3.5703125" style="286" bestFit="1" customWidth="1"/>
    <col min="12035" max="12035" width="5.140625" style="286" bestFit="1" customWidth="1"/>
    <col min="12036" max="12036" width="3.7109375" style="286" bestFit="1" customWidth="1"/>
    <col min="12037" max="12037" width="3.5703125" style="286" bestFit="1" customWidth="1"/>
    <col min="12038" max="12038" width="4.85546875" style="286" customWidth="1"/>
    <col min="12039" max="12039" width="7.7109375" style="286" customWidth="1"/>
    <col min="12040" max="12040" width="46.28515625" style="286" customWidth="1"/>
    <col min="12041" max="12041" width="19" style="286" bestFit="1" customWidth="1"/>
    <col min="12042" max="12042" width="12.5703125" style="286" customWidth="1"/>
    <col min="12043" max="12043" width="6.42578125" style="286" bestFit="1" customWidth="1"/>
    <col min="12044" max="12044" width="4.7109375" style="286" bestFit="1" customWidth="1"/>
    <col min="12045" max="12045" width="18.42578125" style="286" customWidth="1"/>
    <col min="12046" max="12046" width="55.7109375" style="286" customWidth="1"/>
    <col min="12047" max="12047" width="16.140625" style="286" bestFit="1" customWidth="1"/>
    <col min="12048" max="12048" width="39.28515625" style="286" customWidth="1"/>
    <col min="12049" max="12049" width="15.5703125" style="286" customWidth="1"/>
    <col min="12050" max="12050" width="11.140625" style="286" bestFit="1" customWidth="1"/>
    <col min="12051" max="12051" width="20.140625" style="286" customWidth="1"/>
    <col min="12052" max="12052" width="11.140625" style="286" customWidth="1"/>
    <col min="12053" max="12053" width="17.28515625" style="286" bestFit="1" customWidth="1"/>
    <col min="12054" max="12054" width="16.28515625" style="286" bestFit="1" customWidth="1"/>
    <col min="12055" max="12055" width="20.140625" style="286" customWidth="1"/>
    <col min="12056" max="12056" width="16.140625" style="286" bestFit="1" customWidth="1"/>
    <col min="12057" max="12057" width="16.5703125" style="286" customWidth="1"/>
    <col min="12058" max="12058" width="17.28515625" style="286" bestFit="1" customWidth="1"/>
    <col min="12059" max="12059" width="14.140625" style="286" bestFit="1" customWidth="1"/>
    <col min="12060" max="12060" width="15.5703125" style="286" customWidth="1"/>
    <col min="12061" max="12061" width="14.85546875" style="286" bestFit="1" customWidth="1"/>
    <col min="12062" max="12062" width="8.85546875" style="286" customWidth="1"/>
    <col min="12063" max="12063" width="20.140625" style="286" customWidth="1"/>
    <col min="12064" max="12064" width="22.7109375" style="286" bestFit="1" customWidth="1"/>
    <col min="12065" max="12288" width="11.42578125" style="286"/>
    <col min="12289" max="12289" width="8" style="286" customWidth="1"/>
    <col min="12290" max="12290" width="3.5703125" style="286" bestFit="1" customWidth="1"/>
    <col min="12291" max="12291" width="5.140625" style="286" bestFit="1" customWidth="1"/>
    <col min="12292" max="12292" width="3.7109375" style="286" bestFit="1" customWidth="1"/>
    <col min="12293" max="12293" width="3.5703125" style="286" bestFit="1" customWidth="1"/>
    <col min="12294" max="12294" width="4.85546875" style="286" customWidth="1"/>
    <col min="12295" max="12295" width="7.7109375" style="286" customWidth="1"/>
    <col min="12296" max="12296" width="46.28515625" style="286" customWidth="1"/>
    <col min="12297" max="12297" width="19" style="286" bestFit="1" customWidth="1"/>
    <col min="12298" max="12298" width="12.5703125" style="286" customWidth="1"/>
    <col min="12299" max="12299" width="6.42578125" style="286" bestFit="1" customWidth="1"/>
    <col min="12300" max="12300" width="4.7109375" style="286" bestFit="1" customWidth="1"/>
    <col min="12301" max="12301" width="18.42578125" style="286" customWidth="1"/>
    <col min="12302" max="12302" width="55.7109375" style="286" customWidth="1"/>
    <col min="12303" max="12303" width="16.140625" style="286" bestFit="1" customWidth="1"/>
    <col min="12304" max="12304" width="39.28515625" style="286" customWidth="1"/>
    <col min="12305" max="12305" width="15.5703125" style="286" customWidth="1"/>
    <col min="12306" max="12306" width="11.140625" style="286" bestFit="1" customWidth="1"/>
    <col min="12307" max="12307" width="20.140625" style="286" customWidth="1"/>
    <col min="12308" max="12308" width="11.140625" style="286" customWidth="1"/>
    <col min="12309" max="12309" width="17.28515625" style="286" bestFit="1" customWidth="1"/>
    <col min="12310" max="12310" width="16.28515625" style="286" bestFit="1" customWidth="1"/>
    <col min="12311" max="12311" width="20.140625" style="286" customWidth="1"/>
    <col min="12312" max="12312" width="16.140625" style="286" bestFit="1" customWidth="1"/>
    <col min="12313" max="12313" width="16.5703125" style="286" customWidth="1"/>
    <col min="12314" max="12314" width="17.28515625" style="286" bestFit="1" customWidth="1"/>
    <col min="12315" max="12315" width="14.140625" style="286" bestFit="1" customWidth="1"/>
    <col min="12316" max="12316" width="15.5703125" style="286" customWidth="1"/>
    <col min="12317" max="12317" width="14.85546875" style="286" bestFit="1" customWidth="1"/>
    <col min="12318" max="12318" width="8.85546875" style="286" customWidth="1"/>
    <col min="12319" max="12319" width="20.140625" style="286" customWidth="1"/>
    <col min="12320" max="12320" width="22.7109375" style="286" bestFit="1" customWidth="1"/>
    <col min="12321" max="12544" width="11.42578125" style="286"/>
    <col min="12545" max="12545" width="8" style="286" customWidth="1"/>
    <col min="12546" max="12546" width="3.5703125" style="286" bestFit="1" customWidth="1"/>
    <col min="12547" max="12547" width="5.140625" style="286" bestFit="1" customWidth="1"/>
    <col min="12548" max="12548" width="3.7109375" style="286" bestFit="1" customWidth="1"/>
    <col min="12549" max="12549" width="3.5703125" style="286" bestFit="1" customWidth="1"/>
    <col min="12550" max="12550" width="4.85546875" style="286" customWidth="1"/>
    <col min="12551" max="12551" width="7.7109375" style="286" customWidth="1"/>
    <col min="12552" max="12552" width="46.28515625" style="286" customWidth="1"/>
    <col min="12553" max="12553" width="19" style="286" bestFit="1" customWidth="1"/>
    <col min="12554" max="12554" width="12.5703125" style="286" customWidth="1"/>
    <col min="12555" max="12555" width="6.42578125" style="286" bestFit="1" customWidth="1"/>
    <col min="12556" max="12556" width="4.7109375" style="286" bestFit="1" customWidth="1"/>
    <col min="12557" max="12557" width="18.42578125" style="286" customWidth="1"/>
    <col min="12558" max="12558" width="55.7109375" style="286" customWidth="1"/>
    <col min="12559" max="12559" width="16.140625" style="286" bestFit="1" customWidth="1"/>
    <col min="12560" max="12560" width="39.28515625" style="286" customWidth="1"/>
    <col min="12561" max="12561" width="15.5703125" style="286" customWidth="1"/>
    <col min="12562" max="12562" width="11.140625" style="286" bestFit="1" customWidth="1"/>
    <col min="12563" max="12563" width="20.140625" style="286" customWidth="1"/>
    <col min="12564" max="12564" width="11.140625" style="286" customWidth="1"/>
    <col min="12565" max="12565" width="17.28515625" style="286" bestFit="1" customWidth="1"/>
    <col min="12566" max="12566" width="16.28515625" style="286" bestFit="1" customWidth="1"/>
    <col min="12567" max="12567" width="20.140625" style="286" customWidth="1"/>
    <col min="12568" max="12568" width="16.140625" style="286" bestFit="1" customWidth="1"/>
    <col min="12569" max="12569" width="16.5703125" style="286" customWidth="1"/>
    <col min="12570" max="12570" width="17.28515625" style="286" bestFit="1" customWidth="1"/>
    <col min="12571" max="12571" width="14.140625" style="286" bestFit="1" customWidth="1"/>
    <col min="12572" max="12572" width="15.5703125" style="286" customWidth="1"/>
    <col min="12573" max="12573" width="14.85546875" style="286" bestFit="1" customWidth="1"/>
    <col min="12574" max="12574" width="8.85546875" style="286" customWidth="1"/>
    <col min="12575" max="12575" width="20.140625" style="286" customWidth="1"/>
    <col min="12576" max="12576" width="22.7109375" style="286" bestFit="1" customWidth="1"/>
    <col min="12577" max="12800" width="11.42578125" style="286"/>
    <col min="12801" max="12801" width="8" style="286" customWidth="1"/>
    <col min="12802" max="12802" width="3.5703125" style="286" bestFit="1" customWidth="1"/>
    <col min="12803" max="12803" width="5.140625" style="286" bestFit="1" customWidth="1"/>
    <col min="12804" max="12804" width="3.7109375" style="286" bestFit="1" customWidth="1"/>
    <col min="12805" max="12805" width="3.5703125" style="286" bestFit="1" customWidth="1"/>
    <col min="12806" max="12806" width="4.85546875" style="286" customWidth="1"/>
    <col min="12807" max="12807" width="7.7109375" style="286" customWidth="1"/>
    <col min="12808" max="12808" width="46.28515625" style="286" customWidth="1"/>
    <col min="12809" max="12809" width="19" style="286" bestFit="1" customWidth="1"/>
    <col min="12810" max="12810" width="12.5703125" style="286" customWidth="1"/>
    <col min="12811" max="12811" width="6.42578125" style="286" bestFit="1" customWidth="1"/>
    <col min="12812" max="12812" width="4.7109375" style="286" bestFit="1" customWidth="1"/>
    <col min="12813" max="12813" width="18.42578125" style="286" customWidth="1"/>
    <col min="12814" max="12814" width="55.7109375" style="286" customWidth="1"/>
    <col min="12815" max="12815" width="16.140625" style="286" bestFit="1" customWidth="1"/>
    <col min="12816" max="12816" width="39.28515625" style="286" customWidth="1"/>
    <col min="12817" max="12817" width="15.5703125" style="286" customWidth="1"/>
    <col min="12818" max="12818" width="11.140625" style="286" bestFit="1" customWidth="1"/>
    <col min="12819" max="12819" width="20.140625" style="286" customWidth="1"/>
    <col min="12820" max="12820" width="11.140625" style="286" customWidth="1"/>
    <col min="12821" max="12821" width="17.28515625" style="286" bestFit="1" customWidth="1"/>
    <col min="12822" max="12822" width="16.28515625" style="286" bestFit="1" customWidth="1"/>
    <col min="12823" max="12823" width="20.140625" style="286" customWidth="1"/>
    <col min="12824" max="12824" width="16.140625" style="286" bestFit="1" customWidth="1"/>
    <col min="12825" max="12825" width="16.5703125" style="286" customWidth="1"/>
    <col min="12826" max="12826" width="17.28515625" style="286" bestFit="1" customWidth="1"/>
    <col min="12827" max="12827" width="14.140625" style="286" bestFit="1" customWidth="1"/>
    <col min="12828" max="12828" width="15.5703125" style="286" customWidth="1"/>
    <col min="12829" max="12829" width="14.85546875" style="286" bestFit="1" customWidth="1"/>
    <col min="12830" max="12830" width="8.85546875" style="286" customWidth="1"/>
    <col min="12831" max="12831" width="20.140625" style="286" customWidth="1"/>
    <col min="12832" max="12832" width="22.7109375" style="286" bestFit="1" customWidth="1"/>
    <col min="12833" max="13056" width="11.42578125" style="286"/>
    <col min="13057" max="13057" width="8" style="286" customWidth="1"/>
    <col min="13058" max="13058" width="3.5703125" style="286" bestFit="1" customWidth="1"/>
    <col min="13059" max="13059" width="5.140625" style="286" bestFit="1" customWidth="1"/>
    <col min="13060" max="13060" width="3.7109375" style="286" bestFit="1" customWidth="1"/>
    <col min="13061" max="13061" width="3.5703125" style="286" bestFit="1" customWidth="1"/>
    <col min="13062" max="13062" width="4.85546875" style="286" customWidth="1"/>
    <col min="13063" max="13063" width="7.7109375" style="286" customWidth="1"/>
    <col min="13064" max="13064" width="46.28515625" style="286" customWidth="1"/>
    <col min="13065" max="13065" width="19" style="286" bestFit="1" customWidth="1"/>
    <col min="13066" max="13066" width="12.5703125" style="286" customWidth="1"/>
    <col min="13067" max="13067" width="6.42578125" style="286" bestFit="1" customWidth="1"/>
    <col min="13068" max="13068" width="4.7109375" style="286" bestFit="1" customWidth="1"/>
    <col min="13069" max="13069" width="18.42578125" style="286" customWidth="1"/>
    <col min="13070" max="13070" width="55.7109375" style="286" customWidth="1"/>
    <col min="13071" max="13071" width="16.140625" style="286" bestFit="1" customWidth="1"/>
    <col min="13072" max="13072" width="39.28515625" style="286" customWidth="1"/>
    <col min="13073" max="13073" width="15.5703125" style="286" customWidth="1"/>
    <col min="13074" max="13074" width="11.140625" style="286" bestFit="1" customWidth="1"/>
    <col min="13075" max="13075" width="20.140625" style="286" customWidth="1"/>
    <col min="13076" max="13076" width="11.140625" style="286" customWidth="1"/>
    <col min="13077" max="13077" width="17.28515625" style="286" bestFit="1" customWidth="1"/>
    <col min="13078" max="13078" width="16.28515625" style="286" bestFit="1" customWidth="1"/>
    <col min="13079" max="13079" width="20.140625" style="286" customWidth="1"/>
    <col min="13080" max="13080" width="16.140625" style="286" bestFit="1" customWidth="1"/>
    <col min="13081" max="13081" width="16.5703125" style="286" customWidth="1"/>
    <col min="13082" max="13082" width="17.28515625" style="286" bestFit="1" customWidth="1"/>
    <col min="13083" max="13083" width="14.140625" style="286" bestFit="1" customWidth="1"/>
    <col min="13084" max="13084" width="15.5703125" style="286" customWidth="1"/>
    <col min="13085" max="13085" width="14.85546875" style="286" bestFit="1" customWidth="1"/>
    <col min="13086" max="13086" width="8.85546875" style="286" customWidth="1"/>
    <col min="13087" max="13087" width="20.140625" style="286" customWidth="1"/>
    <col min="13088" max="13088" width="22.7109375" style="286" bestFit="1" customWidth="1"/>
    <col min="13089" max="13312" width="11.42578125" style="286"/>
    <col min="13313" max="13313" width="8" style="286" customWidth="1"/>
    <col min="13314" max="13314" width="3.5703125" style="286" bestFit="1" customWidth="1"/>
    <col min="13315" max="13315" width="5.140625" style="286" bestFit="1" customWidth="1"/>
    <col min="13316" max="13316" width="3.7109375" style="286" bestFit="1" customWidth="1"/>
    <col min="13317" max="13317" width="3.5703125" style="286" bestFit="1" customWidth="1"/>
    <col min="13318" max="13318" width="4.85546875" style="286" customWidth="1"/>
    <col min="13319" max="13319" width="7.7109375" style="286" customWidth="1"/>
    <col min="13320" max="13320" width="46.28515625" style="286" customWidth="1"/>
    <col min="13321" max="13321" width="19" style="286" bestFit="1" customWidth="1"/>
    <col min="13322" max="13322" width="12.5703125" style="286" customWidth="1"/>
    <col min="13323" max="13323" width="6.42578125" style="286" bestFit="1" customWidth="1"/>
    <col min="13324" max="13324" width="4.7109375" style="286" bestFit="1" customWidth="1"/>
    <col min="13325" max="13325" width="18.42578125" style="286" customWidth="1"/>
    <col min="13326" max="13326" width="55.7109375" style="286" customWidth="1"/>
    <col min="13327" max="13327" width="16.140625" style="286" bestFit="1" customWidth="1"/>
    <col min="13328" max="13328" width="39.28515625" style="286" customWidth="1"/>
    <col min="13329" max="13329" width="15.5703125" style="286" customWidth="1"/>
    <col min="13330" max="13330" width="11.140625" style="286" bestFit="1" customWidth="1"/>
    <col min="13331" max="13331" width="20.140625" style="286" customWidth="1"/>
    <col min="13332" max="13332" width="11.140625" style="286" customWidth="1"/>
    <col min="13333" max="13333" width="17.28515625" style="286" bestFit="1" customWidth="1"/>
    <col min="13334" max="13334" width="16.28515625" style="286" bestFit="1" customWidth="1"/>
    <col min="13335" max="13335" width="20.140625" style="286" customWidth="1"/>
    <col min="13336" max="13336" width="16.140625" style="286" bestFit="1" customWidth="1"/>
    <col min="13337" max="13337" width="16.5703125" style="286" customWidth="1"/>
    <col min="13338" max="13338" width="17.28515625" style="286" bestFit="1" customWidth="1"/>
    <col min="13339" max="13339" width="14.140625" style="286" bestFit="1" customWidth="1"/>
    <col min="13340" max="13340" width="15.5703125" style="286" customWidth="1"/>
    <col min="13341" max="13341" width="14.85546875" style="286" bestFit="1" customWidth="1"/>
    <col min="13342" max="13342" width="8.85546875" style="286" customWidth="1"/>
    <col min="13343" max="13343" width="20.140625" style="286" customWidth="1"/>
    <col min="13344" max="13344" width="22.7109375" style="286" bestFit="1" customWidth="1"/>
    <col min="13345" max="13568" width="11.42578125" style="286"/>
    <col min="13569" max="13569" width="8" style="286" customWidth="1"/>
    <col min="13570" max="13570" width="3.5703125" style="286" bestFit="1" customWidth="1"/>
    <col min="13571" max="13571" width="5.140625" style="286" bestFit="1" customWidth="1"/>
    <col min="13572" max="13572" width="3.7109375" style="286" bestFit="1" customWidth="1"/>
    <col min="13573" max="13573" width="3.5703125" style="286" bestFit="1" customWidth="1"/>
    <col min="13574" max="13574" width="4.85546875" style="286" customWidth="1"/>
    <col min="13575" max="13575" width="7.7109375" style="286" customWidth="1"/>
    <col min="13576" max="13576" width="46.28515625" style="286" customWidth="1"/>
    <col min="13577" max="13577" width="19" style="286" bestFit="1" customWidth="1"/>
    <col min="13578" max="13578" width="12.5703125" style="286" customWidth="1"/>
    <col min="13579" max="13579" width="6.42578125" style="286" bestFit="1" customWidth="1"/>
    <col min="13580" max="13580" width="4.7109375" style="286" bestFit="1" customWidth="1"/>
    <col min="13581" max="13581" width="18.42578125" style="286" customWidth="1"/>
    <col min="13582" max="13582" width="55.7109375" style="286" customWidth="1"/>
    <col min="13583" max="13583" width="16.140625" style="286" bestFit="1" customWidth="1"/>
    <col min="13584" max="13584" width="39.28515625" style="286" customWidth="1"/>
    <col min="13585" max="13585" width="15.5703125" style="286" customWidth="1"/>
    <col min="13586" max="13586" width="11.140625" style="286" bestFit="1" customWidth="1"/>
    <col min="13587" max="13587" width="20.140625" style="286" customWidth="1"/>
    <col min="13588" max="13588" width="11.140625" style="286" customWidth="1"/>
    <col min="13589" max="13589" width="17.28515625" style="286" bestFit="1" customWidth="1"/>
    <col min="13590" max="13590" width="16.28515625" style="286" bestFit="1" customWidth="1"/>
    <col min="13591" max="13591" width="20.140625" style="286" customWidth="1"/>
    <col min="13592" max="13592" width="16.140625" style="286" bestFit="1" customWidth="1"/>
    <col min="13593" max="13593" width="16.5703125" style="286" customWidth="1"/>
    <col min="13594" max="13594" width="17.28515625" style="286" bestFit="1" customWidth="1"/>
    <col min="13595" max="13595" width="14.140625" style="286" bestFit="1" customWidth="1"/>
    <col min="13596" max="13596" width="15.5703125" style="286" customWidth="1"/>
    <col min="13597" max="13597" width="14.85546875" style="286" bestFit="1" customWidth="1"/>
    <col min="13598" max="13598" width="8.85546875" style="286" customWidth="1"/>
    <col min="13599" max="13599" width="20.140625" style="286" customWidth="1"/>
    <col min="13600" max="13600" width="22.7109375" style="286" bestFit="1" customWidth="1"/>
    <col min="13601" max="13824" width="11.42578125" style="286"/>
    <col min="13825" max="13825" width="8" style="286" customWidth="1"/>
    <col min="13826" max="13826" width="3.5703125" style="286" bestFit="1" customWidth="1"/>
    <col min="13827" max="13827" width="5.140625" style="286" bestFit="1" customWidth="1"/>
    <col min="13828" max="13828" width="3.7109375" style="286" bestFit="1" customWidth="1"/>
    <col min="13829" max="13829" width="3.5703125" style="286" bestFit="1" customWidth="1"/>
    <col min="13830" max="13830" width="4.85546875" style="286" customWidth="1"/>
    <col min="13831" max="13831" width="7.7109375" style="286" customWidth="1"/>
    <col min="13832" max="13832" width="46.28515625" style="286" customWidth="1"/>
    <col min="13833" max="13833" width="19" style="286" bestFit="1" customWidth="1"/>
    <col min="13834" max="13834" width="12.5703125" style="286" customWidth="1"/>
    <col min="13835" max="13835" width="6.42578125" style="286" bestFit="1" customWidth="1"/>
    <col min="13836" max="13836" width="4.7109375" style="286" bestFit="1" customWidth="1"/>
    <col min="13837" max="13837" width="18.42578125" style="286" customWidth="1"/>
    <col min="13838" max="13838" width="55.7109375" style="286" customWidth="1"/>
    <col min="13839" max="13839" width="16.140625" style="286" bestFit="1" customWidth="1"/>
    <col min="13840" max="13840" width="39.28515625" style="286" customWidth="1"/>
    <col min="13841" max="13841" width="15.5703125" style="286" customWidth="1"/>
    <col min="13842" max="13842" width="11.140625" style="286" bestFit="1" customWidth="1"/>
    <col min="13843" max="13843" width="20.140625" style="286" customWidth="1"/>
    <col min="13844" max="13844" width="11.140625" style="286" customWidth="1"/>
    <col min="13845" max="13845" width="17.28515625" style="286" bestFit="1" customWidth="1"/>
    <col min="13846" max="13846" width="16.28515625" style="286" bestFit="1" customWidth="1"/>
    <col min="13847" max="13847" width="20.140625" style="286" customWidth="1"/>
    <col min="13848" max="13848" width="16.140625" style="286" bestFit="1" customWidth="1"/>
    <col min="13849" max="13849" width="16.5703125" style="286" customWidth="1"/>
    <col min="13850" max="13850" width="17.28515625" style="286" bestFit="1" customWidth="1"/>
    <col min="13851" max="13851" width="14.140625" style="286" bestFit="1" customWidth="1"/>
    <col min="13852" max="13852" width="15.5703125" style="286" customWidth="1"/>
    <col min="13853" max="13853" width="14.85546875" style="286" bestFit="1" customWidth="1"/>
    <col min="13854" max="13854" width="8.85546875" style="286" customWidth="1"/>
    <col min="13855" max="13855" width="20.140625" style="286" customWidth="1"/>
    <col min="13856" max="13856" width="22.7109375" style="286" bestFit="1" customWidth="1"/>
    <col min="13857" max="14080" width="11.42578125" style="286"/>
    <col min="14081" max="14081" width="8" style="286" customWidth="1"/>
    <col min="14082" max="14082" width="3.5703125" style="286" bestFit="1" customWidth="1"/>
    <col min="14083" max="14083" width="5.140625" style="286" bestFit="1" customWidth="1"/>
    <col min="14084" max="14084" width="3.7109375" style="286" bestFit="1" customWidth="1"/>
    <col min="14085" max="14085" width="3.5703125" style="286" bestFit="1" customWidth="1"/>
    <col min="14086" max="14086" width="4.85546875" style="286" customWidth="1"/>
    <col min="14087" max="14087" width="7.7109375" style="286" customWidth="1"/>
    <col min="14088" max="14088" width="46.28515625" style="286" customWidth="1"/>
    <col min="14089" max="14089" width="19" style="286" bestFit="1" customWidth="1"/>
    <col min="14090" max="14090" width="12.5703125" style="286" customWidth="1"/>
    <col min="14091" max="14091" width="6.42578125" style="286" bestFit="1" customWidth="1"/>
    <col min="14092" max="14092" width="4.7109375" style="286" bestFit="1" customWidth="1"/>
    <col min="14093" max="14093" width="18.42578125" style="286" customWidth="1"/>
    <col min="14094" max="14094" width="55.7109375" style="286" customWidth="1"/>
    <col min="14095" max="14095" width="16.140625" style="286" bestFit="1" customWidth="1"/>
    <col min="14096" max="14096" width="39.28515625" style="286" customWidth="1"/>
    <col min="14097" max="14097" width="15.5703125" style="286" customWidth="1"/>
    <col min="14098" max="14098" width="11.140625" style="286" bestFit="1" customWidth="1"/>
    <col min="14099" max="14099" width="20.140625" style="286" customWidth="1"/>
    <col min="14100" max="14100" width="11.140625" style="286" customWidth="1"/>
    <col min="14101" max="14101" width="17.28515625" style="286" bestFit="1" customWidth="1"/>
    <col min="14102" max="14102" width="16.28515625" style="286" bestFit="1" customWidth="1"/>
    <col min="14103" max="14103" width="20.140625" style="286" customWidth="1"/>
    <col min="14104" max="14104" width="16.140625" style="286" bestFit="1" customWidth="1"/>
    <col min="14105" max="14105" width="16.5703125" style="286" customWidth="1"/>
    <col min="14106" max="14106" width="17.28515625" style="286" bestFit="1" customWidth="1"/>
    <col min="14107" max="14107" width="14.140625" style="286" bestFit="1" customWidth="1"/>
    <col min="14108" max="14108" width="15.5703125" style="286" customWidth="1"/>
    <col min="14109" max="14109" width="14.85546875" style="286" bestFit="1" customWidth="1"/>
    <col min="14110" max="14110" width="8.85546875" style="286" customWidth="1"/>
    <col min="14111" max="14111" width="20.140625" style="286" customWidth="1"/>
    <col min="14112" max="14112" width="22.7109375" style="286" bestFit="1" customWidth="1"/>
    <col min="14113" max="14336" width="11.42578125" style="286"/>
    <col min="14337" max="14337" width="8" style="286" customWidth="1"/>
    <col min="14338" max="14338" width="3.5703125" style="286" bestFit="1" customWidth="1"/>
    <col min="14339" max="14339" width="5.140625" style="286" bestFit="1" customWidth="1"/>
    <col min="14340" max="14340" width="3.7109375" style="286" bestFit="1" customWidth="1"/>
    <col min="14341" max="14341" width="3.5703125" style="286" bestFit="1" customWidth="1"/>
    <col min="14342" max="14342" width="4.85546875" style="286" customWidth="1"/>
    <col min="14343" max="14343" width="7.7109375" style="286" customWidth="1"/>
    <col min="14344" max="14344" width="46.28515625" style="286" customWidth="1"/>
    <col min="14345" max="14345" width="19" style="286" bestFit="1" customWidth="1"/>
    <col min="14346" max="14346" width="12.5703125" style="286" customWidth="1"/>
    <col min="14347" max="14347" width="6.42578125" style="286" bestFit="1" customWidth="1"/>
    <col min="14348" max="14348" width="4.7109375" style="286" bestFit="1" customWidth="1"/>
    <col min="14349" max="14349" width="18.42578125" style="286" customWidth="1"/>
    <col min="14350" max="14350" width="55.7109375" style="286" customWidth="1"/>
    <col min="14351" max="14351" width="16.140625" style="286" bestFit="1" customWidth="1"/>
    <col min="14352" max="14352" width="39.28515625" style="286" customWidth="1"/>
    <col min="14353" max="14353" width="15.5703125" style="286" customWidth="1"/>
    <col min="14354" max="14354" width="11.140625" style="286" bestFit="1" customWidth="1"/>
    <col min="14355" max="14355" width="20.140625" style="286" customWidth="1"/>
    <col min="14356" max="14356" width="11.140625" style="286" customWidth="1"/>
    <col min="14357" max="14357" width="17.28515625" style="286" bestFit="1" customWidth="1"/>
    <col min="14358" max="14358" width="16.28515625" style="286" bestFit="1" customWidth="1"/>
    <col min="14359" max="14359" width="20.140625" style="286" customWidth="1"/>
    <col min="14360" max="14360" width="16.140625" style="286" bestFit="1" customWidth="1"/>
    <col min="14361" max="14361" width="16.5703125" style="286" customWidth="1"/>
    <col min="14362" max="14362" width="17.28515625" style="286" bestFit="1" customWidth="1"/>
    <col min="14363" max="14363" width="14.140625" style="286" bestFit="1" customWidth="1"/>
    <col min="14364" max="14364" width="15.5703125" style="286" customWidth="1"/>
    <col min="14365" max="14365" width="14.85546875" style="286" bestFit="1" customWidth="1"/>
    <col min="14366" max="14366" width="8.85546875" style="286" customWidth="1"/>
    <col min="14367" max="14367" width="20.140625" style="286" customWidth="1"/>
    <col min="14368" max="14368" width="22.7109375" style="286" bestFit="1" customWidth="1"/>
    <col min="14369" max="14592" width="11.42578125" style="286"/>
    <col min="14593" max="14593" width="8" style="286" customWidth="1"/>
    <col min="14594" max="14594" width="3.5703125" style="286" bestFit="1" customWidth="1"/>
    <col min="14595" max="14595" width="5.140625" style="286" bestFit="1" customWidth="1"/>
    <col min="14596" max="14596" width="3.7109375" style="286" bestFit="1" customWidth="1"/>
    <col min="14597" max="14597" width="3.5703125" style="286" bestFit="1" customWidth="1"/>
    <col min="14598" max="14598" width="4.85546875" style="286" customWidth="1"/>
    <col min="14599" max="14599" width="7.7109375" style="286" customWidth="1"/>
    <col min="14600" max="14600" width="46.28515625" style="286" customWidth="1"/>
    <col min="14601" max="14601" width="19" style="286" bestFit="1" customWidth="1"/>
    <col min="14602" max="14602" width="12.5703125" style="286" customWidth="1"/>
    <col min="14603" max="14603" width="6.42578125" style="286" bestFit="1" customWidth="1"/>
    <col min="14604" max="14604" width="4.7109375" style="286" bestFit="1" customWidth="1"/>
    <col min="14605" max="14605" width="18.42578125" style="286" customWidth="1"/>
    <col min="14606" max="14606" width="55.7109375" style="286" customWidth="1"/>
    <col min="14607" max="14607" width="16.140625" style="286" bestFit="1" customWidth="1"/>
    <col min="14608" max="14608" width="39.28515625" style="286" customWidth="1"/>
    <col min="14609" max="14609" width="15.5703125" style="286" customWidth="1"/>
    <col min="14610" max="14610" width="11.140625" style="286" bestFit="1" customWidth="1"/>
    <col min="14611" max="14611" width="20.140625" style="286" customWidth="1"/>
    <col min="14612" max="14612" width="11.140625" style="286" customWidth="1"/>
    <col min="14613" max="14613" width="17.28515625" style="286" bestFit="1" customWidth="1"/>
    <col min="14614" max="14614" width="16.28515625" style="286" bestFit="1" customWidth="1"/>
    <col min="14615" max="14615" width="20.140625" style="286" customWidth="1"/>
    <col min="14616" max="14616" width="16.140625" style="286" bestFit="1" customWidth="1"/>
    <col min="14617" max="14617" width="16.5703125" style="286" customWidth="1"/>
    <col min="14618" max="14618" width="17.28515625" style="286" bestFit="1" customWidth="1"/>
    <col min="14619" max="14619" width="14.140625" style="286" bestFit="1" customWidth="1"/>
    <col min="14620" max="14620" width="15.5703125" style="286" customWidth="1"/>
    <col min="14621" max="14621" width="14.85546875" style="286" bestFit="1" customWidth="1"/>
    <col min="14622" max="14622" width="8.85546875" style="286" customWidth="1"/>
    <col min="14623" max="14623" width="20.140625" style="286" customWidth="1"/>
    <col min="14624" max="14624" width="22.7109375" style="286" bestFit="1" customWidth="1"/>
    <col min="14625" max="14848" width="11.42578125" style="286"/>
    <col min="14849" max="14849" width="8" style="286" customWidth="1"/>
    <col min="14850" max="14850" width="3.5703125" style="286" bestFit="1" customWidth="1"/>
    <col min="14851" max="14851" width="5.140625" style="286" bestFit="1" customWidth="1"/>
    <col min="14852" max="14852" width="3.7109375" style="286" bestFit="1" customWidth="1"/>
    <col min="14853" max="14853" width="3.5703125" style="286" bestFit="1" customWidth="1"/>
    <col min="14854" max="14854" width="4.85546875" style="286" customWidth="1"/>
    <col min="14855" max="14855" width="7.7109375" style="286" customWidth="1"/>
    <col min="14856" max="14856" width="46.28515625" style="286" customWidth="1"/>
    <col min="14857" max="14857" width="19" style="286" bestFit="1" customWidth="1"/>
    <col min="14858" max="14858" width="12.5703125" style="286" customWidth="1"/>
    <col min="14859" max="14859" width="6.42578125" style="286" bestFit="1" customWidth="1"/>
    <col min="14860" max="14860" width="4.7109375" style="286" bestFit="1" customWidth="1"/>
    <col min="14861" max="14861" width="18.42578125" style="286" customWidth="1"/>
    <col min="14862" max="14862" width="55.7109375" style="286" customWidth="1"/>
    <col min="14863" max="14863" width="16.140625" style="286" bestFit="1" customWidth="1"/>
    <col min="14864" max="14864" width="39.28515625" style="286" customWidth="1"/>
    <col min="14865" max="14865" width="15.5703125" style="286" customWidth="1"/>
    <col min="14866" max="14866" width="11.140625" style="286" bestFit="1" customWidth="1"/>
    <col min="14867" max="14867" width="20.140625" style="286" customWidth="1"/>
    <col min="14868" max="14868" width="11.140625" style="286" customWidth="1"/>
    <col min="14869" max="14869" width="17.28515625" style="286" bestFit="1" customWidth="1"/>
    <col min="14870" max="14870" width="16.28515625" style="286" bestFit="1" customWidth="1"/>
    <col min="14871" max="14871" width="20.140625" style="286" customWidth="1"/>
    <col min="14872" max="14872" width="16.140625" style="286" bestFit="1" customWidth="1"/>
    <col min="14873" max="14873" width="16.5703125" style="286" customWidth="1"/>
    <col min="14874" max="14874" width="17.28515625" style="286" bestFit="1" customWidth="1"/>
    <col min="14875" max="14875" width="14.140625" style="286" bestFit="1" customWidth="1"/>
    <col min="14876" max="14876" width="15.5703125" style="286" customWidth="1"/>
    <col min="14877" max="14877" width="14.85546875" style="286" bestFit="1" customWidth="1"/>
    <col min="14878" max="14878" width="8.85546875" style="286" customWidth="1"/>
    <col min="14879" max="14879" width="20.140625" style="286" customWidth="1"/>
    <col min="14880" max="14880" width="22.7109375" style="286" bestFit="1" customWidth="1"/>
    <col min="14881" max="15104" width="11.42578125" style="286"/>
    <col min="15105" max="15105" width="8" style="286" customWidth="1"/>
    <col min="15106" max="15106" width="3.5703125" style="286" bestFit="1" customWidth="1"/>
    <col min="15107" max="15107" width="5.140625" style="286" bestFit="1" customWidth="1"/>
    <col min="15108" max="15108" width="3.7109375" style="286" bestFit="1" customWidth="1"/>
    <col min="15109" max="15109" width="3.5703125" style="286" bestFit="1" customWidth="1"/>
    <col min="15110" max="15110" width="4.85546875" style="286" customWidth="1"/>
    <col min="15111" max="15111" width="7.7109375" style="286" customWidth="1"/>
    <col min="15112" max="15112" width="46.28515625" style="286" customWidth="1"/>
    <col min="15113" max="15113" width="19" style="286" bestFit="1" customWidth="1"/>
    <col min="15114" max="15114" width="12.5703125" style="286" customWidth="1"/>
    <col min="15115" max="15115" width="6.42578125" style="286" bestFit="1" customWidth="1"/>
    <col min="15116" max="15116" width="4.7109375" style="286" bestFit="1" customWidth="1"/>
    <col min="15117" max="15117" width="18.42578125" style="286" customWidth="1"/>
    <col min="15118" max="15118" width="55.7109375" style="286" customWidth="1"/>
    <col min="15119" max="15119" width="16.140625" style="286" bestFit="1" customWidth="1"/>
    <col min="15120" max="15120" width="39.28515625" style="286" customWidth="1"/>
    <col min="15121" max="15121" width="15.5703125" style="286" customWidth="1"/>
    <col min="15122" max="15122" width="11.140625" style="286" bestFit="1" customWidth="1"/>
    <col min="15123" max="15123" width="20.140625" style="286" customWidth="1"/>
    <col min="15124" max="15124" width="11.140625" style="286" customWidth="1"/>
    <col min="15125" max="15125" width="17.28515625" style="286" bestFit="1" customWidth="1"/>
    <col min="15126" max="15126" width="16.28515625" style="286" bestFit="1" customWidth="1"/>
    <col min="15127" max="15127" width="20.140625" style="286" customWidth="1"/>
    <col min="15128" max="15128" width="16.140625" style="286" bestFit="1" customWidth="1"/>
    <col min="15129" max="15129" width="16.5703125" style="286" customWidth="1"/>
    <col min="15130" max="15130" width="17.28515625" style="286" bestFit="1" customWidth="1"/>
    <col min="15131" max="15131" width="14.140625" style="286" bestFit="1" customWidth="1"/>
    <col min="15132" max="15132" width="15.5703125" style="286" customWidth="1"/>
    <col min="15133" max="15133" width="14.85546875" style="286" bestFit="1" customWidth="1"/>
    <col min="15134" max="15134" width="8.85546875" style="286" customWidth="1"/>
    <col min="15135" max="15135" width="20.140625" style="286" customWidth="1"/>
    <col min="15136" max="15136" width="22.7109375" style="286" bestFit="1" customWidth="1"/>
    <col min="15137" max="15360" width="11.42578125" style="286"/>
    <col min="15361" max="15361" width="8" style="286" customWidth="1"/>
    <col min="15362" max="15362" width="3.5703125" style="286" bestFit="1" customWidth="1"/>
    <col min="15363" max="15363" width="5.140625" style="286" bestFit="1" customWidth="1"/>
    <col min="15364" max="15364" width="3.7109375" style="286" bestFit="1" customWidth="1"/>
    <col min="15365" max="15365" width="3.5703125" style="286" bestFit="1" customWidth="1"/>
    <col min="15366" max="15366" width="4.85546875" style="286" customWidth="1"/>
    <col min="15367" max="15367" width="7.7109375" style="286" customWidth="1"/>
    <col min="15368" max="15368" width="46.28515625" style="286" customWidth="1"/>
    <col min="15369" max="15369" width="19" style="286" bestFit="1" customWidth="1"/>
    <col min="15370" max="15370" width="12.5703125" style="286" customWidth="1"/>
    <col min="15371" max="15371" width="6.42578125" style="286" bestFit="1" customWidth="1"/>
    <col min="15372" max="15372" width="4.7109375" style="286" bestFit="1" customWidth="1"/>
    <col min="15373" max="15373" width="18.42578125" style="286" customWidth="1"/>
    <col min="15374" max="15374" width="55.7109375" style="286" customWidth="1"/>
    <col min="15375" max="15375" width="16.140625" style="286" bestFit="1" customWidth="1"/>
    <col min="15376" max="15376" width="39.28515625" style="286" customWidth="1"/>
    <col min="15377" max="15377" width="15.5703125" style="286" customWidth="1"/>
    <col min="15378" max="15378" width="11.140625" style="286" bestFit="1" customWidth="1"/>
    <col min="15379" max="15379" width="20.140625" style="286" customWidth="1"/>
    <col min="15380" max="15380" width="11.140625" style="286" customWidth="1"/>
    <col min="15381" max="15381" width="17.28515625" style="286" bestFit="1" customWidth="1"/>
    <col min="15382" max="15382" width="16.28515625" style="286" bestFit="1" customWidth="1"/>
    <col min="15383" max="15383" width="20.140625" style="286" customWidth="1"/>
    <col min="15384" max="15384" width="16.140625" style="286" bestFit="1" customWidth="1"/>
    <col min="15385" max="15385" width="16.5703125" style="286" customWidth="1"/>
    <col min="15386" max="15386" width="17.28515625" style="286" bestFit="1" customWidth="1"/>
    <col min="15387" max="15387" width="14.140625" style="286" bestFit="1" customWidth="1"/>
    <col min="15388" max="15388" width="15.5703125" style="286" customWidth="1"/>
    <col min="15389" max="15389" width="14.85546875" style="286" bestFit="1" customWidth="1"/>
    <col min="15390" max="15390" width="8.85546875" style="286" customWidth="1"/>
    <col min="15391" max="15391" width="20.140625" style="286" customWidth="1"/>
    <col min="15392" max="15392" width="22.7109375" style="286" bestFit="1" customWidth="1"/>
    <col min="15393" max="15616" width="11.42578125" style="286"/>
    <col min="15617" max="15617" width="8" style="286" customWidth="1"/>
    <col min="15618" max="15618" width="3.5703125" style="286" bestFit="1" customWidth="1"/>
    <col min="15619" max="15619" width="5.140625" style="286" bestFit="1" customWidth="1"/>
    <col min="15620" max="15620" width="3.7109375" style="286" bestFit="1" customWidth="1"/>
    <col min="15621" max="15621" width="3.5703125" style="286" bestFit="1" customWidth="1"/>
    <col min="15622" max="15622" width="4.85546875" style="286" customWidth="1"/>
    <col min="15623" max="15623" width="7.7109375" style="286" customWidth="1"/>
    <col min="15624" max="15624" width="46.28515625" style="286" customWidth="1"/>
    <col min="15625" max="15625" width="19" style="286" bestFit="1" customWidth="1"/>
    <col min="15626" max="15626" width="12.5703125" style="286" customWidth="1"/>
    <col min="15627" max="15627" width="6.42578125" style="286" bestFit="1" customWidth="1"/>
    <col min="15628" max="15628" width="4.7109375" style="286" bestFit="1" customWidth="1"/>
    <col min="15629" max="15629" width="18.42578125" style="286" customWidth="1"/>
    <col min="15630" max="15630" width="55.7109375" style="286" customWidth="1"/>
    <col min="15631" max="15631" width="16.140625" style="286" bestFit="1" customWidth="1"/>
    <col min="15632" max="15632" width="39.28515625" style="286" customWidth="1"/>
    <col min="15633" max="15633" width="15.5703125" style="286" customWidth="1"/>
    <col min="15634" max="15634" width="11.140625" style="286" bestFit="1" customWidth="1"/>
    <col min="15635" max="15635" width="20.140625" style="286" customWidth="1"/>
    <col min="15636" max="15636" width="11.140625" style="286" customWidth="1"/>
    <col min="15637" max="15637" width="17.28515625" style="286" bestFit="1" customWidth="1"/>
    <col min="15638" max="15638" width="16.28515625" style="286" bestFit="1" customWidth="1"/>
    <col min="15639" max="15639" width="20.140625" style="286" customWidth="1"/>
    <col min="15640" max="15640" width="16.140625" style="286" bestFit="1" customWidth="1"/>
    <col min="15641" max="15641" width="16.5703125" style="286" customWidth="1"/>
    <col min="15642" max="15642" width="17.28515625" style="286" bestFit="1" customWidth="1"/>
    <col min="15643" max="15643" width="14.140625" style="286" bestFit="1" customWidth="1"/>
    <col min="15644" max="15644" width="15.5703125" style="286" customWidth="1"/>
    <col min="15645" max="15645" width="14.85546875" style="286" bestFit="1" customWidth="1"/>
    <col min="15646" max="15646" width="8.85546875" style="286" customWidth="1"/>
    <col min="15647" max="15647" width="20.140625" style="286" customWidth="1"/>
    <col min="15648" max="15648" width="22.7109375" style="286" bestFit="1" customWidth="1"/>
    <col min="15649" max="15872" width="11.42578125" style="286"/>
    <col min="15873" max="15873" width="8" style="286" customWidth="1"/>
    <col min="15874" max="15874" width="3.5703125" style="286" bestFit="1" customWidth="1"/>
    <col min="15875" max="15875" width="5.140625" style="286" bestFit="1" customWidth="1"/>
    <col min="15876" max="15876" width="3.7109375" style="286" bestFit="1" customWidth="1"/>
    <col min="15877" max="15877" width="3.5703125" style="286" bestFit="1" customWidth="1"/>
    <col min="15878" max="15878" width="4.85546875" style="286" customWidth="1"/>
    <col min="15879" max="15879" width="7.7109375" style="286" customWidth="1"/>
    <col min="15880" max="15880" width="46.28515625" style="286" customWidth="1"/>
    <col min="15881" max="15881" width="19" style="286" bestFit="1" customWidth="1"/>
    <col min="15882" max="15882" width="12.5703125" style="286" customWidth="1"/>
    <col min="15883" max="15883" width="6.42578125" style="286" bestFit="1" customWidth="1"/>
    <col min="15884" max="15884" width="4.7109375" style="286" bestFit="1" customWidth="1"/>
    <col min="15885" max="15885" width="18.42578125" style="286" customWidth="1"/>
    <col min="15886" max="15886" width="55.7109375" style="286" customWidth="1"/>
    <col min="15887" max="15887" width="16.140625" style="286" bestFit="1" customWidth="1"/>
    <col min="15888" max="15888" width="39.28515625" style="286" customWidth="1"/>
    <col min="15889" max="15889" width="15.5703125" style="286" customWidth="1"/>
    <col min="15890" max="15890" width="11.140625" style="286" bestFit="1" customWidth="1"/>
    <col min="15891" max="15891" width="20.140625" style="286" customWidth="1"/>
    <col min="15892" max="15892" width="11.140625" style="286" customWidth="1"/>
    <col min="15893" max="15893" width="17.28515625" style="286" bestFit="1" customWidth="1"/>
    <col min="15894" max="15894" width="16.28515625" style="286" bestFit="1" customWidth="1"/>
    <col min="15895" max="15895" width="20.140625" style="286" customWidth="1"/>
    <col min="15896" max="15896" width="16.140625" style="286" bestFit="1" customWidth="1"/>
    <col min="15897" max="15897" width="16.5703125" style="286" customWidth="1"/>
    <col min="15898" max="15898" width="17.28515625" style="286" bestFit="1" customWidth="1"/>
    <col min="15899" max="15899" width="14.140625" style="286" bestFit="1" customWidth="1"/>
    <col min="15900" max="15900" width="15.5703125" style="286" customWidth="1"/>
    <col min="15901" max="15901" width="14.85546875" style="286" bestFit="1" customWidth="1"/>
    <col min="15902" max="15902" width="8.85546875" style="286" customWidth="1"/>
    <col min="15903" max="15903" width="20.140625" style="286" customWidth="1"/>
    <col min="15904" max="15904" width="22.7109375" style="286" bestFit="1" customWidth="1"/>
    <col min="15905" max="16128" width="11.42578125" style="286"/>
    <col min="16129" max="16129" width="8" style="286" customWidth="1"/>
    <col min="16130" max="16130" width="3.5703125" style="286" bestFit="1" customWidth="1"/>
    <col min="16131" max="16131" width="5.140625" style="286" bestFit="1" customWidth="1"/>
    <col min="16132" max="16132" width="3.7109375" style="286" bestFit="1" customWidth="1"/>
    <col min="16133" max="16133" width="3.5703125" style="286" bestFit="1" customWidth="1"/>
    <col min="16134" max="16134" width="4.85546875" style="286" customWidth="1"/>
    <col min="16135" max="16135" width="7.7109375" style="286" customWidth="1"/>
    <col min="16136" max="16136" width="46.28515625" style="286" customWidth="1"/>
    <col min="16137" max="16137" width="19" style="286" bestFit="1" customWidth="1"/>
    <col min="16138" max="16138" width="12.5703125" style="286" customWidth="1"/>
    <col min="16139" max="16139" width="6.42578125" style="286" bestFit="1" customWidth="1"/>
    <col min="16140" max="16140" width="4.7109375" style="286" bestFit="1" customWidth="1"/>
    <col min="16141" max="16141" width="18.42578125" style="286" customWidth="1"/>
    <col min="16142" max="16142" width="55.7109375" style="286" customWidth="1"/>
    <col min="16143" max="16143" width="16.140625" style="286" bestFit="1" customWidth="1"/>
    <col min="16144" max="16144" width="39.28515625" style="286" customWidth="1"/>
    <col min="16145" max="16145" width="15.5703125" style="286" customWidth="1"/>
    <col min="16146" max="16146" width="11.140625" style="286" bestFit="1" customWidth="1"/>
    <col min="16147" max="16147" width="20.140625" style="286" customWidth="1"/>
    <col min="16148" max="16148" width="11.140625" style="286" customWidth="1"/>
    <col min="16149" max="16149" width="17.28515625" style="286" bestFit="1" customWidth="1"/>
    <col min="16150" max="16150" width="16.28515625" style="286" bestFit="1" customWidth="1"/>
    <col min="16151" max="16151" width="20.140625" style="286" customWidth="1"/>
    <col min="16152" max="16152" width="16.140625" style="286" bestFit="1" customWidth="1"/>
    <col min="16153" max="16153" width="16.5703125" style="286" customWidth="1"/>
    <col min="16154" max="16154" width="17.28515625" style="286" bestFit="1" customWidth="1"/>
    <col min="16155" max="16155" width="14.140625" style="286" bestFit="1" customWidth="1"/>
    <col min="16156" max="16156" width="15.5703125" style="286" customWidth="1"/>
    <col min="16157" max="16157" width="14.85546875" style="286" bestFit="1" customWidth="1"/>
    <col min="16158" max="16158" width="8.85546875" style="286" customWidth="1"/>
    <col min="16159" max="16159" width="20.140625" style="286" customWidth="1"/>
    <col min="16160" max="16160" width="22.7109375" style="286" bestFit="1" customWidth="1"/>
    <col min="16161" max="16384" width="11.42578125" style="286"/>
  </cols>
  <sheetData>
    <row r="1" spans="1:39" s="289" customFormat="1" ht="39" customHeight="1" x14ac:dyDescent="0.25">
      <c r="A1" s="279"/>
      <c r="B1" s="280"/>
      <c r="C1" s="281"/>
      <c r="D1" s="282"/>
      <c r="E1" s="283"/>
      <c r="F1" s="283"/>
      <c r="G1" s="283"/>
      <c r="H1" s="458" t="s">
        <v>227</v>
      </c>
      <c r="I1" s="284"/>
      <c r="J1" s="285"/>
      <c r="K1" s="286"/>
      <c r="L1" s="286"/>
      <c r="M1" s="286"/>
      <c r="N1" s="286"/>
      <c r="O1" s="286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8"/>
      <c r="AG1" s="288"/>
      <c r="AH1" s="288"/>
      <c r="AI1" s="288"/>
      <c r="AJ1" s="288"/>
      <c r="AK1" s="288"/>
      <c r="AL1" s="288"/>
      <c r="AM1" s="288"/>
    </row>
    <row r="2" spans="1:39" s="289" customFormat="1" ht="18" customHeight="1" x14ac:dyDescent="0.25">
      <c r="A2" s="279"/>
      <c r="B2" s="280"/>
      <c r="C2" s="281"/>
      <c r="D2" s="282"/>
      <c r="E2" s="283"/>
      <c r="F2" s="283"/>
      <c r="G2" s="283"/>
      <c r="H2" s="458" t="s">
        <v>228</v>
      </c>
      <c r="I2" s="284"/>
      <c r="J2" s="285"/>
      <c r="K2" s="286"/>
      <c r="L2" s="286"/>
      <c r="M2" s="286"/>
      <c r="N2" s="286"/>
      <c r="O2" s="286"/>
      <c r="P2" s="290"/>
      <c r="Q2" s="291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8"/>
      <c r="AG2" s="288"/>
      <c r="AH2" s="288"/>
      <c r="AI2" s="288"/>
      <c r="AJ2" s="288"/>
      <c r="AK2" s="288"/>
      <c r="AL2" s="288"/>
      <c r="AM2" s="288"/>
    </row>
    <row r="3" spans="1:39" s="289" customFormat="1" ht="18" customHeight="1" x14ac:dyDescent="0.25">
      <c r="A3" s="279"/>
      <c r="B3" s="280"/>
      <c r="C3" s="281"/>
      <c r="D3" s="282"/>
      <c r="E3" s="283"/>
      <c r="F3" s="283"/>
      <c r="G3" s="283"/>
      <c r="H3" s="279"/>
      <c r="I3" s="284"/>
      <c r="J3" s="285"/>
      <c r="K3" s="286"/>
      <c r="L3" s="286"/>
      <c r="M3" s="286"/>
      <c r="N3" s="286"/>
      <c r="O3" s="286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8"/>
      <c r="AG3" s="288"/>
      <c r="AH3" s="288"/>
      <c r="AI3" s="288"/>
      <c r="AJ3" s="288"/>
      <c r="AK3" s="288"/>
      <c r="AL3" s="288"/>
      <c r="AM3" s="288"/>
    </row>
    <row r="4" spans="1:39" s="289" customFormat="1" ht="18" customHeight="1" x14ac:dyDescent="0.25">
      <c r="A4" s="279"/>
      <c r="B4" s="280"/>
      <c r="C4" s="281"/>
      <c r="D4" s="282"/>
      <c r="E4" s="283"/>
      <c r="F4" s="283"/>
      <c r="G4" s="283"/>
      <c r="H4" s="459" t="s">
        <v>428</v>
      </c>
      <c r="I4" s="284"/>
      <c r="J4" s="285"/>
      <c r="K4" s="286"/>
      <c r="L4" s="286"/>
      <c r="M4" s="286"/>
      <c r="N4" s="286"/>
      <c r="O4" s="286"/>
      <c r="P4" s="287"/>
      <c r="Q4" s="513" t="s">
        <v>229</v>
      </c>
      <c r="R4" s="514"/>
      <c r="S4" s="514"/>
      <c r="T4" s="515"/>
      <c r="U4" s="516" t="s">
        <v>230</v>
      </c>
      <c r="V4" s="517"/>
      <c r="W4" s="518"/>
      <c r="X4" s="513" t="s">
        <v>229</v>
      </c>
      <c r="Y4" s="514"/>
      <c r="Z4" s="514"/>
      <c r="AA4" s="514"/>
      <c r="AB4" s="514"/>
      <c r="AC4" s="515"/>
      <c r="AD4" s="519" t="s">
        <v>231</v>
      </c>
      <c r="AE4" s="520"/>
      <c r="AF4" s="288"/>
      <c r="AG4" s="288"/>
      <c r="AH4" s="288"/>
      <c r="AI4" s="288"/>
      <c r="AJ4" s="288"/>
      <c r="AK4" s="288"/>
      <c r="AL4" s="288"/>
      <c r="AM4" s="288"/>
    </row>
    <row r="5" spans="1:39" s="289" customFormat="1" ht="18" customHeight="1" x14ac:dyDescent="0.25">
      <c r="A5" s="279"/>
      <c r="B5" s="280"/>
      <c r="C5" s="281"/>
      <c r="D5" s="282"/>
      <c r="E5" s="283"/>
      <c r="F5" s="283"/>
      <c r="G5" s="283"/>
      <c r="H5" s="279"/>
      <c r="I5" s="284"/>
      <c r="J5" s="285"/>
      <c r="K5" s="286"/>
      <c r="L5" s="286"/>
      <c r="M5" s="286"/>
      <c r="N5" s="286"/>
      <c r="O5" s="286"/>
      <c r="P5" s="287"/>
      <c r="Q5" s="292"/>
      <c r="R5" s="293"/>
      <c r="S5" s="293"/>
      <c r="T5" s="294"/>
      <c r="U5" s="295"/>
      <c r="V5" s="296"/>
      <c r="W5" s="297"/>
      <c r="X5" s="292"/>
      <c r="Y5" s="293"/>
      <c r="Z5" s="293"/>
      <c r="AA5" s="293"/>
      <c r="AB5" s="293"/>
      <c r="AC5" s="294"/>
      <c r="AD5" s="298"/>
      <c r="AE5" s="299"/>
      <c r="AF5" s="288"/>
      <c r="AG5" s="288"/>
      <c r="AH5" s="288"/>
      <c r="AI5" s="288"/>
      <c r="AJ5" s="288"/>
      <c r="AK5" s="288"/>
      <c r="AL5" s="288"/>
      <c r="AM5" s="288"/>
    </row>
    <row r="6" spans="1:39" ht="81.75" customHeight="1" thickBot="1" x14ac:dyDescent="0.25">
      <c r="A6" s="300" t="s">
        <v>232</v>
      </c>
      <c r="B6" s="300" t="s">
        <v>11</v>
      </c>
      <c r="C6" s="300" t="s">
        <v>12</v>
      </c>
      <c r="D6" s="300" t="s">
        <v>13</v>
      </c>
      <c r="E6" s="300" t="s">
        <v>233</v>
      </c>
      <c r="F6" s="300" t="s">
        <v>15</v>
      </c>
      <c r="G6" s="300" t="s">
        <v>234</v>
      </c>
      <c r="H6" s="300" t="s">
        <v>235</v>
      </c>
      <c r="I6" s="301" t="s">
        <v>236</v>
      </c>
      <c r="J6" s="301" t="s">
        <v>237</v>
      </c>
      <c r="K6" s="300" t="s">
        <v>238</v>
      </c>
      <c r="L6" s="300" t="s">
        <v>239</v>
      </c>
      <c r="M6" s="300" t="s">
        <v>240</v>
      </c>
      <c r="N6" s="300" t="s">
        <v>241</v>
      </c>
      <c r="O6" s="300" t="s">
        <v>242</v>
      </c>
      <c r="P6" s="300" t="s">
        <v>243</v>
      </c>
      <c r="Q6" s="300" t="s">
        <v>429</v>
      </c>
      <c r="R6" s="302" t="s">
        <v>244</v>
      </c>
      <c r="S6" s="302" t="s">
        <v>430</v>
      </c>
      <c r="T6" s="302" t="s">
        <v>245</v>
      </c>
      <c r="U6" s="302" t="s">
        <v>431</v>
      </c>
      <c r="V6" s="302" t="s">
        <v>432</v>
      </c>
      <c r="W6" s="302" t="s">
        <v>433</v>
      </c>
      <c r="X6" s="302" t="s">
        <v>434</v>
      </c>
      <c r="Y6" s="302" t="s">
        <v>435</v>
      </c>
      <c r="Z6" s="302" t="s">
        <v>436</v>
      </c>
      <c r="AA6" s="302" t="s">
        <v>437</v>
      </c>
      <c r="AB6" s="302" t="s">
        <v>438</v>
      </c>
      <c r="AC6" s="302" t="s">
        <v>439</v>
      </c>
      <c r="AD6" s="302" t="s">
        <v>440</v>
      </c>
      <c r="AE6" s="302" t="s">
        <v>441</v>
      </c>
      <c r="AF6" s="302" t="s">
        <v>246</v>
      </c>
    </row>
    <row r="7" spans="1:39" s="317" customFormat="1" ht="27" customHeight="1" x14ac:dyDescent="0.2">
      <c r="A7" s="303">
        <v>1</v>
      </c>
      <c r="B7" s="303">
        <v>7</v>
      </c>
      <c r="C7" s="303">
        <v>2</v>
      </c>
      <c r="D7" s="304">
        <v>9</v>
      </c>
      <c r="E7" s="304">
        <v>1</v>
      </c>
      <c r="F7" s="304">
        <v>180</v>
      </c>
      <c r="G7" s="305">
        <v>12301</v>
      </c>
      <c r="H7" s="306" t="s">
        <v>247</v>
      </c>
      <c r="I7" s="307" t="s">
        <v>248</v>
      </c>
      <c r="J7" s="308">
        <v>37263</v>
      </c>
      <c r="K7" s="309">
        <v>13</v>
      </c>
      <c r="L7" s="310">
        <v>40</v>
      </c>
      <c r="M7" s="310" t="s">
        <v>249</v>
      </c>
      <c r="N7" s="311" t="s">
        <v>250</v>
      </c>
      <c r="O7" s="310" t="s">
        <v>251</v>
      </c>
      <c r="P7" s="312" t="s">
        <v>252</v>
      </c>
      <c r="Q7" s="313">
        <f>13111.5+430</f>
        <v>13541.5</v>
      </c>
      <c r="R7" s="314">
        <v>0</v>
      </c>
      <c r="S7" s="314">
        <f t="shared" ref="S7:S60" si="0">Q7</f>
        <v>13541.5</v>
      </c>
      <c r="T7" s="314"/>
      <c r="U7" s="314">
        <f t="shared" ref="U7:U60" si="1">Q7/30*5</f>
        <v>2256.9166666666665</v>
      </c>
      <c r="V7" s="314">
        <f t="shared" ref="V7:V59" si="2">Q7/30*50</f>
        <v>22569.166666666668</v>
      </c>
      <c r="W7" s="314">
        <f>Q7/2</f>
        <v>6770.75</v>
      </c>
      <c r="X7" s="315">
        <f>+Q7*17.5%</f>
        <v>2369.7624999999998</v>
      </c>
      <c r="Y7" s="315">
        <f t="shared" ref="Y7:Y60" si="3">+Q7*3%</f>
        <v>406.245</v>
      </c>
      <c r="Z7" s="315">
        <f>730.38+20.03</f>
        <v>750.41</v>
      </c>
      <c r="AA7" s="315">
        <f t="shared" ref="AA7:AA60" si="4">+Q7*2%</f>
        <v>270.83</v>
      </c>
      <c r="AB7" s="314">
        <v>561.98</v>
      </c>
      <c r="AC7" s="314">
        <v>263.76</v>
      </c>
      <c r="AD7" s="314"/>
      <c r="AE7" s="314">
        <f>2048+2200</f>
        <v>4248</v>
      </c>
      <c r="AF7" s="314">
        <f t="shared" ref="AF7:AF59" si="5">+(S7+X7+Y7+Z7+AA7+AB7+AC7)*12+W7+U7+V7+AD7+AE7</f>
        <v>253818.68333333335</v>
      </c>
      <c r="AG7" s="316"/>
      <c r="AH7" s="316"/>
      <c r="AI7" s="316"/>
      <c r="AJ7" s="316"/>
      <c r="AK7" s="316"/>
      <c r="AL7" s="316"/>
      <c r="AM7" s="316"/>
    </row>
    <row r="8" spans="1:39" s="317" customFormat="1" ht="23.25" customHeight="1" x14ac:dyDescent="0.2">
      <c r="A8" s="303">
        <f>A7+1</f>
        <v>2</v>
      </c>
      <c r="B8" s="303">
        <v>7</v>
      </c>
      <c r="C8" s="303">
        <v>2</v>
      </c>
      <c r="D8" s="304">
        <v>9</v>
      </c>
      <c r="E8" s="304">
        <v>1</v>
      </c>
      <c r="F8" s="304">
        <v>180</v>
      </c>
      <c r="G8" s="305">
        <v>11178</v>
      </c>
      <c r="H8" s="311" t="s">
        <v>253</v>
      </c>
      <c r="I8" s="307" t="s">
        <v>254</v>
      </c>
      <c r="J8" s="308">
        <v>39218</v>
      </c>
      <c r="K8" s="309">
        <v>12</v>
      </c>
      <c r="L8" s="310">
        <v>40</v>
      </c>
      <c r="M8" s="310" t="s">
        <v>249</v>
      </c>
      <c r="N8" s="311" t="s">
        <v>255</v>
      </c>
      <c r="O8" s="310" t="s">
        <v>251</v>
      </c>
      <c r="P8" s="312" t="s">
        <v>252</v>
      </c>
      <c r="Q8" s="313">
        <f>13178.1+300</f>
        <v>13478.1</v>
      </c>
      <c r="R8" s="314">
        <v>0</v>
      </c>
      <c r="S8" s="314">
        <f t="shared" si="0"/>
        <v>13478.1</v>
      </c>
      <c r="T8" s="314"/>
      <c r="U8" s="314">
        <f t="shared" si="1"/>
        <v>2246.3500000000004</v>
      </c>
      <c r="V8" s="314">
        <f t="shared" si="2"/>
        <v>22463.500000000004</v>
      </c>
      <c r="W8" s="314">
        <f>Q8/2</f>
        <v>6739.05</v>
      </c>
      <c r="X8" s="315">
        <f t="shared" ref="X8:X60" si="6">+Q8*17.5%</f>
        <v>2358.6675</v>
      </c>
      <c r="Y8" s="315">
        <f t="shared" si="3"/>
        <v>404.34300000000002</v>
      </c>
      <c r="Z8" s="315">
        <f>732.08+20.03</f>
        <v>752.11</v>
      </c>
      <c r="AA8" s="315">
        <f t="shared" si="4"/>
        <v>269.56200000000001</v>
      </c>
      <c r="AB8" s="314">
        <v>550.66</v>
      </c>
      <c r="AC8" s="314">
        <v>257.14</v>
      </c>
      <c r="AD8" s="314"/>
      <c r="AE8" s="314">
        <f>2060+2260</f>
        <v>4320</v>
      </c>
      <c r="AF8" s="314">
        <f t="shared" si="5"/>
        <v>252615.88999999998</v>
      </c>
      <c r="AG8" s="316"/>
      <c r="AH8" s="316"/>
      <c r="AI8" s="316"/>
      <c r="AJ8" s="316"/>
      <c r="AK8" s="316"/>
      <c r="AL8" s="316"/>
      <c r="AM8" s="316"/>
    </row>
    <row r="9" spans="1:39" s="317" customFormat="1" ht="23.25" customHeight="1" x14ac:dyDescent="0.2">
      <c r="A9" s="303">
        <f t="shared" ref="A9:A23" si="7">A8+1</f>
        <v>3</v>
      </c>
      <c r="B9" s="303">
        <v>7</v>
      </c>
      <c r="C9" s="303">
        <v>2</v>
      </c>
      <c r="D9" s="304">
        <v>9</v>
      </c>
      <c r="E9" s="303">
        <v>1</v>
      </c>
      <c r="F9" s="304">
        <v>180</v>
      </c>
      <c r="G9" s="305">
        <v>13009</v>
      </c>
      <c r="H9" s="311" t="s">
        <v>256</v>
      </c>
      <c r="I9" s="307" t="s">
        <v>257</v>
      </c>
      <c r="J9" s="308">
        <v>42919</v>
      </c>
      <c r="K9" s="309">
        <v>13</v>
      </c>
      <c r="L9" s="310">
        <v>40</v>
      </c>
      <c r="M9" s="310" t="s">
        <v>249</v>
      </c>
      <c r="N9" s="311" t="s">
        <v>258</v>
      </c>
      <c r="O9" s="310" t="s">
        <v>251</v>
      </c>
      <c r="P9" s="312" t="s">
        <v>252</v>
      </c>
      <c r="Q9" s="313">
        <f>13111.5+430</f>
        <v>13541.5</v>
      </c>
      <c r="R9" s="314">
        <v>0</v>
      </c>
      <c r="S9" s="314">
        <f t="shared" si="0"/>
        <v>13541.5</v>
      </c>
      <c r="T9" s="314"/>
      <c r="U9" s="314">
        <f t="shared" si="1"/>
        <v>2256.9166666666665</v>
      </c>
      <c r="V9" s="314">
        <f t="shared" si="2"/>
        <v>22569.166666666668</v>
      </c>
      <c r="W9" s="314">
        <f>Q9/2</f>
        <v>6770.75</v>
      </c>
      <c r="X9" s="315">
        <f t="shared" si="6"/>
        <v>2369.7624999999998</v>
      </c>
      <c r="Y9" s="315">
        <f t="shared" si="3"/>
        <v>406.245</v>
      </c>
      <c r="Z9" s="315">
        <f>730.21+20.03</f>
        <v>750.24</v>
      </c>
      <c r="AA9" s="315">
        <f t="shared" si="4"/>
        <v>270.83</v>
      </c>
      <c r="AB9" s="314">
        <v>555.24</v>
      </c>
      <c r="AC9" s="314">
        <v>257.33999999999997</v>
      </c>
      <c r="AD9" s="314"/>
      <c r="AE9" s="314">
        <f>2048+2200</f>
        <v>4248</v>
      </c>
      <c r="AF9" s="314">
        <f t="shared" si="5"/>
        <v>253658.72333333339</v>
      </c>
      <c r="AG9" s="316"/>
      <c r="AH9" s="316"/>
      <c r="AI9" s="316"/>
      <c r="AJ9" s="316"/>
      <c r="AK9" s="316"/>
      <c r="AL9" s="316"/>
      <c r="AM9" s="316"/>
    </row>
    <row r="10" spans="1:39" s="317" customFormat="1" ht="23.25" customHeight="1" x14ac:dyDescent="0.2">
      <c r="A10" s="303">
        <f t="shared" si="7"/>
        <v>4</v>
      </c>
      <c r="B10" s="303">
        <v>7</v>
      </c>
      <c r="C10" s="303">
        <v>2</v>
      </c>
      <c r="D10" s="304">
        <v>9</v>
      </c>
      <c r="E10" s="303">
        <v>1</v>
      </c>
      <c r="F10" s="304">
        <v>180</v>
      </c>
      <c r="G10" s="318">
        <v>13007</v>
      </c>
      <c r="H10" s="306" t="s">
        <v>259</v>
      </c>
      <c r="I10" s="307" t="s">
        <v>260</v>
      </c>
      <c r="J10" s="308">
        <v>42803</v>
      </c>
      <c r="K10" s="309">
        <v>27</v>
      </c>
      <c r="L10" s="310">
        <v>40</v>
      </c>
      <c r="M10" s="310" t="s">
        <v>249</v>
      </c>
      <c r="N10" s="319" t="s">
        <v>261</v>
      </c>
      <c r="O10" s="310" t="s">
        <v>251</v>
      </c>
      <c r="P10" s="312" t="s">
        <v>252</v>
      </c>
      <c r="Q10" s="476">
        <v>53840.7</v>
      </c>
      <c r="R10" s="314">
        <v>0</v>
      </c>
      <c r="S10" s="314">
        <f t="shared" si="0"/>
        <v>53840.7</v>
      </c>
      <c r="T10" s="314"/>
      <c r="U10" s="314">
        <f t="shared" si="1"/>
        <v>8973.4499999999989</v>
      </c>
      <c r="V10" s="314">
        <f t="shared" si="2"/>
        <v>89734.499999999985</v>
      </c>
      <c r="W10" s="314">
        <v>0</v>
      </c>
      <c r="X10" s="315">
        <f t="shared" si="6"/>
        <v>9422.1224999999995</v>
      </c>
      <c r="Y10" s="315">
        <f t="shared" si="3"/>
        <v>1615.2209999999998</v>
      </c>
      <c r="Z10" s="315">
        <v>1657.14</v>
      </c>
      <c r="AA10" s="315">
        <f t="shared" si="4"/>
        <v>1076.8139999999999</v>
      </c>
      <c r="AB10" s="320">
        <v>1308.8499999999999</v>
      </c>
      <c r="AC10" s="321">
        <v>941.33</v>
      </c>
      <c r="AD10" s="314"/>
      <c r="AE10" s="314">
        <v>28000</v>
      </c>
      <c r="AF10" s="314">
        <f t="shared" si="5"/>
        <v>965054.08000000007</v>
      </c>
      <c r="AG10" s="316"/>
      <c r="AH10" s="316"/>
      <c r="AI10" s="316"/>
      <c r="AJ10" s="316"/>
      <c r="AK10" s="316"/>
      <c r="AL10" s="316"/>
      <c r="AM10" s="316"/>
    </row>
    <row r="11" spans="1:39" s="317" customFormat="1" ht="23.25" customHeight="1" x14ac:dyDescent="0.2">
      <c r="A11" s="303">
        <f t="shared" si="7"/>
        <v>5</v>
      </c>
      <c r="B11" s="303">
        <v>7</v>
      </c>
      <c r="C11" s="303">
        <v>2</v>
      </c>
      <c r="D11" s="304">
        <v>9</v>
      </c>
      <c r="E11" s="303">
        <v>1</v>
      </c>
      <c r="F11" s="304">
        <v>180</v>
      </c>
      <c r="G11" s="322">
        <v>13012</v>
      </c>
      <c r="H11" s="323" t="s">
        <v>262</v>
      </c>
      <c r="I11" s="308" t="s">
        <v>263</v>
      </c>
      <c r="J11" s="308">
        <v>43010</v>
      </c>
      <c r="K11" s="310">
        <v>1</v>
      </c>
      <c r="L11" s="310">
        <v>40</v>
      </c>
      <c r="M11" s="309" t="s">
        <v>264</v>
      </c>
      <c r="N11" s="312" t="s">
        <v>265</v>
      </c>
      <c r="O11" s="310" t="s">
        <v>251</v>
      </c>
      <c r="P11" s="312" t="s">
        <v>266</v>
      </c>
      <c r="Q11" s="313">
        <v>9706.2000000000007</v>
      </c>
      <c r="R11" s="314">
        <v>0</v>
      </c>
      <c r="S11" s="314">
        <f t="shared" si="0"/>
        <v>9706.2000000000007</v>
      </c>
      <c r="T11" s="314"/>
      <c r="U11" s="314">
        <f t="shared" si="1"/>
        <v>1617.7</v>
      </c>
      <c r="V11" s="314">
        <f t="shared" si="2"/>
        <v>16177.000000000002</v>
      </c>
      <c r="W11" s="314">
        <f>Q11/2</f>
        <v>4853.1000000000004</v>
      </c>
      <c r="X11" s="315">
        <f t="shared" si="6"/>
        <v>1698.585</v>
      </c>
      <c r="Y11" s="315">
        <f t="shared" si="3"/>
        <v>291.18600000000004</v>
      </c>
      <c r="Z11" s="315">
        <f>615.64+36.06</f>
        <v>651.70000000000005</v>
      </c>
      <c r="AA11" s="315">
        <f t="shared" si="4"/>
        <v>194.12400000000002</v>
      </c>
      <c r="AB11" s="314">
        <v>653.98</v>
      </c>
      <c r="AC11" s="314">
        <v>402.9</v>
      </c>
      <c r="AD11" s="314"/>
      <c r="AE11" s="314">
        <f>1089.74+1289.74</f>
        <v>2379.48</v>
      </c>
      <c r="AF11" s="314">
        <f t="shared" si="5"/>
        <v>188211.38</v>
      </c>
      <c r="AG11" s="316"/>
      <c r="AH11" s="316"/>
      <c r="AI11" s="316"/>
      <c r="AJ11" s="316"/>
      <c r="AK11" s="316"/>
      <c r="AL11" s="316"/>
      <c r="AM11" s="316"/>
    </row>
    <row r="12" spans="1:39" s="317" customFormat="1" ht="27" customHeight="1" x14ac:dyDescent="0.2">
      <c r="A12" s="303">
        <f t="shared" si="7"/>
        <v>6</v>
      </c>
      <c r="B12" s="303">
        <v>7</v>
      </c>
      <c r="C12" s="303">
        <v>2</v>
      </c>
      <c r="D12" s="304">
        <v>9</v>
      </c>
      <c r="E12" s="303">
        <v>1</v>
      </c>
      <c r="F12" s="304">
        <v>180</v>
      </c>
      <c r="G12" s="324">
        <v>8010</v>
      </c>
      <c r="H12" s="311" t="s">
        <v>267</v>
      </c>
      <c r="I12" s="307" t="s">
        <v>268</v>
      </c>
      <c r="J12" s="308">
        <v>36866</v>
      </c>
      <c r="K12" s="310">
        <v>1</v>
      </c>
      <c r="L12" s="310">
        <v>40</v>
      </c>
      <c r="M12" s="309" t="s">
        <v>264</v>
      </c>
      <c r="N12" s="312" t="s">
        <v>265</v>
      </c>
      <c r="O12" s="310" t="s">
        <v>251</v>
      </c>
      <c r="P12" s="312" t="s">
        <v>266</v>
      </c>
      <c r="Q12" s="313">
        <v>9706.2000000000007</v>
      </c>
      <c r="R12" s="314">
        <v>0</v>
      </c>
      <c r="S12" s="314">
        <f t="shared" si="0"/>
        <v>9706.2000000000007</v>
      </c>
      <c r="T12" s="314"/>
      <c r="U12" s="314">
        <f>Q12/30*5</f>
        <v>1617.7</v>
      </c>
      <c r="V12" s="314">
        <f>Q12/30*50</f>
        <v>16177.000000000002</v>
      </c>
      <c r="W12" s="314">
        <f>Q12/2</f>
        <v>4853.1000000000004</v>
      </c>
      <c r="X12" s="315">
        <f>+Q12*17.5%</f>
        <v>1698.585</v>
      </c>
      <c r="Y12" s="315">
        <f>+Q12*3%</f>
        <v>291.18600000000004</v>
      </c>
      <c r="Z12" s="315">
        <f>615.64+36.06</f>
        <v>651.70000000000005</v>
      </c>
      <c r="AA12" s="315">
        <f>+Q12*2%</f>
        <v>194.12400000000002</v>
      </c>
      <c r="AB12" s="314">
        <v>653.98</v>
      </c>
      <c r="AC12" s="314">
        <v>402.9</v>
      </c>
      <c r="AD12" s="314"/>
      <c r="AE12" s="314">
        <f>1089.74+1289.74</f>
        <v>2379.48</v>
      </c>
      <c r="AF12" s="314">
        <f t="shared" si="5"/>
        <v>188211.38</v>
      </c>
      <c r="AG12" s="316"/>
      <c r="AH12" s="316"/>
      <c r="AI12" s="316"/>
      <c r="AJ12" s="316"/>
      <c r="AK12" s="316"/>
      <c r="AL12" s="316"/>
      <c r="AM12" s="316"/>
    </row>
    <row r="13" spans="1:39" s="317" customFormat="1" ht="24" customHeight="1" x14ac:dyDescent="0.2">
      <c r="A13" s="303">
        <f t="shared" si="7"/>
        <v>7</v>
      </c>
      <c r="B13" s="303">
        <v>7</v>
      </c>
      <c r="C13" s="303">
        <v>2</v>
      </c>
      <c r="D13" s="304">
        <v>9</v>
      </c>
      <c r="E13" s="303">
        <v>1</v>
      </c>
      <c r="F13" s="304">
        <v>180</v>
      </c>
      <c r="G13" s="305">
        <v>12082</v>
      </c>
      <c r="H13" s="311" t="s">
        <v>269</v>
      </c>
      <c r="I13" s="307" t="s">
        <v>270</v>
      </c>
      <c r="J13" s="308">
        <v>41950</v>
      </c>
      <c r="K13" s="310">
        <v>1</v>
      </c>
      <c r="L13" s="310">
        <v>40</v>
      </c>
      <c r="M13" s="309" t="s">
        <v>264</v>
      </c>
      <c r="N13" s="312" t="s">
        <v>265</v>
      </c>
      <c r="O13" s="310" t="s">
        <v>251</v>
      </c>
      <c r="P13" s="312" t="s">
        <v>266</v>
      </c>
      <c r="Q13" s="313">
        <v>9706.2000000000007</v>
      </c>
      <c r="R13" s="314">
        <v>0</v>
      </c>
      <c r="S13" s="314">
        <f t="shared" si="0"/>
        <v>9706.2000000000007</v>
      </c>
      <c r="T13" s="314"/>
      <c r="U13" s="314">
        <f>Q13/30*5</f>
        <v>1617.7</v>
      </c>
      <c r="V13" s="314">
        <f>Q13/30*50</f>
        <v>16177.000000000002</v>
      </c>
      <c r="W13" s="314">
        <f>Q13/2</f>
        <v>4853.1000000000004</v>
      </c>
      <c r="X13" s="315">
        <f>+Q13*17.5%</f>
        <v>1698.585</v>
      </c>
      <c r="Y13" s="315">
        <f>+Q13*3%</f>
        <v>291.18600000000004</v>
      </c>
      <c r="Z13" s="315">
        <f>615.64+36.06</f>
        <v>651.70000000000005</v>
      </c>
      <c r="AA13" s="315">
        <f>+Q13*2%</f>
        <v>194.12400000000002</v>
      </c>
      <c r="AB13" s="314">
        <v>653.98</v>
      </c>
      <c r="AC13" s="314">
        <v>402.9</v>
      </c>
      <c r="AD13" s="314"/>
      <c r="AE13" s="314">
        <f>1089.74+1289.74</f>
        <v>2379.48</v>
      </c>
      <c r="AF13" s="314">
        <f t="shared" si="5"/>
        <v>188211.38</v>
      </c>
      <c r="AG13" s="316"/>
      <c r="AH13" s="316"/>
      <c r="AI13" s="316"/>
      <c r="AJ13" s="316"/>
      <c r="AK13" s="316"/>
      <c r="AL13" s="316"/>
      <c r="AM13" s="316"/>
    </row>
    <row r="14" spans="1:39" s="317" customFormat="1" ht="25.5" customHeight="1" x14ac:dyDescent="0.2">
      <c r="A14" s="303">
        <f t="shared" si="7"/>
        <v>8</v>
      </c>
      <c r="B14" s="303">
        <v>7</v>
      </c>
      <c r="C14" s="303">
        <v>2</v>
      </c>
      <c r="D14" s="304">
        <v>9</v>
      </c>
      <c r="E14" s="303">
        <v>1</v>
      </c>
      <c r="F14" s="304">
        <v>180</v>
      </c>
      <c r="G14" s="325">
        <v>12071</v>
      </c>
      <c r="H14" s="326" t="s">
        <v>271</v>
      </c>
      <c r="I14" s="327" t="s">
        <v>272</v>
      </c>
      <c r="J14" s="308">
        <v>41716</v>
      </c>
      <c r="K14" s="310">
        <v>1</v>
      </c>
      <c r="L14" s="310">
        <v>40</v>
      </c>
      <c r="M14" s="310" t="s">
        <v>249</v>
      </c>
      <c r="N14" s="319" t="s">
        <v>265</v>
      </c>
      <c r="O14" s="310" t="s">
        <v>251</v>
      </c>
      <c r="P14" s="312" t="s">
        <v>266</v>
      </c>
      <c r="Q14" s="313">
        <v>9706.2000000000007</v>
      </c>
      <c r="R14" s="314">
        <v>0</v>
      </c>
      <c r="S14" s="314">
        <f t="shared" si="0"/>
        <v>9706.2000000000007</v>
      </c>
      <c r="T14" s="314"/>
      <c r="U14" s="314">
        <f>Q14/30*5</f>
        <v>1617.7</v>
      </c>
      <c r="V14" s="314">
        <f>Q14/30*50</f>
        <v>16177.000000000002</v>
      </c>
      <c r="W14" s="314">
        <f>Q14/2</f>
        <v>4853.1000000000004</v>
      </c>
      <c r="X14" s="315">
        <f>+Q14*17.5%</f>
        <v>1698.585</v>
      </c>
      <c r="Y14" s="315">
        <f>+Q14*3%</f>
        <v>291.18600000000004</v>
      </c>
      <c r="Z14" s="315">
        <f>615.64+36.06</f>
        <v>651.70000000000005</v>
      </c>
      <c r="AA14" s="315">
        <f>+Q14*2%</f>
        <v>194.12400000000002</v>
      </c>
      <c r="AB14" s="314">
        <v>653.98</v>
      </c>
      <c r="AC14" s="314">
        <v>402.9</v>
      </c>
      <c r="AD14" s="314"/>
      <c r="AE14" s="314">
        <f>1089.74+1289.74</f>
        <v>2379.48</v>
      </c>
      <c r="AF14" s="314">
        <f t="shared" si="5"/>
        <v>188211.38</v>
      </c>
      <c r="AG14" s="316"/>
      <c r="AH14" s="316"/>
      <c r="AI14" s="316"/>
      <c r="AJ14" s="316"/>
      <c r="AK14" s="316"/>
      <c r="AL14" s="316"/>
      <c r="AM14" s="316"/>
    </row>
    <row r="15" spans="1:39" s="317" customFormat="1" ht="27" customHeight="1" x14ac:dyDescent="0.2">
      <c r="A15" s="303">
        <f t="shared" si="7"/>
        <v>9</v>
      </c>
      <c r="B15" s="303">
        <v>7</v>
      </c>
      <c r="C15" s="303">
        <v>2</v>
      </c>
      <c r="D15" s="304">
        <v>9</v>
      </c>
      <c r="E15" s="303">
        <v>1</v>
      </c>
      <c r="F15" s="304">
        <v>180</v>
      </c>
      <c r="G15" s="305">
        <v>8010</v>
      </c>
      <c r="H15" s="306" t="s">
        <v>273</v>
      </c>
      <c r="I15" s="307" t="s">
        <v>274</v>
      </c>
      <c r="J15" s="308">
        <v>35827</v>
      </c>
      <c r="K15" s="309">
        <v>6</v>
      </c>
      <c r="L15" s="310">
        <v>40</v>
      </c>
      <c r="M15" s="310" t="s">
        <v>249</v>
      </c>
      <c r="N15" s="319" t="s">
        <v>275</v>
      </c>
      <c r="O15" s="310" t="s">
        <v>251</v>
      </c>
      <c r="P15" s="312" t="s">
        <v>266</v>
      </c>
      <c r="Q15" s="313">
        <v>11439</v>
      </c>
      <c r="R15" s="314">
        <v>0</v>
      </c>
      <c r="S15" s="314">
        <f t="shared" si="0"/>
        <v>11439</v>
      </c>
      <c r="T15" s="314"/>
      <c r="U15" s="314">
        <f t="shared" si="1"/>
        <v>1906.5</v>
      </c>
      <c r="V15" s="314">
        <f t="shared" si="2"/>
        <v>19065</v>
      </c>
      <c r="W15" s="314">
        <f>Q15/2</f>
        <v>5719.5</v>
      </c>
      <c r="X15" s="315">
        <f t="shared" si="6"/>
        <v>2001.8249999999998</v>
      </c>
      <c r="Y15" s="315">
        <f t="shared" si="3"/>
        <v>343.16999999999996</v>
      </c>
      <c r="Z15" s="328">
        <f>665.22</f>
        <v>665.22</v>
      </c>
      <c r="AA15" s="315">
        <f t="shared" si="4"/>
        <v>228.78</v>
      </c>
      <c r="AB15" s="314">
        <v>616.55999999999995</v>
      </c>
      <c r="AC15" s="314">
        <v>284.68</v>
      </c>
      <c r="AD15" s="314"/>
      <c r="AE15" s="314">
        <f>1700+1750</f>
        <v>3450</v>
      </c>
      <c r="AF15" s="314">
        <f t="shared" si="5"/>
        <v>217091.82</v>
      </c>
      <c r="AG15" s="316"/>
      <c r="AH15" s="316"/>
      <c r="AI15" s="316"/>
      <c r="AJ15" s="316"/>
      <c r="AK15" s="316"/>
      <c r="AL15" s="316"/>
      <c r="AM15" s="316"/>
    </row>
    <row r="16" spans="1:39" s="317" customFormat="1" ht="24" customHeight="1" x14ac:dyDescent="0.2">
      <c r="A16" s="303">
        <v>10</v>
      </c>
      <c r="B16" s="303">
        <v>7</v>
      </c>
      <c r="C16" s="303">
        <v>2</v>
      </c>
      <c r="D16" s="304">
        <v>9</v>
      </c>
      <c r="E16" s="303">
        <v>1</v>
      </c>
      <c r="F16" s="304">
        <v>180</v>
      </c>
      <c r="G16" s="305">
        <v>12031</v>
      </c>
      <c r="H16" s="319" t="s">
        <v>276</v>
      </c>
      <c r="I16" s="312" t="s">
        <v>277</v>
      </c>
      <c r="J16" s="308">
        <v>40756</v>
      </c>
      <c r="K16" s="309">
        <v>2</v>
      </c>
      <c r="L16" s="310">
        <v>40</v>
      </c>
      <c r="M16" s="310" t="s">
        <v>249</v>
      </c>
      <c r="N16" s="319" t="s">
        <v>278</v>
      </c>
      <c r="O16" s="310" t="s">
        <v>251</v>
      </c>
      <c r="P16" s="312" t="s">
        <v>266</v>
      </c>
      <c r="Q16" s="313">
        <v>9932.4</v>
      </c>
      <c r="R16" s="314">
        <v>0</v>
      </c>
      <c r="S16" s="314">
        <f t="shared" si="0"/>
        <v>9932.4</v>
      </c>
      <c r="T16" s="314"/>
      <c r="U16" s="314">
        <f t="shared" si="1"/>
        <v>1655.3999999999999</v>
      </c>
      <c r="V16" s="314">
        <f t="shared" si="2"/>
        <v>16554</v>
      </c>
      <c r="W16" s="314">
        <f t="shared" ref="W16:W60" si="8">Q16/2</f>
        <v>4966.2</v>
      </c>
      <c r="X16" s="315">
        <f t="shared" si="6"/>
        <v>1738.1699999999998</v>
      </c>
      <c r="Y16" s="315">
        <f t="shared" si="3"/>
        <v>297.97199999999998</v>
      </c>
      <c r="Z16" s="328">
        <f>622.6</f>
        <v>622.6</v>
      </c>
      <c r="AA16" s="315">
        <f t="shared" si="4"/>
        <v>198.648</v>
      </c>
      <c r="AB16" s="314">
        <v>575.29999999999995</v>
      </c>
      <c r="AC16" s="314">
        <v>280.22000000000003</v>
      </c>
      <c r="AD16" s="314"/>
      <c r="AE16" s="314">
        <f>1124+1224</f>
        <v>2348</v>
      </c>
      <c r="AF16" s="314">
        <f t="shared" si="5"/>
        <v>189267.31999999998</v>
      </c>
      <c r="AG16" s="316"/>
      <c r="AH16" s="316"/>
      <c r="AI16" s="316"/>
      <c r="AJ16" s="316"/>
      <c r="AK16" s="316"/>
      <c r="AL16" s="316"/>
      <c r="AM16" s="316"/>
    </row>
    <row r="17" spans="1:39" s="317" customFormat="1" ht="23.25" customHeight="1" x14ac:dyDescent="0.2">
      <c r="A17" s="303">
        <f t="shared" si="7"/>
        <v>11</v>
      </c>
      <c r="B17" s="303">
        <v>7</v>
      </c>
      <c r="C17" s="303">
        <v>2</v>
      </c>
      <c r="D17" s="304">
        <v>9</v>
      </c>
      <c r="E17" s="303">
        <v>1</v>
      </c>
      <c r="F17" s="304">
        <v>180</v>
      </c>
      <c r="G17" s="305">
        <v>12063</v>
      </c>
      <c r="H17" s="306" t="s">
        <v>279</v>
      </c>
      <c r="I17" s="327" t="s">
        <v>280</v>
      </c>
      <c r="J17" s="308">
        <v>41550</v>
      </c>
      <c r="K17" s="309">
        <v>2</v>
      </c>
      <c r="L17" s="309">
        <v>40</v>
      </c>
      <c r="M17" s="310" t="s">
        <v>249</v>
      </c>
      <c r="N17" s="319" t="s">
        <v>278</v>
      </c>
      <c r="O17" s="310" t="s">
        <v>251</v>
      </c>
      <c r="P17" s="312" t="s">
        <v>266</v>
      </c>
      <c r="Q17" s="313">
        <v>9932.4</v>
      </c>
      <c r="R17" s="314">
        <v>0</v>
      </c>
      <c r="S17" s="314">
        <f>Q17</f>
        <v>9932.4</v>
      </c>
      <c r="T17" s="314"/>
      <c r="U17" s="314">
        <f>Q17/30*5</f>
        <v>1655.3999999999999</v>
      </c>
      <c r="V17" s="314">
        <f>Q17/30*50</f>
        <v>16554</v>
      </c>
      <c r="W17" s="314">
        <f>Q17/2</f>
        <v>4966.2</v>
      </c>
      <c r="X17" s="315">
        <f>+Q17*17.5%</f>
        <v>1738.1699999999998</v>
      </c>
      <c r="Y17" s="315">
        <f>+Q17*3%</f>
        <v>297.97199999999998</v>
      </c>
      <c r="Z17" s="328">
        <f>622.6</f>
        <v>622.6</v>
      </c>
      <c r="AA17" s="315">
        <f>+Q17*2%</f>
        <v>198.648</v>
      </c>
      <c r="AB17" s="314">
        <v>575.29999999999995</v>
      </c>
      <c r="AC17" s="314">
        <v>280.22000000000003</v>
      </c>
      <c r="AD17" s="314"/>
      <c r="AE17" s="314">
        <f>1124+1224</f>
        <v>2348</v>
      </c>
      <c r="AF17" s="314">
        <f t="shared" si="5"/>
        <v>189267.31999999998</v>
      </c>
      <c r="AG17" s="316"/>
      <c r="AH17" s="316"/>
      <c r="AI17" s="316"/>
      <c r="AJ17" s="316"/>
      <c r="AK17" s="316"/>
      <c r="AL17" s="316"/>
      <c r="AM17" s="316"/>
    </row>
    <row r="18" spans="1:39" s="317" customFormat="1" ht="21.75" customHeight="1" x14ac:dyDescent="0.2">
      <c r="A18" s="303">
        <f t="shared" si="7"/>
        <v>12</v>
      </c>
      <c r="B18" s="303">
        <v>7</v>
      </c>
      <c r="C18" s="303">
        <v>2</v>
      </c>
      <c r="D18" s="304">
        <v>9</v>
      </c>
      <c r="E18" s="303">
        <v>1</v>
      </c>
      <c r="F18" s="304">
        <v>180</v>
      </c>
      <c r="G18" s="305">
        <v>12069</v>
      </c>
      <c r="H18" s="329" t="s">
        <v>281</v>
      </c>
      <c r="I18" s="327" t="s">
        <v>282</v>
      </c>
      <c r="J18" s="308">
        <v>41709</v>
      </c>
      <c r="K18" s="309">
        <v>7</v>
      </c>
      <c r="L18" s="310">
        <v>40</v>
      </c>
      <c r="M18" s="310" t="s">
        <v>264</v>
      </c>
      <c r="N18" s="319" t="s">
        <v>283</v>
      </c>
      <c r="O18" s="310" t="s">
        <v>251</v>
      </c>
      <c r="P18" s="312" t="s">
        <v>266</v>
      </c>
      <c r="Q18" s="313">
        <v>11449.5</v>
      </c>
      <c r="R18" s="314">
        <v>0</v>
      </c>
      <c r="S18" s="314">
        <f t="shared" si="0"/>
        <v>11449.5</v>
      </c>
      <c r="T18" s="314"/>
      <c r="U18" s="314">
        <f t="shared" si="1"/>
        <v>1908.25</v>
      </c>
      <c r="V18" s="314">
        <f t="shared" si="2"/>
        <v>19082.5</v>
      </c>
      <c r="W18" s="314">
        <f t="shared" si="8"/>
        <v>5724.75</v>
      </c>
      <c r="X18" s="315">
        <f t="shared" si="6"/>
        <v>2003.6624999999999</v>
      </c>
      <c r="Y18" s="315">
        <f t="shared" si="3"/>
        <v>343.48500000000001</v>
      </c>
      <c r="Z18" s="315">
        <f>664.42+32.05+44.05</f>
        <v>740.51999999999987</v>
      </c>
      <c r="AA18" s="315">
        <f t="shared" si="4"/>
        <v>228.99</v>
      </c>
      <c r="AB18" s="314">
        <v>618.74</v>
      </c>
      <c r="AC18" s="314">
        <v>287.8</v>
      </c>
      <c r="AD18" s="314"/>
      <c r="AE18" s="314">
        <f>1628+1728</f>
        <v>3356</v>
      </c>
      <c r="AF18" s="314">
        <f t="shared" si="5"/>
        <v>218143.87</v>
      </c>
      <c r="AG18" s="316"/>
      <c r="AH18" s="316"/>
      <c r="AI18" s="316"/>
      <c r="AJ18" s="316"/>
      <c r="AK18" s="316"/>
      <c r="AL18" s="316"/>
      <c r="AM18" s="316"/>
    </row>
    <row r="19" spans="1:39" s="317" customFormat="1" ht="23.25" customHeight="1" x14ac:dyDescent="0.2">
      <c r="A19" s="303">
        <f t="shared" si="7"/>
        <v>13</v>
      </c>
      <c r="B19" s="303">
        <v>7</v>
      </c>
      <c r="C19" s="303">
        <v>2</v>
      </c>
      <c r="D19" s="304">
        <v>9</v>
      </c>
      <c r="E19" s="303">
        <v>1</v>
      </c>
      <c r="F19" s="304">
        <v>180</v>
      </c>
      <c r="G19" s="305">
        <v>12090</v>
      </c>
      <c r="H19" s="329" t="s">
        <v>362</v>
      </c>
      <c r="I19" s="327" t="s">
        <v>363</v>
      </c>
      <c r="J19" s="308">
        <v>42234</v>
      </c>
      <c r="K19" s="309">
        <v>7</v>
      </c>
      <c r="L19" s="310">
        <v>40</v>
      </c>
      <c r="M19" s="310" t="s">
        <v>264</v>
      </c>
      <c r="N19" s="319" t="s">
        <v>286</v>
      </c>
      <c r="O19" s="310" t="s">
        <v>251</v>
      </c>
      <c r="P19" s="312" t="s">
        <v>266</v>
      </c>
      <c r="Q19" s="313">
        <v>11870.1</v>
      </c>
      <c r="R19" s="314">
        <v>0</v>
      </c>
      <c r="S19" s="314">
        <f t="shared" si="0"/>
        <v>11870.1</v>
      </c>
      <c r="T19" s="314"/>
      <c r="U19" s="314">
        <f t="shared" si="1"/>
        <v>1978.3500000000001</v>
      </c>
      <c r="V19" s="314">
        <f t="shared" si="2"/>
        <v>19783.5</v>
      </c>
      <c r="W19" s="314">
        <f t="shared" si="8"/>
        <v>5935.05</v>
      </c>
      <c r="X19" s="315">
        <f t="shared" si="6"/>
        <v>2077.2674999999999</v>
      </c>
      <c r="Y19" s="315">
        <f t="shared" si="3"/>
        <v>356.10300000000001</v>
      </c>
      <c r="Z19" s="315">
        <f>676.49+32.11+44.05</f>
        <v>752.65</v>
      </c>
      <c r="AA19" s="315">
        <f t="shared" si="4"/>
        <v>237.40200000000002</v>
      </c>
      <c r="AB19" s="314">
        <v>635.41999999999996</v>
      </c>
      <c r="AC19" s="314">
        <v>295.26</v>
      </c>
      <c r="AD19" s="314"/>
      <c r="AE19" s="314">
        <f>1702+1802</f>
        <v>3504</v>
      </c>
      <c r="AF19" s="314">
        <f t="shared" si="5"/>
        <v>225891.33</v>
      </c>
      <c r="AG19" s="316"/>
      <c r="AH19" s="316"/>
      <c r="AI19" s="316"/>
      <c r="AJ19" s="316"/>
      <c r="AK19" s="316"/>
      <c r="AL19" s="316"/>
      <c r="AM19" s="316"/>
    </row>
    <row r="20" spans="1:39" s="317" customFormat="1" ht="24.75" customHeight="1" x14ac:dyDescent="0.2">
      <c r="A20" s="303">
        <f t="shared" si="7"/>
        <v>14</v>
      </c>
      <c r="B20" s="303">
        <v>7</v>
      </c>
      <c r="C20" s="303">
        <v>2</v>
      </c>
      <c r="D20" s="304">
        <v>9</v>
      </c>
      <c r="E20" s="303">
        <v>1</v>
      </c>
      <c r="F20" s="304">
        <v>180</v>
      </c>
      <c r="G20" s="330">
        <v>12097</v>
      </c>
      <c r="H20" s="331" t="s">
        <v>287</v>
      </c>
      <c r="I20" s="332" t="s">
        <v>288</v>
      </c>
      <c r="J20" s="333">
        <v>42509</v>
      </c>
      <c r="K20" s="309">
        <v>9</v>
      </c>
      <c r="L20" s="309">
        <v>40</v>
      </c>
      <c r="M20" s="310" t="s">
        <v>249</v>
      </c>
      <c r="N20" s="319" t="s">
        <v>289</v>
      </c>
      <c r="O20" s="310" t="s">
        <v>251</v>
      </c>
      <c r="P20" s="312" t="s">
        <v>266</v>
      </c>
      <c r="Q20" s="313">
        <v>12711.6</v>
      </c>
      <c r="R20" s="314">
        <v>0</v>
      </c>
      <c r="S20" s="314">
        <f t="shared" si="0"/>
        <v>12711.6</v>
      </c>
      <c r="T20" s="314"/>
      <c r="U20" s="314">
        <f t="shared" si="1"/>
        <v>2118.6000000000004</v>
      </c>
      <c r="V20" s="314">
        <f t="shared" si="2"/>
        <v>21186</v>
      </c>
      <c r="W20" s="314">
        <f t="shared" si="8"/>
        <v>6355.8</v>
      </c>
      <c r="X20" s="315">
        <f t="shared" si="6"/>
        <v>2224.5299999999997</v>
      </c>
      <c r="Y20" s="315">
        <f t="shared" si="3"/>
        <v>381.34800000000001</v>
      </c>
      <c r="Z20" s="315">
        <f>700.3+30.05+44.05</f>
        <v>774.39999999999986</v>
      </c>
      <c r="AA20" s="315">
        <f t="shared" si="4"/>
        <v>254.232</v>
      </c>
      <c r="AB20" s="314">
        <v>635.41999999999996</v>
      </c>
      <c r="AC20" s="314">
        <v>295.27999999999997</v>
      </c>
      <c r="AD20" s="314"/>
      <c r="AE20" s="314">
        <f>1857+1957</f>
        <v>3814</v>
      </c>
      <c r="AF20" s="314">
        <f t="shared" si="5"/>
        <v>240796.11999999997</v>
      </c>
      <c r="AG20" s="316"/>
      <c r="AH20" s="316"/>
      <c r="AI20" s="316"/>
      <c r="AJ20" s="316"/>
      <c r="AK20" s="316"/>
      <c r="AL20" s="316"/>
      <c r="AM20" s="316"/>
    </row>
    <row r="21" spans="1:39" s="317" customFormat="1" ht="24" customHeight="1" x14ac:dyDescent="0.2">
      <c r="A21" s="303">
        <f t="shared" si="7"/>
        <v>15</v>
      </c>
      <c r="B21" s="303">
        <v>7</v>
      </c>
      <c r="C21" s="303">
        <v>2</v>
      </c>
      <c r="D21" s="304">
        <v>9</v>
      </c>
      <c r="E21" s="303">
        <v>1</v>
      </c>
      <c r="F21" s="304">
        <v>180</v>
      </c>
      <c r="G21" s="305">
        <v>12051</v>
      </c>
      <c r="H21" s="306" t="s">
        <v>290</v>
      </c>
      <c r="I21" s="307" t="s">
        <v>291</v>
      </c>
      <c r="J21" s="308">
        <v>41410</v>
      </c>
      <c r="K21" s="310">
        <v>10</v>
      </c>
      <c r="L21" s="310">
        <v>40</v>
      </c>
      <c r="M21" s="310" t="s">
        <v>264</v>
      </c>
      <c r="N21" s="319" t="s">
        <v>292</v>
      </c>
      <c r="O21" s="310" t="s">
        <v>251</v>
      </c>
      <c r="P21" s="312" t="s">
        <v>266</v>
      </c>
      <c r="Q21" s="313">
        <v>13403.4</v>
      </c>
      <c r="R21" s="314">
        <v>0</v>
      </c>
      <c r="S21" s="314">
        <f t="shared" si="0"/>
        <v>13403.4</v>
      </c>
      <c r="T21" s="314"/>
      <c r="U21" s="314">
        <f t="shared" si="1"/>
        <v>2233.8999999999996</v>
      </c>
      <c r="V21" s="314">
        <f t="shared" si="2"/>
        <v>22339</v>
      </c>
      <c r="W21" s="314">
        <f t="shared" si="8"/>
        <v>6701.7</v>
      </c>
      <c r="X21" s="315">
        <f t="shared" si="6"/>
        <v>2345.5949999999998</v>
      </c>
      <c r="Y21" s="315">
        <f t="shared" si="3"/>
        <v>402.10199999999998</v>
      </c>
      <c r="Z21" s="315">
        <f>723.03+24.05+40.05</f>
        <v>787.12999999999988</v>
      </c>
      <c r="AA21" s="315">
        <f t="shared" si="4"/>
        <v>268.06799999999998</v>
      </c>
      <c r="AB21" s="314">
        <v>585.74</v>
      </c>
      <c r="AC21" s="314">
        <v>261.22000000000003</v>
      </c>
      <c r="AD21" s="314"/>
      <c r="AE21" s="314">
        <f>2002+2102</f>
        <v>4104</v>
      </c>
      <c r="AF21" s="314">
        <f t="shared" si="5"/>
        <v>252017.66</v>
      </c>
      <c r="AG21" s="316"/>
      <c r="AH21" s="316"/>
      <c r="AI21" s="316"/>
      <c r="AJ21" s="316"/>
      <c r="AK21" s="316"/>
      <c r="AL21" s="316"/>
      <c r="AM21" s="316"/>
    </row>
    <row r="22" spans="1:39" s="336" customFormat="1" ht="24" customHeight="1" x14ac:dyDescent="0.2">
      <c r="A22" s="303">
        <f t="shared" si="7"/>
        <v>16</v>
      </c>
      <c r="B22" s="303">
        <v>7</v>
      </c>
      <c r="C22" s="303">
        <v>2</v>
      </c>
      <c r="D22" s="304">
        <v>9</v>
      </c>
      <c r="E22" s="303">
        <v>1</v>
      </c>
      <c r="F22" s="304">
        <v>180</v>
      </c>
      <c r="G22" s="305">
        <v>12095</v>
      </c>
      <c r="H22" s="319" t="s">
        <v>293</v>
      </c>
      <c r="I22" s="312" t="s">
        <v>294</v>
      </c>
      <c r="J22" s="308">
        <v>42380</v>
      </c>
      <c r="K22" s="309">
        <v>6</v>
      </c>
      <c r="L22" s="310">
        <v>40</v>
      </c>
      <c r="M22" s="310" t="s">
        <v>249</v>
      </c>
      <c r="N22" s="319" t="s">
        <v>295</v>
      </c>
      <c r="O22" s="310" t="s">
        <v>251</v>
      </c>
      <c r="P22" s="312" t="s">
        <v>266</v>
      </c>
      <c r="Q22" s="334">
        <v>11439</v>
      </c>
      <c r="R22" s="314">
        <v>0</v>
      </c>
      <c r="S22" s="314">
        <f t="shared" si="0"/>
        <v>11439</v>
      </c>
      <c r="T22" s="314"/>
      <c r="U22" s="314">
        <f t="shared" si="1"/>
        <v>1906.5</v>
      </c>
      <c r="V22" s="314">
        <f t="shared" si="2"/>
        <v>19065</v>
      </c>
      <c r="W22" s="314">
        <f t="shared" si="8"/>
        <v>5719.5</v>
      </c>
      <c r="X22" s="315">
        <f t="shared" si="6"/>
        <v>2001.8249999999998</v>
      </c>
      <c r="Y22" s="315">
        <f t="shared" si="3"/>
        <v>343.16999999999996</v>
      </c>
      <c r="Z22" s="315">
        <f>664.11+32.1+44.05</f>
        <v>740.26</v>
      </c>
      <c r="AA22" s="315">
        <f t="shared" si="4"/>
        <v>228.78</v>
      </c>
      <c r="AB22" s="314">
        <v>618.64</v>
      </c>
      <c r="AC22" s="314">
        <v>287.83999999999997</v>
      </c>
      <c r="AD22" s="314"/>
      <c r="AE22" s="314">
        <f>1626+1726</f>
        <v>3352</v>
      </c>
      <c r="AF22" s="314">
        <f t="shared" si="5"/>
        <v>217957.18000000002</v>
      </c>
      <c r="AG22" s="335"/>
      <c r="AH22" s="335"/>
      <c r="AI22" s="335"/>
      <c r="AJ22" s="335"/>
      <c r="AK22" s="335"/>
      <c r="AL22" s="335"/>
      <c r="AM22" s="335"/>
    </row>
    <row r="23" spans="1:39" s="317" customFormat="1" ht="27" customHeight="1" x14ac:dyDescent="0.2">
      <c r="A23" s="303">
        <f t="shared" si="7"/>
        <v>17</v>
      </c>
      <c r="B23" s="303">
        <v>7</v>
      </c>
      <c r="C23" s="303">
        <v>2</v>
      </c>
      <c r="D23" s="304">
        <v>9</v>
      </c>
      <c r="E23" s="303">
        <v>1</v>
      </c>
      <c r="F23" s="304">
        <v>180</v>
      </c>
      <c r="G23" s="305">
        <v>11004</v>
      </c>
      <c r="H23" s="306" t="s">
        <v>296</v>
      </c>
      <c r="I23" s="307" t="s">
        <v>297</v>
      </c>
      <c r="J23" s="308">
        <v>39218</v>
      </c>
      <c r="K23" s="309">
        <v>13</v>
      </c>
      <c r="L23" s="310">
        <v>40</v>
      </c>
      <c r="M23" s="310" t="s">
        <v>249</v>
      </c>
      <c r="N23" s="319" t="s">
        <v>298</v>
      </c>
      <c r="O23" s="310" t="s">
        <v>251</v>
      </c>
      <c r="P23" s="312" t="s">
        <v>266</v>
      </c>
      <c r="Q23" s="313">
        <f>13111.5+430</f>
        <v>13541.5</v>
      </c>
      <c r="R23" s="314">
        <v>0</v>
      </c>
      <c r="S23" s="314">
        <f>Q23</f>
        <v>13541.5</v>
      </c>
      <c r="T23" s="314"/>
      <c r="U23" s="314">
        <f t="shared" si="1"/>
        <v>2256.9166666666665</v>
      </c>
      <c r="V23" s="314">
        <f t="shared" si="2"/>
        <v>22569.166666666668</v>
      </c>
      <c r="W23" s="314">
        <f t="shared" si="8"/>
        <v>6770.75</v>
      </c>
      <c r="X23" s="315">
        <f t="shared" si="6"/>
        <v>2369.7624999999998</v>
      </c>
      <c r="Y23" s="315">
        <f t="shared" si="3"/>
        <v>406.245</v>
      </c>
      <c r="Z23" s="315">
        <f>730.38+20.03</f>
        <v>750.41</v>
      </c>
      <c r="AA23" s="315">
        <f t="shared" si="4"/>
        <v>270.83</v>
      </c>
      <c r="AB23" s="314">
        <v>561.98</v>
      </c>
      <c r="AC23" s="314">
        <v>263.76</v>
      </c>
      <c r="AD23" s="314"/>
      <c r="AE23" s="314">
        <f>2048+2148</f>
        <v>4196</v>
      </c>
      <c r="AF23" s="314">
        <f t="shared" si="5"/>
        <v>253766.68333333335</v>
      </c>
      <c r="AG23" s="316"/>
      <c r="AH23" s="316"/>
      <c r="AI23" s="316"/>
      <c r="AJ23" s="316"/>
      <c r="AK23" s="316"/>
      <c r="AL23" s="316"/>
      <c r="AM23" s="316"/>
    </row>
    <row r="24" spans="1:39" s="317" customFormat="1" ht="27" customHeight="1" x14ac:dyDescent="0.2">
      <c r="A24" s="303">
        <f>A23+1</f>
        <v>18</v>
      </c>
      <c r="B24" s="303">
        <v>7</v>
      </c>
      <c r="C24" s="303">
        <v>2</v>
      </c>
      <c r="D24" s="304">
        <v>9</v>
      </c>
      <c r="E24" s="303">
        <v>1</v>
      </c>
      <c r="F24" s="304">
        <v>180</v>
      </c>
      <c r="G24" s="305">
        <v>12094</v>
      </c>
      <c r="H24" s="311" t="s">
        <v>299</v>
      </c>
      <c r="I24" s="307" t="s">
        <v>300</v>
      </c>
      <c r="J24" s="308">
        <v>42303</v>
      </c>
      <c r="K24" s="309">
        <v>15</v>
      </c>
      <c r="L24" s="310">
        <v>40</v>
      </c>
      <c r="M24" s="310" t="s">
        <v>249</v>
      </c>
      <c r="N24" s="319" t="s">
        <v>301</v>
      </c>
      <c r="O24" s="310" t="s">
        <v>251</v>
      </c>
      <c r="P24" s="312" t="s">
        <v>266</v>
      </c>
      <c r="Q24" s="313">
        <v>15424.8</v>
      </c>
      <c r="R24" s="314">
        <v>0</v>
      </c>
      <c r="S24" s="314">
        <f t="shared" si="0"/>
        <v>15424.8</v>
      </c>
      <c r="T24" s="314"/>
      <c r="U24" s="314">
        <f t="shared" si="1"/>
        <v>2570.7999999999997</v>
      </c>
      <c r="V24" s="314">
        <f t="shared" si="2"/>
        <v>25708</v>
      </c>
      <c r="W24" s="314">
        <f t="shared" si="8"/>
        <v>7712.4</v>
      </c>
      <c r="X24" s="315">
        <f t="shared" si="6"/>
        <v>2699.3399999999997</v>
      </c>
      <c r="Y24" s="315">
        <f t="shared" si="3"/>
        <v>462.74399999999997</v>
      </c>
      <c r="Z24" s="315">
        <v>802.53</v>
      </c>
      <c r="AA24" s="315">
        <f t="shared" si="4"/>
        <v>308.49599999999998</v>
      </c>
      <c r="AB24" s="314">
        <v>555.24</v>
      </c>
      <c r="AC24" s="314">
        <v>257.33999999999997</v>
      </c>
      <c r="AD24" s="314"/>
      <c r="AE24" s="314">
        <f>2504+2604</f>
        <v>5108</v>
      </c>
      <c r="AF24" s="314">
        <f t="shared" si="5"/>
        <v>287225.07999999996</v>
      </c>
      <c r="AG24" s="316"/>
      <c r="AH24" s="316"/>
      <c r="AI24" s="316"/>
      <c r="AJ24" s="316"/>
      <c r="AK24" s="316"/>
      <c r="AL24" s="316"/>
      <c r="AM24" s="316"/>
    </row>
    <row r="25" spans="1:39" s="317" customFormat="1" ht="23.25" customHeight="1" x14ac:dyDescent="0.2">
      <c r="A25" s="303">
        <f>A24+1</f>
        <v>19</v>
      </c>
      <c r="B25" s="303">
        <v>7</v>
      </c>
      <c r="C25" s="303">
        <v>2</v>
      </c>
      <c r="D25" s="304">
        <v>9</v>
      </c>
      <c r="E25" s="303">
        <v>1</v>
      </c>
      <c r="F25" s="304">
        <v>180</v>
      </c>
      <c r="G25" s="305">
        <v>13014</v>
      </c>
      <c r="H25" s="326" t="s">
        <v>302</v>
      </c>
      <c r="I25" s="307" t="s">
        <v>303</v>
      </c>
      <c r="J25" s="308">
        <v>43160</v>
      </c>
      <c r="K25" s="310">
        <v>14</v>
      </c>
      <c r="L25" s="310">
        <v>40</v>
      </c>
      <c r="M25" s="310" t="s">
        <v>249</v>
      </c>
      <c r="N25" s="319" t="s">
        <v>304</v>
      </c>
      <c r="O25" s="310" t="s">
        <v>251</v>
      </c>
      <c r="P25" s="312" t="s">
        <v>266</v>
      </c>
      <c r="Q25" s="337">
        <f>12969.3+635.5</f>
        <v>13604.8</v>
      </c>
      <c r="R25" s="314">
        <v>0</v>
      </c>
      <c r="S25" s="314">
        <f t="shared" si="0"/>
        <v>13604.8</v>
      </c>
      <c r="T25" s="314"/>
      <c r="U25" s="314">
        <f t="shared" si="1"/>
        <v>2267.4666666666662</v>
      </c>
      <c r="V25" s="314">
        <f t="shared" si="2"/>
        <v>22674.666666666664</v>
      </c>
      <c r="W25" s="314">
        <f t="shared" si="8"/>
        <v>6802.4</v>
      </c>
      <c r="X25" s="315">
        <f t="shared" si="6"/>
        <v>2380.8399999999997</v>
      </c>
      <c r="Y25" s="315">
        <f t="shared" si="3"/>
        <v>408.14399999999995</v>
      </c>
      <c r="Z25" s="315">
        <v>734.34</v>
      </c>
      <c r="AA25" s="315">
        <f t="shared" si="4"/>
        <v>272.096</v>
      </c>
      <c r="AB25" s="314">
        <v>401.4</v>
      </c>
      <c r="AC25" s="314">
        <v>296.3</v>
      </c>
      <c r="AD25" s="314"/>
      <c r="AE25" s="314">
        <f>2067+2167</f>
        <v>4234</v>
      </c>
      <c r="AF25" s="314">
        <f t="shared" si="5"/>
        <v>253153.57333333336</v>
      </c>
      <c r="AG25" s="316"/>
      <c r="AH25" s="316"/>
      <c r="AI25" s="316"/>
      <c r="AJ25" s="316"/>
      <c r="AK25" s="316"/>
      <c r="AL25" s="316"/>
      <c r="AM25" s="316"/>
    </row>
    <row r="26" spans="1:39" s="343" customFormat="1" ht="29.25" customHeight="1" x14ac:dyDescent="0.2">
      <c r="A26" s="303">
        <f t="shared" ref="A26:A53" si="9">A25+1</f>
        <v>20</v>
      </c>
      <c r="B26" s="303">
        <v>7</v>
      </c>
      <c r="C26" s="303">
        <v>2</v>
      </c>
      <c r="D26" s="304">
        <v>9</v>
      </c>
      <c r="E26" s="303">
        <v>1</v>
      </c>
      <c r="F26" s="304">
        <v>180</v>
      </c>
      <c r="G26" s="338">
        <v>6018</v>
      </c>
      <c r="H26" s="326" t="s">
        <v>305</v>
      </c>
      <c r="I26" s="307" t="s">
        <v>306</v>
      </c>
      <c r="J26" s="308">
        <v>35992</v>
      </c>
      <c r="K26" s="309">
        <v>7</v>
      </c>
      <c r="L26" s="310">
        <v>40</v>
      </c>
      <c r="M26" s="310" t="s">
        <v>249</v>
      </c>
      <c r="N26" s="319" t="s">
        <v>307</v>
      </c>
      <c r="O26" s="310" t="s">
        <v>251</v>
      </c>
      <c r="P26" s="312" t="s">
        <v>308</v>
      </c>
      <c r="Q26" s="339">
        <v>11682.9</v>
      </c>
      <c r="R26" s="314">
        <v>0</v>
      </c>
      <c r="S26" s="340">
        <f>Q26</f>
        <v>11682.9</v>
      </c>
      <c r="T26" s="340"/>
      <c r="U26" s="340">
        <f>+S26/30*5</f>
        <v>1947.15</v>
      </c>
      <c r="V26" s="340">
        <f>+S26/30*50</f>
        <v>19471.5</v>
      </c>
      <c r="W26" s="340">
        <f>+Q26/2</f>
        <v>5841.45</v>
      </c>
      <c r="X26" s="315">
        <f>+Q26*17.5%</f>
        <v>2044.5074999999997</v>
      </c>
      <c r="Y26" s="341">
        <f>+Q26*3%</f>
        <v>350.48699999999997</v>
      </c>
      <c r="Z26" s="341">
        <f>670.91+32.07+44.05</f>
        <v>747.03</v>
      </c>
      <c r="AA26" s="341">
        <f>+Q26*2%</f>
        <v>233.65799999999999</v>
      </c>
      <c r="AB26" s="340">
        <v>618.55999999999995</v>
      </c>
      <c r="AC26" s="340">
        <v>284.68</v>
      </c>
      <c r="AD26" s="341"/>
      <c r="AE26" s="340">
        <f>1669+1769</f>
        <v>3438</v>
      </c>
      <c r="AF26" s="314">
        <f>+(S26+X26+Y26+Z26+AA26+AB26+AC26)*12+W26+U26+V26+AD26+AE26</f>
        <v>222239.97</v>
      </c>
      <c r="AG26" s="342"/>
      <c r="AH26" s="342"/>
      <c r="AI26" s="342"/>
      <c r="AJ26" s="342"/>
      <c r="AK26" s="342"/>
      <c r="AL26" s="342"/>
      <c r="AM26" s="342"/>
    </row>
    <row r="27" spans="1:39" s="343" customFormat="1" ht="34.5" customHeight="1" x14ac:dyDescent="0.2">
      <c r="A27" s="303">
        <f t="shared" si="9"/>
        <v>21</v>
      </c>
      <c r="B27" s="303">
        <v>7</v>
      </c>
      <c r="C27" s="303">
        <v>2</v>
      </c>
      <c r="D27" s="304">
        <v>9</v>
      </c>
      <c r="E27" s="338">
        <v>3</v>
      </c>
      <c r="F27" s="304">
        <v>180</v>
      </c>
      <c r="G27" s="338">
        <v>11142</v>
      </c>
      <c r="H27" s="344" t="s">
        <v>309</v>
      </c>
      <c r="I27" s="344" t="s">
        <v>310</v>
      </c>
      <c r="J27" s="345">
        <v>38309</v>
      </c>
      <c r="K27" s="309">
        <v>7</v>
      </c>
      <c r="L27" s="310">
        <v>40</v>
      </c>
      <c r="M27" s="346" t="s">
        <v>264</v>
      </c>
      <c r="N27" s="347" t="s">
        <v>283</v>
      </c>
      <c r="O27" s="346" t="s">
        <v>251</v>
      </c>
      <c r="P27" s="312" t="s">
        <v>308</v>
      </c>
      <c r="Q27" s="339">
        <v>11323.2</v>
      </c>
      <c r="R27" s="314">
        <v>0</v>
      </c>
      <c r="S27" s="340">
        <f>Q27</f>
        <v>11323.2</v>
      </c>
      <c r="T27" s="340"/>
      <c r="U27" s="340">
        <f>+S27/30*5</f>
        <v>1887.2</v>
      </c>
      <c r="V27" s="340">
        <f>+S27/30*50</f>
        <v>18872</v>
      </c>
      <c r="W27" s="340">
        <f>+Q27/2</f>
        <v>5661.6</v>
      </c>
      <c r="X27" s="315">
        <f>+Q27*17.5%</f>
        <v>1981.56</v>
      </c>
      <c r="Y27" s="341">
        <f>+Q27*3%</f>
        <v>339.69600000000003</v>
      </c>
      <c r="Z27" s="341">
        <f>660.84+32.08+44.05</f>
        <v>736.97</v>
      </c>
      <c r="AA27" s="341">
        <f>+Q27*2%</f>
        <v>226.46400000000003</v>
      </c>
      <c r="AB27" s="314">
        <v>617.70000000000005</v>
      </c>
      <c r="AC27" s="314">
        <v>287.83999999999997</v>
      </c>
      <c r="AD27" s="340"/>
      <c r="AE27" s="340">
        <f>1609+1709</f>
        <v>3318</v>
      </c>
      <c r="AF27" s="314">
        <f>+(S27+X27+Y27+Z27+AA27+AB27+AC27)*12+W27+U27+V27+AD27+AE27</f>
        <v>215899.96000000002</v>
      </c>
      <c r="AG27" s="342"/>
      <c r="AH27" s="342"/>
      <c r="AI27" s="342"/>
      <c r="AJ27" s="342"/>
      <c r="AK27" s="342"/>
      <c r="AL27" s="342"/>
      <c r="AM27" s="342"/>
    </row>
    <row r="28" spans="1:39" s="317" customFormat="1" ht="27" customHeight="1" x14ac:dyDescent="0.2">
      <c r="A28" s="303">
        <f t="shared" si="9"/>
        <v>22</v>
      </c>
      <c r="B28" s="303">
        <v>7</v>
      </c>
      <c r="C28" s="303">
        <v>2</v>
      </c>
      <c r="D28" s="304">
        <v>9</v>
      </c>
      <c r="E28" s="303">
        <v>1</v>
      </c>
      <c r="F28" s="304">
        <v>180</v>
      </c>
      <c r="G28" s="325">
        <v>12099</v>
      </c>
      <c r="H28" s="323" t="s">
        <v>311</v>
      </c>
      <c r="I28" s="308" t="s">
        <v>312</v>
      </c>
      <c r="J28" s="308">
        <v>42476</v>
      </c>
      <c r="K28" s="309">
        <v>13</v>
      </c>
      <c r="L28" s="310">
        <v>40</v>
      </c>
      <c r="M28" s="310" t="s">
        <v>249</v>
      </c>
      <c r="N28" s="319" t="s">
        <v>313</v>
      </c>
      <c r="O28" s="310" t="s">
        <v>251</v>
      </c>
      <c r="P28" s="312" t="s">
        <v>266</v>
      </c>
      <c r="Q28" s="313">
        <f>13111.5+430</f>
        <v>13541.5</v>
      </c>
      <c r="R28" s="314">
        <v>0</v>
      </c>
      <c r="S28" s="314">
        <f t="shared" si="0"/>
        <v>13541.5</v>
      </c>
      <c r="T28" s="314"/>
      <c r="U28" s="314">
        <f t="shared" si="1"/>
        <v>2256.9166666666665</v>
      </c>
      <c r="V28" s="314">
        <f t="shared" si="2"/>
        <v>22569.166666666668</v>
      </c>
      <c r="W28" s="314">
        <f t="shared" si="8"/>
        <v>6770.75</v>
      </c>
      <c r="X28" s="315">
        <f t="shared" si="6"/>
        <v>2369.7624999999998</v>
      </c>
      <c r="Y28" s="315">
        <f t="shared" si="3"/>
        <v>406.245</v>
      </c>
      <c r="Z28" s="315">
        <f>730.21+20.03</f>
        <v>750.24</v>
      </c>
      <c r="AA28" s="315">
        <f t="shared" si="4"/>
        <v>270.83</v>
      </c>
      <c r="AB28" s="314">
        <v>555.24</v>
      </c>
      <c r="AC28" s="314">
        <v>257.33999999999997</v>
      </c>
      <c r="AD28" s="314"/>
      <c r="AE28" s="314">
        <f>2048+2148</f>
        <v>4196</v>
      </c>
      <c r="AF28" s="314">
        <f t="shared" si="5"/>
        <v>253606.72333333339</v>
      </c>
      <c r="AG28" s="316"/>
      <c r="AH28" s="316"/>
      <c r="AI28" s="316"/>
      <c r="AJ28" s="316"/>
      <c r="AK28" s="316"/>
      <c r="AL28" s="316"/>
      <c r="AM28" s="316"/>
    </row>
    <row r="29" spans="1:39" s="317" customFormat="1" ht="24" customHeight="1" x14ac:dyDescent="0.2">
      <c r="A29" s="303">
        <f t="shared" si="9"/>
        <v>23</v>
      </c>
      <c r="B29" s="303">
        <v>7</v>
      </c>
      <c r="C29" s="303">
        <v>2</v>
      </c>
      <c r="D29" s="304">
        <v>9</v>
      </c>
      <c r="E29" s="303">
        <v>1</v>
      </c>
      <c r="F29" s="304">
        <v>180</v>
      </c>
      <c r="G29" s="305">
        <v>13004</v>
      </c>
      <c r="H29" s="326" t="s">
        <v>314</v>
      </c>
      <c r="I29" s="312" t="s">
        <v>315</v>
      </c>
      <c r="J29" s="308">
        <v>42690</v>
      </c>
      <c r="K29" s="309">
        <v>21</v>
      </c>
      <c r="L29" s="309">
        <v>40</v>
      </c>
      <c r="M29" s="310" t="s">
        <v>249</v>
      </c>
      <c r="N29" s="319" t="s">
        <v>316</v>
      </c>
      <c r="O29" s="348" t="s">
        <v>251</v>
      </c>
      <c r="P29" s="312" t="s">
        <v>266</v>
      </c>
      <c r="Q29" s="313">
        <v>29135.4</v>
      </c>
      <c r="R29" s="314">
        <v>0</v>
      </c>
      <c r="S29" s="314">
        <f t="shared" si="0"/>
        <v>29135.4</v>
      </c>
      <c r="T29" s="314"/>
      <c r="U29" s="314">
        <f t="shared" si="1"/>
        <v>4855.9000000000005</v>
      </c>
      <c r="V29" s="314">
        <f t="shared" si="2"/>
        <v>48559</v>
      </c>
      <c r="W29" s="314">
        <f t="shared" si="8"/>
        <v>14567.7</v>
      </c>
      <c r="X29" s="315">
        <f t="shared" si="6"/>
        <v>5098.6949999999997</v>
      </c>
      <c r="Y29" s="315">
        <f t="shared" si="3"/>
        <v>874.06200000000001</v>
      </c>
      <c r="Z29" s="315">
        <v>1187.08</v>
      </c>
      <c r="AA29" s="315">
        <f t="shared" si="4"/>
        <v>582.70800000000008</v>
      </c>
      <c r="AB29" s="314">
        <v>950.38</v>
      </c>
      <c r="AC29" s="314">
        <v>674.46</v>
      </c>
      <c r="AD29" s="314"/>
      <c r="AE29" s="314">
        <v>10500</v>
      </c>
      <c r="AF29" s="314">
        <f t="shared" si="5"/>
        <v>540516.02</v>
      </c>
      <c r="AG29" s="316"/>
      <c r="AH29" s="316"/>
      <c r="AI29" s="316"/>
      <c r="AJ29" s="316"/>
      <c r="AK29" s="316"/>
      <c r="AL29" s="316"/>
      <c r="AM29" s="316"/>
    </row>
    <row r="30" spans="1:39" s="350" customFormat="1" ht="27" customHeight="1" x14ac:dyDescent="0.2">
      <c r="A30" s="303">
        <f t="shared" si="9"/>
        <v>24</v>
      </c>
      <c r="B30" s="303">
        <v>7</v>
      </c>
      <c r="C30" s="303">
        <v>2</v>
      </c>
      <c r="D30" s="304">
        <v>9</v>
      </c>
      <c r="E30" s="303">
        <v>2</v>
      </c>
      <c r="F30" s="304">
        <v>180</v>
      </c>
      <c r="G30" s="305">
        <v>12003</v>
      </c>
      <c r="H30" s="306" t="s">
        <v>317</v>
      </c>
      <c r="I30" s="307" t="s">
        <v>318</v>
      </c>
      <c r="J30" s="308">
        <v>38853</v>
      </c>
      <c r="K30" s="309">
        <v>13</v>
      </c>
      <c r="L30" s="310">
        <v>40</v>
      </c>
      <c r="M30" s="310" t="s">
        <v>249</v>
      </c>
      <c r="N30" s="319" t="s">
        <v>319</v>
      </c>
      <c r="O30" s="310" t="s">
        <v>251</v>
      </c>
      <c r="P30" s="312" t="s">
        <v>320</v>
      </c>
      <c r="Q30" s="313">
        <f>13111.5+430</f>
        <v>13541.5</v>
      </c>
      <c r="R30" s="314">
        <v>0</v>
      </c>
      <c r="S30" s="314">
        <f t="shared" si="0"/>
        <v>13541.5</v>
      </c>
      <c r="T30" s="314"/>
      <c r="U30" s="314">
        <f t="shared" si="1"/>
        <v>2256.9166666666665</v>
      </c>
      <c r="V30" s="314">
        <f t="shared" si="2"/>
        <v>22569.166666666668</v>
      </c>
      <c r="W30" s="314">
        <f t="shared" si="8"/>
        <v>6770.75</v>
      </c>
      <c r="X30" s="315">
        <f t="shared" si="6"/>
        <v>2369.7624999999998</v>
      </c>
      <c r="Y30" s="315">
        <f t="shared" si="3"/>
        <v>406.245</v>
      </c>
      <c r="Z30" s="315">
        <v>729.71</v>
      </c>
      <c r="AA30" s="315">
        <f t="shared" si="4"/>
        <v>270.83</v>
      </c>
      <c r="AB30" s="314">
        <v>550.66</v>
      </c>
      <c r="AC30" s="314">
        <v>257.33999999999997</v>
      </c>
      <c r="AD30" s="314"/>
      <c r="AE30" s="314">
        <f>2048+2148</f>
        <v>4196</v>
      </c>
      <c r="AF30" s="314">
        <f t="shared" si="5"/>
        <v>253305.40333333338</v>
      </c>
      <c r="AG30" s="349"/>
      <c r="AH30" s="349"/>
      <c r="AI30" s="349"/>
      <c r="AJ30" s="349"/>
      <c r="AK30" s="349"/>
      <c r="AL30" s="349"/>
      <c r="AM30" s="349"/>
    </row>
    <row r="31" spans="1:39" s="317" customFormat="1" ht="23.25" customHeight="1" x14ac:dyDescent="0.2">
      <c r="A31" s="303">
        <f t="shared" si="9"/>
        <v>25</v>
      </c>
      <c r="B31" s="303">
        <v>7</v>
      </c>
      <c r="C31" s="303">
        <v>2</v>
      </c>
      <c r="D31" s="304">
        <v>9</v>
      </c>
      <c r="E31" s="303">
        <v>2</v>
      </c>
      <c r="F31" s="304">
        <v>180</v>
      </c>
      <c r="G31" s="305">
        <v>12052</v>
      </c>
      <c r="H31" s="306" t="s">
        <v>321</v>
      </c>
      <c r="I31" s="307" t="s">
        <v>322</v>
      </c>
      <c r="J31" s="308">
        <v>41410</v>
      </c>
      <c r="K31" s="309">
        <v>14</v>
      </c>
      <c r="L31" s="309">
        <v>40</v>
      </c>
      <c r="M31" s="310" t="s">
        <v>249</v>
      </c>
      <c r="N31" s="319" t="s">
        <v>323</v>
      </c>
      <c r="O31" s="310" t="s">
        <v>251</v>
      </c>
      <c r="P31" s="312" t="s">
        <v>320</v>
      </c>
      <c r="Q31" s="337">
        <f>12969.3+635.5</f>
        <v>13604.8</v>
      </c>
      <c r="R31" s="314">
        <v>0</v>
      </c>
      <c r="S31" s="314">
        <f t="shared" si="0"/>
        <v>13604.8</v>
      </c>
      <c r="T31" s="314"/>
      <c r="U31" s="314">
        <f t="shared" si="1"/>
        <v>2267.4666666666662</v>
      </c>
      <c r="V31" s="314">
        <f t="shared" si="2"/>
        <v>22674.666666666664</v>
      </c>
      <c r="W31" s="314">
        <f t="shared" si="8"/>
        <v>6802.4</v>
      </c>
      <c r="X31" s="315">
        <f t="shared" si="6"/>
        <v>2380.8399999999997</v>
      </c>
      <c r="Y31" s="315">
        <f t="shared" si="3"/>
        <v>408.14399999999995</v>
      </c>
      <c r="Z31" s="315">
        <v>734.34</v>
      </c>
      <c r="AA31" s="315">
        <f t="shared" si="4"/>
        <v>272.096</v>
      </c>
      <c r="AB31" s="314">
        <v>401.4</v>
      </c>
      <c r="AC31" s="314">
        <v>296.3</v>
      </c>
      <c r="AD31" s="314"/>
      <c r="AE31" s="314">
        <f>2067+2167</f>
        <v>4234</v>
      </c>
      <c r="AF31" s="314">
        <f t="shared" si="5"/>
        <v>253153.57333333336</v>
      </c>
      <c r="AG31" s="316"/>
      <c r="AH31" s="316"/>
      <c r="AI31" s="316"/>
      <c r="AJ31" s="316"/>
      <c r="AK31" s="316"/>
      <c r="AL31" s="316"/>
      <c r="AM31" s="316"/>
    </row>
    <row r="32" spans="1:39" s="317" customFormat="1" ht="23.25" customHeight="1" x14ac:dyDescent="0.2">
      <c r="A32" s="303">
        <f t="shared" si="9"/>
        <v>26</v>
      </c>
      <c r="B32" s="303">
        <v>7</v>
      </c>
      <c r="C32" s="303">
        <v>2</v>
      </c>
      <c r="D32" s="304">
        <v>9</v>
      </c>
      <c r="E32" s="303">
        <v>2</v>
      </c>
      <c r="F32" s="304">
        <v>180</v>
      </c>
      <c r="G32" s="318">
        <v>13000</v>
      </c>
      <c r="H32" s="326" t="s">
        <v>324</v>
      </c>
      <c r="I32" s="319" t="s">
        <v>325</v>
      </c>
      <c r="J32" s="308">
        <v>42480</v>
      </c>
      <c r="K32" s="309">
        <v>7</v>
      </c>
      <c r="L32" s="310">
        <v>40</v>
      </c>
      <c r="M32" s="310" t="s">
        <v>249</v>
      </c>
      <c r="N32" s="319" t="s">
        <v>326</v>
      </c>
      <c r="O32" s="310" t="s">
        <v>251</v>
      </c>
      <c r="P32" s="312" t="s">
        <v>320</v>
      </c>
      <c r="Q32" s="351">
        <v>10880.4</v>
      </c>
      <c r="R32" s="314">
        <v>0</v>
      </c>
      <c r="S32" s="314">
        <f t="shared" si="0"/>
        <v>10880.4</v>
      </c>
      <c r="T32" s="314"/>
      <c r="U32" s="314">
        <f t="shared" si="1"/>
        <v>1813.4</v>
      </c>
      <c r="V32" s="314">
        <f t="shared" si="2"/>
        <v>18134</v>
      </c>
      <c r="W32" s="314">
        <f t="shared" si="8"/>
        <v>5440.2</v>
      </c>
      <c r="X32" s="315">
        <f t="shared" si="6"/>
        <v>1904.0699999999997</v>
      </c>
      <c r="Y32" s="315">
        <f t="shared" si="3"/>
        <v>326.41199999999998</v>
      </c>
      <c r="Z32" s="315">
        <f>664.11+32.06+44.06</f>
        <v>740.23</v>
      </c>
      <c r="AA32" s="315">
        <f t="shared" si="4"/>
        <v>217.608</v>
      </c>
      <c r="AB32" s="314">
        <v>618.64</v>
      </c>
      <c r="AC32" s="314">
        <v>287.83999999999997</v>
      </c>
      <c r="AD32" s="314"/>
      <c r="AE32" s="314">
        <f>1626+1726</f>
        <v>3352</v>
      </c>
      <c r="AF32" s="314">
        <f t="shared" si="5"/>
        <v>208442</v>
      </c>
      <c r="AG32" s="316"/>
      <c r="AH32" s="316"/>
      <c r="AI32" s="316"/>
      <c r="AJ32" s="316"/>
      <c r="AK32" s="316"/>
      <c r="AL32" s="316"/>
      <c r="AM32" s="316"/>
    </row>
    <row r="33" spans="1:39" s="317" customFormat="1" ht="27" customHeight="1" x14ac:dyDescent="0.2">
      <c r="A33" s="303">
        <f t="shared" si="9"/>
        <v>27</v>
      </c>
      <c r="B33" s="303">
        <v>7</v>
      </c>
      <c r="C33" s="303">
        <v>2</v>
      </c>
      <c r="D33" s="304">
        <v>9</v>
      </c>
      <c r="E33" s="303">
        <v>2</v>
      </c>
      <c r="F33" s="304">
        <v>180</v>
      </c>
      <c r="G33" s="330">
        <v>12093</v>
      </c>
      <c r="H33" s="331" t="s">
        <v>327</v>
      </c>
      <c r="I33" s="332" t="s">
        <v>328</v>
      </c>
      <c r="J33" s="333">
        <v>42318</v>
      </c>
      <c r="K33" s="309">
        <v>7</v>
      </c>
      <c r="L33" s="310">
        <v>40</v>
      </c>
      <c r="M33" s="310" t="s">
        <v>249</v>
      </c>
      <c r="N33" s="319" t="s">
        <v>326</v>
      </c>
      <c r="O33" s="310" t="s">
        <v>251</v>
      </c>
      <c r="P33" s="352" t="s">
        <v>320</v>
      </c>
      <c r="Q33" s="353">
        <v>11439</v>
      </c>
      <c r="R33" s="354">
        <v>0</v>
      </c>
      <c r="S33" s="314">
        <f t="shared" si="0"/>
        <v>11439</v>
      </c>
      <c r="T33" s="314"/>
      <c r="U33" s="314">
        <f t="shared" si="1"/>
        <v>1906.5</v>
      </c>
      <c r="V33" s="314">
        <f t="shared" si="2"/>
        <v>19065</v>
      </c>
      <c r="W33" s="314">
        <f t="shared" si="8"/>
        <v>5719.5</v>
      </c>
      <c r="X33" s="315">
        <f t="shared" si="6"/>
        <v>2001.8249999999998</v>
      </c>
      <c r="Y33" s="315">
        <f t="shared" si="3"/>
        <v>343.16999999999996</v>
      </c>
      <c r="Z33" s="315">
        <f>665.31+44.05</f>
        <v>709.3599999999999</v>
      </c>
      <c r="AA33" s="315">
        <f t="shared" si="4"/>
        <v>228.78</v>
      </c>
      <c r="AB33" s="314">
        <v>618.64</v>
      </c>
      <c r="AC33" s="314">
        <v>287.83999999999997</v>
      </c>
      <c r="AD33" s="314"/>
      <c r="AE33" s="314">
        <f>1626+1726</f>
        <v>3352</v>
      </c>
      <c r="AF33" s="314">
        <f t="shared" si="5"/>
        <v>217586.38</v>
      </c>
      <c r="AG33" s="316"/>
      <c r="AH33" s="316"/>
      <c r="AI33" s="316"/>
      <c r="AJ33" s="316"/>
      <c r="AK33" s="316"/>
      <c r="AL33" s="316"/>
      <c r="AM33" s="316"/>
    </row>
    <row r="34" spans="1:39" s="317" customFormat="1" ht="23.25" customHeight="1" x14ac:dyDescent="0.2">
      <c r="A34" s="303">
        <f t="shared" si="9"/>
        <v>28</v>
      </c>
      <c r="B34" s="303">
        <v>7</v>
      </c>
      <c r="C34" s="303">
        <v>2</v>
      </c>
      <c r="D34" s="304">
        <v>9</v>
      </c>
      <c r="E34" s="303">
        <v>2</v>
      </c>
      <c r="F34" s="304">
        <v>180</v>
      </c>
      <c r="G34" s="305">
        <v>6028</v>
      </c>
      <c r="H34" s="306" t="s">
        <v>284</v>
      </c>
      <c r="I34" s="307" t="s">
        <v>285</v>
      </c>
      <c r="J34" s="308">
        <v>41944</v>
      </c>
      <c r="K34" s="309">
        <v>9</v>
      </c>
      <c r="L34" s="310">
        <v>40</v>
      </c>
      <c r="M34" s="310" t="s">
        <v>249</v>
      </c>
      <c r="N34" s="319" t="s">
        <v>329</v>
      </c>
      <c r="O34" s="310" t="s">
        <v>251</v>
      </c>
      <c r="P34" s="312" t="s">
        <v>320</v>
      </c>
      <c r="Q34" s="355">
        <v>12386.7</v>
      </c>
      <c r="R34" s="314">
        <v>0</v>
      </c>
      <c r="S34" s="314">
        <f t="shared" si="0"/>
        <v>12386.7</v>
      </c>
      <c r="T34" s="314"/>
      <c r="U34" s="314">
        <f t="shared" si="1"/>
        <v>2064.4500000000003</v>
      </c>
      <c r="V34" s="314">
        <f t="shared" si="2"/>
        <v>20644.500000000004</v>
      </c>
      <c r="W34" s="314">
        <f t="shared" si="8"/>
        <v>6193.35</v>
      </c>
      <c r="X34" s="315">
        <f t="shared" si="6"/>
        <v>2167.6725000000001</v>
      </c>
      <c r="Y34" s="315">
        <f t="shared" si="3"/>
        <v>371.601</v>
      </c>
      <c r="Z34" s="315">
        <f>691.77+44.05</f>
        <v>735.81999999999994</v>
      </c>
      <c r="AA34" s="315">
        <f t="shared" si="4"/>
        <v>247.73400000000001</v>
      </c>
      <c r="AB34" s="314">
        <v>635.41999999999996</v>
      </c>
      <c r="AC34" s="314">
        <v>295.27999999999997</v>
      </c>
      <c r="AD34" s="314"/>
      <c r="AE34" s="314">
        <f>1799+1899</f>
        <v>3698</v>
      </c>
      <c r="AF34" s="314">
        <f t="shared" si="5"/>
        <v>234683.03000000003</v>
      </c>
      <c r="AG34" s="316"/>
      <c r="AH34" s="316"/>
      <c r="AI34" s="316"/>
      <c r="AJ34" s="316"/>
      <c r="AK34" s="316"/>
      <c r="AL34" s="316"/>
      <c r="AM34" s="316"/>
    </row>
    <row r="35" spans="1:39" s="317" customFormat="1" ht="24" customHeight="1" x14ac:dyDescent="0.2">
      <c r="A35" s="303">
        <f>A34+1</f>
        <v>29</v>
      </c>
      <c r="B35" s="303">
        <v>7</v>
      </c>
      <c r="C35" s="303">
        <v>2</v>
      </c>
      <c r="D35" s="304">
        <v>9</v>
      </c>
      <c r="E35" s="303">
        <v>0</v>
      </c>
      <c r="F35" s="304">
        <v>180</v>
      </c>
      <c r="G35" s="305">
        <v>13005</v>
      </c>
      <c r="H35" s="306" t="s">
        <v>330</v>
      </c>
      <c r="I35" s="307" t="s">
        <v>331</v>
      </c>
      <c r="J35" s="308">
        <v>42712</v>
      </c>
      <c r="K35" s="309">
        <v>19</v>
      </c>
      <c r="L35" s="310">
        <v>40</v>
      </c>
      <c r="M35" s="310" t="s">
        <v>249</v>
      </c>
      <c r="N35" s="319" t="s">
        <v>332</v>
      </c>
      <c r="O35" s="310" t="s">
        <v>251</v>
      </c>
      <c r="P35" s="312" t="s">
        <v>320</v>
      </c>
      <c r="Q35" s="313">
        <v>24232.799999999999</v>
      </c>
      <c r="R35" s="314">
        <v>0</v>
      </c>
      <c r="S35" s="314">
        <f t="shared" si="0"/>
        <v>24232.799999999999</v>
      </c>
      <c r="T35" s="314"/>
      <c r="U35" s="314">
        <f t="shared" si="1"/>
        <v>4038.8</v>
      </c>
      <c r="V35" s="314">
        <f t="shared" si="2"/>
        <v>40388</v>
      </c>
      <c r="W35" s="314">
        <f t="shared" si="8"/>
        <v>12116.4</v>
      </c>
      <c r="X35" s="315">
        <f t="shared" si="6"/>
        <v>4240.74</v>
      </c>
      <c r="Y35" s="315">
        <f t="shared" si="3"/>
        <v>726.98399999999992</v>
      </c>
      <c r="Z35" s="315">
        <v>1057.94</v>
      </c>
      <c r="AA35" s="315">
        <f t="shared" si="4"/>
        <v>484.65600000000001</v>
      </c>
      <c r="AB35" s="314">
        <v>675.84</v>
      </c>
      <c r="AC35" s="314">
        <v>499.98</v>
      </c>
      <c r="AD35" s="314"/>
      <c r="AE35" s="314">
        <v>9100</v>
      </c>
      <c r="AF35" s="314">
        <f t="shared" si="5"/>
        <v>448670.48</v>
      </c>
      <c r="AG35" s="316"/>
      <c r="AH35" s="316"/>
      <c r="AI35" s="316"/>
      <c r="AJ35" s="316"/>
      <c r="AK35" s="316"/>
      <c r="AL35" s="316"/>
      <c r="AM35" s="316"/>
    </row>
    <row r="36" spans="1:39" s="317" customFormat="1" ht="24" customHeight="1" x14ac:dyDescent="0.2">
      <c r="A36" s="303">
        <f t="shared" si="9"/>
        <v>30</v>
      </c>
      <c r="B36" s="303">
        <v>7</v>
      </c>
      <c r="C36" s="303">
        <v>2</v>
      </c>
      <c r="D36" s="304">
        <v>9</v>
      </c>
      <c r="E36" s="303">
        <v>2</v>
      </c>
      <c r="F36" s="304">
        <v>180</v>
      </c>
      <c r="G36" s="305">
        <v>5003</v>
      </c>
      <c r="H36" s="311" t="s">
        <v>333</v>
      </c>
      <c r="I36" s="307" t="s">
        <v>334</v>
      </c>
      <c r="J36" s="308">
        <v>32717</v>
      </c>
      <c r="K36" s="310">
        <v>13</v>
      </c>
      <c r="L36" s="310">
        <v>40</v>
      </c>
      <c r="M36" s="310" t="s">
        <v>249</v>
      </c>
      <c r="N36" s="319" t="s">
        <v>335</v>
      </c>
      <c r="O36" s="310" t="s">
        <v>251</v>
      </c>
      <c r="P36" s="312" t="s">
        <v>320</v>
      </c>
      <c r="Q36" s="313">
        <f>13111.5+430</f>
        <v>13541.5</v>
      </c>
      <c r="R36" s="314">
        <v>0</v>
      </c>
      <c r="S36" s="314">
        <f t="shared" si="0"/>
        <v>13541.5</v>
      </c>
      <c r="T36" s="314"/>
      <c r="U36" s="314">
        <f t="shared" si="1"/>
        <v>2256.9166666666665</v>
      </c>
      <c r="V36" s="314">
        <f t="shared" si="2"/>
        <v>22569.166666666668</v>
      </c>
      <c r="W36" s="314">
        <f t="shared" si="8"/>
        <v>6770.75</v>
      </c>
      <c r="X36" s="315">
        <f t="shared" si="6"/>
        <v>2369.7624999999998</v>
      </c>
      <c r="Y36" s="315">
        <f t="shared" si="3"/>
        <v>406.245</v>
      </c>
      <c r="Z36" s="315">
        <f>730.21+20.03</f>
        <v>750.24</v>
      </c>
      <c r="AA36" s="315">
        <f t="shared" si="4"/>
        <v>270.83</v>
      </c>
      <c r="AB36" s="314">
        <v>561.98</v>
      </c>
      <c r="AC36" s="314">
        <v>263.76</v>
      </c>
      <c r="AD36" s="314"/>
      <c r="AE36" s="314">
        <f>2048+2148</f>
        <v>4196</v>
      </c>
      <c r="AF36" s="314">
        <f t="shared" si="5"/>
        <v>253764.64333333331</v>
      </c>
      <c r="AG36" s="316"/>
      <c r="AH36" s="316"/>
      <c r="AI36" s="316"/>
      <c r="AJ36" s="316"/>
      <c r="AK36" s="316"/>
      <c r="AL36" s="316"/>
      <c r="AM36" s="316"/>
    </row>
    <row r="37" spans="1:39" s="317" customFormat="1" ht="27" customHeight="1" x14ac:dyDescent="0.2">
      <c r="A37" s="303">
        <f t="shared" si="9"/>
        <v>31</v>
      </c>
      <c r="B37" s="303">
        <v>7</v>
      </c>
      <c r="C37" s="303">
        <v>2</v>
      </c>
      <c r="D37" s="304">
        <v>9</v>
      </c>
      <c r="E37" s="303">
        <v>2</v>
      </c>
      <c r="F37" s="304">
        <v>180</v>
      </c>
      <c r="G37" s="305">
        <v>12068</v>
      </c>
      <c r="H37" s="319" t="s">
        <v>336</v>
      </c>
      <c r="I37" s="312" t="s">
        <v>337</v>
      </c>
      <c r="J37" s="308">
        <v>41699</v>
      </c>
      <c r="K37" s="309">
        <v>3</v>
      </c>
      <c r="L37" s="310">
        <v>40</v>
      </c>
      <c r="M37" s="310" t="s">
        <v>264</v>
      </c>
      <c r="N37" s="319" t="s">
        <v>338</v>
      </c>
      <c r="O37" s="310" t="s">
        <v>251</v>
      </c>
      <c r="P37" s="312" t="s">
        <v>320</v>
      </c>
      <c r="Q37" s="313">
        <v>10137.9</v>
      </c>
      <c r="R37" s="314">
        <v>0</v>
      </c>
      <c r="S37" s="314">
        <f t="shared" si="0"/>
        <v>10137.9</v>
      </c>
      <c r="T37" s="314"/>
      <c r="U37" s="314">
        <f t="shared" si="1"/>
        <v>1689.65</v>
      </c>
      <c r="V37" s="314">
        <f t="shared" si="2"/>
        <v>16896.5</v>
      </c>
      <c r="W37" s="314">
        <f t="shared" si="8"/>
        <v>5068.95</v>
      </c>
      <c r="X37" s="315">
        <f t="shared" si="6"/>
        <v>1774.1324999999999</v>
      </c>
      <c r="Y37" s="315">
        <f t="shared" si="3"/>
        <v>304.137</v>
      </c>
      <c r="Z37" s="315">
        <f>624.74+36.05+48.07</f>
        <v>708.86</v>
      </c>
      <c r="AA37" s="315">
        <f t="shared" si="4"/>
        <v>202.75800000000001</v>
      </c>
      <c r="AB37" s="314">
        <v>631.98</v>
      </c>
      <c r="AC37" s="314">
        <v>293.76</v>
      </c>
      <c r="AD37" s="314"/>
      <c r="AE37" s="314">
        <f>1155+1255</f>
        <v>2410</v>
      </c>
      <c r="AF37" s="314">
        <f t="shared" si="5"/>
        <v>194707.43000000002</v>
      </c>
      <c r="AG37" s="316"/>
      <c r="AH37" s="316"/>
      <c r="AI37" s="316"/>
      <c r="AJ37" s="316"/>
      <c r="AK37" s="316"/>
      <c r="AL37" s="316"/>
      <c r="AM37" s="316"/>
    </row>
    <row r="38" spans="1:39" s="317" customFormat="1" ht="21.75" customHeight="1" x14ac:dyDescent="0.2">
      <c r="A38" s="303">
        <f t="shared" si="9"/>
        <v>32</v>
      </c>
      <c r="B38" s="303">
        <v>7</v>
      </c>
      <c r="C38" s="303">
        <v>2</v>
      </c>
      <c r="D38" s="304">
        <v>9</v>
      </c>
      <c r="E38" s="303">
        <v>2</v>
      </c>
      <c r="F38" s="304">
        <v>180</v>
      </c>
      <c r="G38" s="325">
        <v>12061</v>
      </c>
      <c r="H38" s="331" t="s">
        <v>442</v>
      </c>
      <c r="I38" s="332" t="s">
        <v>339</v>
      </c>
      <c r="J38" s="333">
        <v>41533</v>
      </c>
      <c r="K38" s="309">
        <v>4</v>
      </c>
      <c r="L38" s="310">
        <v>40</v>
      </c>
      <c r="M38" s="310" t="s">
        <v>264</v>
      </c>
      <c r="N38" s="319" t="s">
        <v>338</v>
      </c>
      <c r="O38" s="310" t="s">
        <v>251</v>
      </c>
      <c r="P38" s="312" t="s">
        <v>320</v>
      </c>
      <c r="Q38" s="313">
        <v>9973.2000000000007</v>
      </c>
      <c r="R38" s="314">
        <v>0</v>
      </c>
      <c r="S38" s="314">
        <f t="shared" si="0"/>
        <v>9973.2000000000007</v>
      </c>
      <c r="T38" s="314"/>
      <c r="U38" s="314">
        <f t="shared" si="1"/>
        <v>1662.2</v>
      </c>
      <c r="V38" s="314">
        <f t="shared" si="2"/>
        <v>16622</v>
      </c>
      <c r="W38" s="314">
        <f t="shared" si="8"/>
        <v>4986.6000000000004</v>
      </c>
      <c r="X38" s="315">
        <f t="shared" si="6"/>
        <v>1745.31</v>
      </c>
      <c r="Y38" s="315">
        <f t="shared" si="3"/>
        <v>299.19600000000003</v>
      </c>
      <c r="Z38" s="315">
        <f>678.44+48.07</f>
        <v>726.5100000000001</v>
      </c>
      <c r="AA38" s="315">
        <f t="shared" si="4"/>
        <v>199.46400000000003</v>
      </c>
      <c r="AB38" s="314">
        <v>576.04</v>
      </c>
      <c r="AC38" s="314">
        <v>280.22000000000003</v>
      </c>
      <c r="AD38" s="314"/>
      <c r="AE38" s="314">
        <f>2604</f>
        <v>2604</v>
      </c>
      <c r="AF38" s="314">
        <f t="shared" si="5"/>
        <v>191474.08000000002</v>
      </c>
      <c r="AG38" s="316"/>
      <c r="AH38" s="316"/>
      <c r="AI38" s="316"/>
      <c r="AJ38" s="316"/>
      <c r="AK38" s="316"/>
      <c r="AL38" s="316"/>
      <c r="AM38" s="316"/>
    </row>
    <row r="39" spans="1:39" s="317" customFormat="1" ht="24" customHeight="1" x14ac:dyDescent="0.2">
      <c r="A39" s="303">
        <f t="shared" si="9"/>
        <v>33</v>
      </c>
      <c r="B39" s="303">
        <v>7</v>
      </c>
      <c r="C39" s="303">
        <v>2</v>
      </c>
      <c r="D39" s="304">
        <v>9</v>
      </c>
      <c r="E39" s="303">
        <v>2</v>
      </c>
      <c r="F39" s="304">
        <v>180</v>
      </c>
      <c r="G39" s="305">
        <v>6019</v>
      </c>
      <c r="H39" s="311" t="s">
        <v>340</v>
      </c>
      <c r="I39" s="307" t="s">
        <v>341</v>
      </c>
      <c r="J39" s="308">
        <v>35992</v>
      </c>
      <c r="K39" s="309">
        <v>4</v>
      </c>
      <c r="L39" s="310">
        <v>40</v>
      </c>
      <c r="M39" s="310" t="s">
        <v>264</v>
      </c>
      <c r="N39" s="319" t="s">
        <v>338</v>
      </c>
      <c r="O39" s="310" t="s">
        <v>251</v>
      </c>
      <c r="P39" s="312" t="s">
        <v>320</v>
      </c>
      <c r="Q39" s="313">
        <v>10773.9</v>
      </c>
      <c r="R39" s="314">
        <v>0</v>
      </c>
      <c r="S39" s="314">
        <f t="shared" si="0"/>
        <v>10773.9</v>
      </c>
      <c r="T39" s="314"/>
      <c r="U39" s="314">
        <f t="shared" si="1"/>
        <v>1795.65</v>
      </c>
      <c r="V39" s="314">
        <f t="shared" si="2"/>
        <v>17956.5</v>
      </c>
      <c r="W39" s="314">
        <f t="shared" si="8"/>
        <v>5386.95</v>
      </c>
      <c r="X39" s="315">
        <f t="shared" si="6"/>
        <v>1885.4324999999999</v>
      </c>
      <c r="Y39" s="315">
        <f t="shared" si="3"/>
        <v>323.21699999999998</v>
      </c>
      <c r="Z39" s="315">
        <f>645.62+48.06</f>
        <v>693.68000000000006</v>
      </c>
      <c r="AA39" s="315">
        <f t="shared" si="4"/>
        <v>215.47800000000001</v>
      </c>
      <c r="AB39" s="314">
        <v>600.1</v>
      </c>
      <c r="AC39" s="314">
        <v>282.24</v>
      </c>
      <c r="AD39" s="340"/>
      <c r="AE39" s="314">
        <f>1252+1352</f>
        <v>2604</v>
      </c>
      <c r="AF39" s="314">
        <f t="shared" si="5"/>
        <v>205031.67</v>
      </c>
      <c r="AG39" s="316"/>
      <c r="AH39" s="316"/>
      <c r="AI39" s="316"/>
      <c r="AJ39" s="316"/>
      <c r="AK39" s="316"/>
      <c r="AL39" s="316"/>
      <c r="AM39" s="316"/>
    </row>
    <row r="40" spans="1:39" s="317" customFormat="1" ht="29.25" customHeight="1" x14ac:dyDescent="0.2">
      <c r="A40" s="303">
        <f t="shared" si="9"/>
        <v>34</v>
      </c>
      <c r="B40" s="303">
        <v>7</v>
      </c>
      <c r="C40" s="303">
        <v>2</v>
      </c>
      <c r="D40" s="304">
        <v>9</v>
      </c>
      <c r="E40" s="303">
        <v>2</v>
      </c>
      <c r="F40" s="304">
        <v>180</v>
      </c>
      <c r="G40" s="305">
        <v>4001</v>
      </c>
      <c r="H40" s="311" t="s">
        <v>342</v>
      </c>
      <c r="I40" s="307" t="s">
        <v>343</v>
      </c>
      <c r="J40" s="308">
        <v>33539</v>
      </c>
      <c r="K40" s="309">
        <v>7</v>
      </c>
      <c r="L40" s="310">
        <v>40</v>
      </c>
      <c r="M40" s="310" t="s">
        <v>264</v>
      </c>
      <c r="N40" s="319" t="s">
        <v>344</v>
      </c>
      <c r="O40" s="310" t="s">
        <v>251</v>
      </c>
      <c r="P40" s="312" t="s">
        <v>345</v>
      </c>
      <c r="Q40" s="334">
        <v>11870.1</v>
      </c>
      <c r="R40" s="314">
        <v>0</v>
      </c>
      <c r="S40" s="314">
        <f t="shared" si="0"/>
        <v>11870.1</v>
      </c>
      <c r="T40" s="314"/>
      <c r="U40" s="314">
        <f t="shared" si="1"/>
        <v>1978.3500000000001</v>
      </c>
      <c r="V40" s="314">
        <f t="shared" si="2"/>
        <v>19783.5</v>
      </c>
      <c r="W40" s="314">
        <f t="shared" si="8"/>
        <v>5935.05</v>
      </c>
      <c r="X40" s="315">
        <f t="shared" si="6"/>
        <v>2077.2674999999999</v>
      </c>
      <c r="Y40" s="315">
        <f t="shared" si="3"/>
        <v>356.10300000000001</v>
      </c>
      <c r="Z40" s="315">
        <f>679.33+32.11+44.05</f>
        <v>755.49</v>
      </c>
      <c r="AA40" s="315">
        <f t="shared" si="4"/>
        <v>237.40200000000002</v>
      </c>
      <c r="AB40" s="314">
        <v>608.6</v>
      </c>
      <c r="AC40" s="314">
        <v>289.45999999999998</v>
      </c>
      <c r="AD40" s="314"/>
      <c r="AE40" s="314">
        <f>1702+1802</f>
        <v>3504</v>
      </c>
      <c r="AF40" s="314">
        <f t="shared" si="5"/>
        <v>225533.96999999997</v>
      </c>
      <c r="AG40" s="316"/>
      <c r="AH40" s="316"/>
      <c r="AI40" s="316"/>
      <c r="AJ40" s="316"/>
      <c r="AK40" s="316"/>
      <c r="AL40" s="316"/>
      <c r="AM40" s="316"/>
    </row>
    <row r="41" spans="1:39" s="317" customFormat="1" ht="25.5" customHeight="1" x14ac:dyDescent="0.2">
      <c r="A41" s="303">
        <f t="shared" si="9"/>
        <v>35</v>
      </c>
      <c r="B41" s="303">
        <v>7</v>
      </c>
      <c r="C41" s="303">
        <v>2</v>
      </c>
      <c r="D41" s="304">
        <v>9</v>
      </c>
      <c r="E41" s="303">
        <v>2</v>
      </c>
      <c r="F41" s="304">
        <v>180</v>
      </c>
      <c r="G41" s="305">
        <v>12072</v>
      </c>
      <c r="H41" s="311" t="s">
        <v>346</v>
      </c>
      <c r="I41" s="307" t="s">
        <v>347</v>
      </c>
      <c r="J41" s="308">
        <v>41760</v>
      </c>
      <c r="K41" s="309">
        <v>13</v>
      </c>
      <c r="L41" s="309">
        <v>40</v>
      </c>
      <c r="M41" s="310" t="s">
        <v>249</v>
      </c>
      <c r="N41" s="319" t="s">
        <v>348</v>
      </c>
      <c r="O41" s="310" t="s">
        <v>251</v>
      </c>
      <c r="P41" s="312" t="s">
        <v>345</v>
      </c>
      <c r="Q41" s="313">
        <f>13111.5+430</f>
        <v>13541.5</v>
      </c>
      <c r="R41" s="314">
        <v>0</v>
      </c>
      <c r="S41" s="314">
        <f t="shared" si="0"/>
        <v>13541.5</v>
      </c>
      <c r="T41" s="314"/>
      <c r="U41" s="314">
        <f t="shared" si="1"/>
        <v>2256.9166666666665</v>
      </c>
      <c r="V41" s="314">
        <f t="shared" si="2"/>
        <v>22569.166666666668</v>
      </c>
      <c r="W41" s="314">
        <f t="shared" si="8"/>
        <v>6770.75</v>
      </c>
      <c r="X41" s="315">
        <f t="shared" si="6"/>
        <v>2369.7624999999998</v>
      </c>
      <c r="Y41" s="315">
        <f t="shared" si="3"/>
        <v>406.245</v>
      </c>
      <c r="Z41" s="315">
        <f>730.38+20.03</f>
        <v>750.41</v>
      </c>
      <c r="AA41" s="315">
        <f t="shared" si="4"/>
        <v>270.83</v>
      </c>
      <c r="AB41" s="314">
        <v>561.98</v>
      </c>
      <c r="AC41" s="314">
        <v>263.76</v>
      </c>
      <c r="AD41" s="314"/>
      <c r="AE41" s="314">
        <f>2048+2148</f>
        <v>4196</v>
      </c>
      <c r="AF41" s="314">
        <f t="shared" si="5"/>
        <v>253766.68333333335</v>
      </c>
      <c r="AG41" s="316"/>
      <c r="AH41" s="316"/>
      <c r="AI41" s="316"/>
      <c r="AJ41" s="316"/>
      <c r="AK41" s="316"/>
      <c r="AL41" s="316"/>
      <c r="AM41" s="316"/>
    </row>
    <row r="42" spans="1:39" s="317" customFormat="1" ht="25.5" customHeight="1" x14ac:dyDescent="0.2">
      <c r="A42" s="303">
        <f t="shared" si="9"/>
        <v>36</v>
      </c>
      <c r="B42" s="303">
        <v>7</v>
      </c>
      <c r="C42" s="303">
        <v>2</v>
      </c>
      <c r="D42" s="304">
        <v>9</v>
      </c>
      <c r="E42" s="303">
        <v>2</v>
      </c>
      <c r="F42" s="304">
        <v>180</v>
      </c>
      <c r="G42" s="305">
        <v>13010</v>
      </c>
      <c r="H42" s="306" t="s">
        <v>349</v>
      </c>
      <c r="I42" s="307" t="s">
        <v>288</v>
      </c>
      <c r="J42" s="308">
        <v>42933</v>
      </c>
      <c r="K42" s="309">
        <v>13</v>
      </c>
      <c r="L42" s="310">
        <v>40</v>
      </c>
      <c r="M42" s="310" t="s">
        <v>249</v>
      </c>
      <c r="N42" s="319" t="s">
        <v>350</v>
      </c>
      <c r="O42" s="310" t="s">
        <v>251</v>
      </c>
      <c r="P42" s="312" t="s">
        <v>345</v>
      </c>
      <c r="Q42" s="313">
        <f>13111.5+430</f>
        <v>13541.5</v>
      </c>
      <c r="R42" s="314">
        <v>0</v>
      </c>
      <c r="S42" s="314">
        <f t="shared" si="0"/>
        <v>13541.5</v>
      </c>
      <c r="T42" s="314"/>
      <c r="U42" s="314">
        <f t="shared" si="1"/>
        <v>2256.9166666666665</v>
      </c>
      <c r="V42" s="314">
        <f t="shared" si="2"/>
        <v>22569.166666666668</v>
      </c>
      <c r="W42" s="314">
        <f t="shared" si="8"/>
        <v>6770.75</v>
      </c>
      <c r="X42" s="315">
        <f t="shared" si="6"/>
        <v>2369.7624999999998</v>
      </c>
      <c r="Y42" s="315">
        <f t="shared" si="3"/>
        <v>406.245</v>
      </c>
      <c r="Z42" s="315">
        <f>730.38+20.03</f>
        <v>750.41</v>
      </c>
      <c r="AA42" s="315">
        <f t="shared" si="4"/>
        <v>270.83</v>
      </c>
      <c r="AB42" s="314">
        <v>561.98</v>
      </c>
      <c r="AC42" s="314">
        <v>263.76</v>
      </c>
      <c r="AD42" s="314"/>
      <c r="AE42" s="314">
        <f>2048+2148</f>
        <v>4196</v>
      </c>
      <c r="AF42" s="314">
        <f t="shared" si="5"/>
        <v>253766.68333333335</v>
      </c>
      <c r="AG42" s="316"/>
      <c r="AH42" s="316"/>
      <c r="AI42" s="316"/>
      <c r="AJ42" s="316"/>
      <c r="AK42" s="316"/>
      <c r="AL42" s="316"/>
      <c r="AM42" s="316"/>
    </row>
    <row r="43" spans="1:39" s="317" customFormat="1" ht="23.25" customHeight="1" x14ac:dyDescent="0.2">
      <c r="A43" s="303">
        <f>A42+1</f>
        <v>37</v>
      </c>
      <c r="B43" s="303">
        <v>7</v>
      </c>
      <c r="C43" s="303">
        <v>2</v>
      </c>
      <c r="D43" s="304">
        <v>9</v>
      </c>
      <c r="E43" s="303">
        <v>2</v>
      </c>
      <c r="F43" s="304">
        <v>180</v>
      </c>
      <c r="G43" s="305">
        <v>13008</v>
      </c>
      <c r="H43" s="341" t="s">
        <v>351</v>
      </c>
      <c r="I43" s="307" t="s">
        <v>352</v>
      </c>
      <c r="J43" s="308">
        <v>42906</v>
      </c>
      <c r="K43" s="309">
        <v>21</v>
      </c>
      <c r="L43" s="310">
        <v>40</v>
      </c>
      <c r="M43" s="310" t="s">
        <v>249</v>
      </c>
      <c r="N43" s="319" t="s">
        <v>353</v>
      </c>
      <c r="O43" s="310" t="s">
        <v>251</v>
      </c>
      <c r="P43" s="312" t="s">
        <v>345</v>
      </c>
      <c r="Q43" s="313">
        <v>29135.4</v>
      </c>
      <c r="R43" s="314">
        <v>0</v>
      </c>
      <c r="S43" s="314">
        <f t="shared" si="0"/>
        <v>29135.4</v>
      </c>
      <c r="T43" s="314"/>
      <c r="U43" s="314">
        <f t="shared" si="1"/>
        <v>4855.9000000000005</v>
      </c>
      <c r="V43" s="314">
        <f t="shared" si="2"/>
        <v>48559</v>
      </c>
      <c r="W43" s="314">
        <f t="shared" si="8"/>
        <v>14567.7</v>
      </c>
      <c r="X43" s="315">
        <f t="shared" si="6"/>
        <v>5098.6949999999997</v>
      </c>
      <c r="Y43" s="315">
        <f t="shared" si="3"/>
        <v>874.06200000000001</v>
      </c>
      <c r="Z43" s="315">
        <v>1203.27</v>
      </c>
      <c r="AA43" s="315">
        <f t="shared" si="4"/>
        <v>582.70800000000008</v>
      </c>
      <c r="AB43" s="314">
        <v>950.38</v>
      </c>
      <c r="AC43" s="314">
        <v>674.46</v>
      </c>
      <c r="AD43" s="314"/>
      <c r="AE43" s="314">
        <v>10500</v>
      </c>
      <c r="AF43" s="314">
        <f t="shared" si="5"/>
        <v>540710.29999999993</v>
      </c>
      <c r="AG43" s="316"/>
      <c r="AH43" s="316"/>
      <c r="AI43" s="316"/>
      <c r="AJ43" s="316"/>
      <c r="AK43" s="316"/>
      <c r="AL43" s="316"/>
      <c r="AM43" s="316"/>
    </row>
    <row r="44" spans="1:39" s="317" customFormat="1" ht="27" customHeight="1" x14ac:dyDescent="0.2">
      <c r="A44" s="303">
        <f t="shared" si="9"/>
        <v>38</v>
      </c>
      <c r="B44" s="303">
        <v>7</v>
      </c>
      <c r="C44" s="303">
        <v>2</v>
      </c>
      <c r="D44" s="304">
        <v>9</v>
      </c>
      <c r="E44" s="303">
        <v>2</v>
      </c>
      <c r="F44" s="304">
        <v>180</v>
      </c>
      <c r="G44" s="305">
        <v>11189</v>
      </c>
      <c r="H44" s="306" t="s">
        <v>354</v>
      </c>
      <c r="I44" s="307" t="s">
        <v>355</v>
      </c>
      <c r="J44" s="308">
        <v>39224</v>
      </c>
      <c r="K44" s="310">
        <v>7</v>
      </c>
      <c r="L44" s="310">
        <v>40</v>
      </c>
      <c r="M44" s="310" t="s">
        <v>264</v>
      </c>
      <c r="N44" s="319" t="s">
        <v>356</v>
      </c>
      <c r="O44" s="310" t="s">
        <v>251</v>
      </c>
      <c r="P44" s="312" t="s">
        <v>345</v>
      </c>
      <c r="Q44" s="313">
        <v>11439</v>
      </c>
      <c r="R44" s="354">
        <v>0</v>
      </c>
      <c r="S44" s="314">
        <f t="shared" si="0"/>
        <v>11439</v>
      </c>
      <c r="T44" s="314"/>
      <c r="U44" s="314">
        <f t="shared" si="1"/>
        <v>1906.5</v>
      </c>
      <c r="V44" s="314">
        <f t="shared" si="2"/>
        <v>19065</v>
      </c>
      <c r="W44" s="314">
        <f t="shared" si="8"/>
        <v>5719.5</v>
      </c>
      <c r="X44" s="315">
        <f t="shared" si="6"/>
        <v>2001.8249999999998</v>
      </c>
      <c r="Y44" s="315">
        <f t="shared" si="3"/>
        <v>343.16999999999996</v>
      </c>
      <c r="Z44" s="315">
        <f>664.11+32.1+44.05</f>
        <v>740.26</v>
      </c>
      <c r="AA44" s="315">
        <f t="shared" si="4"/>
        <v>228.78</v>
      </c>
      <c r="AB44" s="314">
        <v>618.64</v>
      </c>
      <c r="AC44" s="314">
        <v>287.83999999999997</v>
      </c>
      <c r="AD44" s="314"/>
      <c r="AE44" s="314">
        <f>1626+1726</f>
        <v>3352</v>
      </c>
      <c r="AF44" s="314">
        <f t="shared" si="5"/>
        <v>217957.18000000002</v>
      </c>
      <c r="AG44" s="316"/>
      <c r="AH44" s="316"/>
      <c r="AI44" s="316"/>
      <c r="AJ44" s="316"/>
      <c r="AK44" s="316"/>
      <c r="AL44" s="316"/>
      <c r="AM44" s="316"/>
    </row>
    <row r="45" spans="1:39" s="317" customFormat="1" ht="24" customHeight="1" x14ac:dyDescent="0.2">
      <c r="A45" s="303">
        <f t="shared" si="9"/>
        <v>39</v>
      </c>
      <c r="B45" s="303">
        <v>7</v>
      </c>
      <c r="C45" s="303">
        <v>2</v>
      </c>
      <c r="D45" s="304">
        <v>9</v>
      </c>
      <c r="E45" s="303">
        <v>2</v>
      </c>
      <c r="F45" s="304">
        <v>180</v>
      </c>
      <c r="G45" s="305">
        <v>12014</v>
      </c>
      <c r="H45" s="311" t="s">
        <v>357</v>
      </c>
      <c r="I45" s="307" t="s">
        <v>355</v>
      </c>
      <c r="J45" s="308">
        <v>39234</v>
      </c>
      <c r="K45" s="310">
        <v>7</v>
      </c>
      <c r="L45" s="310">
        <v>40</v>
      </c>
      <c r="M45" s="310" t="s">
        <v>264</v>
      </c>
      <c r="N45" s="319" t="s">
        <v>356</v>
      </c>
      <c r="O45" s="310" t="s">
        <v>251</v>
      </c>
      <c r="P45" s="312" t="s">
        <v>345</v>
      </c>
      <c r="Q45" s="355">
        <v>11439</v>
      </c>
      <c r="R45" s="314">
        <v>0</v>
      </c>
      <c r="S45" s="314">
        <f t="shared" si="0"/>
        <v>11439</v>
      </c>
      <c r="T45" s="314"/>
      <c r="U45" s="314">
        <f t="shared" si="1"/>
        <v>1906.5</v>
      </c>
      <c r="V45" s="314">
        <f t="shared" si="2"/>
        <v>19065</v>
      </c>
      <c r="W45" s="314">
        <f t="shared" si="8"/>
        <v>5719.5</v>
      </c>
      <c r="X45" s="315">
        <f t="shared" si="6"/>
        <v>2001.8249999999998</v>
      </c>
      <c r="Y45" s="315">
        <f t="shared" si="3"/>
        <v>343.16999999999996</v>
      </c>
      <c r="Z45" s="315">
        <f>664.11+32.1+44.05</f>
        <v>740.26</v>
      </c>
      <c r="AA45" s="315">
        <f t="shared" si="4"/>
        <v>228.78</v>
      </c>
      <c r="AB45" s="314">
        <v>618.70000000000005</v>
      </c>
      <c r="AC45" s="314">
        <v>287.83999999999997</v>
      </c>
      <c r="AD45" s="314"/>
      <c r="AE45" s="314">
        <f>1626+1726</f>
        <v>3352</v>
      </c>
      <c r="AF45" s="314">
        <f t="shared" si="5"/>
        <v>217957.90000000002</v>
      </c>
      <c r="AG45" s="316"/>
      <c r="AH45" s="316"/>
      <c r="AI45" s="316"/>
      <c r="AJ45" s="316"/>
      <c r="AK45" s="316"/>
      <c r="AL45" s="316"/>
      <c r="AM45" s="316"/>
    </row>
    <row r="46" spans="1:39" s="317" customFormat="1" ht="24" customHeight="1" x14ac:dyDescent="0.2">
      <c r="A46" s="303">
        <f t="shared" si="9"/>
        <v>40</v>
      </c>
      <c r="B46" s="303">
        <v>7</v>
      </c>
      <c r="C46" s="303">
        <v>2</v>
      </c>
      <c r="D46" s="304">
        <v>9</v>
      </c>
      <c r="E46" s="303">
        <v>2</v>
      </c>
      <c r="F46" s="304">
        <v>180</v>
      </c>
      <c r="G46" s="305">
        <v>13020</v>
      </c>
      <c r="H46" s="341" t="s">
        <v>443</v>
      </c>
      <c r="I46" s="307" t="s">
        <v>444</v>
      </c>
      <c r="J46" s="308">
        <v>43215</v>
      </c>
      <c r="K46" s="310">
        <v>13</v>
      </c>
      <c r="L46" s="310">
        <v>40</v>
      </c>
      <c r="M46" s="310" t="s">
        <v>249</v>
      </c>
      <c r="N46" s="340" t="s">
        <v>358</v>
      </c>
      <c r="O46" s="310" t="s">
        <v>251</v>
      </c>
      <c r="P46" s="312" t="s">
        <v>345</v>
      </c>
      <c r="Q46" s="313">
        <f>13111.5+430</f>
        <v>13541.5</v>
      </c>
      <c r="R46" s="314">
        <v>0</v>
      </c>
      <c r="S46" s="314">
        <f t="shared" si="0"/>
        <v>13541.5</v>
      </c>
      <c r="T46" s="314"/>
      <c r="U46" s="314">
        <f t="shared" si="1"/>
        <v>2256.9166666666665</v>
      </c>
      <c r="V46" s="314">
        <f t="shared" si="2"/>
        <v>22569.166666666668</v>
      </c>
      <c r="W46" s="314">
        <f t="shared" si="8"/>
        <v>6770.75</v>
      </c>
      <c r="X46" s="315">
        <f t="shared" si="6"/>
        <v>2369.7624999999998</v>
      </c>
      <c r="Y46" s="315">
        <f t="shared" si="3"/>
        <v>406.245</v>
      </c>
      <c r="Z46" s="315">
        <f>730.21+20.03</f>
        <v>750.24</v>
      </c>
      <c r="AA46" s="315">
        <f t="shared" si="4"/>
        <v>270.83</v>
      </c>
      <c r="AB46" s="314">
        <v>555.24</v>
      </c>
      <c r="AC46" s="314">
        <v>257.33999999999997</v>
      </c>
      <c r="AD46" s="314"/>
      <c r="AE46" s="314">
        <v>4196</v>
      </c>
      <c r="AF46" s="314">
        <f t="shared" si="5"/>
        <v>253606.72333333339</v>
      </c>
      <c r="AG46" s="316"/>
      <c r="AH46" s="316"/>
      <c r="AI46" s="316"/>
      <c r="AJ46" s="316"/>
      <c r="AK46" s="316"/>
      <c r="AL46" s="316"/>
      <c r="AM46" s="316"/>
    </row>
    <row r="47" spans="1:39" s="317" customFormat="1" ht="24" customHeight="1" x14ac:dyDescent="0.2">
      <c r="A47" s="303">
        <f t="shared" si="9"/>
        <v>41</v>
      </c>
      <c r="B47" s="303">
        <v>7</v>
      </c>
      <c r="C47" s="303">
        <v>2</v>
      </c>
      <c r="D47" s="304">
        <v>9</v>
      </c>
      <c r="E47" s="303">
        <v>2</v>
      </c>
      <c r="F47" s="304">
        <v>180</v>
      </c>
      <c r="G47" s="324">
        <v>6005</v>
      </c>
      <c r="H47" s="306" t="s">
        <v>359</v>
      </c>
      <c r="I47" s="307" t="s">
        <v>360</v>
      </c>
      <c r="J47" s="356">
        <v>34939</v>
      </c>
      <c r="K47" s="309">
        <v>2</v>
      </c>
      <c r="L47" s="310">
        <v>40</v>
      </c>
      <c r="M47" s="310" t="s">
        <v>264</v>
      </c>
      <c r="N47" s="319" t="s">
        <v>361</v>
      </c>
      <c r="O47" s="310" t="s">
        <v>251</v>
      </c>
      <c r="P47" s="312" t="s">
        <v>345</v>
      </c>
      <c r="Q47" s="313">
        <v>10023.299999999999</v>
      </c>
      <c r="R47" s="314">
        <v>0</v>
      </c>
      <c r="S47" s="314">
        <f t="shared" si="0"/>
        <v>10023.299999999999</v>
      </c>
      <c r="T47" s="314"/>
      <c r="U47" s="314">
        <f t="shared" si="1"/>
        <v>1670.5499999999997</v>
      </c>
      <c r="V47" s="314">
        <f t="shared" si="2"/>
        <v>16705.499999999996</v>
      </c>
      <c r="W47" s="314">
        <f t="shared" si="8"/>
        <v>5011.6499999999996</v>
      </c>
      <c r="X47" s="315">
        <f t="shared" si="6"/>
        <v>1754.0774999999999</v>
      </c>
      <c r="Y47" s="315">
        <f t="shared" si="3"/>
        <v>300.69899999999996</v>
      </c>
      <c r="Z47" s="315">
        <f>621.12+36.09+48.07</f>
        <v>705.28000000000009</v>
      </c>
      <c r="AA47" s="315">
        <f t="shared" si="4"/>
        <v>200.46599999999998</v>
      </c>
      <c r="AB47" s="314">
        <v>576.04</v>
      </c>
      <c r="AC47" s="314">
        <v>280.22000000000003</v>
      </c>
      <c r="AD47" s="314"/>
      <c r="AE47" s="314">
        <f>1138+1238</f>
        <v>2376</v>
      </c>
      <c r="AF47" s="314">
        <f t="shared" si="5"/>
        <v>191844.68999999997</v>
      </c>
      <c r="AG47" s="316"/>
      <c r="AH47" s="316"/>
      <c r="AI47" s="316"/>
      <c r="AJ47" s="316"/>
      <c r="AK47" s="316"/>
      <c r="AL47" s="316"/>
      <c r="AM47" s="316"/>
    </row>
    <row r="48" spans="1:39" s="317" customFormat="1" ht="25.5" customHeight="1" x14ac:dyDescent="0.2">
      <c r="A48" s="303">
        <f t="shared" si="9"/>
        <v>42</v>
      </c>
      <c r="B48" s="303">
        <v>7</v>
      </c>
      <c r="C48" s="303">
        <v>2</v>
      </c>
      <c r="D48" s="304">
        <v>9</v>
      </c>
      <c r="E48" s="303">
        <v>2</v>
      </c>
      <c r="F48" s="304">
        <v>180</v>
      </c>
      <c r="G48" s="305"/>
      <c r="H48" s="329" t="s">
        <v>467</v>
      </c>
      <c r="I48" s="327"/>
      <c r="J48" s="308"/>
      <c r="K48" s="310">
        <v>2</v>
      </c>
      <c r="L48" s="310">
        <v>40</v>
      </c>
      <c r="M48" s="310" t="s">
        <v>249</v>
      </c>
      <c r="N48" s="319" t="s">
        <v>361</v>
      </c>
      <c r="O48" s="310" t="s">
        <v>251</v>
      </c>
      <c r="P48" s="312" t="s">
        <v>345</v>
      </c>
      <c r="Q48" s="313">
        <v>10023.299999999999</v>
      </c>
      <c r="R48" s="314">
        <v>0</v>
      </c>
      <c r="S48" s="314">
        <f t="shared" si="0"/>
        <v>10023.299999999999</v>
      </c>
      <c r="T48" s="314"/>
      <c r="U48" s="314">
        <f t="shared" si="1"/>
        <v>1670.5499999999997</v>
      </c>
      <c r="V48" s="314">
        <f t="shared" si="2"/>
        <v>16705.499999999996</v>
      </c>
      <c r="W48" s="314">
        <f t="shared" si="8"/>
        <v>5011.6499999999996</v>
      </c>
      <c r="X48" s="315">
        <f t="shared" si="6"/>
        <v>1754.0774999999999</v>
      </c>
      <c r="Y48" s="315">
        <f t="shared" si="3"/>
        <v>300.69899999999996</v>
      </c>
      <c r="Z48" s="315">
        <f>621.12+36.09+48.07</f>
        <v>705.28000000000009</v>
      </c>
      <c r="AA48" s="315">
        <f t="shared" si="4"/>
        <v>200.46599999999998</v>
      </c>
      <c r="AB48" s="314">
        <v>576.04</v>
      </c>
      <c r="AC48" s="314">
        <v>280.22000000000003</v>
      </c>
      <c r="AD48" s="314"/>
      <c r="AE48" s="314">
        <f>1138+1238</f>
        <v>2376</v>
      </c>
      <c r="AF48" s="314">
        <f t="shared" si="5"/>
        <v>191844.68999999997</v>
      </c>
      <c r="AG48" s="316"/>
      <c r="AH48" s="316"/>
      <c r="AI48" s="316"/>
      <c r="AJ48" s="316"/>
      <c r="AK48" s="316"/>
      <c r="AL48" s="316"/>
      <c r="AM48" s="316"/>
    </row>
    <row r="49" spans="1:39" s="317" customFormat="1" ht="23.25" customHeight="1" x14ac:dyDescent="0.2">
      <c r="A49" s="303">
        <f t="shared" si="9"/>
        <v>43</v>
      </c>
      <c r="B49" s="303">
        <v>7</v>
      </c>
      <c r="C49" s="303">
        <v>2</v>
      </c>
      <c r="D49" s="304">
        <v>9</v>
      </c>
      <c r="E49" s="303">
        <v>2</v>
      </c>
      <c r="F49" s="304">
        <v>180</v>
      </c>
      <c r="G49" s="305">
        <v>1008</v>
      </c>
      <c r="H49" s="341" t="s">
        <v>364</v>
      </c>
      <c r="I49" s="307" t="s">
        <v>365</v>
      </c>
      <c r="J49" s="308">
        <v>40210</v>
      </c>
      <c r="K49" s="309">
        <v>13</v>
      </c>
      <c r="L49" s="310">
        <v>40</v>
      </c>
      <c r="M49" s="310" t="s">
        <v>249</v>
      </c>
      <c r="N49" s="319" t="s">
        <v>366</v>
      </c>
      <c r="O49" s="310" t="s">
        <v>251</v>
      </c>
      <c r="P49" s="312" t="s">
        <v>345</v>
      </c>
      <c r="Q49" s="313">
        <f>13111.5+430</f>
        <v>13541.5</v>
      </c>
      <c r="R49" s="314">
        <v>0</v>
      </c>
      <c r="S49" s="314">
        <f t="shared" si="0"/>
        <v>13541.5</v>
      </c>
      <c r="T49" s="314"/>
      <c r="U49" s="314">
        <f t="shared" si="1"/>
        <v>2256.9166666666665</v>
      </c>
      <c r="V49" s="314">
        <f t="shared" si="2"/>
        <v>22569.166666666668</v>
      </c>
      <c r="W49" s="314">
        <f t="shared" si="8"/>
        <v>6770.75</v>
      </c>
      <c r="X49" s="315">
        <f t="shared" si="6"/>
        <v>2369.7624999999998</v>
      </c>
      <c r="Y49" s="315">
        <f t="shared" si="3"/>
        <v>406.245</v>
      </c>
      <c r="Z49" s="315">
        <f>730.21+20.03</f>
        <v>750.24</v>
      </c>
      <c r="AA49" s="315">
        <f t="shared" si="4"/>
        <v>270.83</v>
      </c>
      <c r="AB49" s="314">
        <v>555.24</v>
      </c>
      <c r="AC49" s="314">
        <v>257.33999999999997</v>
      </c>
      <c r="AD49" s="314"/>
      <c r="AE49" s="314">
        <v>4196</v>
      </c>
      <c r="AF49" s="314">
        <f t="shared" si="5"/>
        <v>253606.72333333339</v>
      </c>
      <c r="AG49" s="316"/>
      <c r="AH49" s="316"/>
      <c r="AI49" s="316"/>
      <c r="AJ49" s="316"/>
      <c r="AK49" s="316"/>
      <c r="AL49" s="316"/>
      <c r="AM49" s="316"/>
    </row>
    <row r="50" spans="1:39" s="317" customFormat="1" ht="23.25" customHeight="1" x14ac:dyDescent="0.2">
      <c r="A50" s="303">
        <f t="shared" si="9"/>
        <v>44</v>
      </c>
      <c r="B50" s="303">
        <v>7</v>
      </c>
      <c r="C50" s="303">
        <v>2</v>
      </c>
      <c r="D50" s="304">
        <v>9</v>
      </c>
      <c r="E50" s="303">
        <v>3</v>
      </c>
      <c r="F50" s="304">
        <v>180</v>
      </c>
      <c r="G50" s="305">
        <v>12015</v>
      </c>
      <c r="H50" s="311" t="s">
        <v>367</v>
      </c>
      <c r="I50" s="307" t="s">
        <v>368</v>
      </c>
      <c r="J50" s="308">
        <v>39295</v>
      </c>
      <c r="K50" s="309">
        <v>13</v>
      </c>
      <c r="L50" s="310">
        <v>40</v>
      </c>
      <c r="M50" s="310" t="s">
        <v>249</v>
      </c>
      <c r="N50" s="319" t="s">
        <v>369</v>
      </c>
      <c r="O50" s="310" t="s">
        <v>251</v>
      </c>
      <c r="P50" s="312" t="s">
        <v>370</v>
      </c>
      <c r="Q50" s="313">
        <f>13111.5+430</f>
        <v>13541.5</v>
      </c>
      <c r="R50" s="314">
        <v>0</v>
      </c>
      <c r="S50" s="314">
        <f t="shared" si="0"/>
        <v>13541.5</v>
      </c>
      <c r="T50" s="314"/>
      <c r="U50" s="314">
        <f t="shared" si="1"/>
        <v>2256.9166666666665</v>
      </c>
      <c r="V50" s="314">
        <f t="shared" si="2"/>
        <v>22569.166666666668</v>
      </c>
      <c r="W50" s="314">
        <f t="shared" si="8"/>
        <v>6770.75</v>
      </c>
      <c r="X50" s="315">
        <f t="shared" si="6"/>
        <v>2369.7624999999998</v>
      </c>
      <c r="Y50" s="315">
        <f t="shared" si="3"/>
        <v>406.245</v>
      </c>
      <c r="Z50" s="315">
        <f>730.21+20.03</f>
        <v>750.24</v>
      </c>
      <c r="AA50" s="315">
        <f t="shared" si="4"/>
        <v>270.83</v>
      </c>
      <c r="AB50" s="314">
        <v>555.24</v>
      </c>
      <c r="AC50" s="314">
        <v>257.33999999999997</v>
      </c>
      <c r="AD50" s="314"/>
      <c r="AE50" s="314">
        <v>4196</v>
      </c>
      <c r="AF50" s="314">
        <f t="shared" si="5"/>
        <v>253606.72333333339</v>
      </c>
      <c r="AG50" s="316"/>
      <c r="AH50" s="316"/>
      <c r="AI50" s="316"/>
      <c r="AJ50" s="316"/>
      <c r="AK50" s="316"/>
      <c r="AL50" s="316"/>
      <c r="AM50" s="316"/>
    </row>
    <row r="51" spans="1:39" s="317" customFormat="1" ht="23.25" customHeight="1" x14ac:dyDescent="0.2">
      <c r="A51" s="303">
        <f>A50+1</f>
        <v>45</v>
      </c>
      <c r="B51" s="303">
        <v>7</v>
      </c>
      <c r="C51" s="303">
        <v>2</v>
      </c>
      <c r="D51" s="304">
        <v>9</v>
      </c>
      <c r="E51" s="303">
        <v>3</v>
      </c>
      <c r="F51" s="304">
        <v>180</v>
      </c>
      <c r="G51" s="305">
        <v>12022</v>
      </c>
      <c r="H51" s="311" t="s">
        <v>371</v>
      </c>
      <c r="I51" s="307" t="s">
        <v>372</v>
      </c>
      <c r="J51" s="308">
        <v>39958</v>
      </c>
      <c r="K51" s="309">
        <v>6</v>
      </c>
      <c r="L51" s="310">
        <v>40</v>
      </c>
      <c r="M51" s="309" t="s">
        <v>264</v>
      </c>
      <c r="N51" s="319" t="s">
        <v>373</v>
      </c>
      <c r="O51" s="310" t="s">
        <v>251</v>
      </c>
      <c r="P51" s="312" t="s">
        <v>370</v>
      </c>
      <c r="Q51" s="334">
        <v>11439</v>
      </c>
      <c r="R51" s="314">
        <v>0</v>
      </c>
      <c r="S51" s="314">
        <f t="shared" si="0"/>
        <v>11439</v>
      </c>
      <c r="T51" s="314"/>
      <c r="U51" s="314">
        <f t="shared" si="1"/>
        <v>1906.5</v>
      </c>
      <c r="V51" s="314">
        <f t="shared" si="2"/>
        <v>19065</v>
      </c>
      <c r="W51" s="314">
        <f t="shared" si="8"/>
        <v>5719.5</v>
      </c>
      <c r="X51" s="315">
        <f t="shared" si="6"/>
        <v>2001.8249999999998</v>
      </c>
      <c r="Y51" s="315">
        <f t="shared" si="3"/>
        <v>343.16999999999996</v>
      </c>
      <c r="Z51" s="315">
        <f>653.53+32.1+44.05</f>
        <v>729.68</v>
      </c>
      <c r="AA51" s="315">
        <f t="shared" si="4"/>
        <v>228.78</v>
      </c>
      <c r="AB51" s="314">
        <v>618.64</v>
      </c>
      <c r="AC51" s="314">
        <v>287.83999999999997</v>
      </c>
      <c r="AD51" s="314"/>
      <c r="AE51" s="314">
        <f>3355</f>
        <v>3355</v>
      </c>
      <c r="AF51" s="314">
        <f t="shared" si="5"/>
        <v>217833.22000000003</v>
      </c>
      <c r="AG51" s="316"/>
      <c r="AH51" s="316"/>
      <c r="AI51" s="316"/>
      <c r="AJ51" s="316"/>
      <c r="AK51" s="316"/>
      <c r="AL51" s="316"/>
      <c r="AM51" s="316"/>
    </row>
    <row r="52" spans="1:39" s="317" customFormat="1" ht="21.75" customHeight="1" x14ac:dyDescent="0.2">
      <c r="A52" s="303">
        <f t="shared" si="9"/>
        <v>46</v>
      </c>
      <c r="B52" s="303">
        <v>7</v>
      </c>
      <c r="C52" s="303">
        <v>2</v>
      </c>
      <c r="D52" s="304">
        <v>9</v>
      </c>
      <c r="E52" s="303">
        <v>3</v>
      </c>
      <c r="F52" s="304">
        <v>180</v>
      </c>
      <c r="G52" s="305">
        <v>12039</v>
      </c>
      <c r="H52" s="311" t="s">
        <v>374</v>
      </c>
      <c r="I52" s="307" t="s">
        <v>375</v>
      </c>
      <c r="J52" s="308">
        <v>41306</v>
      </c>
      <c r="K52" s="309">
        <v>1</v>
      </c>
      <c r="L52" s="310">
        <v>40</v>
      </c>
      <c r="M52" s="309" t="s">
        <v>264</v>
      </c>
      <c r="N52" s="319" t="s">
        <v>376</v>
      </c>
      <c r="O52" s="310" t="s">
        <v>251</v>
      </c>
      <c r="P52" s="312" t="s">
        <v>370</v>
      </c>
      <c r="Q52" s="313">
        <v>9663.6</v>
      </c>
      <c r="R52" s="314">
        <v>0</v>
      </c>
      <c r="S52" s="314">
        <f t="shared" si="0"/>
        <v>9663.6</v>
      </c>
      <c r="T52" s="314"/>
      <c r="U52" s="314">
        <f t="shared" si="1"/>
        <v>1610.6</v>
      </c>
      <c r="V52" s="314">
        <f t="shared" si="2"/>
        <v>16106</v>
      </c>
      <c r="W52" s="314">
        <f t="shared" si="8"/>
        <v>4831.8</v>
      </c>
      <c r="X52" s="315">
        <f t="shared" si="6"/>
        <v>1691.1299999999999</v>
      </c>
      <c r="Y52" s="315">
        <f t="shared" si="3"/>
        <v>289.90800000000002</v>
      </c>
      <c r="Z52" s="315">
        <f>610.98+36.09</f>
        <v>647.07000000000005</v>
      </c>
      <c r="AA52" s="315">
        <f t="shared" si="4"/>
        <v>193.27200000000002</v>
      </c>
      <c r="AB52" s="314">
        <v>570.32000000000005</v>
      </c>
      <c r="AC52" s="314">
        <v>280.2</v>
      </c>
      <c r="AD52" s="314"/>
      <c r="AE52" s="314">
        <f>1085+1185</f>
        <v>2270</v>
      </c>
      <c r="AF52" s="314">
        <f t="shared" si="5"/>
        <v>184844.4</v>
      </c>
      <c r="AG52" s="316"/>
      <c r="AH52" s="316"/>
      <c r="AI52" s="316"/>
      <c r="AJ52" s="316"/>
      <c r="AK52" s="316"/>
      <c r="AL52" s="316"/>
      <c r="AM52" s="316"/>
    </row>
    <row r="53" spans="1:39" s="317" customFormat="1" ht="24" customHeight="1" x14ac:dyDescent="0.2">
      <c r="A53" s="303">
        <f t="shared" si="9"/>
        <v>47</v>
      </c>
      <c r="B53" s="303">
        <v>7</v>
      </c>
      <c r="C53" s="303">
        <v>2</v>
      </c>
      <c r="D53" s="304">
        <v>9</v>
      </c>
      <c r="E53" s="303">
        <v>3</v>
      </c>
      <c r="F53" s="304">
        <v>180</v>
      </c>
      <c r="G53" s="305">
        <v>13011</v>
      </c>
      <c r="H53" s="311" t="s">
        <v>377</v>
      </c>
      <c r="I53" s="308" t="s">
        <v>378</v>
      </c>
      <c r="J53" s="308">
        <v>42951</v>
      </c>
      <c r="K53" s="309">
        <v>1</v>
      </c>
      <c r="L53" s="310">
        <v>40</v>
      </c>
      <c r="M53" s="309" t="s">
        <v>264</v>
      </c>
      <c r="N53" s="319" t="s">
        <v>379</v>
      </c>
      <c r="O53" s="310" t="s">
        <v>251</v>
      </c>
      <c r="P53" s="312" t="s">
        <v>370</v>
      </c>
      <c r="Q53" s="313">
        <v>9663.6</v>
      </c>
      <c r="R53" s="314">
        <v>0</v>
      </c>
      <c r="S53" s="314">
        <f t="shared" si="0"/>
        <v>9663.6</v>
      </c>
      <c r="T53" s="314"/>
      <c r="U53" s="314">
        <f t="shared" si="1"/>
        <v>1610.6</v>
      </c>
      <c r="V53" s="314">
        <f t="shared" si="2"/>
        <v>16106</v>
      </c>
      <c r="W53" s="314">
        <f t="shared" si="8"/>
        <v>4831.8</v>
      </c>
      <c r="X53" s="315">
        <f t="shared" si="6"/>
        <v>1691.1299999999999</v>
      </c>
      <c r="Y53" s="315">
        <f t="shared" si="3"/>
        <v>289.90800000000002</v>
      </c>
      <c r="Z53" s="315">
        <f>610.98+36.09</f>
        <v>647.07000000000005</v>
      </c>
      <c r="AA53" s="315">
        <f t="shared" si="4"/>
        <v>193.27200000000002</v>
      </c>
      <c r="AB53" s="314">
        <v>570.32000000000005</v>
      </c>
      <c r="AC53" s="314">
        <v>280.2</v>
      </c>
      <c r="AD53" s="314"/>
      <c r="AE53" s="314">
        <f>1085+1185</f>
        <v>2270</v>
      </c>
      <c r="AF53" s="314">
        <f t="shared" si="5"/>
        <v>184844.4</v>
      </c>
      <c r="AG53" s="316"/>
      <c r="AH53" s="316"/>
      <c r="AI53" s="316"/>
      <c r="AJ53" s="316"/>
      <c r="AK53" s="316"/>
      <c r="AL53" s="316"/>
      <c r="AM53" s="316"/>
    </row>
    <row r="54" spans="1:39" s="317" customFormat="1" ht="25.5" customHeight="1" x14ac:dyDescent="0.2">
      <c r="A54" s="303">
        <f>A53+1</f>
        <v>48</v>
      </c>
      <c r="B54" s="303">
        <v>7</v>
      </c>
      <c r="C54" s="303">
        <v>2</v>
      </c>
      <c r="D54" s="304">
        <v>9</v>
      </c>
      <c r="E54" s="303">
        <v>3</v>
      </c>
      <c r="F54" s="304">
        <v>180</v>
      </c>
      <c r="G54" s="305">
        <v>11020</v>
      </c>
      <c r="H54" s="311" t="s">
        <v>380</v>
      </c>
      <c r="I54" s="307" t="s">
        <v>381</v>
      </c>
      <c r="J54" s="308">
        <v>36837</v>
      </c>
      <c r="K54" s="309">
        <v>3</v>
      </c>
      <c r="L54" s="310">
        <v>40</v>
      </c>
      <c r="M54" s="309" t="s">
        <v>249</v>
      </c>
      <c r="N54" s="319" t="s">
        <v>382</v>
      </c>
      <c r="O54" s="310" t="s">
        <v>251</v>
      </c>
      <c r="P54" s="312" t="s">
        <v>370</v>
      </c>
      <c r="Q54" s="313">
        <v>10140.6</v>
      </c>
      <c r="R54" s="314">
        <v>0</v>
      </c>
      <c r="S54" s="314">
        <f t="shared" si="0"/>
        <v>10140.6</v>
      </c>
      <c r="T54" s="314"/>
      <c r="U54" s="314">
        <f t="shared" si="1"/>
        <v>1690.1000000000001</v>
      </c>
      <c r="V54" s="314">
        <f t="shared" si="2"/>
        <v>16901.000000000004</v>
      </c>
      <c r="W54" s="314">
        <f t="shared" si="8"/>
        <v>5070.3</v>
      </c>
      <c r="X54" s="315">
        <f t="shared" si="6"/>
        <v>1774.605</v>
      </c>
      <c r="Y54" s="315">
        <f t="shared" si="3"/>
        <v>304.21800000000002</v>
      </c>
      <c r="Z54" s="315">
        <v>660.55</v>
      </c>
      <c r="AA54" s="315">
        <f t="shared" si="4"/>
        <v>202.81200000000001</v>
      </c>
      <c r="AB54" s="314">
        <v>577</v>
      </c>
      <c r="AC54" s="314">
        <v>280.22000000000003</v>
      </c>
      <c r="AD54" s="314"/>
      <c r="AE54" s="314">
        <f>1155+1255</f>
        <v>2410</v>
      </c>
      <c r="AF54" s="314">
        <f t="shared" si="5"/>
        <v>193351.46</v>
      </c>
      <c r="AG54" s="316"/>
      <c r="AH54" s="316"/>
      <c r="AI54" s="316"/>
      <c r="AJ54" s="316"/>
      <c r="AK54" s="316"/>
      <c r="AL54" s="316"/>
      <c r="AM54" s="316"/>
    </row>
    <row r="55" spans="1:39" s="317" customFormat="1" ht="27" customHeight="1" x14ac:dyDescent="0.2">
      <c r="A55" s="303">
        <f t="shared" ref="A55:A60" si="10">A54+1</f>
        <v>49</v>
      </c>
      <c r="B55" s="303">
        <v>7</v>
      </c>
      <c r="C55" s="303">
        <v>2</v>
      </c>
      <c r="D55" s="304">
        <v>9</v>
      </c>
      <c r="E55" s="303">
        <v>3</v>
      </c>
      <c r="F55" s="304">
        <v>180</v>
      </c>
      <c r="G55" s="305">
        <v>6015</v>
      </c>
      <c r="H55" s="306" t="s">
        <v>383</v>
      </c>
      <c r="I55" s="307" t="s">
        <v>384</v>
      </c>
      <c r="J55" s="308">
        <v>37508</v>
      </c>
      <c r="K55" s="309">
        <v>6</v>
      </c>
      <c r="L55" s="310">
        <v>40</v>
      </c>
      <c r="M55" s="310" t="s">
        <v>264</v>
      </c>
      <c r="N55" s="319" t="s">
        <v>468</v>
      </c>
      <c r="O55" s="310" t="s">
        <v>251</v>
      </c>
      <c r="P55" s="312" t="s">
        <v>370</v>
      </c>
      <c r="Q55" s="313">
        <v>11323.2</v>
      </c>
      <c r="R55" s="314">
        <v>0</v>
      </c>
      <c r="S55" s="314">
        <f>Q55</f>
        <v>11323.2</v>
      </c>
      <c r="T55" s="314"/>
      <c r="U55" s="314">
        <f t="shared" si="1"/>
        <v>1887.2</v>
      </c>
      <c r="V55" s="314">
        <f t="shared" si="2"/>
        <v>18872</v>
      </c>
      <c r="W55" s="314">
        <f t="shared" si="8"/>
        <v>5661.6</v>
      </c>
      <c r="X55" s="315">
        <f t="shared" si="6"/>
        <v>1981.56</v>
      </c>
      <c r="Y55" s="315">
        <f t="shared" si="3"/>
        <v>339.69600000000003</v>
      </c>
      <c r="Z55" s="315">
        <f>660.84+32.06</f>
        <v>692.90000000000009</v>
      </c>
      <c r="AA55" s="315">
        <f t="shared" si="4"/>
        <v>226.46400000000003</v>
      </c>
      <c r="AB55" s="314">
        <v>617.70000000000005</v>
      </c>
      <c r="AC55" s="314">
        <v>287.83999999999997</v>
      </c>
      <c r="AD55" s="314"/>
      <c r="AE55" s="314">
        <f>1605+1705</f>
        <v>3310</v>
      </c>
      <c r="AF55" s="314">
        <f t="shared" si="5"/>
        <v>215363.12000000002</v>
      </c>
      <c r="AG55" s="316"/>
      <c r="AH55" s="316"/>
      <c r="AI55" s="316"/>
      <c r="AJ55" s="316"/>
      <c r="AK55" s="316"/>
      <c r="AL55" s="316"/>
      <c r="AM55" s="316"/>
    </row>
    <row r="56" spans="1:39" s="317" customFormat="1" ht="30.75" customHeight="1" x14ac:dyDescent="0.2">
      <c r="A56" s="303">
        <f t="shared" si="10"/>
        <v>50</v>
      </c>
      <c r="B56" s="303">
        <v>7</v>
      </c>
      <c r="C56" s="303">
        <v>2</v>
      </c>
      <c r="D56" s="304">
        <v>9</v>
      </c>
      <c r="E56" s="303">
        <v>3</v>
      </c>
      <c r="F56" s="304">
        <v>180</v>
      </c>
      <c r="G56" s="305">
        <v>12075</v>
      </c>
      <c r="H56" s="311" t="s">
        <v>385</v>
      </c>
      <c r="I56" s="307" t="s">
        <v>386</v>
      </c>
      <c r="J56" s="308">
        <v>41808</v>
      </c>
      <c r="K56" s="309">
        <v>6</v>
      </c>
      <c r="L56" s="310">
        <v>40</v>
      </c>
      <c r="M56" s="310" t="s">
        <v>264</v>
      </c>
      <c r="N56" s="319" t="s">
        <v>468</v>
      </c>
      <c r="O56" s="310" t="s">
        <v>251</v>
      </c>
      <c r="P56" s="312" t="s">
        <v>370</v>
      </c>
      <c r="Q56" s="313">
        <v>11323.2</v>
      </c>
      <c r="R56" s="314">
        <v>0</v>
      </c>
      <c r="S56" s="314">
        <f t="shared" si="0"/>
        <v>11323.2</v>
      </c>
      <c r="T56" s="314"/>
      <c r="U56" s="314">
        <f t="shared" si="1"/>
        <v>1887.2</v>
      </c>
      <c r="V56" s="314">
        <f t="shared" si="2"/>
        <v>18872</v>
      </c>
      <c r="W56" s="314">
        <f t="shared" si="8"/>
        <v>5661.6</v>
      </c>
      <c r="X56" s="315">
        <f t="shared" si="6"/>
        <v>1981.56</v>
      </c>
      <c r="Y56" s="315">
        <f t="shared" si="3"/>
        <v>339.69600000000003</v>
      </c>
      <c r="Z56" s="315">
        <f>660.84+32.08</f>
        <v>692.92000000000007</v>
      </c>
      <c r="AA56" s="315">
        <f t="shared" si="4"/>
        <v>226.46400000000003</v>
      </c>
      <c r="AB56" s="314">
        <v>617.70000000000005</v>
      </c>
      <c r="AC56" s="314">
        <v>287.83999999999997</v>
      </c>
      <c r="AD56" s="314"/>
      <c r="AE56" s="314">
        <f>1605+1705</f>
        <v>3310</v>
      </c>
      <c r="AF56" s="314">
        <f t="shared" si="5"/>
        <v>215363.36000000002</v>
      </c>
      <c r="AG56" s="316"/>
      <c r="AH56" s="316"/>
      <c r="AI56" s="316"/>
      <c r="AJ56" s="316"/>
      <c r="AK56" s="316"/>
      <c r="AL56" s="316"/>
      <c r="AM56" s="316"/>
    </row>
    <row r="57" spans="1:39" s="317" customFormat="1" ht="27" customHeight="1" x14ac:dyDescent="0.2">
      <c r="A57" s="303">
        <f t="shared" si="10"/>
        <v>51</v>
      </c>
      <c r="B57" s="303">
        <v>7</v>
      </c>
      <c r="C57" s="303">
        <v>2</v>
      </c>
      <c r="D57" s="304">
        <v>9</v>
      </c>
      <c r="E57" s="303">
        <v>3</v>
      </c>
      <c r="F57" s="304">
        <v>180</v>
      </c>
      <c r="G57" s="305">
        <v>5013</v>
      </c>
      <c r="H57" s="311" t="s">
        <v>387</v>
      </c>
      <c r="I57" s="307" t="s">
        <v>388</v>
      </c>
      <c r="J57" s="307" t="s">
        <v>389</v>
      </c>
      <c r="K57" s="309">
        <v>16</v>
      </c>
      <c r="L57" s="310">
        <v>40</v>
      </c>
      <c r="M57" s="309" t="s">
        <v>249</v>
      </c>
      <c r="N57" s="319" t="s">
        <v>390</v>
      </c>
      <c r="O57" s="310" t="s">
        <v>251</v>
      </c>
      <c r="P57" s="312" t="s">
        <v>370</v>
      </c>
      <c r="Q57" s="334">
        <v>17211.900000000001</v>
      </c>
      <c r="R57" s="314">
        <v>0</v>
      </c>
      <c r="S57" s="314">
        <f t="shared" si="0"/>
        <v>17211.900000000001</v>
      </c>
      <c r="T57" s="314"/>
      <c r="U57" s="314">
        <f t="shared" si="1"/>
        <v>2868.65</v>
      </c>
      <c r="V57" s="314">
        <f t="shared" si="2"/>
        <v>28686.5</v>
      </c>
      <c r="W57" s="314">
        <f t="shared" si="8"/>
        <v>8605.9500000000007</v>
      </c>
      <c r="X57" s="315">
        <f t="shared" si="6"/>
        <v>3012.0825</v>
      </c>
      <c r="Y57" s="315">
        <f t="shared" si="3"/>
        <v>516.35699999999997</v>
      </c>
      <c r="Z57" s="315">
        <v>802.53</v>
      </c>
      <c r="AA57" s="315">
        <f t="shared" si="4"/>
        <v>344.23800000000006</v>
      </c>
      <c r="AB57" s="314">
        <v>538.32000000000005</v>
      </c>
      <c r="AC57" s="314">
        <v>388.58</v>
      </c>
      <c r="AD57" s="314"/>
      <c r="AE57" s="314">
        <f>822+2922</f>
        <v>3744</v>
      </c>
      <c r="AF57" s="314">
        <f t="shared" si="5"/>
        <v>317673.19000000006</v>
      </c>
      <c r="AG57" s="316"/>
      <c r="AH57" s="316"/>
      <c r="AI57" s="316"/>
      <c r="AJ57" s="316"/>
      <c r="AK57" s="316"/>
      <c r="AL57" s="316"/>
      <c r="AM57" s="316"/>
    </row>
    <row r="58" spans="1:39" s="317" customFormat="1" ht="27" customHeight="1" x14ac:dyDescent="0.2">
      <c r="A58" s="303">
        <f t="shared" si="10"/>
        <v>52</v>
      </c>
      <c r="B58" s="303">
        <v>7</v>
      </c>
      <c r="C58" s="303">
        <v>2</v>
      </c>
      <c r="D58" s="304">
        <v>9</v>
      </c>
      <c r="E58" s="303">
        <v>3</v>
      </c>
      <c r="F58" s="304">
        <v>180</v>
      </c>
      <c r="G58" s="305">
        <v>5008</v>
      </c>
      <c r="H58" s="311" t="s">
        <v>391</v>
      </c>
      <c r="I58" s="307" t="s">
        <v>392</v>
      </c>
      <c r="J58" s="308">
        <v>35765</v>
      </c>
      <c r="K58" s="310">
        <v>7</v>
      </c>
      <c r="L58" s="310">
        <v>40</v>
      </c>
      <c r="M58" s="309" t="s">
        <v>264</v>
      </c>
      <c r="N58" s="319" t="s">
        <v>393</v>
      </c>
      <c r="O58" s="310" t="s">
        <v>251</v>
      </c>
      <c r="P58" s="312" t="s">
        <v>370</v>
      </c>
      <c r="Q58" s="313">
        <v>11870.1</v>
      </c>
      <c r="R58" s="314">
        <v>0</v>
      </c>
      <c r="S58" s="314">
        <f t="shared" si="0"/>
        <v>11870.1</v>
      </c>
      <c r="T58" s="314"/>
      <c r="U58" s="314">
        <f t="shared" si="1"/>
        <v>1978.3500000000001</v>
      </c>
      <c r="V58" s="314">
        <f t="shared" si="2"/>
        <v>19783.5</v>
      </c>
      <c r="W58" s="314">
        <f t="shared" si="8"/>
        <v>5935.05</v>
      </c>
      <c r="X58" s="315">
        <f t="shared" si="6"/>
        <v>2077.2674999999999</v>
      </c>
      <c r="Y58" s="315">
        <f t="shared" si="3"/>
        <v>356.10300000000001</v>
      </c>
      <c r="Z58" s="315">
        <f>676.49+32.11</f>
        <v>708.6</v>
      </c>
      <c r="AA58" s="315">
        <f t="shared" si="4"/>
        <v>237.40200000000002</v>
      </c>
      <c r="AB58" s="314">
        <v>636.41999999999996</v>
      </c>
      <c r="AC58" s="314">
        <v>295.27999999999997</v>
      </c>
      <c r="AD58" s="314"/>
      <c r="AE58" s="314">
        <f>1702+1802</f>
        <v>3504</v>
      </c>
      <c r="AF58" s="314">
        <f t="shared" si="5"/>
        <v>225374.97</v>
      </c>
      <c r="AG58" s="316"/>
      <c r="AH58" s="316"/>
      <c r="AI58" s="316"/>
      <c r="AJ58" s="316"/>
      <c r="AK58" s="316"/>
      <c r="AL58" s="316"/>
      <c r="AM58" s="316"/>
    </row>
    <row r="59" spans="1:39" s="317" customFormat="1" ht="25.5" customHeight="1" x14ac:dyDescent="0.2">
      <c r="A59" s="303">
        <f t="shared" si="10"/>
        <v>53</v>
      </c>
      <c r="B59" s="303">
        <v>7</v>
      </c>
      <c r="C59" s="303">
        <v>2</v>
      </c>
      <c r="D59" s="304">
        <v>9</v>
      </c>
      <c r="E59" s="303">
        <v>3</v>
      </c>
      <c r="F59" s="304">
        <v>180</v>
      </c>
      <c r="G59" s="305">
        <v>10013</v>
      </c>
      <c r="H59" s="311" t="s">
        <v>394</v>
      </c>
      <c r="I59" s="307" t="s">
        <v>395</v>
      </c>
      <c r="J59" s="308">
        <v>37151</v>
      </c>
      <c r="K59" s="309">
        <v>7</v>
      </c>
      <c r="L59" s="310">
        <v>40</v>
      </c>
      <c r="M59" s="309" t="s">
        <v>249</v>
      </c>
      <c r="N59" s="319" t="s">
        <v>396</v>
      </c>
      <c r="O59" s="310" t="s">
        <v>251</v>
      </c>
      <c r="P59" s="312" t="s">
        <v>370</v>
      </c>
      <c r="Q59" s="313">
        <v>11682.9</v>
      </c>
      <c r="R59" s="314">
        <v>0</v>
      </c>
      <c r="S59" s="314">
        <f t="shared" si="0"/>
        <v>11682.9</v>
      </c>
      <c r="T59" s="314"/>
      <c r="U59" s="314">
        <f t="shared" si="1"/>
        <v>1947.15</v>
      </c>
      <c r="V59" s="314">
        <f t="shared" si="2"/>
        <v>19471.5</v>
      </c>
      <c r="W59" s="314">
        <f t="shared" si="8"/>
        <v>5841.45</v>
      </c>
      <c r="X59" s="315">
        <f t="shared" si="6"/>
        <v>2044.5074999999997</v>
      </c>
      <c r="Y59" s="315">
        <f t="shared" si="3"/>
        <v>350.48699999999997</v>
      </c>
      <c r="Z59" s="315">
        <f>670.91+32.07</f>
        <v>702.98</v>
      </c>
      <c r="AA59" s="315">
        <f t="shared" si="4"/>
        <v>233.65799999999999</v>
      </c>
      <c r="AB59" s="314">
        <v>618.55999999999995</v>
      </c>
      <c r="AC59" s="314">
        <v>284.68</v>
      </c>
      <c r="AD59" s="314"/>
      <c r="AE59" s="314">
        <f>1702+1802</f>
        <v>3504</v>
      </c>
      <c r="AF59" s="314">
        <f t="shared" si="5"/>
        <v>221777.36999999997</v>
      </c>
      <c r="AG59" s="316"/>
      <c r="AH59" s="316"/>
      <c r="AI59" s="316"/>
      <c r="AJ59" s="316"/>
      <c r="AK59" s="316"/>
      <c r="AL59" s="316"/>
      <c r="AM59" s="316"/>
    </row>
    <row r="60" spans="1:39" s="317" customFormat="1" ht="29.25" customHeight="1" x14ac:dyDescent="0.2">
      <c r="A60" s="303">
        <f t="shared" si="10"/>
        <v>54</v>
      </c>
      <c r="B60" s="303">
        <v>7</v>
      </c>
      <c r="C60" s="303">
        <v>2</v>
      </c>
      <c r="D60" s="304">
        <v>9</v>
      </c>
      <c r="E60" s="303">
        <v>3</v>
      </c>
      <c r="F60" s="304">
        <v>180</v>
      </c>
      <c r="G60" s="305">
        <v>12070</v>
      </c>
      <c r="H60" s="319" t="s">
        <v>397</v>
      </c>
      <c r="I60" s="312" t="s">
        <v>398</v>
      </c>
      <c r="J60" s="308">
        <v>41714</v>
      </c>
      <c r="K60" s="309">
        <v>21</v>
      </c>
      <c r="L60" s="310">
        <v>40</v>
      </c>
      <c r="M60" s="310" t="s">
        <v>249</v>
      </c>
      <c r="N60" s="319" t="s">
        <v>399</v>
      </c>
      <c r="O60" s="310" t="s">
        <v>251</v>
      </c>
      <c r="P60" s="312" t="s">
        <v>370</v>
      </c>
      <c r="Q60" s="337">
        <v>29135.4</v>
      </c>
      <c r="R60" s="314">
        <v>0</v>
      </c>
      <c r="S60" s="314">
        <f t="shared" si="0"/>
        <v>29135.4</v>
      </c>
      <c r="T60" s="314"/>
      <c r="U60" s="314">
        <f t="shared" si="1"/>
        <v>4855.9000000000005</v>
      </c>
      <c r="V60" s="314">
        <f>Q60/30*50</f>
        <v>48559</v>
      </c>
      <c r="W60" s="314">
        <f t="shared" si="8"/>
        <v>14567.7</v>
      </c>
      <c r="X60" s="315">
        <f t="shared" si="6"/>
        <v>5098.6949999999997</v>
      </c>
      <c r="Y60" s="315">
        <f t="shared" si="3"/>
        <v>874.06200000000001</v>
      </c>
      <c r="Z60" s="315">
        <v>1203.28</v>
      </c>
      <c r="AA60" s="315">
        <f t="shared" si="4"/>
        <v>582.70800000000008</v>
      </c>
      <c r="AB60" s="314">
        <v>950.38</v>
      </c>
      <c r="AC60" s="314">
        <v>674.46</v>
      </c>
      <c r="AD60" s="314"/>
      <c r="AE60" s="314">
        <v>10500</v>
      </c>
      <c r="AF60" s="314">
        <f>+(S60+X60+Y60+Z60+AA60+AB60+AC60)*12+W60+U60+V60+AD60+AE60</f>
        <v>540710.41999999993</v>
      </c>
      <c r="AG60" s="316"/>
      <c r="AH60" s="316"/>
      <c r="AI60" s="316"/>
      <c r="AJ60" s="316"/>
      <c r="AK60" s="316"/>
      <c r="AL60" s="316"/>
      <c r="AM60" s="316"/>
    </row>
    <row r="61" spans="1:39" s="364" customFormat="1" ht="21.75" customHeight="1" x14ac:dyDescent="0.2">
      <c r="A61" s="521"/>
      <c r="B61" s="521"/>
      <c r="C61" s="521"/>
      <c r="D61" s="521"/>
      <c r="E61" s="521"/>
      <c r="F61" s="521"/>
      <c r="G61" s="521"/>
      <c r="H61" s="521"/>
      <c r="I61" s="522"/>
      <c r="J61" s="357"/>
      <c r="K61" s="358"/>
      <c r="L61" s="358"/>
      <c r="M61" s="358"/>
      <c r="N61" s="358"/>
      <c r="O61" s="358"/>
      <c r="P61" s="359" t="s">
        <v>207</v>
      </c>
      <c r="Q61" s="360">
        <f>SUM(Q7:Q60)*12</f>
        <v>8991130.8000000007</v>
      </c>
      <c r="R61" s="361"/>
      <c r="S61" s="360">
        <f>SUM(S7:S60)*12</f>
        <v>8991130.8000000007</v>
      </c>
      <c r="T61" s="362"/>
      <c r="U61" s="360">
        <f>SUM(U7:U60)</f>
        <v>124876.81666666669</v>
      </c>
      <c r="V61" s="360">
        <f>SUM(V7:V60)</f>
        <v>1248768.1666666665</v>
      </c>
      <c r="W61" s="360">
        <f>SUM(W7:W60)</f>
        <v>347710.1</v>
      </c>
      <c r="X61" s="360">
        <f t="shared" ref="X61:AC61" si="11">SUM(X7:X60)*12</f>
        <v>1573447.8899999992</v>
      </c>
      <c r="Y61" s="360">
        <f t="shared" si="11"/>
        <v>269733.924</v>
      </c>
      <c r="Z61" s="360">
        <f t="shared" si="11"/>
        <v>499275.95999999996</v>
      </c>
      <c r="AA61" s="360">
        <f t="shared" si="11"/>
        <v>179822.61600000004</v>
      </c>
      <c r="AB61" s="360">
        <f t="shared" si="11"/>
        <v>403660.91999999993</v>
      </c>
      <c r="AC61" s="360">
        <f t="shared" si="11"/>
        <v>212600.28000000003</v>
      </c>
      <c r="AD61" s="360"/>
      <c r="AE61" s="360">
        <f>SUM(AE7:AE60)</f>
        <v>235962.92</v>
      </c>
      <c r="AF61" s="363"/>
    </row>
    <row r="62" spans="1:39" s="364" customFormat="1" ht="23.25" customHeight="1" x14ac:dyDescent="0.2">
      <c r="A62" s="365">
        <v>54</v>
      </c>
      <c r="B62" s="366" t="s">
        <v>400</v>
      </c>
      <c r="C62" s="367"/>
      <c r="D62" s="367"/>
      <c r="E62" s="367"/>
      <c r="F62" s="367"/>
      <c r="G62" s="367"/>
      <c r="H62" s="367"/>
      <c r="I62" s="368"/>
      <c r="J62" s="369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1">
        <f>SUM(AF7:AF61)</f>
        <v>14086990.393333333</v>
      </c>
    </row>
    <row r="63" spans="1:39" s="364" customFormat="1" ht="23.25" customHeight="1" x14ac:dyDescent="0.2">
      <c r="A63" s="372"/>
      <c r="B63" s="373"/>
      <c r="C63" s="373"/>
      <c r="D63" s="373"/>
      <c r="E63" s="373"/>
      <c r="F63" s="373"/>
      <c r="G63" s="373"/>
      <c r="H63" s="373"/>
      <c r="I63" s="374"/>
      <c r="J63" s="375"/>
      <c r="K63" s="376"/>
      <c r="L63" s="376"/>
      <c r="M63" s="376"/>
      <c r="N63" s="376"/>
      <c r="O63" s="376"/>
      <c r="P63" s="376"/>
      <c r="Q63" s="377"/>
      <c r="R63" s="378"/>
      <c r="S63" s="378"/>
      <c r="T63" s="376"/>
      <c r="U63" s="376"/>
      <c r="V63" s="376"/>
      <c r="W63" s="376"/>
      <c r="X63" s="377"/>
      <c r="Y63" s="377"/>
      <c r="Z63" s="377"/>
      <c r="AA63" s="377"/>
      <c r="AB63" s="377"/>
      <c r="AC63" s="377"/>
      <c r="AD63" s="377"/>
      <c r="AE63" s="377"/>
      <c r="AF63" s="379"/>
    </row>
    <row r="64" spans="1:39" s="317" customFormat="1" ht="19.5" customHeight="1" x14ac:dyDescent="0.2">
      <c r="A64" s="380"/>
      <c r="B64" s="380"/>
      <c r="C64" s="378"/>
      <c r="D64" s="378"/>
      <c r="E64" s="378"/>
      <c r="F64" s="378"/>
      <c r="G64" s="378"/>
      <c r="H64" s="378"/>
      <c r="I64" s="378"/>
      <c r="J64" s="381"/>
      <c r="K64" s="378"/>
      <c r="L64" s="378"/>
      <c r="M64" s="378"/>
      <c r="N64" s="378"/>
      <c r="O64" s="378"/>
      <c r="P64" s="378"/>
      <c r="Q64" s="382"/>
      <c r="R64" s="383"/>
      <c r="S64" s="383"/>
      <c r="T64" s="382"/>
      <c r="U64" s="382"/>
      <c r="V64" s="382"/>
      <c r="W64" s="382"/>
      <c r="X64" s="382"/>
      <c r="Y64" s="382"/>
      <c r="Z64" s="382"/>
      <c r="AA64" s="382"/>
      <c r="AB64" s="382"/>
      <c r="AC64" s="382"/>
      <c r="AD64" s="382"/>
      <c r="AE64" s="382"/>
      <c r="AF64" s="382"/>
      <c r="AG64" s="382"/>
      <c r="AH64" s="316"/>
      <c r="AI64" s="316"/>
      <c r="AJ64" s="316"/>
      <c r="AK64" s="316"/>
      <c r="AL64" s="316"/>
      <c r="AM64" s="316"/>
    </row>
    <row r="65" spans="1:39" s="395" customFormat="1" ht="18" customHeight="1" x14ac:dyDescent="0.2">
      <c r="A65" s="384"/>
      <c r="B65" s="384"/>
      <c r="C65" s="384"/>
      <c r="D65" s="385"/>
      <c r="E65" s="384"/>
      <c r="F65" s="385"/>
      <c r="G65" s="386"/>
      <c r="H65" s="387"/>
      <c r="I65" s="388"/>
      <c r="J65" s="388"/>
      <c r="K65" s="389"/>
      <c r="L65" s="384"/>
      <c r="M65" s="390"/>
      <c r="N65" s="391"/>
      <c r="O65" s="391"/>
      <c r="P65" s="383"/>
      <c r="Q65" s="392"/>
      <c r="R65" s="392"/>
      <c r="S65" s="392"/>
      <c r="T65" s="392"/>
      <c r="U65" s="392"/>
      <c r="V65" s="392"/>
      <c r="W65" s="392"/>
      <c r="X65" s="392"/>
      <c r="Y65" s="393"/>
      <c r="Z65" s="392"/>
      <c r="AA65" s="392"/>
      <c r="AB65" s="392"/>
      <c r="AC65" s="393"/>
      <c r="AD65" s="392"/>
      <c r="AE65" s="392"/>
      <c r="AF65" s="392"/>
      <c r="AG65" s="393"/>
      <c r="AH65" s="394"/>
      <c r="AI65" s="394"/>
      <c r="AJ65" s="394"/>
      <c r="AK65" s="394"/>
      <c r="AL65" s="394"/>
      <c r="AM65" s="394"/>
    </row>
    <row r="66" spans="1:39" ht="18" customHeight="1" x14ac:dyDescent="0.2">
      <c r="P66" s="398"/>
      <c r="Q66" s="398"/>
      <c r="R66" s="398"/>
      <c r="S66" s="398"/>
      <c r="T66" s="398"/>
    </row>
    <row r="67" spans="1:39" ht="18" customHeight="1" x14ac:dyDescent="0.2">
      <c r="A67" s="399"/>
      <c r="B67" s="399"/>
      <c r="C67" s="400"/>
      <c r="D67" s="400"/>
      <c r="E67" s="400"/>
      <c r="F67" s="400"/>
      <c r="G67" s="400"/>
      <c r="H67" s="400"/>
      <c r="I67" s="400"/>
      <c r="J67" s="401"/>
      <c r="K67" s="400"/>
      <c r="L67" s="400"/>
      <c r="M67" s="400"/>
      <c r="N67" s="400"/>
      <c r="O67" s="400"/>
      <c r="P67" s="402"/>
      <c r="Q67" s="403"/>
      <c r="R67" s="403"/>
      <c r="S67" s="403"/>
      <c r="T67" s="403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4"/>
      <c r="AF67" s="405"/>
    </row>
    <row r="68" spans="1:39" ht="25.5" customHeight="1" x14ac:dyDescent="0.2"/>
    <row r="69" spans="1:39" ht="25.5" customHeight="1" x14ac:dyDescent="0.2">
      <c r="H69" s="286"/>
    </row>
    <row r="71" spans="1:39" ht="18" customHeight="1" x14ac:dyDescent="0.2">
      <c r="AF71" s="290"/>
    </row>
  </sheetData>
  <mergeCells count="5">
    <mergeCell ref="Q4:T4"/>
    <mergeCell ref="U4:W4"/>
    <mergeCell ref="X4:AC4"/>
    <mergeCell ref="AD4:AE4"/>
    <mergeCell ref="A61:I61"/>
  </mergeCells>
  <printOptions horizontalCentered="1" verticalCentered="1"/>
  <pageMargins left="0.39370078740157483" right="0.39370078740157483" top="0.39370078740157483" bottom="0" header="0" footer="0.19685039370078741"/>
  <pageSetup paperSize="5" scale="33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7"/>
  <sheetViews>
    <sheetView workbookViewId="0">
      <selection activeCell="C34" sqref="C34"/>
    </sheetView>
  </sheetViews>
  <sheetFormatPr baseColWidth="10" defaultRowHeight="12.75" x14ac:dyDescent="0.2"/>
  <cols>
    <col min="1" max="1" width="12.7109375" bestFit="1" customWidth="1"/>
    <col min="2" max="2" width="38.5703125" customWidth="1"/>
    <col min="3" max="3" width="11.28515625" bestFit="1" customWidth="1"/>
    <col min="4" max="4" width="14.85546875" bestFit="1" customWidth="1"/>
    <col min="5" max="5" width="13.140625" customWidth="1"/>
    <col min="6" max="6" width="29.28515625" bestFit="1" customWidth="1"/>
    <col min="7" max="7" width="11.28515625" bestFit="1" customWidth="1"/>
  </cols>
  <sheetData>
    <row r="2" spans="1:7" ht="15.75" x14ac:dyDescent="0.25">
      <c r="A2" s="527" t="s">
        <v>198</v>
      </c>
      <c r="B2" s="527"/>
      <c r="C2" s="527"/>
      <c r="D2" s="527"/>
      <c r="E2" s="527"/>
      <c r="F2" s="527"/>
      <c r="G2" s="527"/>
    </row>
    <row r="3" spans="1:7" ht="15" x14ac:dyDescent="0.25">
      <c r="A3" s="528" t="s">
        <v>199</v>
      </c>
      <c r="B3" s="528"/>
      <c r="C3" s="528"/>
      <c r="D3" s="528"/>
      <c r="E3" s="528"/>
      <c r="F3" s="528"/>
      <c r="G3" s="528"/>
    </row>
    <row r="4" spans="1:7" ht="13.5" thickBot="1" x14ac:dyDescent="0.25">
      <c r="A4" s="526" t="s">
        <v>200</v>
      </c>
      <c r="B4" s="526"/>
      <c r="C4" s="526"/>
      <c r="D4" s="526"/>
      <c r="E4" s="526"/>
      <c r="F4" s="526"/>
      <c r="G4" s="526"/>
    </row>
    <row r="5" spans="1:7" x14ac:dyDescent="0.2">
      <c r="A5" s="523" t="s">
        <v>201</v>
      </c>
      <c r="B5" s="524"/>
      <c r="C5" s="525"/>
      <c r="D5" s="260"/>
      <c r="E5" s="523" t="s">
        <v>202</v>
      </c>
      <c r="F5" s="524"/>
      <c r="G5" s="525"/>
    </row>
    <row r="6" spans="1:7" x14ac:dyDescent="0.2">
      <c r="A6" s="261" t="s">
        <v>203</v>
      </c>
      <c r="B6" s="261" t="s">
        <v>204</v>
      </c>
      <c r="C6" s="261" t="s">
        <v>205</v>
      </c>
      <c r="D6" s="261" t="s">
        <v>206</v>
      </c>
      <c r="E6" s="261" t="s">
        <v>203</v>
      </c>
      <c r="F6" s="261" t="s">
        <v>204</v>
      </c>
      <c r="G6" s="261" t="s">
        <v>205</v>
      </c>
    </row>
    <row r="7" spans="1:7" ht="14.25" x14ac:dyDescent="0.2">
      <c r="A7" s="262"/>
      <c r="B7" s="213"/>
      <c r="C7" s="263"/>
      <c r="D7" s="263"/>
      <c r="E7" s="262"/>
      <c r="F7" s="262"/>
      <c r="G7" s="263"/>
    </row>
    <row r="8" spans="1:7" ht="14.25" x14ac:dyDescent="0.2">
      <c r="A8" s="264"/>
      <c r="B8" s="213"/>
      <c r="C8" s="276"/>
      <c r="D8" s="263"/>
      <c r="E8" s="262"/>
      <c r="F8" s="262"/>
      <c r="G8" s="263"/>
    </row>
    <row r="9" spans="1:7" ht="14.25" x14ac:dyDescent="0.2">
      <c r="A9" s="264"/>
      <c r="B9" s="213"/>
      <c r="C9" s="276"/>
      <c r="D9" s="263"/>
      <c r="E9" s="262"/>
      <c r="F9" s="262"/>
      <c r="G9" s="263"/>
    </row>
    <row r="10" spans="1:7" ht="14.25" x14ac:dyDescent="0.2">
      <c r="A10" s="264"/>
      <c r="B10" s="213"/>
      <c r="C10" s="263"/>
      <c r="D10" s="263"/>
      <c r="E10" s="262"/>
      <c r="F10" s="262"/>
      <c r="G10" s="263"/>
    </row>
    <row r="11" spans="1:7" ht="14.25" x14ac:dyDescent="0.2">
      <c r="A11" s="264"/>
      <c r="B11" s="213"/>
      <c r="C11" s="263"/>
      <c r="D11" s="263"/>
      <c r="E11" s="262"/>
      <c r="F11" s="262"/>
      <c r="G11" s="263"/>
    </row>
    <row r="12" spans="1:7" ht="14.25" x14ac:dyDescent="0.2">
      <c r="A12" s="264"/>
      <c r="B12" s="213"/>
      <c r="C12" s="263"/>
      <c r="D12" s="263"/>
      <c r="E12" s="262"/>
      <c r="F12" s="262"/>
      <c r="G12" s="263"/>
    </row>
    <row r="13" spans="1:7" ht="13.5" thickBot="1" x14ac:dyDescent="0.25">
      <c r="A13" s="264"/>
      <c r="B13" s="265" t="s">
        <v>207</v>
      </c>
      <c r="C13" s="266">
        <f>SUM(C7:C12)</f>
        <v>0</v>
      </c>
      <c r="D13" s="266">
        <f>SUM(D7:D12)</f>
        <v>0</v>
      </c>
      <c r="E13" s="267"/>
      <c r="F13" s="265" t="s">
        <v>207</v>
      </c>
      <c r="G13" s="268">
        <f>SUM(G7:G12)</f>
        <v>0</v>
      </c>
    </row>
    <row r="14" spans="1:7" x14ac:dyDescent="0.2">
      <c r="A14" s="529"/>
      <c r="B14" s="529"/>
      <c r="C14" s="529"/>
      <c r="D14" s="529"/>
      <c r="E14" s="529"/>
      <c r="F14" s="529"/>
      <c r="G14" s="529"/>
    </row>
    <row r="15" spans="1:7" ht="13.5" thickBot="1" x14ac:dyDescent="0.25">
      <c r="A15" s="526" t="s">
        <v>208</v>
      </c>
      <c r="B15" s="526"/>
      <c r="C15" s="526"/>
      <c r="D15" s="526"/>
      <c r="E15" s="526"/>
      <c r="F15" s="526"/>
      <c r="G15" s="526"/>
    </row>
    <row r="16" spans="1:7" x14ac:dyDescent="0.2">
      <c r="A16" s="523" t="s">
        <v>201</v>
      </c>
      <c r="B16" s="524"/>
      <c r="C16" s="525"/>
      <c r="D16" s="412"/>
      <c r="E16" s="523" t="s">
        <v>202</v>
      </c>
      <c r="F16" s="524"/>
      <c r="G16" s="525"/>
    </row>
    <row r="17" spans="1:7" ht="13.5" thickBot="1" x14ac:dyDescent="0.25">
      <c r="A17" s="269" t="s">
        <v>203</v>
      </c>
      <c r="B17" s="269" t="s">
        <v>204</v>
      </c>
      <c r="C17" s="269" t="s">
        <v>205</v>
      </c>
      <c r="D17" s="269" t="s">
        <v>206</v>
      </c>
      <c r="E17" s="269" t="s">
        <v>203</v>
      </c>
      <c r="F17" s="269" t="s">
        <v>204</v>
      </c>
      <c r="G17" s="269" t="s">
        <v>205</v>
      </c>
    </row>
    <row r="18" spans="1:7" ht="14.25" x14ac:dyDescent="0.2">
      <c r="A18" s="270">
        <v>3311</v>
      </c>
      <c r="B18" s="271" t="s">
        <v>68</v>
      </c>
      <c r="C18" s="272">
        <v>2338</v>
      </c>
      <c r="D18" s="272">
        <v>60000</v>
      </c>
      <c r="E18" s="262">
        <v>3451</v>
      </c>
      <c r="F18" s="214" t="s">
        <v>402</v>
      </c>
      <c r="G18" s="413">
        <v>2338</v>
      </c>
    </row>
    <row r="19" spans="1:7" ht="13.5" thickBot="1" x14ac:dyDescent="0.25">
      <c r="A19" s="264"/>
      <c r="B19" s="265" t="s">
        <v>207</v>
      </c>
      <c r="C19" s="266">
        <f>SUM(C18:C18)</f>
        <v>2338</v>
      </c>
      <c r="D19" s="266"/>
      <c r="E19" s="267"/>
      <c r="F19" s="265" t="s">
        <v>207</v>
      </c>
      <c r="G19" s="268">
        <f>SUM(G18:G18)</f>
        <v>2338</v>
      </c>
    </row>
    <row r="21" spans="1:7" ht="15.75" x14ac:dyDescent="0.25">
      <c r="A21" s="527" t="s">
        <v>96</v>
      </c>
      <c r="B21" s="527"/>
      <c r="C21" s="527"/>
      <c r="D21" s="527"/>
      <c r="E21" s="527"/>
      <c r="F21" s="527"/>
      <c r="G21" s="527"/>
    </row>
    <row r="22" spans="1:7" ht="15" x14ac:dyDescent="0.25">
      <c r="A22" s="528" t="s">
        <v>199</v>
      </c>
      <c r="B22" s="528"/>
      <c r="C22" s="528"/>
      <c r="D22" s="528"/>
      <c r="E22" s="528"/>
      <c r="F22" s="528"/>
      <c r="G22" s="528"/>
    </row>
    <row r="23" spans="1:7" ht="13.5" thickBot="1" x14ac:dyDescent="0.25">
      <c r="A23" s="526" t="s">
        <v>209</v>
      </c>
      <c r="B23" s="526"/>
      <c r="C23" s="526"/>
      <c r="D23" s="526"/>
      <c r="E23" s="526"/>
      <c r="F23" s="526"/>
      <c r="G23" s="526"/>
    </row>
    <row r="24" spans="1:7" x14ac:dyDescent="0.2">
      <c r="A24" s="523" t="s">
        <v>201</v>
      </c>
      <c r="B24" s="524"/>
      <c r="C24" s="525"/>
      <c r="D24" s="260"/>
      <c r="E24" s="523" t="s">
        <v>202</v>
      </c>
      <c r="F24" s="524"/>
      <c r="G24" s="525"/>
    </row>
    <row r="25" spans="1:7" x14ac:dyDescent="0.2">
      <c r="A25" s="261" t="s">
        <v>203</v>
      </c>
      <c r="B25" s="261" t="s">
        <v>204</v>
      </c>
      <c r="C25" s="261" t="s">
        <v>205</v>
      </c>
      <c r="D25" s="261" t="s">
        <v>206</v>
      </c>
      <c r="E25" s="261" t="s">
        <v>203</v>
      </c>
      <c r="F25" s="261" t="s">
        <v>204</v>
      </c>
      <c r="G25" s="261" t="s">
        <v>205</v>
      </c>
    </row>
    <row r="26" spans="1:7" ht="14.25" x14ac:dyDescent="0.2">
      <c r="A26" s="262"/>
      <c r="B26" s="209"/>
      <c r="C26" s="263"/>
      <c r="D26" s="263"/>
      <c r="E26" s="262"/>
      <c r="F26" s="214"/>
      <c r="G26" s="263"/>
    </row>
    <row r="27" spans="1:7" ht="13.5" thickBot="1" x14ac:dyDescent="0.25">
      <c r="A27" s="264"/>
      <c r="B27" s="265" t="s">
        <v>207</v>
      </c>
      <c r="C27" s="266">
        <f>SUM(C26:C26)</f>
        <v>0</v>
      </c>
      <c r="D27" s="266"/>
      <c r="E27" s="267"/>
      <c r="F27" s="265" t="s">
        <v>207</v>
      </c>
      <c r="G27" s="268">
        <f>SUM(G26:G26)</f>
        <v>0</v>
      </c>
    </row>
  </sheetData>
  <mergeCells count="14">
    <mergeCell ref="A14:G14"/>
    <mergeCell ref="A2:G2"/>
    <mergeCell ref="A3:G3"/>
    <mergeCell ref="A4:G4"/>
    <mergeCell ref="A5:C5"/>
    <mergeCell ref="E5:G5"/>
    <mergeCell ref="A24:C24"/>
    <mergeCell ref="E24:G24"/>
    <mergeCell ref="A15:G15"/>
    <mergeCell ref="A16:C16"/>
    <mergeCell ref="E16:G16"/>
    <mergeCell ref="A21:G21"/>
    <mergeCell ref="A22:G22"/>
    <mergeCell ref="A23:G23"/>
  </mergeCells>
  <pageMargins left="0.7" right="0.7" top="0.75" bottom="0.75" header="0.3" footer="0.3"/>
  <pageSetup scale="7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C6"/>
    </sheetView>
  </sheetViews>
  <sheetFormatPr baseColWidth="10" defaultRowHeight="12.75" x14ac:dyDescent="0.2"/>
  <cols>
    <col min="1" max="1" width="9.85546875" bestFit="1" customWidth="1"/>
    <col min="2" max="2" width="40.7109375" bestFit="1" customWidth="1"/>
    <col min="3" max="4" width="15.140625" bestFit="1" customWidth="1"/>
    <col min="8" max="8" width="15.140625" customWidth="1"/>
    <col min="9" max="9" width="15.28515625" customWidth="1"/>
    <col min="10" max="10" width="14.28515625" customWidth="1"/>
    <col min="11" max="11" width="13.42578125" customWidth="1"/>
    <col min="12" max="12" width="17.42578125" customWidth="1"/>
  </cols>
  <sheetData>
    <row r="1" spans="1:13" ht="15" x14ac:dyDescent="0.25">
      <c r="A1" s="534" t="s">
        <v>403</v>
      </c>
      <c r="B1" s="534"/>
      <c r="C1" s="534"/>
      <c r="D1" s="415"/>
    </row>
    <row r="2" spans="1:13" ht="15" x14ac:dyDescent="0.25">
      <c r="A2" s="422" t="s">
        <v>0</v>
      </c>
      <c r="B2" s="422" t="s">
        <v>204</v>
      </c>
      <c r="C2" s="422" t="s">
        <v>205</v>
      </c>
      <c r="D2" s="415"/>
    </row>
    <row r="3" spans="1:13" ht="15" x14ac:dyDescent="0.25">
      <c r="A3" s="423">
        <v>3841</v>
      </c>
      <c r="B3" s="423" t="s">
        <v>219</v>
      </c>
      <c r="C3" s="434">
        <v>304751.3</v>
      </c>
      <c r="D3" s="415"/>
    </row>
    <row r="4" spans="1:13" ht="15" x14ac:dyDescent="0.25">
      <c r="A4" s="423">
        <v>3941</v>
      </c>
      <c r="B4" s="423" t="s">
        <v>419</v>
      </c>
      <c r="C4" s="434">
        <v>327260.37</v>
      </c>
      <c r="D4" s="415"/>
    </row>
    <row r="5" spans="1:13" ht="15" x14ac:dyDescent="0.25">
      <c r="A5" s="423">
        <v>1611</v>
      </c>
      <c r="B5" s="456" t="s">
        <v>422</v>
      </c>
      <c r="C5" s="434">
        <v>107913.38</v>
      </c>
      <c r="D5" s="415"/>
    </row>
    <row r="6" spans="1:13" ht="15.75" thickBot="1" x14ac:dyDescent="0.3">
      <c r="A6" s="427"/>
      <c r="B6" s="440" t="s">
        <v>207</v>
      </c>
      <c r="C6" s="437">
        <v>739925.05</v>
      </c>
      <c r="D6" s="457">
        <f>+C6-C3-C4</f>
        <v>107913.38000000006</v>
      </c>
    </row>
    <row r="7" spans="1:13" ht="15" x14ac:dyDescent="0.25">
      <c r="A7" s="415"/>
      <c r="B7" s="415"/>
      <c r="C7" s="416"/>
      <c r="D7" s="415"/>
    </row>
    <row r="8" spans="1:13" ht="60" customHeight="1" thickBot="1" x14ac:dyDescent="0.3">
      <c r="A8" s="534" t="s">
        <v>404</v>
      </c>
      <c r="B8" s="534"/>
      <c r="C8" s="534"/>
    </row>
    <row r="9" spans="1:13" ht="15" x14ac:dyDescent="0.25">
      <c r="A9" s="438"/>
      <c r="B9" s="430" t="s">
        <v>405</v>
      </c>
      <c r="C9" s="439">
        <v>15839138</v>
      </c>
    </row>
    <row r="10" spans="1:13" ht="15" x14ac:dyDescent="0.25">
      <c r="A10" s="431" t="s">
        <v>406</v>
      </c>
      <c r="B10" s="426" t="s">
        <v>407</v>
      </c>
      <c r="C10" s="436">
        <v>739925.05</v>
      </c>
    </row>
    <row r="11" spans="1:13" ht="15.75" thickBot="1" x14ac:dyDescent="0.3">
      <c r="A11" s="424" t="s">
        <v>408</v>
      </c>
      <c r="B11" s="425" t="s">
        <v>409</v>
      </c>
      <c r="C11" s="437">
        <v>16579063.050000001</v>
      </c>
      <c r="E11" s="420"/>
      <c r="F11" s="420"/>
      <c r="G11" s="420"/>
      <c r="H11" s="420"/>
      <c r="I11" s="420"/>
      <c r="J11" s="420"/>
      <c r="K11" s="420"/>
      <c r="L11" s="420"/>
      <c r="M11" s="420"/>
    </row>
    <row r="12" spans="1:13" ht="15" x14ac:dyDescent="0.25">
      <c r="A12" s="418"/>
      <c r="B12" s="417"/>
      <c r="C12" s="419"/>
    </row>
    <row r="13" spans="1:13" ht="18.75" x14ac:dyDescent="0.3">
      <c r="A13" s="536" t="s">
        <v>421</v>
      </c>
      <c r="B13" s="536"/>
      <c r="C13" s="536"/>
      <c r="D13" s="536"/>
      <c r="E13" s="420"/>
      <c r="F13" s="420"/>
      <c r="G13" s="420"/>
      <c r="H13" s="535" t="s">
        <v>96</v>
      </c>
      <c r="I13" s="535"/>
      <c r="J13" s="535"/>
      <c r="K13" s="535"/>
      <c r="L13" s="535"/>
      <c r="M13" s="535"/>
    </row>
    <row r="14" spans="1:13" ht="30" x14ac:dyDescent="0.25">
      <c r="A14" s="422" t="s">
        <v>410</v>
      </c>
      <c r="B14" s="422" t="s">
        <v>411</v>
      </c>
      <c r="C14" s="435" t="s">
        <v>412</v>
      </c>
      <c r="D14" s="435" t="s">
        <v>413</v>
      </c>
      <c r="E14" s="420"/>
      <c r="F14" s="420"/>
      <c r="G14" s="420"/>
      <c r="H14" s="537" t="s">
        <v>199</v>
      </c>
      <c r="I14" s="537"/>
      <c r="J14" s="537"/>
      <c r="K14" s="537"/>
      <c r="L14" s="537"/>
      <c r="M14" s="537"/>
    </row>
    <row r="15" spans="1:13" ht="15.75" thickBot="1" x14ac:dyDescent="0.3">
      <c r="A15" s="432">
        <v>1000</v>
      </c>
      <c r="B15" s="423" t="s">
        <v>414</v>
      </c>
      <c r="C15" s="434">
        <v>12730212</v>
      </c>
      <c r="D15" s="423">
        <v>12838125.380000001</v>
      </c>
      <c r="E15" s="420"/>
      <c r="F15" s="420"/>
      <c r="G15" s="420"/>
      <c r="H15" s="530" t="s">
        <v>200</v>
      </c>
      <c r="I15" s="530"/>
      <c r="J15" s="530"/>
      <c r="K15" s="530"/>
      <c r="L15" s="530"/>
      <c r="M15" s="530"/>
    </row>
    <row r="16" spans="1:13" ht="15" x14ac:dyDescent="0.25">
      <c r="A16" s="432">
        <v>2000</v>
      </c>
      <c r="B16" s="423" t="s">
        <v>415</v>
      </c>
      <c r="C16" s="434">
        <v>540618</v>
      </c>
      <c r="D16" s="434">
        <v>540618</v>
      </c>
      <c r="E16" s="420"/>
      <c r="F16" s="420"/>
      <c r="G16" s="420"/>
      <c r="H16" s="531" t="s">
        <v>201</v>
      </c>
      <c r="I16" s="532"/>
      <c r="J16" s="533"/>
      <c r="K16" s="532" t="s">
        <v>202</v>
      </c>
      <c r="L16" s="532"/>
      <c r="M16" s="533"/>
    </row>
    <row r="17" spans="1:13" ht="15" x14ac:dyDescent="0.25">
      <c r="A17" s="432">
        <v>3000</v>
      </c>
      <c r="B17" s="423" t="s">
        <v>416</v>
      </c>
      <c r="C17" s="434">
        <v>2283308</v>
      </c>
      <c r="D17" s="434">
        <v>2915319.67</v>
      </c>
      <c r="E17" s="420"/>
      <c r="F17" s="420"/>
      <c r="G17" s="420"/>
      <c r="H17" s="447" t="s">
        <v>203</v>
      </c>
      <c r="I17" s="443" t="s">
        <v>204</v>
      </c>
      <c r="J17" s="444" t="s">
        <v>205</v>
      </c>
      <c r="K17" s="442" t="s">
        <v>203</v>
      </c>
      <c r="L17" s="443" t="s">
        <v>204</v>
      </c>
      <c r="M17" s="443" t="s">
        <v>205</v>
      </c>
    </row>
    <row r="18" spans="1:13" ht="30.75" thickBot="1" x14ac:dyDescent="0.3">
      <c r="A18" s="432">
        <v>4000</v>
      </c>
      <c r="B18" s="428" t="s">
        <v>417</v>
      </c>
      <c r="C18" s="434">
        <v>170000</v>
      </c>
      <c r="D18" s="434">
        <v>170000</v>
      </c>
      <c r="E18" s="420"/>
      <c r="F18" s="420"/>
      <c r="G18" s="420"/>
      <c r="H18" s="446">
        <v>1611</v>
      </c>
      <c r="I18" s="441" t="s">
        <v>422</v>
      </c>
      <c r="J18" s="445">
        <v>1389.72</v>
      </c>
      <c r="K18" s="433">
        <v>1432</v>
      </c>
      <c r="L18" s="448" t="s">
        <v>420</v>
      </c>
      <c r="M18" s="449">
        <v>1389.72</v>
      </c>
    </row>
    <row r="19" spans="1:13" ht="15.75" thickBot="1" x14ac:dyDescent="0.3">
      <c r="A19" s="432">
        <v>5000</v>
      </c>
      <c r="B19" s="423" t="s">
        <v>418</v>
      </c>
      <c r="C19" s="434">
        <v>115000</v>
      </c>
      <c r="D19" s="434">
        <v>115000</v>
      </c>
      <c r="E19" s="420"/>
      <c r="F19" s="420"/>
      <c r="G19" s="420"/>
      <c r="H19" s="450"/>
      <c r="I19" s="451" t="s">
        <v>207</v>
      </c>
      <c r="J19" s="452">
        <v>1389.72</v>
      </c>
      <c r="K19" s="453"/>
      <c r="L19" s="451" t="s">
        <v>207</v>
      </c>
      <c r="M19" s="454">
        <v>1389.72</v>
      </c>
    </row>
    <row r="20" spans="1:13" ht="15" x14ac:dyDescent="0.25">
      <c r="A20" s="420"/>
      <c r="B20" s="429" t="s">
        <v>207</v>
      </c>
      <c r="C20" s="421">
        <v>15839138</v>
      </c>
      <c r="D20" s="421">
        <v>16579063.050000001</v>
      </c>
      <c r="E20" s="420"/>
      <c r="F20" s="420"/>
      <c r="G20" s="420"/>
      <c r="H20" s="420"/>
      <c r="I20" s="420"/>
      <c r="J20" s="420"/>
      <c r="K20" s="420"/>
      <c r="L20" s="420"/>
      <c r="M20" s="420"/>
    </row>
  </sheetData>
  <mergeCells count="8">
    <mergeCell ref="H15:M15"/>
    <mergeCell ref="H16:J16"/>
    <mergeCell ref="K16:M16"/>
    <mergeCell ref="A8:C8"/>
    <mergeCell ref="A1:C1"/>
    <mergeCell ref="H13:M13"/>
    <mergeCell ref="A13:D13"/>
    <mergeCell ref="H14:M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5"/>
  <sheetViews>
    <sheetView workbookViewId="0">
      <selection activeCell="K37" sqref="K37"/>
    </sheetView>
  </sheetViews>
  <sheetFormatPr baseColWidth="10" defaultRowHeight="12.75" x14ac:dyDescent="0.2"/>
  <cols>
    <col min="1" max="1" width="12.7109375" bestFit="1" customWidth="1"/>
    <col min="2" max="2" width="26.42578125" customWidth="1"/>
    <col min="3" max="3" width="17.5703125" bestFit="1" customWidth="1"/>
    <col min="5" max="5" width="12.7109375" bestFit="1" customWidth="1"/>
    <col min="6" max="6" width="20.85546875" customWidth="1"/>
    <col min="10" max="10" width="11.7109375" customWidth="1"/>
    <col min="11" max="11" width="51.140625" customWidth="1"/>
    <col min="12" max="12" width="13.7109375" customWidth="1"/>
  </cols>
  <sheetData>
    <row r="3" spans="1:12" ht="18.75" x14ac:dyDescent="0.3">
      <c r="A3" s="538" t="s">
        <v>453</v>
      </c>
      <c r="B3" s="538"/>
      <c r="C3" s="538"/>
      <c r="D3" s="538"/>
      <c r="E3" s="538"/>
      <c r="F3" s="538"/>
      <c r="G3" s="538"/>
      <c r="J3" s="529" t="s">
        <v>454</v>
      </c>
      <c r="K3" s="529"/>
      <c r="L3" s="529"/>
    </row>
    <row r="4" spans="1:12" ht="15" x14ac:dyDescent="0.25">
      <c r="A4" s="537" t="s">
        <v>199</v>
      </c>
      <c r="B4" s="537"/>
      <c r="C4" s="537"/>
      <c r="D4" s="537"/>
      <c r="E4" s="537"/>
      <c r="F4" s="537"/>
      <c r="G4" s="537"/>
      <c r="J4" s="539" t="s">
        <v>455</v>
      </c>
      <c r="K4" s="539"/>
      <c r="L4" s="539"/>
    </row>
    <row r="5" spans="1:12" ht="15.75" thickBot="1" x14ac:dyDescent="0.25">
      <c r="A5" s="530"/>
      <c r="B5" s="530"/>
      <c r="C5" s="530"/>
      <c r="D5" s="530"/>
      <c r="E5" s="530"/>
      <c r="F5" s="530"/>
      <c r="G5" s="530"/>
      <c r="J5" s="465" t="s">
        <v>0</v>
      </c>
      <c r="K5" s="465" t="s">
        <v>204</v>
      </c>
      <c r="L5" s="465" t="s">
        <v>205</v>
      </c>
    </row>
    <row r="6" spans="1:12" ht="15" x14ac:dyDescent="0.25">
      <c r="A6" s="531" t="s">
        <v>201</v>
      </c>
      <c r="B6" s="532"/>
      <c r="C6" s="532"/>
      <c r="D6" s="533"/>
      <c r="E6" s="532" t="s">
        <v>202</v>
      </c>
      <c r="F6" s="532"/>
      <c r="G6" s="533"/>
      <c r="J6" s="466">
        <v>3311</v>
      </c>
      <c r="K6" s="466" t="s">
        <v>68</v>
      </c>
      <c r="L6" s="467">
        <v>29000</v>
      </c>
    </row>
    <row r="7" spans="1:12" ht="15" x14ac:dyDescent="0.25">
      <c r="A7" s="447" t="s">
        <v>203</v>
      </c>
      <c r="B7" s="443" t="s">
        <v>204</v>
      </c>
      <c r="C7" s="468" t="s">
        <v>456</v>
      </c>
      <c r="D7" s="444" t="s">
        <v>205</v>
      </c>
      <c r="E7" s="442" t="s">
        <v>203</v>
      </c>
      <c r="F7" s="443" t="s">
        <v>204</v>
      </c>
      <c r="G7" s="443" t="s">
        <v>205</v>
      </c>
      <c r="J7" s="466">
        <v>3342</v>
      </c>
      <c r="K7" s="466" t="s">
        <v>82</v>
      </c>
      <c r="L7" s="467">
        <v>25000</v>
      </c>
    </row>
    <row r="8" spans="1:12" ht="27" thickBot="1" x14ac:dyDescent="0.3">
      <c r="A8" s="446">
        <v>3111</v>
      </c>
      <c r="B8" s="469" t="s">
        <v>457</v>
      </c>
      <c r="C8" s="445">
        <v>210000</v>
      </c>
      <c r="D8" s="445">
        <v>5000</v>
      </c>
      <c r="E8" s="433">
        <v>2461</v>
      </c>
      <c r="F8" s="469" t="s">
        <v>458</v>
      </c>
      <c r="G8" s="449">
        <v>5000</v>
      </c>
      <c r="J8" s="466">
        <v>3391</v>
      </c>
      <c r="K8" s="466" t="s">
        <v>459</v>
      </c>
      <c r="L8" s="467">
        <v>37500</v>
      </c>
    </row>
    <row r="9" spans="1:12" ht="15.75" thickBot="1" x14ac:dyDescent="0.3">
      <c r="A9" s="450"/>
      <c r="B9" s="451" t="s">
        <v>207</v>
      </c>
      <c r="C9" s="470"/>
      <c r="D9" s="452">
        <f>+D8</f>
        <v>5000</v>
      </c>
      <c r="E9" s="453"/>
      <c r="F9" s="451" t="s">
        <v>207</v>
      </c>
      <c r="G9" s="454">
        <f>+G8</f>
        <v>5000</v>
      </c>
      <c r="J9" s="466">
        <v>2961</v>
      </c>
      <c r="K9" s="466" t="s">
        <v>214</v>
      </c>
      <c r="L9" s="467"/>
    </row>
    <row r="10" spans="1:12" ht="15" x14ac:dyDescent="0.25">
      <c r="J10" s="466">
        <v>3551</v>
      </c>
      <c r="K10" s="471" t="s">
        <v>102</v>
      </c>
      <c r="L10" s="467"/>
    </row>
    <row r="11" spans="1:12" ht="15.75" thickBot="1" x14ac:dyDescent="0.3">
      <c r="J11" s="472"/>
      <c r="K11" s="473" t="s">
        <v>207</v>
      </c>
      <c r="L11" s="474">
        <f>SUM(L6:L10)</f>
        <v>91500</v>
      </c>
    </row>
    <row r="13" spans="1:12" x14ac:dyDescent="0.2">
      <c r="L13">
        <v>242410.61</v>
      </c>
    </row>
    <row r="15" spans="1:12" x14ac:dyDescent="0.2">
      <c r="L15" s="457">
        <f>+L13-L11</f>
        <v>150910.60999999999</v>
      </c>
    </row>
  </sheetData>
  <mergeCells count="7">
    <mergeCell ref="A6:D6"/>
    <mergeCell ref="E6:G6"/>
    <mergeCell ref="A3:G3"/>
    <mergeCell ref="J3:L3"/>
    <mergeCell ref="A4:G4"/>
    <mergeCell ref="J4:L4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enableFormatConditionsCalculation="0">
    <tabColor indexed="40"/>
  </sheetPr>
  <dimension ref="A1:AB75"/>
  <sheetViews>
    <sheetView showGridLines="0" view="pageBreakPreview" topLeftCell="G7" zoomScale="80" zoomScaleSheetLayoutView="80" workbookViewId="0">
      <pane xSplit="3" ySplit="4" topLeftCell="J11" activePane="bottomRight" state="frozen"/>
      <selection activeCell="P31" sqref="P31"/>
      <selection pane="topRight" activeCell="P31" sqref="P31"/>
      <selection pane="bottomLeft" activeCell="P31" sqref="P31"/>
      <selection pane="bottomRight" activeCell="P31" sqref="P31"/>
    </sheetView>
  </sheetViews>
  <sheetFormatPr baseColWidth="10" defaultColWidth="11.42578125" defaultRowHeight="12.75" x14ac:dyDescent="0.2"/>
  <cols>
    <col min="1" max="1" width="4" style="1" customWidth="1"/>
    <col min="2" max="2" width="4.42578125" style="1" customWidth="1"/>
    <col min="3" max="3" width="4.5703125" style="1" customWidth="1"/>
    <col min="4" max="4" width="6.5703125" style="7" customWidth="1"/>
    <col min="5" max="5" width="6.28515625" style="1" customWidth="1"/>
    <col min="6" max="6" width="6.140625" style="1" customWidth="1"/>
    <col min="7" max="7" width="7.28515625" style="15" customWidth="1"/>
    <col min="8" max="8" width="5.7109375" style="15" customWidth="1"/>
    <col min="9" max="9" width="29.7109375" style="17" customWidth="1"/>
    <col min="10" max="10" width="15.42578125" style="29" bestFit="1" customWidth="1"/>
    <col min="11" max="11" width="14.28515625" style="17" customWidth="1"/>
    <col min="12" max="12" width="14.5703125" style="17" customWidth="1"/>
    <col min="13" max="13" width="16.28515625" style="17" customWidth="1"/>
    <col min="14" max="15" width="15.28515625" style="17" customWidth="1"/>
    <col min="16" max="16" width="15" style="17" customWidth="1"/>
    <col min="17" max="17" width="13.28515625" style="17" customWidth="1"/>
    <col min="18" max="18" width="11.28515625" style="4" bestFit="1" customWidth="1"/>
    <col min="19" max="19" width="14.140625" style="4" bestFit="1" customWidth="1"/>
    <col min="20" max="22" width="11.28515625" style="4" bestFit="1" customWidth="1"/>
    <col min="23" max="23" width="14.140625" style="4" bestFit="1" customWidth="1"/>
    <col min="24" max="24" width="12.5703125" style="4" customWidth="1"/>
    <col min="25" max="25" width="13.42578125" style="4" bestFit="1" customWidth="1"/>
    <col min="26" max="26" width="12.7109375" style="4" bestFit="1" customWidth="1"/>
    <col min="27" max="16384" width="11.42578125" style="4"/>
  </cols>
  <sheetData>
    <row r="1" spans="1:28" ht="25.5" x14ac:dyDescent="0.35">
      <c r="D1" s="3"/>
      <c r="G1" s="6" t="s">
        <v>117</v>
      </c>
      <c r="Z1" s="5"/>
    </row>
    <row r="2" spans="1:28" ht="25.5" x14ac:dyDescent="0.35">
      <c r="D2" s="3"/>
      <c r="G2" s="2" t="s">
        <v>20</v>
      </c>
      <c r="M2" s="35"/>
      <c r="N2" s="35"/>
      <c r="O2" s="34"/>
      <c r="P2" s="34"/>
      <c r="Q2" s="34"/>
      <c r="R2" s="6"/>
      <c r="S2" s="6"/>
      <c r="T2" s="6"/>
      <c r="U2" s="6"/>
      <c r="V2" s="6"/>
      <c r="W2" s="6"/>
      <c r="X2" s="6"/>
      <c r="Y2" s="6"/>
      <c r="Z2" s="5"/>
    </row>
    <row r="3" spans="1:28" ht="25.5" x14ac:dyDescent="0.35">
      <c r="C3" s="2"/>
      <c r="D3" s="3"/>
      <c r="I3" s="37"/>
      <c r="J3" s="40"/>
      <c r="K3" s="37"/>
      <c r="L3" s="37"/>
      <c r="M3" s="35"/>
      <c r="N3" s="35"/>
      <c r="O3" s="34"/>
      <c r="P3" s="34"/>
      <c r="Q3" s="34"/>
      <c r="R3" s="6"/>
      <c r="S3" s="6"/>
      <c r="T3" s="6"/>
      <c r="U3" s="6"/>
      <c r="V3" s="6"/>
      <c r="W3" s="6"/>
      <c r="X3" s="6"/>
      <c r="Y3" s="6"/>
      <c r="Z3" s="5"/>
    </row>
    <row r="4" spans="1:28" s="63" customFormat="1" ht="23.25" customHeight="1" x14ac:dyDescent="0.2">
      <c r="A4" s="55"/>
      <c r="B4" s="55"/>
      <c r="C4" s="56"/>
      <c r="D4" s="57" t="s">
        <v>21</v>
      </c>
      <c r="E4" s="55"/>
      <c r="F4" s="55"/>
      <c r="G4" s="58"/>
      <c r="H4" s="58"/>
      <c r="I4" s="481" t="s">
        <v>44</v>
      </c>
      <c r="J4" s="481"/>
      <c r="K4" s="481"/>
      <c r="L4" s="481"/>
      <c r="M4" s="59"/>
      <c r="N4" s="59"/>
      <c r="O4" s="60"/>
      <c r="P4" s="93" t="s">
        <v>100</v>
      </c>
      <c r="Q4" s="93"/>
      <c r="R4" s="94"/>
      <c r="S4" s="142" t="s">
        <v>149</v>
      </c>
      <c r="T4" s="61"/>
      <c r="U4" s="61"/>
      <c r="V4" s="61"/>
      <c r="W4" s="61"/>
      <c r="X4" s="61"/>
      <c r="Y4" s="61"/>
      <c r="Z4" s="62"/>
    </row>
    <row r="5" spans="1:28" s="63" customFormat="1" ht="25.5" customHeight="1" x14ac:dyDescent="0.2">
      <c r="A5" s="55"/>
      <c r="B5" s="55"/>
      <c r="C5" s="55"/>
      <c r="D5" s="64" t="s">
        <v>45</v>
      </c>
      <c r="E5" s="55"/>
      <c r="F5" s="55"/>
      <c r="G5" s="58"/>
      <c r="H5" s="58"/>
      <c r="I5" s="481" t="s">
        <v>47</v>
      </c>
      <c r="J5" s="481"/>
      <c r="K5" s="481"/>
      <c r="L5" s="481"/>
      <c r="M5" s="59"/>
      <c r="N5" s="65"/>
      <c r="O5" s="60"/>
      <c r="P5" s="60"/>
      <c r="Q5" s="60"/>
      <c r="R5" s="76"/>
      <c r="S5" s="61"/>
      <c r="T5" s="61"/>
      <c r="U5" s="61"/>
      <c r="V5" s="61"/>
      <c r="W5" s="61"/>
      <c r="X5" s="61"/>
      <c r="Y5" s="61"/>
      <c r="Z5" s="62"/>
      <c r="AA5" s="66"/>
    </row>
    <row r="6" spans="1:28" s="63" customFormat="1" ht="20.25" x14ac:dyDescent="0.2">
      <c r="A6" s="55"/>
      <c r="B6" s="55"/>
      <c r="C6" s="55"/>
      <c r="D6" s="68" t="s">
        <v>23</v>
      </c>
      <c r="E6" s="55"/>
      <c r="F6" s="55"/>
      <c r="G6" s="58"/>
      <c r="H6" s="58"/>
      <c r="I6" s="65"/>
      <c r="J6" s="70" t="s">
        <v>41</v>
      </c>
      <c r="K6" s="65"/>
      <c r="L6" s="65"/>
      <c r="M6" s="65"/>
      <c r="N6" s="65" t="s">
        <v>51</v>
      </c>
      <c r="O6" s="60"/>
      <c r="P6" s="60"/>
      <c r="Q6" s="60"/>
      <c r="R6" s="61"/>
      <c r="S6" s="61" t="s">
        <v>52</v>
      </c>
      <c r="T6" s="61"/>
      <c r="U6" s="61"/>
      <c r="V6" s="61"/>
      <c r="W6" s="61"/>
      <c r="X6" s="61"/>
      <c r="Y6" s="61"/>
      <c r="Z6" s="62"/>
      <c r="AA6" s="66"/>
    </row>
    <row r="7" spans="1:28" ht="15.75" x14ac:dyDescent="0.2">
      <c r="G7" s="1"/>
      <c r="H7" s="1"/>
      <c r="I7" s="101"/>
      <c r="J7" s="123"/>
      <c r="K7" s="101"/>
      <c r="L7" s="101"/>
      <c r="M7" s="101"/>
      <c r="N7" s="101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100"/>
      <c r="AA7" s="20"/>
    </row>
    <row r="8" spans="1:28" ht="9.75" customHeight="1" x14ac:dyDescent="0.2">
      <c r="A8" s="8"/>
      <c r="B8" s="8"/>
      <c r="C8" s="8"/>
      <c r="D8" s="9"/>
      <c r="E8" s="8"/>
      <c r="F8" s="8"/>
      <c r="G8" s="8"/>
      <c r="H8" s="8"/>
      <c r="I8" s="10"/>
      <c r="J8" s="124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8" s="80" customFormat="1" ht="54" customHeight="1" x14ac:dyDescent="0.2">
      <c r="A9" s="486" t="s">
        <v>11</v>
      </c>
      <c r="B9" s="486" t="s">
        <v>12</v>
      </c>
      <c r="C9" s="486" t="s">
        <v>13</v>
      </c>
      <c r="D9" s="487" t="s">
        <v>14</v>
      </c>
      <c r="E9" s="486" t="s">
        <v>24</v>
      </c>
      <c r="F9" s="486" t="s">
        <v>15</v>
      </c>
      <c r="G9" s="486" t="s">
        <v>0</v>
      </c>
      <c r="H9" s="486" t="s">
        <v>25</v>
      </c>
      <c r="I9" s="477" t="s">
        <v>1</v>
      </c>
      <c r="J9" s="485" t="s">
        <v>26</v>
      </c>
      <c r="K9" s="477" t="s">
        <v>27</v>
      </c>
      <c r="L9" s="477"/>
      <c r="M9" s="479" t="s">
        <v>16</v>
      </c>
      <c r="N9" s="479" t="s">
        <v>28</v>
      </c>
      <c r="O9" s="477" t="s">
        <v>29</v>
      </c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</row>
    <row r="10" spans="1:28" s="81" customFormat="1" ht="12" customHeight="1" x14ac:dyDescent="0.2">
      <c r="A10" s="486"/>
      <c r="B10" s="486"/>
      <c r="C10" s="486"/>
      <c r="D10" s="487"/>
      <c r="E10" s="486"/>
      <c r="F10" s="486"/>
      <c r="G10" s="486"/>
      <c r="H10" s="486"/>
      <c r="I10" s="477"/>
      <c r="J10" s="485"/>
      <c r="K10" s="109" t="s">
        <v>30</v>
      </c>
      <c r="L10" s="109" t="s">
        <v>31</v>
      </c>
      <c r="M10" s="479"/>
      <c r="N10" s="479"/>
      <c r="O10" s="90" t="s">
        <v>8</v>
      </c>
      <c r="P10" s="90" t="s">
        <v>9</v>
      </c>
      <c r="Q10" s="90" t="s">
        <v>10</v>
      </c>
      <c r="R10" s="90" t="s">
        <v>32</v>
      </c>
      <c r="S10" s="90" t="s">
        <v>33</v>
      </c>
      <c r="T10" s="90" t="s">
        <v>34</v>
      </c>
      <c r="U10" s="90" t="s">
        <v>35</v>
      </c>
      <c r="V10" s="90" t="s">
        <v>36</v>
      </c>
      <c r="W10" s="90" t="s">
        <v>37</v>
      </c>
      <c r="X10" s="90" t="s">
        <v>38</v>
      </c>
      <c r="Y10" s="90" t="s">
        <v>39</v>
      </c>
      <c r="Z10" s="90" t="s">
        <v>40</v>
      </c>
    </row>
    <row r="11" spans="1:28" s="11" customFormat="1" x14ac:dyDescent="0.2">
      <c r="A11" s="21"/>
      <c r="B11" s="21"/>
      <c r="C11" s="21"/>
      <c r="D11" s="21"/>
      <c r="E11" s="21"/>
      <c r="F11" s="21"/>
      <c r="G11" s="111"/>
      <c r="H11" s="42"/>
      <c r="I11" s="97"/>
      <c r="J11" s="118"/>
      <c r="K11" s="118"/>
      <c r="L11" s="118"/>
      <c r="M11" s="118"/>
      <c r="N11" s="118">
        <f>SUM(O11:Z11)</f>
        <v>0</v>
      </c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>
        <v>0</v>
      </c>
      <c r="AA11" s="53"/>
    </row>
    <row r="12" spans="1:28" s="52" customFormat="1" x14ac:dyDescent="0.2">
      <c r="A12" s="54"/>
      <c r="B12" s="54"/>
      <c r="C12" s="54"/>
      <c r="D12" s="54"/>
      <c r="E12" s="54"/>
      <c r="F12" s="54"/>
      <c r="G12" s="54"/>
      <c r="H12" s="54"/>
      <c r="I12" s="73" t="s">
        <v>2</v>
      </c>
      <c r="J12" s="96">
        <f t="shared" ref="J12:Y12" si="0">SUM(J11:J11)</f>
        <v>0</v>
      </c>
      <c r="K12" s="96">
        <f t="shared" si="0"/>
        <v>0</v>
      </c>
      <c r="L12" s="96">
        <f t="shared" si="0"/>
        <v>0</v>
      </c>
      <c r="M12" s="96">
        <f t="shared" si="0"/>
        <v>0</v>
      </c>
      <c r="N12" s="96">
        <f>SUM(N11:N11)</f>
        <v>0</v>
      </c>
      <c r="O12" s="96">
        <f t="shared" si="0"/>
        <v>0</v>
      </c>
      <c r="P12" s="96">
        <f t="shared" si="0"/>
        <v>0</v>
      </c>
      <c r="Q12" s="96">
        <f t="shared" si="0"/>
        <v>0</v>
      </c>
      <c r="R12" s="96">
        <f t="shared" si="0"/>
        <v>0</v>
      </c>
      <c r="S12" s="96">
        <f t="shared" si="0"/>
        <v>0</v>
      </c>
      <c r="T12" s="96">
        <f t="shared" si="0"/>
        <v>0</v>
      </c>
      <c r="U12" s="96">
        <f t="shared" si="0"/>
        <v>0</v>
      </c>
      <c r="V12" s="96">
        <f t="shared" si="0"/>
        <v>0</v>
      </c>
      <c r="W12" s="96">
        <f t="shared" si="0"/>
        <v>0</v>
      </c>
      <c r="X12" s="96">
        <f t="shared" si="0"/>
        <v>0</v>
      </c>
      <c r="Y12" s="96">
        <f t="shared" si="0"/>
        <v>0</v>
      </c>
      <c r="Z12" s="96">
        <f>SUM(Z11:Z11)</f>
        <v>0</v>
      </c>
      <c r="AA12" s="53"/>
    </row>
    <row r="13" spans="1:28" s="17" customFormat="1" x14ac:dyDescent="0.2">
      <c r="A13" s="21" t="s">
        <v>17</v>
      </c>
      <c r="B13" s="21" t="s">
        <v>18</v>
      </c>
      <c r="C13" s="21" t="s">
        <v>19</v>
      </c>
      <c r="D13" s="21" t="s">
        <v>42</v>
      </c>
      <c r="E13" s="21" t="s">
        <v>48</v>
      </c>
      <c r="F13" s="21" t="s">
        <v>41</v>
      </c>
      <c r="G13" s="72">
        <v>2391</v>
      </c>
      <c r="H13" s="42">
        <v>0</v>
      </c>
      <c r="I13" s="97" t="s">
        <v>61</v>
      </c>
      <c r="J13" s="118">
        <v>15000</v>
      </c>
      <c r="K13" s="118"/>
      <c r="L13" s="118"/>
      <c r="M13" s="118">
        <f>J13+L13-K13</f>
        <v>15000</v>
      </c>
      <c r="N13" s="118">
        <f>SUM(O13:Z13)</f>
        <v>15000</v>
      </c>
      <c r="O13" s="118">
        <v>4111</v>
      </c>
      <c r="P13" s="118"/>
      <c r="Q13" s="118">
        <v>10889</v>
      </c>
      <c r="R13" s="118"/>
      <c r="S13" s="118"/>
      <c r="T13" s="118"/>
      <c r="U13" s="118"/>
      <c r="V13" s="118"/>
      <c r="W13" s="118"/>
      <c r="X13" s="118"/>
      <c r="Y13" s="118"/>
      <c r="Z13" s="118"/>
      <c r="AA13" s="83"/>
      <c r="AB13" s="82"/>
    </row>
    <row r="14" spans="1:28" s="17" customFormat="1" x14ac:dyDescent="0.2">
      <c r="A14" s="21" t="s">
        <v>17</v>
      </c>
      <c r="B14" s="21" t="s">
        <v>18</v>
      </c>
      <c r="C14" s="21" t="s">
        <v>19</v>
      </c>
      <c r="D14" s="21" t="s">
        <v>42</v>
      </c>
      <c r="E14" s="21" t="s">
        <v>48</v>
      </c>
      <c r="F14" s="21" t="s">
        <v>41</v>
      </c>
      <c r="G14" s="72">
        <v>2611</v>
      </c>
      <c r="H14" s="42">
        <v>0</v>
      </c>
      <c r="I14" s="97" t="s">
        <v>62</v>
      </c>
      <c r="J14" s="118"/>
      <c r="K14" s="118"/>
      <c r="L14" s="118"/>
      <c r="M14" s="118">
        <f>J14+L14-K14</f>
        <v>0</v>
      </c>
      <c r="N14" s="118">
        <f>SUM(O14:Z14)</f>
        <v>0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83"/>
      <c r="AB14" s="82"/>
    </row>
    <row r="15" spans="1:28" x14ac:dyDescent="0.2">
      <c r="A15" s="43"/>
      <c r="B15" s="43"/>
      <c r="C15" s="43"/>
      <c r="D15" s="43"/>
      <c r="E15" s="44"/>
      <c r="F15" s="45"/>
      <c r="G15" s="22"/>
      <c r="H15" s="43"/>
      <c r="I15" s="92" t="s">
        <v>3</v>
      </c>
      <c r="J15" s="96">
        <f t="shared" ref="J15:K15" si="1">SUM(J13:J14)</f>
        <v>15000</v>
      </c>
      <c r="K15" s="96">
        <f t="shared" si="1"/>
        <v>0</v>
      </c>
      <c r="L15" s="96">
        <f>SUM(L13:L14)</f>
        <v>0</v>
      </c>
      <c r="M15" s="96">
        <f>SUM(M13:M14)</f>
        <v>15000</v>
      </c>
      <c r="N15" s="96">
        <f>SUM(N13:N14)</f>
        <v>15000</v>
      </c>
      <c r="O15" s="96">
        <f>SUM(O13:O14)</f>
        <v>4111</v>
      </c>
      <c r="P15" s="96">
        <f t="shared" ref="P15:X15" si="2">SUM(P13:P14)</f>
        <v>0</v>
      </c>
      <c r="Q15" s="96">
        <f t="shared" si="2"/>
        <v>10889</v>
      </c>
      <c r="R15" s="96">
        <f t="shared" si="2"/>
        <v>0</v>
      </c>
      <c r="S15" s="96">
        <f t="shared" si="2"/>
        <v>0</v>
      </c>
      <c r="T15" s="96">
        <f t="shared" si="2"/>
        <v>0</v>
      </c>
      <c r="U15" s="96">
        <f t="shared" si="2"/>
        <v>0</v>
      </c>
      <c r="V15" s="96">
        <f t="shared" si="2"/>
        <v>0</v>
      </c>
      <c r="W15" s="96">
        <f t="shared" si="2"/>
        <v>0</v>
      </c>
      <c r="X15" s="96">
        <f t="shared" si="2"/>
        <v>0</v>
      </c>
      <c r="Y15" s="96">
        <f t="shared" ref="Y15" si="3">SUM(Y13:Y14)</f>
        <v>0</v>
      </c>
      <c r="Z15" s="96">
        <f>SUM(Z13:Z14)</f>
        <v>0</v>
      </c>
      <c r="AA15" s="83"/>
    </row>
    <row r="16" spans="1:28" s="17" customFormat="1" ht="12" customHeight="1" x14ac:dyDescent="0.2">
      <c r="A16" s="21" t="s">
        <v>17</v>
      </c>
      <c r="B16" s="21" t="s">
        <v>18</v>
      </c>
      <c r="C16" s="21" t="s">
        <v>19</v>
      </c>
      <c r="D16" s="21" t="s">
        <v>42</v>
      </c>
      <c r="E16" s="21" t="s">
        <v>48</v>
      </c>
      <c r="F16" s="21" t="s">
        <v>41</v>
      </c>
      <c r="G16" s="72">
        <v>3342</v>
      </c>
      <c r="H16" s="42">
        <v>0</v>
      </c>
      <c r="I16" s="150" t="s">
        <v>82</v>
      </c>
      <c r="J16" s="118">
        <v>69600</v>
      </c>
      <c r="K16" s="118"/>
      <c r="L16" s="118"/>
      <c r="M16" s="178">
        <f>J16+L16-K16</f>
        <v>69600</v>
      </c>
      <c r="N16" s="118">
        <f>SUM(O16:Z16)</f>
        <v>0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25"/>
      <c r="Z16" s="118"/>
      <c r="AA16" s="83"/>
      <c r="AB16" s="82"/>
    </row>
    <row r="17" spans="1:28" s="17" customFormat="1" x14ac:dyDescent="0.2">
      <c r="A17" s="21" t="s">
        <v>17</v>
      </c>
      <c r="B17" s="21" t="s">
        <v>18</v>
      </c>
      <c r="C17" s="21" t="s">
        <v>19</v>
      </c>
      <c r="D17" s="21" t="s">
        <v>42</v>
      </c>
      <c r="E17" s="21" t="s">
        <v>48</v>
      </c>
      <c r="F17" s="21" t="s">
        <v>41</v>
      </c>
      <c r="G17" s="72">
        <v>3611</v>
      </c>
      <c r="H17" s="42">
        <v>0</v>
      </c>
      <c r="I17" s="150" t="s">
        <v>136</v>
      </c>
      <c r="J17" s="118"/>
      <c r="K17" s="118"/>
      <c r="L17" s="118"/>
      <c r="M17" s="178">
        <f t="shared" ref="M17:M20" si="4">J17+L17-K17</f>
        <v>0</v>
      </c>
      <c r="N17" s="118">
        <f t="shared" ref="N17:N22" si="5">SUM(O17:Z17)</f>
        <v>0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25"/>
      <c r="Z17" s="118"/>
      <c r="AA17" s="83"/>
      <c r="AB17" s="82"/>
    </row>
    <row r="18" spans="1:28" s="17" customFormat="1" x14ac:dyDescent="0.2">
      <c r="A18" s="21" t="s">
        <v>17</v>
      </c>
      <c r="B18" s="21" t="s">
        <v>18</v>
      </c>
      <c r="C18" s="21" t="s">
        <v>19</v>
      </c>
      <c r="D18" s="21" t="s">
        <v>42</v>
      </c>
      <c r="E18" s="21" t="s">
        <v>48</v>
      </c>
      <c r="F18" s="21" t="s">
        <v>41</v>
      </c>
      <c r="G18" s="72">
        <v>3711</v>
      </c>
      <c r="H18" s="42">
        <v>0</v>
      </c>
      <c r="I18" s="150" t="s">
        <v>87</v>
      </c>
      <c r="J18" s="118"/>
      <c r="K18" s="118"/>
      <c r="L18" s="118"/>
      <c r="M18" s="178">
        <f t="shared" si="4"/>
        <v>0</v>
      </c>
      <c r="N18" s="118">
        <f t="shared" si="5"/>
        <v>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25"/>
      <c r="Z18" s="118"/>
      <c r="AA18" s="83"/>
      <c r="AB18" s="82"/>
    </row>
    <row r="19" spans="1:28" s="17" customFormat="1" x14ac:dyDescent="0.2">
      <c r="A19" s="21" t="s">
        <v>17</v>
      </c>
      <c r="B19" s="21" t="s">
        <v>18</v>
      </c>
      <c r="C19" s="21" t="s">
        <v>19</v>
      </c>
      <c r="D19" s="21" t="s">
        <v>42</v>
      </c>
      <c r="E19" s="21" t="s">
        <v>48</v>
      </c>
      <c r="F19" s="21" t="s">
        <v>41</v>
      </c>
      <c r="G19" s="72">
        <v>3721</v>
      </c>
      <c r="H19" s="42">
        <v>0</v>
      </c>
      <c r="I19" s="150" t="s">
        <v>71</v>
      </c>
      <c r="J19" s="118"/>
      <c r="K19" s="118"/>
      <c r="L19" s="118"/>
      <c r="M19" s="178">
        <f t="shared" si="4"/>
        <v>0</v>
      </c>
      <c r="N19" s="118">
        <f t="shared" si="5"/>
        <v>0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25"/>
      <c r="Z19" s="118"/>
      <c r="AA19" s="83"/>
      <c r="AB19" s="82"/>
    </row>
    <row r="20" spans="1:28" s="17" customFormat="1" x14ac:dyDescent="0.2">
      <c r="A20" s="21" t="s">
        <v>17</v>
      </c>
      <c r="B20" s="21" t="s">
        <v>18</v>
      </c>
      <c r="C20" s="21" t="s">
        <v>19</v>
      </c>
      <c r="D20" s="21" t="s">
        <v>42</v>
      </c>
      <c r="E20" s="21" t="s">
        <v>48</v>
      </c>
      <c r="F20" s="21" t="s">
        <v>41</v>
      </c>
      <c r="G20" s="72">
        <v>3751</v>
      </c>
      <c r="H20" s="42">
        <v>0</v>
      </c>
      <c r="I20" s="150" t="s">
        <v>88</v>
      </c>
      <c r="J20" s="118">
        <v>120000</v>
      </c>
      <c r="K20" s="118"/>
      <c r="L20" s="118"/>
      <c r="M20" s="178">
        <f t="shared" si="4"/>
        <v>120000</v>
      </c>
      <c r="N20" s="118">
        <f t="shared" si="5"/>
        <v>0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25"/>
      <c r="Z20" s="118"/>
      <c r="AA20" s="83"/>
      <c r="AB20" s="82"/>
    </row>
    <row r="21" spans="1:28" s="17" customFormat="1" x14ac:dyDescent="0.2">
      <c r="A21" s="21" t="s">
        <v>17</v>
      </c>
      <c r="B21" s="21" t="s">
        <v>18</v>
      </c>
      <c r="C21" s="21" t="s">
        <v>19</v>
      </c>
      <c r="D21" s="21" t="s">
        <v>42</v>
      </c>
      <c r="E21" s="21" t="s">
        <v>48</v>
      </c>
      <c r="F21" s="21" t="s">
        <v>41</v>
      </c>
      <c r="G21" s="72">
        <v>3831</v>
      </c>
      <c r="H21" s="42">
        <v>0</v>
      </c>
      <c r="I21" s="150" t="s">
        <v>72</v>
      </c>
      <c r="J21" s="118">
        <v>153119</v>
      </c>
      <c r="K21" s="118"/>
      <c r="L21" s="118"/>
      <c r="M21" s="178">
        <f>J21+L21-K21</f>
        <v>153119</v>
      </c>
      <c r="N21" s="118">
        <f t="shared" si="5"/>
        <v>0</v>
      </c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25"/>
      <c r="Z21" s="118"/>
      <c r="AA21" s="83"/>
      <c r="AB21" s="82"/>
    </row>
    <row r="22" spans="1:28" s="17" customFormat="1" x14ac:dyDescent="0.2">
      <c r="A22" s="21" t="s">
        <v>17</v>
      </c>
      <c r="B22" s="21" t="s">
        <v>18</v>
      </c>
      <c r="C22" s="21" t="s">
        <v>19</v>
      </c>
      <c r="D22" s="21" t="s">
        <v>42</v>
      </c>
      <c r="E22" s="21" t="s">
        <v>48</v>
      </c>
      <c r="F22" s="21" t="s">
        <v>41</v>
      </c>
      <c r="G22" s="72">
        <v>3921</v>
      </c>
      <c r="H22" s="42">
        <v>0</v>
      </c>
      <c r="I22" s="150" t="s">
        <v>70</v>
      </c>
      <c r="J22" s="118"/>
      <c r="K22" s="118"/>
      <c r="L22" s="118"/>
      <c r="M22" s="118">
        <f>J22+L22-K22</f>
        <v>0</v>
      </c>
      <c r="N22" s="118">
        <f t="shared" si="5"/>
        <v>0</v>
      </c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83"/>
      <c r="AB22" s="82"/>
    </row>
    <row r="23" spans="1:28" s="25" customFormat="1" x14ac:dyDescent="0.2">
      <c r="A23" s="22"/>
      <c r="B23" s="22"/>
      <c r="C23" s="22"/>
      <c r="D23" s="33"/>
      <c r="E23" s="22"/>
      <c r="F23" s="22"/>
      <c r="G23" s="22"/>
      <c r="H23" s="22"/>
      <c r="I23" s="92" t="s">
        <v>4</v>
      </c>
      <c r="J23" s="96">
        <f t="shared" ref="J23" si="6">SUM(J16:J22)</f>
        <v>342719</v>
      </c>
      <c r="K23" s="96">
        <f t="shared" ref="K23:P23" si="7">SUM(K16:K22)</f>
        <v>0</v>
      </c>
      <c r="L23" s="96">
        <f t="shared" si="7"/>
        <v>0</v>
      </c>
      <c r="M23" s="96">
        <f t="shared" si="7"/>
        <v>342719</v>
      </c>
      <c r="N23" s="96">
        <f t="shared" si="7"/>
        <v>0</v>
      </c>
      <c r="O23" s="96">
        <f t="shared" si="7"/>
        <v>0</v>
      </c>
      <c r="P23" s="96">
        <f t="shared" si="7"/>
        <v>0</v>
      </c>
      <c r="Q23" s="96">
        <f t="shared" ref="Q23:Z23" si="8">SUM(Q16:Q22)</f>
        <v>0</v>
      </c>
      <c r="R23" s="96">
        <f t="shared" si="8"/>
        <v>0</v>
      </c>
      <c r="S23" s="96">
        <f t="shared" si="8"/>
        <v>0</v>
      </c>
      <c r="T23" s="96">
        <f t="shared" si="8"/>
        <v>0</v>
      </c>
      <c r="U23" s="96">
        <f t="shared" si="8"/>
        <v>0</v>
      </c>
      <c r="V23" s="96">
        <f t="shared" si="8"/>
        <v>0</v>
      </c>
      <c r="W23" s="96">
        <f t="shared" si="8"/>
        <v>0</v>
      </c>
      <c r="X23" s="96">
        <f t="shared" si="8"/>
        <v>0</v>
      </c>
      <c r="Y23" s="96">
        <f t="shared" si="8"/>
        <v>0</v>
      </c>
      <c r="Z23" s="96">
        <f t="shared" si="8"/>
        <v>0</v>
      </c>
      <c r="AA23" s="83"/>
    </row>
    <row r="24" spans="1:28" s="17" customFormat="1" x14ac:dyDescent="0.2">
      <c r="A24" s="21" t="s">
        <v>17</v>
      </c>
      <c r="B24" s="21" t="s">
        <v>18</v>
      </c>
      <c r="C24" s="21" t="s">
        <v>19</v>
      </c>
      <c r="D24" s="21" t="s">
        <v>42</v>
      </c>
      <c r="E24" s="21" t="s">
        <v>48</v>
      </c>
      <c r="F24" s="21" t="s">
        <v>41</v>
      </c>
      <c r="G24" s="72">
        <v>4432</v>
      </c>
      <c r="H24" s="42">
        <v>0</v>
      </c>
      <c r="I24" s="97" t="s">
        <v>99</v>
      </c>
      <c r="J24" s="118">
        <v>153549</v>
      </c>
      <c r="K24" s="118"/>
      <c r="L24" s="118"/>
      <c r="M24" s="118">
        <f>J24-K24+L24</f>
        <v>153549</v>
      </c>
      <c r="N24" s="118">
        <f>SUM(O24:Z24)</f>
        <v>0</v>
      </c>
      <c r="O24" s="118"/>
      <c r="P24" s="118"/>
      <c r="Q24" s="118"/>
      <c r="R24" s="118"/>
      <c r="S24" s="118"/>
      <c r="T24" s="118">
        <v>0</v>
      </c>
      <c r="U24" s="13"/>
      <c r="V24" s="13"/>
      <c r="W24" s="118">
        <v>0</v>
      </c>
      <c r="X24" s="118"/>
      <c r="Y24" s="118"/>
      <c r="Z24" s="118"/>
      <c r="AA24" s="83"/>
      <c r="AB24" s="82"/>
    </row>
    <row r="25" spans="1:28" s="12" customFormat="1" x14ac:dyDescent="0.2">
      <c r="A25" s="22"/>
      <c r="B25" s="22"/>
      <c r="C25" s="22"/>
      <c r="D25" s="33"/>
      <c r="E25" s="22"/>
      <c r="F25" s="22"/>
      <c r="G25" s="22"/>
      <c r="H25" s="22"/>
      <c r="I25" s="92" t="s">
        <v>5</v>
      </c>
      <c r="J25" s="96">
        <f t="shared" ref="J25:L25" si="9">SUM(J24)</f>
        <v>153549</v>
      </c>
      <c r="K25" s="96">
        <f t="shared" si="9"/>
        <v>0</v>
      </c>
      <c r="L25" s="96">
        <f t="shared" si="9"/>
        <v>0</v>
      </c>
      <c r="M25" s="96">
        <f>SUM(M24)</f>
        <v>153549</v>
      </c>
      <c r="N25" s="96">
        <f>SUM(N24)</f>
        <v>0</v>
      </c>
      <c r="O25" s="96">
        <f>SUM(O24)</f>
        <v>0</v>
      </c>
      <c r="P25" s="96">
        <f t="shared" ref="P25:Z25" si="10">SUM(P24)</f>
        <v>0</v>
      </c>
      <c r="Q25" s="96">
        <f t="shared" si="10"/>
        <v>0</v>
      </c>
      <c r="R25" s="96">
        <f t="shared" si="10"/>
        <v>0</v>
      </c>
      <c r="S25" s="96">
        <f t="shared" si="10"/>
        <v>0</v>
      </c>
      <c r="T25" s="96">
        <f t="shared" si="10"/>
        <v>0</v>
      </c>
      <c r="U25" s="96">
        <f t="shared" si="10"/>
        <v>0</v>
      </c>
      <c r="V25" s="96">
        <f t="shared" si="10"/>
        <v>0</v>
      </c>
      <c r="W25" s="96">
        <f t="shared" si="10"/>
        <v>0</v>
      </c>
      <c r="X25" s="96">
        <f t="shared" si="10"/>
        <v>0</v>
      </c>
      <c r="Y25" s="96">
        <f t="shared" si="10"/>
        <v>0</v>
      </c>
      <c r="Z25" s="96">
        <f t="shared" si="10"/>
        <v>0</v>
      </c>
      <c r="AA25" s="83"/>
      <c r="AB25" s="23"/>
    </row>
    <row r="26" spans="1:28" x14ac:dyDescent="0.2">
      <c r="G26" s="1"/>
      <c r="H26" s="1"/>
      <c r="I26" s="4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53"/>
    </row>
    <row r="27" spans="1:28" s="148" customFormat="1" ht="15" x14ac:dyDescent="0.2">
      <c r="A27" s="161"/>
      <c r="B27" s="161"/>
      <c r="C27" s="161"/>
      <c r="D27" s="162"/>
      <c r="E27" s="161"/>
      <c r="F27" s="161"/>
      <c r="G27" s="161"/>
      <c r="H27" s="161"/>
      <c r="I27" s="161" t="s">
        <v>7</v>
      </c>
      <c r="J27" s="163">
        <f>J25+J23+J15+J12</f>
        <v>511268</v>
      </c>
      <c r="K27" s="163">
        <f t="shared" ref="K27:Z27" si="11">K25+K23+K15+K12</f>
        <v>0</v>
      </c>
      <c r="L27" s="163">
        <f t="shared" si="11"/>
        <v>0</v>
      </c>
      <c r="M27" s="163">
        <f>M25+M23+M15+M12</f>
        <v>511268</v>
      </c>
      <c r="N27" s="163">
        <f>N25+N23+N15+N12</f>
        <v>15000</v>
      </c>
      <c r="O27" s="163">
        <f>O25+O23+O15+O12</f>
        <v>4111</v>
      </c>
      <c r="P27" s="163">
        <f t="shared" si="11"/>
        <v>0</v>
      </c>
      <c r="Q27" s="163">
        <f t="shared" si="11"/>
        <v>10889</v>
      </c>
      <c r="R27" s="163">
        <f t="shared" si="11"/>
        <v>0</v>
      </c>
      <c r="S27" s="163">
        <f t="shared" si="11"/>
        <v>0</v>
      </c>
      <c r="T27" s="163">
        <f t="shared" si="11"/>
        <v>0</v>
      </c>
      <c r="U27" s="163">
        <f t="shared" si="11"/>
        <v>0</v>
      </c>
      <c r="V27" s="163">
        <f t="shared" si="11"/>
        <v>0</v>
      </c>
      <c r="W27" s="163">
        <f>W25+W23+W15+W12</f>
        <v>0</v>
      </c>
      <c r="X27" s="163">
        <f t="shared" si="11"/>
        <v>0</v>
      </c>
      <c r="Y27" s="163">
        <f t="shared" si="11"/>
        <v>0</v>
      </c>
      <c r="Z27" s="163">
        <f t="shared" si="11"/>
        <v>0</v>
      </c>
      <c r="AA27" s="147"/>
    </row>
    <row r="28" spans="1:28" s="11" customFormat="1" ht="27.75" customHeight="1" x14ac:dyDescent="0.2">
      <c r="A28" s="15"/>
      <c r="B28" s="15"/>
      <c r="C28" s="15"/>
      <c r="D28" s="16"/>
      <c r="E28" s="15"/>
      <c r="F28" s="15"/>
      <c r="G28" s="15"/>
      <c r="H28" s="15"/>
      <c r="I28" s="17"/>
      <c r="J28" s="29"/>
      <c r="K28" s="27"/>
      <c r="L28" s="17"/>
      <c r="M28" s="2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8" s="11" customFormat="1" ht="12" x14ac:dyDescent="0.2">
      <c r="A29" s="18"/>
      <c r="B29" s="18"/>
      <c r="C29" s="18"/>
      <c r="D29" s="19"/>
      <c r="E29" s="18"/>
      <c r="F29" s="18"/>
      <c r="G29" s="15"/>
      <c r="H29" s="15"/>
      <c r="I29" s="17"/>
      <c r="J29" s="29"/>
      <c r="K29" s="17"/>
      <c r="L29" s="17"/>
      <c r="M29" s="17"/>
      <c r="N29" s="17"/>
      <c r="O29" s="17"/>
      <c r="P29" s="17"/>
      <c r="Q29" s="17"/>
    </row>
    <row r="30" spans="1:28" s="11" customFormat="1" ht="12" x14ac:dyDescent="0.2">
      <c r="A30" s="18"/>
      <c r="B30" s="18"/>
      <c r="C30" s="18"/>
      <c r="D30" s="19"/>
      <c r="E30" s="18"/>
      <c r="F30" s="18"/>
      <c r="G30" s="15"/>
      <c r="H30" s="15"/>
      <c r="I30" s="17"/>
      <c r="J30" s="29"/>
      <c r="K30" s="17"/>
      <c r="L30" s="17"/>
      <c r="M30" s="17"/>
      <c r="N30" s="17"/>
      <c r="O30" s="17"/>
      <c r="P30" s="17"/>
      <c r="Q30" s="17"/>
    </row>
    <row r="31" spans="1:28" s="11" customFormat="1" ht="12" x14ac:dyDescent="0.2">
      <c r="A31" s="18"/>
      <c r="B31" s="18"/>
      <c r="C31" s="18"/>
      <c r="D31" s="19"/>
      <c r="E31" s="18"/>
      <c r="F31" s="18"/>
      <c r="G31" s="15"/>
      <c r="H31" s="15"/>
      <c r="I31" s="17"/>
      <c r="J31" s="29"/>
      <c r="K31" s="17"/>
      <c r="L31" s="17"/>
      <c r="M31" s="17"/>
      <c r="N31" s="17"/>
      <c r="O31" s="17"/>
      <c r="P31" s="17"/>
      <c r="Q31" s="17"/>
    </row>
    <row r="32" spans="1:28" s="11" customFormat="1" ht="12" x14ac:dyDescent="0.2">
      <c r="A32" s="18"/>
      <c r="B32" s="18"/>
      <c r="C32" s="18"/>
      <c r="D32" s="19"/>
      <c r="E32" s="18"/>
      <c r="F32" s="18"/>
      <c r="G32" s="15"/>
      <c r="H32" s="15"/>
      <c r="I32" s="17"/>
      <c r="J32" s="29"/>
      <c r="K32" s="17"/>
      <c r="L32" s="17"/>
      <c r="M32" s="17"/>
      <c r="N32" s="17"/>
      <c r="O32" s="17"/>
      <c r="P32" s="17"/>
      <c r="Q32" s="17"/>
    </row>
    <row r="33" spans="1:17" s="11" customFormat="1" ht="12" x14ac:dyDescent="0.2">
      <c r="A33" s="18"/>
      <c r="B33" s="18"/>
      <c r="C33" s="18"/>
      <c r="D33" s="19"/>
      <c r="E33" s="18"/>
      <c r="F33" s="18"/>
      <c r="G33" s="15"/>
      <c r="H33" s="15"/>
      <c r="I33" s="17"/>
      <c r="J33" s="29"/>
      <c r="K33" s="17"/>
      <c r="L33" s="17"/>
      <c r="M33" s="17"/>
      <c r="N33" s="17"/>
      <c r="O33" s="17"/>
      <c r="P33" s="17"/>
      <c r="Q33" s="17"/>
    </row>
    <row r="34" spans="1:17" s="11" customFormat="1" ht="12" x14ac:dyDescent="0.2">
      <c r="A34" s="18"/>
      <c r="B34" s="18"/>
      <c r="C34" s="18"/>
      <c r="D34" s="19"/>
      <c r="E34" s="18"/>
      <c r="F34" s="18"/>
      <c r="G34" s="15"/>
      <c r="H34" s="15"/>
      <c r="I34" s="17"/>
      <c r="J34" s="29"/>
      <c r="K34" s="17"/>
      <c r="L34" s="17"/>
      <c r="M34" s="17"/>
      <c r="N34" s="17"/>
      <c r="O34" s="17"/>
      <c r="P34" s="17"/>
      <c r="Q34" s="17"/>
    </row>
    <row r="35" spans="1:17" s="11" customFormat="1" ht="12" x14ac:dyDescent="0.2">
      <c r="A35" s="18"/>
      <c r="B35" s="18"/>
      <c r="C35" s="18"/>
      <c r="D35" s="19"/>
      <c r="E35" s="18"/>
      <c r="F35" s="18"/>
      <c r="G35" s="15"/>
      <c r="H35" s="15"/>
      <c r="I35" s="17"/>
      <c r="J35" s="29"/>
      <c r="K35" s="17"/>
      <c r="L35" s="17"/>
      <c r="M35" s="17"/>
      <c r="N35" s="17"/>
      <c r="O35" s="17"/>
      <c r="P35" s="17"/>
      <c r="Q35" s="17"/>
    </row>
    <row r="36" spans="1:17" s="11" customFormat="1" ht="12" x14ac:dyDescent="0.2">
      <c r="A36" s="18"/>
      <c r="B36" s="18"/>
      <c r="C36" s="18"/>
      <c r="D36" s="19"/>
      <c r="E36" s="18"/>
      <c r="F36" s="18"/>
      <c r="G36" s="15"/>
      <c r="H36" s="15"/>
      <c r="I36" s="17"/>
      <c r="J36" s="29"/>
      <c r="K36" s="17"/>
      <c r="L36" s="17"/>
      <c r="M36" s="17"/>
      <c r="N36" s="17"/>
      <c r="O36" s="17"/>
      <c r="P36" s="17"/>
      <c r="Q36" s="17"/>
    </row>
    <row r="37" spans="1:17" s="11" customFormat="1" ht="12" x14ac:dyDescent="0.2">
      <c r="A37" s="18"/>
      <c r="B37" s="18"/>
      <c r="C37" s="18"/>
      <c r="D37" s="19"/>
      <c r="E37" s="18"/>
      <c r="F37" s="18"/>
      <c r="G37" s="15"/>
      <c r="H37" s="15"/>
      <c r="I37" s="17"/>
      <c r="J37" s="29"/>
      <c r="K37" s="17"/>
      <c r="L37" s="17"/>
      <c r="M37" s="17"/>
      <c r="N37" s="17"/>
      <c r="O37" s="17"/>
      <c r="P37" s="17"/>
      <c r="Q37" s="17"/>
    </row>
    <row r="38" spans="1:17" s="11" customFormat="1" ht="12" x14ac:dyDescent="0.2">
      <c r="A38" s="18"/>
      <c r="B38" s="18"/>
      <c r="C38" s="18"/>
      <c r="D38" s="19"/>
      <c r="E38" s="18"/>
      <c r="F38" s="18"/>
      <c r="G38" s="15"/>
      <c r="H38" s="15"/>
      <c r="I38" s="17"/>
      <c r="J38" s="29"/>
      <c r="K38" s="17"/>
      <c r="L38" s="17"/>
      <c r="M38" s="17"/>
      <c r="N38" s="17"/>
      <c r="O38" s="17"/>
      <c r="P38" s="17"/>
      <c r="Q38" s="17"/>
    </row>
    <row r="39" spans="1:17" s="11" customFormat="1" ht="12" x14ac:dyDescent="0.2">
      <c r="A39" s="18"/>
      <c r="B39" s="18"/>
      <c r="C39" s="18"/>
      <c r="D39" s="19"/>
      <c r="E39" s="18"/>
      <c r="F39" s="18"/>
      <c r="G39" s="15"/>
      <c r="H39" s="15"/>
      <c r="I39" s="17"/>
      <c r="J39" s="29"/>
      <c r="K39" s="17"/>
      <c r="L39" s="17"/>
      <c r="M39" s="17"/>
      <c r="N39" s="17"/>
      <c r="O39" s="17"/>
      <c r="P39" s="17"/>
      <c r="Q39" s="17"/>
    </row>
    <row r="40" spans="1:17" s="11" customFormat="1" ht="12" x14ac:dyDescent="0.2">
      <c r="A40" s="18"/>
      <c r="B40" s="18"/>
      <c r="C40" s="18"/>
      <c r="D40" s="19"/>
      <c r="E40" s="18"/>
      <c r="F40" s="18"/>
      <c r="G40" s="15"/>
      <c r="H40" s="15"/>
      <c r="I40" s="17"/>
      <c r="J40" s="29"/>
      <c r="K40" s="17"/>
      <c r="L40" s="17"/>
      <c r="M40" s="17"/>
      <c r="N40" s="17"/>
      <c r="O40" s="17"/>
      <c r="P40" s="17"/>
      <c r="Q40" s="17"/>
    </row>
    <row r="41" spans="1:17" s="11" customFormat="1" ht="12" x14ac:dyDescent="0.2">
      <c r="A41" s="18"/>
      <c r="B41" s="18"/>
      <c r="C41" s="18"/>
      <c r="D41" s="19"/>
      <c r="E41" s="18"/>
      <c r="F41" s="18"/>
      <c r="G41" s="15"/>
      <c r="H41" s="15"/>
      <c r="I41" s="17"/>
      <c r="J41" s="29"/>
      <c r="K41" s="17"/>
      <c r="L41" s="17"/>
      <c r="M41" s="17"/>
      <c r="N41" s="17"/>
      <c r="O41" s="17"/>
      <c r="P41" s="17"/>
      <c r="Q41" s="17"/>
    </row>
    <row r="42" spans="1:17" s="11" customFormat="1" ht="12" x14ac:dyDescent="0.2">
      <c r="A42" s="18"/>
      <c r="B42" s="18"/>
      <c r="C42" s="18"/>
      <c r="D42" s="19"/>
      <c r="E42" s="18"/>
      <c r="F42" s="18"/>
      <c r="G42" s="15"/>
      <c r="H42" s="15"/>
      <c r="I42" s="17"/>
      <c r="J42" s="29"/>
      <c r="K42" s="17"/>
      <c r="L42" s="17"/>
      <c r="M42" s="17"/>
      <c r="N42" s="17"/>
      <c r="O42" s="17"/>
      <c r="P42" s="17"/>
      <c r="Q42" s="17"/>
    </row>
    <row r="43" spans="1:17" s="11" customFormat="1" ht="12" x14ac:dyDescent="0.2">
      <c r="A43" s="18"/>
      <c r="B43" s="18"/>
      <c r="C43" s="18"/>
      <c r="D43" s="19"/>
      <c r="E43" s="18"/>
      <c r="F43" s="18"/>
      <c r="G43" s="15"/>
      <c r="H43" s="15"/>
      <c r="I43" s="17"/>
      <c r="J43" s="29"/>
      <c r="K43" s="17"/>
      <c r="L43" s="17"/>
      <c r="M43" s="17"/>
      <c r="N43" s="17"/>
      <c r="O43" s="17"/>
      <c r="P43" s="17"/>
      <c r="Q43" s="17"/>
    </row>
    <row r="44" spans="1:17" s="11" customFormat="1" ht="12" x14ac:dyDescent="0.2">
      <c r="A44" s="18"/>
      <c r="B44" s="18"/>
      <c r="C44" s="18"/>
      <c r="D44" s="19"/>
      <c r="E44" s="18"/>
      <c r="F44" s="18"/>
      <c r="G44" s="15"/>
      <c r="H44" s="15"/>
      <c r="I44" s="17"/>
      <c r="J44" s="29"/>
      <c r="K44" s="17"/>
      <c r="L44" s="17"/>
      <c r="M44" s="17"/>
      <c r="N44" s="17"/>
      <c r="O44" s="17"/>
      <c r="P44" s="17"/>
      <c r="Q44" s="17"/>
    </row>
    <row r="45" spans="1:17" s="11" customFormat="1" ht="12" x14ac:dyDescent="0.2">
      <c r="A45" s="18"/>
      <c r="B45" s="18"/>
      <c r="C45" s="18"/>
      <c r="D45" s="19"/>
      <c r="E45" s="18"/>
      <c r="F45" s="18"/>
      <c r="G45" s="15"/>
      <c r="H45" s="15"/>
      <c r="I45" s="17"/>
      <c r="J45" s="29"/>
      <c r="K45" s="17"/>
      <c r="L45" s="17"/>
      <c r="M45" s="17"/>
      <c r="N45" s="17"/>
      <c r="O45" s="17"/>
      <c r="P45" s="17"/>
      <c r="Q45" s="17"/>
    </row>
    <row r="46" spans="1:17" s="11" customFormat="1" ht="12" x14ac:dyDescent="0.2">
      <c r="A46" s="18"/>
      <c r="B46" s="18"/>
      <c r="C46" s="18"/>
      <c r="D46" s="19"/>
      <c r="E46" s="18"/>
      <c r="F46" s="18"/>
      <c r="G46" s="15"/>
      <c r="H46" s="15"/>
      <c r="I46" s="17"/>
      <c r="J46" s="29"/>
      <c r="K46" s="17"/>
      <c r="L46" s="17"/>
      <c r="M46" s="17"/>
      <c r="N46" s="17"/>
      <c r="O46" s="17"/>
      <c r="P46" s="17"/>
      <c r="Q46" s="17"/>
    </row>
    <row r="47" spans="1:17" s="11" customFormat="1" ht="12" x14ac:dyDescent="0.2">
      <c r="A47" s="18"/>
      <c r="B47" s="18"/>
      <c r="C47" s="18"/>
      <c r="D47" s="19"/>
      <c r="E47" s="18"/>
      <c r="F47" s="18"/>
      <c r="G47" s="15"/>
      <c r="H47" s="15"/>
      <c r="I47" s="17"/>
      <c r="J47" s="29"/>
      <c r="K47" s="17"/>
      <c r="L47" s="17"/>
      <c r="M47" s="17"/>
      <c r="N47" s="17"/>
      <c r="O47" s="17"/>
      <c r="P47" s="17"/>
      <c r="Q47" s="17"/>
    </row>
    <row r="48" spans="1:17" s="11" customFormat="1" ht="12" x14ac:dyDescent="0.2">
      <c r="A48" s="18"/>
      <c r="B48" s="18"/>
      <c r="C48" s="18"/>
      <c r="D48" s="19"/>
      <c r="E48" s="18"/>
      <c r="F48" s="18"/>
      <c r="G48" s="15"/>
      <c r="H48" s="15"/>
      <c r="I48" s="17"/>
      <c r="J48" s="29"/>
      <c r="K48" s="17"/>
      <c r="L48" s="17"/>
      <c r="M48" s="17"/>
      <c r="N48" s="17"/>
      <c r="O48" s="17"/>
      <c r="P48" s="17"/>
      <c r="Q48" s="17"/>
    </row>
    <row r="49" spans="1:17" s="11" customFormat="1" ht="12" x14ac:dyDescent="0.2">
      <c r="A49" s="18"/>
      <c r="B49" s="18"/>
      <c r="C49" s="18"/>
      <c r="D49" s="19"/>
      <c r="E49" s="18"/>
      <c r="F49" s="18"/>
      <c r="G49" s="15"/>
      <c r="H49" s="15"/>
      <c r="I49" s="17"/>
      <c r="J49" s="29"/>
      <c r="K49" s="17"/>
      <c r="L49" s="17"/>
      <c r="M49" s="17"/>
      <c r="N49" s="17"/>
      <c r="O49" s="17"/>
      <c r="P49" s="17"/>
      <c r="Q49" s="17"/>
    </row>
    <row r="50" spans="1:17" s="11" customFormat="1" ht="12" x14ac:dyDescent="0.2">
      <c r="A50" s="18"/>
      <c r="B50" s="18"/>
      <c r="C50" s="18"/>
      <c r="D50" s="19"/>
      <c r="E50" s="18"/>
      <c r="F50" s="18"/>
      <c r="G50" s="15"/>
      <c r="H50" s="15"/>
      <c r="I50" s="17"/>
      <c r="J50" s="29"/>
      <c r="K50" s="17"/>
      <c r="L50" s="17"/>
      <c r="M50" s="17"/>
      <c r="N50" s="17"/>
      <c r="O50" s="17"/>
      <c r="P50" s="17"/>
      <c r="Q50" s="17"/>
    </row>
    <row r="51" spans="1:17" s="11" customFormat="1" ht="12" x14ac:dyDescent="0.2">
      <c r="A51" s="18"/>
      <c r="B51" s="18"/>
      <c r="C51" s="18"/>
      <c r="D51" s="19"/>
      <c r="E51" s="18"/>
      <c r="F51" s="18"/>
      <c r="G51" s="15"/>
      <c r="H51" s="15"/>
      <c r="I51" s="17"/>
      <c r="J51" s="29"/>
      <c r="K51" s="17"/>
      <c r="L51" s="17"/>
      <c r="M51" s="17"/>
      <c r="N51" s="17"/>
      <c r="O51" s="17"/>
      <c r="P51" s="17"/>
      <c r="Q51" s="17"/>
    </row>
    <row r="52" spans="1:17" s="11" customFormat="1" ht="12" x14ac:dyDescent="0.2">
      <c r="A52" s="18"/>
      <c r="B52" s="18"/>
      <c r="C52" s="18"/>
      <c r="D52" s="19"/>
      <c r="E52" s="18"/>
      <c r="F52" s="18"/>
      <c r="G52" s="15"/>
      <c r="H52" s="15"/>
      <c r="I52" s="17"/>
      <c r="J52" s="29"/>
      <c r="K52" s="17"/>
      <c r="L52" s="17"/>
      <c r="M52" s="17"/>
      <c r="N52" s="17"/>
      <c r="O52" s="17"/>
      <c r="P52" s="17"/>
      <c r="Q52" s="17"/>
    </row>
    <row r="53" spans="1:17" s="11" customFormat="1" ht="12" x14ac:dyDescent="0.2">
      <c r="A53" s="18"/>
      <c r="B53" s="18"/>
      <c r="C53" s="18"/>
      <c r="D53" s="19"/>
      <c r="E53" s="18"/>
      <c r="F53" s="18"/>
      <c r="G53" s="15"/>
      <c r="H53" s="15"/>
      <c r="I53" s="17"/>
      <c r="J53" s="29"/>
      <c r="K53" s="17"/>
      <c r="L53" s="17"/>
      <c r="M53" s="17"/>
      <c r="N53" s="17"/>
      <c r="O53" s="17"/>
      <c r="P53" s="17"/>
      <c r="Q53" s="17"/>
    </row>
    <row r="54" spans="1:17" s="11" customFormat="1" ht="12" x14ac:dyDescent="0.2">
      <c r="A54" s="18"/>
      <c r="B54" s="18"/>
      <c r="C54" s="18"/>
      <c r="D54" s="19"/>
      <c r="E54" s="18"/>
      <c r="F54" s="18"/>
      <c r="G54" s="15"/>
      <c r="H54" s="15"/>
      <c r="I54" s="17"/>
      <c r="J54" s="29"/>
      <c r="K54" s="17"/>
      <c r="L54" s="17"/>
      <c r="M54" s="17"/>
      <c r="N54" s="17"/>
      <c r="O54" s="17"/>
      <c r="P54" s="17"/>
      <c r="Q54" s="17"/>
    </row>
    <row r="55" spans="1:17" s="11" customFormat="1" ht="12" x14ac:dyDescent="0.2">
      <c r="A55" s="18"/>
      <c r="B55" s="18"/>
      <c r="C55" s="18"/>
      <c r="D55" s="19"/>
      <c r="E55" s="18"/>
      <c r="F55" s="18"/>
      <c r="G55" s="15"/>
      <c r="H55" s="15"/>
      <c r="I55" s="17"/>
      <c r="J55" s="29"/>
      <c r="K55" s="17"/>
      <c r="L55" s="17"/>
      <c r="M55" s="17"/>
      <c r="N55" s="17"/>
      <c r="O55" s="17"/>
      <c r="P55" s="17"/>
      <c r="Q55" s="17"/>
    </row>
    <row r="56" spans="1:17" s="11" customFormat="1" ht="12" x14ac:dyDescent="0.2">
      <c r="A56" s="18"/>
      <c r="B56" s="18"/>
      <c r="C56" s="18"/>
      <c r="D56" s="19"/>
      <c r="E56" s="18"/>
      <c r="F56" s="18"/>
      <c r="G56" s="15"/>
      <c r="H56" s="15"/>
      <c r="I56" s="17"/>
      <c r="J56" s="29"/>
      <c r="K56" s="17"/>
      <c r="L56" s="17"/>
      <c r="M56" s="17"/>
      <c r="N56" s="17"/>
      <c r="O56" s="17"/>
      <c r="P56" s="17"/>
      <c r="Q56" s="17"/>
    </row>
    <row r="57" spans="1:17" s="11" customFormat="1" ht="12" x14ac:dyDescent="0.2">
      <c r="A57" s="18"/>
      <c r="B57" s="18"/>
      <c r="C57" s="18"/>
      <c r="D57" s="19"/>
      <c r="E57" s="18"/>
      <c r="F57" s="18"/>
      <c r="G57" s="15"/>
      <c r="H57" s="15"/>
      <c r="I57" s="17"/>
      <c r="J57" s="29"/>
      <c r="K57" s="17"/>
      <c r="L57" s="17"/>
      <c r="M57" s="17"/>
      <c r="N57" s="17"/>
      <c r="O57" s="17"/>
      <c r="P57" s="17"/>
      <c r="Q57" s="17"/>
    </row>
    <row r="58" spans="1:17" s="11" customFormat="1" ht="12" x14ac:dyDescent="0.2">
      <c r="A58" s="18"/>
      <c r="B58" s="18"/>
      <c r="C58" s="18"/>
      <c r="D58" s="19"/>
      <c r="E58" s="18"/>
      <c r="F58" s="18"/>
      <c r="G58" s="15"/>
      <c r="H58" s="15"/>
      <c r="I58" s="17"/>
      <c r="J58" s="29"/>
      <c r="K58" s="17"/>
      <c r="L58" s="17"/>
      <c r="M58" s="17"/>
      <c r="N58" s="17"/>
      <c r="O58" s="17"/>
      <c r="P58" s="17"/>
      <c r="Q58" s="17"/>
    </row>
    <row r="59" spans="1:17" s="11" customFormat="1" ht="12" x14ac:dyDescent="0.2">
      <c r="A59" s="18"/>
      <c r="B59" s="18"/>
      <c r="C59" s="18"/>
      <c r="D59" s="19"/>
      <c r="E59" s="18"/>
      <c r="F59" s="18"/>
      <c r="G59" s="15"/>
      <c r="H59" s="15"/>
      <c r="I59" s="17"/>
      <c r="J59" s="29"/>
      <c r="K59" s="17"/>
      <c r="L59" s="17"/>
      <c r="M59" s="17"/>
      <c r="N59" s="17"/>
      <c r="O59" s="17"/>
      <c r="P59" s="17"/>
      <c r="Q59" s="17"/>
    </row>
    <row r="60" spans="1:17" s="11" customFormat="1" ht="12" x14ac:dyDescent="0.2">
      <c r="A60" s="18"/>
      <c r="B60" s="18"/>
      <c r="C60" s="18"/>
      <c r="D60" s="19"/>
      <c r="E60" s="18"/>
      <c r="F60" s="18"/>
      <c r="G60" s="15"/>
      <c r="H60" s="15"/>
      <c r="I60" s="17"/>
      <c r="J60" s="29"/>
      <c r="K60" s="17"/>
      <c r="L60" s="17"/>
      <c r="M60" s="17"/>
      <c r="N60" s="17"/>
      <c r="O60" s="17"/>
      <c r="P60" s="17"/>
      <c r="Q60" s="17"/>
    </row>
    <row r="61" spans="1:17" s="11" customFormat="1" ht="12" x14ac:dyDescent="0.2">
      <c r="A61" s="18"/>
      <c r="B61" s="18"/>
      <c r="C61" s="18"/>
      <c r="D61" s="19"/>
      <c r="E61" s="18"/>
      <c r="F61" s="18"/>
      <c r="G61" s="15"/>
      <c r="H61" s="15"/>
      <c r="I61" s="17"/>
      <c r="J61" s="29"/>
      <c r="K61" s="17"/>
      <c r="L61" s="17"/>
      <c r="M61" s="17"/>
      <c r="N61" s="17"/>
      <c r="O61" s="17"/>
      <c r="P61" s="17"/>
      <c r="Q61" s="17"/>
    </row>
    <row r="62" spans="1:17" s="11" customFormat="1" ht="12" x14ac:dyDescent="0.2">
      <c r="A62" s="18"/>
      <c r="B62" s="18"/>
      <c r="C62" s="18"/>
      <c r="D62" s="19"/>
      <c r="E62" s="18"/>
      <c r="F62" s="18"/>
      <c r="G62" s="15"/>
      <c r="H62" s="15"/>
      <c r="I62" s="17"/>
      <c r="J62" s="29"/>
      <c r="K62" s="17"/>
      <c r="L62" s="17"/>
      <c r="M62" s="17"/>
      <c r="N62" s="17"/>
      <c r="O62" s="17"/>
      <c r="P62" s="17"/>
      <c r="Q62" s="17"/>
    </row>
    <row r="63" spans="1:17" s="11" customFormat="1" ht="12" x14ac:dyDescent="0.2">
      <c r="A63" s="18"/>
      <c r="B63" s="18"/>
      <c r="C63" s="18"/>
      <c r="D63" s="19"/>
      <c r="E63" s="18"/>
      <c r="F63" s="18"/>
      <c r="G63" s="15"/>
      <c r="H63" s="15"/>
      <c r="I63" s="17"/>
      <c r="J63" s="29"/>
      <c r="K63" s="17"/>
      <c r="L63" s="17"/>
      <c r="M63" s="17"/>
      <c r="N63" s="17"/>
      <c r="O63" s="17"/>
      <c r="P63" s="17"/>
      <c r="Q63" s="17"/>
    </row>
    <row r="64" spans="1:17" s="11" customFormat="1" ht="12" x14ac:dyDescent="0.2">
      <c r="A64" s="18"/>
      <c r="B64" s="18"/>
      <c r="C64" s="18"/>
      <c r="D64" s="19"/>
      <c r="E64" s="18"/>
      <c r="F64" s="18"/>
      <c r="G64" s="15"/>
      <c r="H64" s="15"/>
      <c r="I64" s="17"/>
      <c r="J64" s="29"/>
      <c r="K64" s="17"/>
      <c r="L64" s="17"/>
      <c r="M64" s="17"/>
      <c r="N64" s="17"/>
      <c r="O64" s="17"/>
      <c r="P64" s="17"/>
      <c r="Q64" s="17"/>
    </row>
    <row r="65" spans="1:20" s="11" customFormat="1" ht="12" x14ac:dyDescent="0.2">
      <c r="A65" s="18"/>
      <c r="B65" s="18"/>
      <c r="C65" s="18"/>
      <c r="D65" s="19"/>
      <c r="E65" s="18"/>
      <c r="F65" s="18"/>
      <c r="G65" s="15"/>
      <c r="H65" s="15"/>
      <c r="I65" s="17"/>
      <c r="J65" s="29"/>
      <c r="K65" s="17"/>
      <c r="L65" s="17"/>
      <c r="M65" s="17"/>
      <c r="N65" s="17"/>
      <c r="O65" s="17"/>
      <c r="P65" s="17"/>
      <c r="Q65" s="17"/>
    </row>
    <row r="66" spans="1:20" s="11" customFormat="1" ht="12" x14ac:dyDescent="0.2">
      <c r="A66" s="18"/>
      <c r="B66" s="18"/>
      <c r="C66" s="18"/>
      <c r="D66" s="19"/>
      <c r="E66" s="18"/>
      <c r="F66" s="18"/>
      <c r="G66" s="15"/>
      <c r="H66" s="15"/>
      <c r="I66" s="17"/>
      <c r="J66" s="29"/>
      <c r="K66" s="17"/>
      <c r="L66" s="17"/>
      <c r="M66" s="17"/>
      <c r="N66" s="17"/>
      <c r="O66" s="17"/>
      <c r="P66" s="17"/>
      <c r="Q66" s="17"/>
    </row>
    <row r="67" spans="1:20" s="11" customFormat="1" ht="12" x14ac:dyDescent="0.2">
      <c r="A67" s="18"/>
      <c r="B67" s="18"/>
      <c r="C67" s="18"/>
      <c r="D67" s="19"/>
      <c r="E67" s="18"/>
      <c r="F67" s="18"/>
      <c r="G67" s="15"/>
      <c r="H67" s="15"/>
      <c r="I67" s="17"/>
      <c r="J67" s="29"/>
      <c r="K67" s="17"/>
      <c r="L67" s="17"/>
      <c r="M67" s="17"/>
      <c r="N67" s="17"/>
      <c r="O67" s="17"/>
      <c r="P67" s="17"/>
      <c r="Q67" s="17"/>
    </row>
    <row r="68" spans="1:20" s="11" customFormat="1" ht="12" x14ac:dyDescent="0.2">
      <c r="A68" s="18"/>
      <c r="B68" s="18"/>
      <c r="C68" s="18"/>
      <c r="D68" s="19"/>
      <c r="E68" s="18"/>
      <c r="F68" s="18"/>
      <c r="G68" s="15"/>
      <c r="H68" s="15"/>
      <c r="I68" s="17"/>
      <c r="J68" s="29"/>
      <c r="K68" s="17"/>
      <c r="L68" s="17"/>
      <c r="M68" s="17"/>
      <c r="N68" s="17"/>
      <c r="O68" s="17"/>
      <c r="P68" s="17"/>
      <c r="Q68" s="17"/>
    </row>
    <row r="69" spans="1:20" s="11" customFormat="1" ht="12" x14ac:dyDescent="0.2">
      <c r="A69" s="18"/>
      <c r="B69" s="18"/>
      <c r="C69" s="18"/>
      <c r="D69" s="19"/>
      <c r="E69" s="18"/>
      <c r="F69" s="18"/>
      <c r="G69" s="15"/>
      <c r="H69" s="15"/>
      <c r="I69" s="17"/>
      <c r="J69" s="29"/>
      <c r="K69" s="17"/>
      <c r="L69" s="17"/>
      <c r="M69" s="17"/>
      <c r="N69" s="17"/>
      <c r="O69" s="17"/>
      <c r="P69" s="17"/>
      <c r="Q69" s="17"/>
    </row>
    <row r="70" spans="1:20" s="11" customFormat="1" ht="12" x14ac:dyDescent="0.2">
      <c r="A70" s="18"/>
      <c r="B70" s="18"/>
      <c r="C70" s="18"/>
      <c r="D70" s="19"/>
      <c r="E70" s="18"/>
      <c r="F70" s="18"/>
      <c r="G70" s="15"/>
      <c r="H70" s="15"/>
      <c r="I70" s="17"/>
      <c r="J70" s="29"/>
      <c r="K70" s="17"/>
      <c r="L70" s="17"/>
      <c r="M70" s="17"/>
      <c r="N70" s="17"/>
      <c r="O70" s="17"/>
      <c r="P70" s="17"/>
      <c r="Q70" s="17"/>
    </row>
    <row r="71" spans="1:20" s="11" customFormat="1" ht="12" x14ac:dyDescent="0.2">
      <c r="A71" s="18"/>
      <c r="B71" s="18"/>
      <c r="C71" s="18"/>
      <c r="D71" s="19"/>
      <c r="E71" s="18"/>
      <c r="F71" s="18"/>
      <c r="G71" s="15"/>
      <c r="H71" s="15"/>
      <c r="I71" s="17"/>
      <c r="J71" s="29"/>
      <c r="K71" s="17"/>
      <c r="L71" s="17"/>
      <c r="M71" s="17"/>
      <c r="N71" s="17"/>
      <c r="O71" s="17"/>
      <c r="P71" s="17"/>
      <c r="Q71" s="17"/>
    </row>
    <row r="72" spans="1:20" s="11" customFormat="1" ht="12" x14ac:dyDescent="0.2">
      <c r="A72" s="18"/>
      <c r="B72" s="18"/>
      <c r="C72" s="18"/>
      <c r="D72" s="19"/>
      <c r="E72" s="18"/>
      <c r="F72" s="18"/>
      <c r="G72" s="15"/>
      <c r="H72" s="15"/>
      <c r="I72" s="17"/>
      <c r="J72" s="29"/>
      <c r="K72" s="17"/>
      <c r="L72" s="17"/>
      <c r="M72" s="17"/>
      <c r="N72" s="17"/>
      <c r="O72" s="17"/>
      <c r="P72" s="17"/>
      <c r="Q72" s="17"/>
    </row>
    <row r="73" spans="1:20" s="11" customFormat="1" ht="12" x14ac:dyDescent="0.2">
      <c r="A73" s="18"/>
      <c r="B73" s="18"/>
      <c r="C73" s="18"/>
      <c r="D73" s="19"/>
      <c r="E73" s="18"/>
      <c r="F73" s="18"/>
      <c r="G73" s="15"/>
      <c r="H73" s="15"/>
      <c r="I73" s="17"/>
      <c r="J73" s="29"/>
      <c r="K73" s="17"/>
      <c r="L73" s="17"/>
      <c r="M73" s="17"/>
      <c r="N73" s="17"/>
      <c r="O73" s="17"/>
      <c r="P73" s="17"/>
      <c r="Q73" s="17"/>
    </row>
    <row r="74" spans="1:20" s="11" customFormat="1" ht="12" x14ac:dyDescent="0.2">
      <c r="A74" s="18"/>
      <c r="B74" s="18"/>
      <c r="C74" s="18"/>
      <c r="D74" s="19"/>
      <c r="E74" s="18"/>
      <c r="F74" s="18"/>
      <c r="G74" s="15"/>
      <c r="H74" s="15"/>
      <c r="I74" s="17"/>
      <c r="J74" s="29"/>
      <c r="K74" s="17"/>
      <c r="L74" s="17"/>
      <c r="M74" s="17"/>
      <c r="N74" s="17"/>
      <c r="O74" s="17"/>
      <c r="P74" s="17"/>
      <c r="Q74" s="17"/>
    </row>
    <row r="75" spans="1:20" x14ac:dyDescent="0.2">
      <c r="A75" s="18"/>
      <c r="B75" s="18"/>
      <c r="C75" s="18"/>
      <c r="D75" s="19"/>
      <c r="E75" s="18"/>
      <c r="F75" s="18"/>
      <c r="R75" s="11"/>
      <c r="S75" s="11"/>
      <c r="T75" s="11"/>
    </row>
  </sheetData>
  <mergeCells count="16">
    <mergeCell ref="A9:A10"/>
    <mergeCell ref="B9:B10"/>
    <mergeCell ref="C9:C10"/>
    <mergeCell ref="E9:E10"/>
    <mergeCell ref="D9:D10"/>
    <mergeCell ref="I4:L4"/>
    <mergeCell ref="I5:L5"/>
    <mergeCell ref="F9:F10"/>
    <mergeCell ref="G9:G10"/>
    <mergeCell ref="H9:H10"/>
    <mergeCell ref="O9:Z9"/>
    <mergeCell ref="M9:M10"/>
    <mergeCell ref="I9:I10"/>
    <mergeCell ref="N9:N10"/>
    <mergeCell ref="K9:L9"/>
    <mergeCell ref="J9:J10"/>
  </mergeCells>
  <phoneticPr fontId="17" type="noConversion"/>
  <printOptions horizontalCentered="1"/>
  <pageMargins left="0.22" right="0.19685039370078741" top="0.39370078740157483" bottom="0.39370078740157483" header="0.22" footer="0"/>
  <pageSetup paperSize="5" scale="52" orientation="landscape" verticalDpi="200" r:id="rId1"/>
  <headerFooter alignWithMargins="0">
    <oddFooter>&amp;C&amp;P&amp;R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 enableFormatConditionsCalculation="0">
    <tabColor indexed="40"/>
  </sheetPr>
  <dimension ref="A1:AB63"/>
  <sheetViews>
    <sheetView showGridLines="0" view="pageBreakPreview" topLeftCell="F7" zoomScale="80" zoomScaleNormal="110" zoomScaleSheetLayoutView="80" workbookViewId="0">
      <pane xSplit="4" ySplit="5" topLeftCell="J12" activePane="bottomRight" state="frozen"/>
      <selection activeCell="P31" sqref="P31"/>
      <selection pane="topRight" activeCell="P31" sqref="P31"/>
      <selection pane="bottomLeft" activeCell="P31" sqref="P31"/>
      <selection pane="bottomRight" activeCell="P31" sqref="P31"/>
    </sheetView>
  </sheetViews>
  <sheetFormatPr baseColWidth="10" defaultColWidth="11.42578125" defaultRowHeight="12.75" x14ac:dyDescent="0.2"/>
  <cols>
    <col min="1" max="1" width="4" style="1" customWidth="1"/>
    <col min="2" max="2" width="4.42578125" style="1" customWidth="1"/>
    <col min="3" max="3" width="4.5703125" style="1" customWidth="1"/>
    <col min="4" max="4" width="6.5703125" style="7" customWidth="1"/>
    <col min="5" max="5" width="6.28515625" style="1" customWidth="1"/>
    <col min="6" max="6" width="6.140625" style="1" customWidth="1"/>
    <col min="7" max="7" width="7.28515625" style="15" customWidth="1"/>
    <col min="8" max="8" width="4.7109375" style="15" customWidth="1"/>
    <col min="9" max="9" width="30.85546875" style="17" customWidth="1"/>
    <col min="10" max="10" width="15.42578125" style="30" bestFit="1" customWidth="1"/>
    <col min="11" max="11" width="12.85546875" style="17" customWidth="1"/>
    <col min="12" max="12" width="13.28515625" style="17" bestFit="1" customWidth="1"/>
    <col min="13" max="13" width="14.7109375" style="17" customWidth="1"/>
    <col min="14" max="14" width="15.85546875" style="17" customWidth="1"/>
    <col min="15" max="15" width="12.85546875" style="17" customWidth="1"/>
    <col min="16" max="16" width="13.28515625" style="17" bestFit="1" customWidth="1"/>
    <col min="17" max="17" width="13.42578125" style="17" bestFit="1" customWidth="1"/>
    <col min="18" max="18" width="12.7109375" style="4" customWidth="1"/>
    <col min="19" max="19" width="15" style="4" bestFit="1" customWidth="1"/>
    <col min="20" max="20" width="12" style="4" customWidth="1"/>
    <col min="21" max="21" width="12.7109375" style="4" customWidth="1"/>
    <col min="22" max="22" width="17" style="4" customWidth="1"/>
    <col min="23" max="23" width="12.85546875" style="4" bestFit="1" customWidth="1"/>
    <col min="24" max="24" width="13.42578125" style="4" customWidth="1"/>
    <col min="25" max="25" width="16.7109375" style="4" customWidth="1"/>
    <col min="26" max="26" width="12.85546875" style="4" customWidth="1"/>
    <col min="27" max="16384" width="11.42578125" style="4"/>
  </cols>
  <sheetData>
    <row r="1" spans="1:28" ht="25.5" x14ac:dyDescent="0.35">
      <c r="D1" s="3"/>
      <c r="G1" s="6" t="s">
        <v>117</v>
      </c>
      <c r="Z1" s="5"/>
    </row>
    <row r="2" spans="1:28" ht="25.5" x14ac:dyDescent="0.35">
      <c r="D2" s="3"/>
      <c r="G2" s="2" t="s">
        <v>20</v>
      </c>
      <c r="M2" s="35"/>
      <c r="N2" s="35"/>
      <c r="O2" s="34"/>
      <c r="P2" s="34"/>
      <c r="Q2" s="34"/>
      <c r="R2" s="6"/>
      <c r="S2" s="6"/>
      <c r="T2" s="6"/>
      <c r="U2" s="6"/>
      <c r="V2" s="6"/>
      <c r="W2" s="6"/>
      <c r="X2" s="6"/>
      <c r="Y2" s="6"/>
      <c r="Z2" s="5"/>
    </row>
    <row r="3" spans="1:28" ht="25.5" x14ac:dyDescent="0.35">
      <c r="C3" s="2"/>
      <c r="D3" s="3"/>
      <c r="I3" s="37"/>
      <c r="J3" s="41"/>
      <c r="K3" s="37"/>
      <c r="L3" s="37"/>
      <c r="M3" s="35"/>
      <c r="N3" s="35"/>
      <c r="O3" s="34"/>
      <c r="P3" s="34"/>
      <c r="Q3" s="34"/>
      <c r="R3" s="6"/>
      <c r="S3" s="6"/>
      <c r="T3" s="6"/>
      <c r="U3" s="6"/>
      <c r="V3" s="6"/>
      <c r="W3" s="6"/>
      <c r="X3" s="6"/>
      <c r="Y3" s="6"/>
      <c r="Z3" s="5"/>
    </row>
    <row r="4" spans="1:28" s="63" customFormat="1" ht="23.25" customHeight="1" x14ac:dyDescent="0.2">
      <c r="A4" s="55"/>
      <c r="B4" s="55"/>
      <c r="C4" s="56"/>
      <c r="D4" s="57" t="s">
        <v>21</v>
      </c>
      <c r="E4" s="55"/>
      <c r="F4" s="55"/>
      <c r="G4" s="58"/>
      <c r="H4" s="58"/>
      <c r="I4" s="481" t="s">
        <v>44</v>
      </c>
      <c r="J4" s="481"/>
      <c r="K4" s="481"/>
      <c r="L4" s="481"/>
      <c r="M4" s="59"/>
      <c r="N4" s="59"/>
      <c r="O4" s="60"/>
      <c r="P4" s="93" t="s">
        <v>100</v>
      </c>
      <c r="Q4" s="93"/>
      <c r="R4" s="94"/>
      <c r="S4" s="142" t="s">
        <v>149</v>
      </c>
      <c r="T4" s="61"/>
      <c r="U4" s="61"/>
      <c r="V4" s="61"/>
      <c r="W4" s="61"/>
      <c r="X4" s="61"/>
      <c r="Y4" s="61"/>
      <c r="Z4" s="62"/>
    </row>
    <row r="5" spans="1:28" s="63" customFormat="1" ht="20.25" customHeight="1" x14ac:dyDescent="0.2">
      <c r="A5" s="55"/>
      <c r="B5" s="55"/>
      <c r="C5" s="55"/>
      <c r="D5" s="64" t="s">
        <v>45</v>
      </c>
      <c r="E5" s="55"/>
      <c r="F5" s="55"/>
      <c r="G5" s="58"/>
      <c r="H5" s="58"/>
      <c r="I5" s="481" t="s">
        <v>54</v>
      </c>
      <c r="J5" s="481"/>
      <c r="K5" s="481"/>
      <c r="L5" s="481"/>
      <c r="M5" s="59"/>
      <c r="N5" s="65"/>
      <c r="O5" s="60"/>
      <c r="P5" s="60"/>
      <c r="Q5" s="60"/>
      <c r="R5" s="76"/>
      <c r="S5" s="61"/>
      <c r="T5" s="61"/>
      <c r="U5" s="61"/>
      <c r="V5" s="61"/>
      <c r="W5" s="61"/>
      <c r="X5" s="61"/>
      <c r="Y5" s="61"/>
      <c r="Z5" s="62"/>
      <c r="AA5" s="66"/>
    </row>
    <row r="6" spans="1:28" s="63" customFormat="1" ht="20.25" x14ac:dyDescent="0.2">
      <c r="A6" s="55"/>
      <c r="B6" s="55"/>
      <c r="C6" s="55"/>
      <c r="D6" s="68" t="s">
        <v>23</v>
      </c>
      <c r="E6" s="55"/>
      <c r="F6" s="55"/>
      <c r="G6" s="58"/>
      <c r="H6" s="58"/>
      <c r="I6" s="65"/>
      <c r="J6" s="69" t="s">
        <v>41</v>
      </c>
      <c r="K6" s="65"/>
      <c r="L6" s="65"/>
      <c r="M6" s="65"/>
      <c r="N6" s="65" t="s">
        <v>50</v>
      </c>
      <c r="O6" s="60"/>
      <c r="P6" s="60"/>
      <c r="Q6" s="60"/>
      <c r="R6" s="61"/>
      <c r="S6" s="61" t="s">
        <v>53</v>
      </c>
      <c r="T6" s="61"/>
      <c r="U6" s="61"/>
      <c r="V6" s="61"/>
      <c r="W6" s="61"/>
      <c r="X6" s="61"/>
      <c r="Y6" s="61"/>
      <c r="Z6" s="62"/>
      <c r="AA6" s="66"/>
    </row>
    <row r="7" spans="1:28" ht="15.75" x14ac:dyDescent="0.2">
      <c r="G7" s="1"/>
      <c r="H7" s="1"/>
      <c r="I7" s="101"/>
      <c r="J7" s="115"/>
      <c r="K7" s="101"/>
      <c r="L7" s="101"/>
      <c r="M7" s="101"/>
      <c r="N7" s="101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100"/>
      <c r="AA7" s="20"/>
    </row>
    <row r="8" spans="1:28" x14ac:dyDescent="0.2">
      <c r="A8" s="8"/>
      <c r="B8" s="8"/>
      <c r="C8" s="8"/>
      <c r="D8" s="9"/>
      <c r="E8" s="8"/>
      <c r="F8" s="8"/>
      <c r="G8" s="8"/>
      <c r="H8" s="8"/>
      <c r="I8" s="10"/>
      <c r="J8" s="116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8" s="80" customFormat="1" ht="15" customHeight="1" x14ac:dyDescent="0.2">
      <c r="A9" s="483" t="s">
        <v>11</v>
      </c>
      <c r="B9" s="483" t="s">
        <v>12</v>
      </c>
      <c r="C9" s="483" t="s">
        <v>13</v>
      </c>
      <c r="D9" s="484" t="s">
        <v>14</v>
      </c>
      <c r="E9" s="483" t="s">
        <v>24</v>
      </c>
      <c r="F9" s="483" t="s">
        <v>15</v>
      </c>
      <c r="G9" s="488" t="s">
        <v>0</v>
      </c>
      <c r="H9" s="483" t="s">
        <v>25</v>
      </c>
      <c r="I9" s="477" t="s">
        <v>1</v>
      </c>
      <c r="J9" s="490" t="s">
        <v>26</v>
      </c>
      <c r="K9" s="477" t="s">
        <v>27</v>
      </c>
      <c r="L9" s="477"/>
      <c r="M9" s="479" t="s">
        <v>16</v>
      </c>
      <c r="N9" s="479" t="s">
        <v>28</v>
      </c>
      <c r="O9" s="477" t="s">
        <v>29</v>
      </c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</row>
    <row r="10" spans="1:28" s="81" customFormat="1" ht="35.25" customHeight="1" x14ac:dyDescent="0.2">
      <c r="A10" s="483"/>
      <c r="B10" s="483"/>
      <c r="C10" s="483"/>
      <c r="D10" s="484"/>
      <c r="E10" s="483"/>
      <c r="F10" s="483"/>
      <c r="G10" s="489"/>
      <c r="H10" s="483"/>
      <c r="I10" s="477"/>
      <c r="J10" s="491"/>
      <c r="K10" s="109" t="s">
        <v>30</v>
      </c>
      <c r="L10" s="109" t="s">
        <v>31</v>
      </c>
      <c r="M10" s="479"/>
      <c r="N10" s="479"/>
      <c r="O10" s="90" t="s">
        <v>8</v>
      </c>
      <c r="P10" s="90" t="s">
        <v>9</v>
      </c>
      <c r="Q10" s="90" t="s">
        <v>10</v>
      </c>
      <c r="R10" s="90" t="s">
        <v>32</v>
      </c>
      <c r="S10" s="90" t="s">
        <v>33</v>
      </c>
      <c r="T10" s="90" t="s">
        <v>34</v>
      </c>
      <c r="U10" s="90" t="s">
        <v>35</v>
      </c>
      <c r="V10" s="90" t="s">
        <v>36</v>
      </c>
      <c r="W10" s="90" t="s">
        <v>37</v>
      </c>
      <c r="X10" s="90" t="s">
        <v>38</v>
      </c>
      <c r="Y10" s="90" t="s">
        <v>39</v>
      </c>
      <c r="Z10" s="175" t="s">
        <v>40</v>
      </c>
    </row>
    <row r="11" spans="1:28" s="17" customFormat="1" x14ac:dyDescent="0.2">
      <c r="A11" s="21"/>
      <c r="B11" s="21"/>
      <c r="C11" s="21"/>
      <c r="D11" s="21"/>
      <c r="E11" s="21"/>
      <c r="F11" s="21"/>
      <c r="G11" s="110"/>
      <c r="H11" s="42"/>
      <c r="I11" s="97"/>
      <c r="J11" s="26"/>
      <c r="K11" s="117"/>
      <c r="L11" s="117"/>
      <c r="M11" s="118"/>
      <c r="N11" s="118"/>
      <c r="O11" s="119"/>
      <c r="P11" s="119"/>
      <c r="Q11" s="119"/>
      <c r="R11" s="118"/>
      <c r="S11" s="118"/>
      <c r="T11" s="118"/>
      <c r="U11" s="118"/>
      <c r="V11" s="118"/>
      <c r="W11" s="118"/>
      <c r="X11" s="118"/>
      <c r="Y11" s="118"/>
      <c r="Z11" s="118">
        <v>0</v>
      </c>
    </row>
    <row r="12" spans="1:28" s="12" customFormat="1" x14ac:dyDescent="0.2">
      <c r="A12" s="22"/>
      <c r="B12" s="22"/>
      <c r="C12" s="22"/>
      <c r="D12" s="33"/>
      <c r="E12" s="22"/>
      <c r="F12" s="22"/>
      <c r="G12" s="22"/>
      <c r="H12" s="22"/>
      <c r="I12" s="92" t="s">
        <v>2</v>
      </c>
      <c r="J12" s="96">
        <f t="shared" ref="J12:Z12" si="0">SUM(J11:J11)</f>
        <v>0</v>
      </c>
      <c r="K12" s="96">
        <f t="shared" si="0"/>
        <v>0</v>
      </c>
      <c r="L12" s="96">
        <f t="shared" si="0"/>
        <v>0</v>
      </c>
      <c r="M12" s="96">
        <f t="shared" si="0"/>
        <v>0</v>
      </c>
      <c r="N12" s="96">
        <f t="shared" si="0"/>
        <v>0</v>
      </c>
      <c r="O12" s="96">
        <f t="shared" si="0"/>
        <v>0</v>
      </c>
      <c r="P12" s="96">
        <f t="shared" si="0"/>
        <v>0</v>
      </c>
      <c r="Q12" s="96">
        <f t="shared" si="0"/>
        <v>0</v>
      </c>
      <c r="R12" s="96">
        <f t="shared" si="0"/>
        <v>0</v>
      </c>
      <c r="S12" s="96">
        <f t="shared" si="0"/>
        <v>0</v>
      </c>
      <c r="T12" s="96">
        <f t="shared" si="0"/>
        <v>0</v>
      </c>
      <c r="U12" s="96">
        <f t="shared" si="0"/>
        <v>0</v>
      </c>
      <c r="V12" s="96">
        <f t="shared" si="0"/>
        <v>0</v>
      </c>
      <c r="W12" s="96">
        <f t="shared" si="0"/>
        <v>0</v>
      </c>
      <c r="X12" s="96">
        <f t="shared" si="0"/>
        <v>0</v>
      </c>
      <c r="Y12" s="96">
        <f t="shared" si="0"/>
        <v>0</v>
      </c>
      <c r="Z12" s="96">
        <f t="shared" si="0"/>
        <v>0</v>
      </c>
    </row>
    <row r="13" spans="1:28" s="17" customFormat="1" x14ac:dyDescent="0.2">
      <c r="A13" s="21" t="s">
        <v>17</v>
      </c>
      <c r="B13" s="21" t="s">
        <v>18</v>
      </c>
      <c r="C13" s="21" t="s">
        <v>19</v>
      </c>
      <c r="D13" s="21" t="s">
        <v>42</v>
      </c>
      <c r="E13" s="21" t="s">
        <v>49</v>
      </c>
      <c r="F13" s="21" t="s">
        <v>41</v>
      </c>
      <c r="G13" s="72">
        <v>2611</v>
      </c>
      <c r="H13" s="71">
        <v>0</v>
      </c>
      <c r="I13" s="122" t="s">
        <v>62</v>
      </c>
      <c r="J13" s="118"/>
      <c r="K13" s="118"/>
      <c r="L13" s="118"/>
      <c r="M13" s="118">
        <f>J13+L13-K13</f>
        <v>0</v>
      </c>
      <c r="N13" s="118">
        <f>SUM(O13:Z13)</f>
        <v>0</v>
      </c>
      <c r="O13" s="118">
        <v>0</v>
      </c>
      <c r="P13" s="118">
        <v>0</v>
      </c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83"/>
      <c r="AB13" s="82"/>
    </row>
    <row r="14" spans="1:28" s="17" customFormat="1" x14ac:dyDescent="0.2">
      <c r="A14" s="43"/>
      <c r="B14" s="43"/>
      <c r="C14" s="43"/>
      <c r="D14" s="43"/>
      <c r="E14" s="44"/>
      <c r="F14" s="45"/>
      <c r="G14" s="22"/>
      <c r="H14" s="43"/>
      <c r="I14" s="92" t="s">
        <v>3</v>
      </c>
      <c r="J14" s="96">
        <f t="shared" ref="J14:Z14" si="1">SUM(J13)</f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  <c r="T14" s="96">
        <f t="shared" si="1"/>
        <v>0</v>
      </c>
      <c r="U14" s="96">
        <f t="shared" si="1"/>
        <v>0</v>
      </c>
      <c r="V14" s="96">
        <f t="shared" si="1"/>
        <v>0</v>
      </c>
      <c r="W14" s="96">
        <f t="shared" si="1"/>
        <v>0</v>
      </c>
      <c r="X14" s="96">
        <f t="shared" si="1"/>
        <v>0</v>
      </c>
      <c r="Y14" s="96">
        <f t="shared" si="1"/>
        <v>0</v>
      </c>
      <c r="Z14" s="96">
        <f t="shared" si="1"/>
        <v>0</v>
      </c>
      <c r="AA14" s="83"/>
    </row>
    <row r="15" spans="1:28" s="17" customFormat="1" x14ac:dyDescent="0.2">
      <c r="A15" s="21" t="s">
        <v>17</v>
      </c>
      <c r="B15" s="21" t="s">
        <v>18</v>
      </c>
      <c r="C15" s="21" t="s">
        <v>19</v>
      </c>
      <c r="D15" s="21" t="s">
        <v>42</v>
      </c>
      <c r="E15" s="21" t="s">
        <v>49</v>
      </c>
      <c r="F15" s="21" t="s">
        <v>41</v>
      </c>
      <c r="G15" s="72">
        <v>3611</v>
      </c>
      <c r="H15" s="42">
        <v>0</v>
      </c>
      <c r="I15" s="97" t="s">
        <v>86</v>
      </c>
      <c r="J15" s="118"/>
      <c r="K15" s="118"/>
      <c r="L15" s="118"/>
      <c r="M15" s="118">
        <f>J15+L15-K15</f>
        <v>0</v>
      </c>
      <c r="N15" s="118">
        <f>SUM(O15:Z15)</f>
        <v>0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83"/>
      <c r="AB15" s="82"/>
    </row>
    <row r="16" spans="1:28" s="17" customFormat="1" x14ac:dyDescent="0.2">
      <c r="A16" s="21" t="s">
        <v>17</v>
      </c>
      <c r="B16" s="21" t="s">
        <v>18</v>
      </c>
      <c r="C16" s="21" t="s">
        <v>19</v>
      </c>
      <c r="D16" s="21" t="s">
        <v>42</v>
      </c>
      <c r="E16" s="21" t="s">
        <v>49</v>
      </c>
      <c r="F16" s="21" t="s">
        <v>41</v>
      </c>
      <c r="G16" s="72">
        <v>3721</v>
      </c>
      <c r="H16" s="42">
        <v>0</v>
      </c>
      <c r="I16" s="97" t="s">
        <v>71</v>
      </c>
      <c r="J16" s="118"/>
      <c r="K16" s="118"/>
      <c r="L16" s="118"/>
      <c r="M16" s="118">
        <f t="shared" ref="M16:M18" si="2">J16+L16-K16</f>
        <v>0</v>
      </c>
      <c r="N16" s="118">
        <f t="shared" ref="N16:N18" si="3">SUM(O16:Z16)</f>
        <v>0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53"/>
      <c r="Y16" s="13"/>
      <c r="Z16" s="13"/>
      <c r="AA16" s="83"/>
      <c r="AB16" s="82"/>
    </row>
    <row r="17" spans="1:28" s="17" customFormat="1" x14ac:dyDescent="0.2">
      <c r="A17" s="21" t="s">
        <v>17</v>
      </c>
      <c r="B17" s="21" t="s">
        <v>18</v>
      </c>
      <c r="C17" s="21" t="s">
        <v>19</v>
      </c>
      <c r="D17" s="21" t="s">
        <v>42</v>
      </c>
      <c r="E17" s="21" t="s">
        <v>49</v>
      </c>
      <c r="F17" s="21" t="s">
        <v>41</v>
      </c>
      <c r="G17" s="72">
        <v>3751</v>
      </c>
      <c r="H17" s="42">
        <v>0</v>
      </c>
      <c r="I17" s="97" t="s">
        <v>88</v>
      </c>
      <c r="J17" s="118">
        <v>100000</v>
      </c>
      <c r="K17" s="118"/>
      <c r="L17" s="118"/>
      <c r="M17" s="118">
        <f t="shared" si="2"/>
        <v>100000</v>
      </c>
      <c r="N17" s="118">
        <f t="shared" si="3"/>
        <v>0</v>
      </c>
      <c r="O17" s="118"/>
      <c r="P17" s="118"/>
      <c r="Q17" s="118"/>
      <c r="R17" s="118"/>
      <c r="S17" s="118"/>
      <c r="T17" s="118"/>
      <c r="U17" s="118"/>
      <c r="V17" s="118"/>
      <c r="W17" s="118"/>
      <c r="Y17" s="118"/>
      <c r="Z17" s="118"/>
      <c r="AA17" s="83"/>
      <c r="AB17" s="82"/>
    </row>
    <row r="18" spans="1:28" s="17" customFormat="1" x14ac:dyDescent="0.2">
      <c r="A18" s="21" t="s">
        <v>17</v>
      </c>
      <c r="B18" s="21" t="s">
        <v>18</v>
      </c>
      <c r="C18" s="21" t="s">
        <v>19</v>
      </c>
      <c r="D18" s="21" t="s">
        <v>42</v>
      </c>
      <c r="E18" s="21" t="s">
        <v>49</v>
      </c>
      <c r="F18" s="21" t="s">
        <v>41</v>
      </c>
      <c r="G18" s="72">
        <v>3831</v>
      </c>
      <c r="H18" s="42">
        <v>0</v>
      </c>
      <c r="I18" s="97" t="s">
        <v>72</v>
      </c>
      <c r="J18" s="118">
        <v>180000</v>
      </c>
      <c r="K18" s="118"/>
      <c r="L18" s="118"/>
      <c r="M18" s="118">
        <f t="shared" si="2"/>
        <v>180000</v>
      </c>
      <c r="N18" s="118">
        <f t="shared" si="3"/>
        <v>124574</v>
      </c>
      <c r="O18" s="118"/>
      <c r="P18" s="118"/>
      <c r="Q18" s="118">
        <v>124574</v>
      </c>
      <c r="R18" s="118"/>
      <c r="S18" s="118"/>
      <c r="T18" s="118"/>
      <c r="U18" s="118"/>
      <c r="V18" s="118"/>
      <c r="W18" s="118"/>
      <c r="X18" s="118"/>
      <c r="Y18" s="118"/>
      <c r="Z18" s="13"/>
      <c r="AA18" s="83"/>
      <c r="AB18" s="82"/>
    </row>
    <row r="19" spans="1:28" s="12" customFormat="1" x14ac:dyDescent="0.2">
      <c r="A19" s="22"/>
      <c r="B19" s="22"/>
      <c r="C19" s="22"/>
      <c r="D19" s="33"/>
      <c r="E19" s="22"/>
      <c r="F19" s="22"/>
      <c r="G19" s="22"/>
      <c r="H19" s="22"/>
      <c r="I19" s="92" t="s">
        <v>4</v>
      </c>
      <c r="J19" s="96">
        <f t="shared" ref="J19:T19" si="4">SUM(J15:J18)</f>
        <v>280000</v>
      </c>
      <c r="K19" s="96">
        <f t="shared" si="4"/>
        <v>0</v>
      </c>
      <c r="L19" s="96">
        <f t="shared" si="4"/>
        <v>0</v>
      </c>
      <c r="M19" s="96">
        <f t="shared" si="4"/>
        <v>280000</v>
      </c>
      <c r="N19" s="96">
        <f t="shared" si="4"/>
        <v>124574</v>
      </c>
      <c r="O19" s="96">
        <f t="shared" si="4"/>
        <v>0</v>
      </c>
      <c r="P19" s="96">
        <f t="shared" si="4"/>
        <v>0</v>
      </c>
      <c r="Q19" s="96">
        <f t="shared" si="4"/>
        <v>124574</v>
      </c>
      <c r="R19" s="96">
        <f t="shared" si="4"/>
        <v>0</v>
      </c>
      <c r="S19" s="96">
        <f t="shared" si="4"/>
        <v>0</v>
      </c>
      <c r="T19" s="96">
        <f t="shared" si="4"/>
        <v>0</v>
      </c>
      <c r="U19" s="96">
        <f t="shared" ref="U19:Z19" si="5">SUM(U15:U18)</f>
        <v>0</v>
      </c>
      <c r="V19" s="96">
        <f t="shared" si="5"/>
        <v>0</v>
      </c>
      <c r="W19" s="96">
        <f t="shared" si="5"/>
        <v>0</v>
      </c>
      <c r="X19" s="96">
        <f t="shared" si="5"/>
        <v>0</v>
      </c>
      <c r="Y19" s="96">
        <f t="shared" si="5"/>
        <v>0</v>
      </c>
      <c r="Z19" s="96">
        <f t="shared" si="5"/>
        <v>0</v>
      </c>
    </row>
    <row r="20" spans="1:28" x14ac:dyDescent="0.2">
      <c r="G20" s="1"/>
      <c r="H20" s="1"/>
      <c r="I20" s="4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8" s="146" customFormat="1" ht="17.25" customHeight="1" x14ac:dyDescent="0.2">
      <c r="A21" s="161"/>
      <c r="B21" s="161"/>
      <c r="C21" s="161"/>
      <c r="D21" s="162"/>
      <c r="E21" s="161"/>
      <c r="F21" s="161"/>
      <c r="G21" s="161"/>
      <c r="H21" s="161"/>
      <c r="I21" s="161" t="s">
        <v>7</v>
      </c>
      <c r="J21" s="163">
        <f t="shared" ref="J21:X21" si="6">SUM(,J19,J14,J12,)</f>
        <v>280000</v>
      </c>
      <c r="K21" s="163">
        <f t="shared" si="6"/>
        <v>0</v>
      </c>
      <c r="L21" s="163">
        <f t="shared" si="6"/>
        <v>0</v>
      </c>
      <c r="M21" s="163">
        <f t="shared" si="6"/>
        <v>280000</v>
      </c>
      <c r="N21" s="163">
        <f t="shared" si="6"/>
        <v>124574</v>
      </c>
      <c r="O21" s="163">
        <f t="shared" si="6"/>
        <v>0</v>
      </c>
      <c r="P21" s="163">
        <f t="shared" si="6"/>
        <v>0</v>
      </c>
      <c r="Q21" s="163">
        <f t="shared" si="6"/>
        <v>124574</v>
      </c>
      <c r="R21" s="163">
        <f t="shared" si="6"/>
        <v>0</v>
      </c>
      <c r="S21" s="163">
        <f t="shared" si="6"/>
        <v>0</v>
      </c>
      <c r="T21" s="163">
        <f t="shared" si="6"/>
        <v>0</v>
      </c>
      <c r="U21" s="163">
        <f t="shared" si="6"/>
        <v>0</v>
      </c>
      <c r="V21" s="163">
        <f t="shared" si="6"/>
        <v>0</v>
      </c>
      <c r="W21" s="163">
        <f t="shared" si="6"/>
        <v>0</v>
      </c>
      <c r="X21" s="163">
        <f t="shared" si="6"/>
        <v>0</v>
      </c>
      <c r="Y21" s="163">
        <f>SUM(,Y19,Y14,Y12,)</f>
        <v>0</v>
      </c>
      <c r="Z21" s="163">
        <f>SUM(,Z19,Z14,Z12,)</f>
        <v>0</v>
      </c>
    </row>
    <row r="22" spans="1:28" s="11" customFormat="1" ht="12" x14ac:dyDescent="0.2">
      <c r="A22" s="15"/>
      <c r="B22" s="15"/>
      <c r="C22" s="15"/>
      <c r="D22" s="16"/>
      <c r="E22" s="15"/>
      <c r="F22" s="15"/>
      <c r="G22" s="15"/>
      <c r="H22" s="15"/>
      <c r="I22" s="17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8" s="11" customFormat="1" ht="12" x14ac:dyDescent="0.2">
      <c r="A23" s="18"/>
      <c r="B23" s="18"/>
      <c r="C23" s="18"/>
      <c r="D23" s="19"/>
      <c r="E23" s="18"/>
      <c r="F23" s="18"/>
      <c r="G23" s="15"/>
      <c r="H23" s="15"/>
      <c r="I23" s="17"/>
      <c r="J23" s="30"/>
      <c r="K23" s="17"/>
      <c r="L23" s="17"/>
      <c r="M23" s="53"/>
      <c r="N23" s="17"/>
      <c r="O23" s="17"/>
      <c r="P23" s="17"/>
      <c r="Q23" s="17"/>
      <c r="Y23" s="53"/>
    </row>
    <row r="24" spans="1:28" s="11" customFormat="1" ht="12" x14ac:dyDescent="0.2">
      <c r="A24" s="18"/>
      <c r="B24" s="18"/>
      <c r="C24" s="18"/>
      <c r="D24" s="19"/>
      <c r="E24" s="18"/>
      <c r="F24" s="18"/>
      <c r="G24" s="15"/>
      <c r="H24" s="15"/>
      <c r="I24" s="165" t="s">
        <v>142</v>
      </c>
      <c r="J24" s="167">
        <f>SUM(J25:J29)</f>
        <v>0</v>
      </c>
      <c r="K24" s="166"/>
      <c r="L24" s="166"/>
      <c r="M24" s="17"/>
      <c r="N24" s="27"/>
      <c r="O24" s="48"/>
      <c r="P24" s="17"/>
      <c r="Q24" s="17"/>
      <c r="R24" s="75"/>
      <c r="S24" s="49"/>
    </row>
    <row r="25" spans="1:28" s="11" customFormat="1" ht="12" x14ac:dyDescent="0.2">
      <c r="A25" s="18"/>
      <c r="B25" s="18"/>
      <c r="C25" s="18"/>
      <c r="D25" s="19"/>
      <c r="E25" s="18"/>
      <c r="F25" s="18"/>
      <c r="G25" s="15"/>
      <c r="H25" s="15"/>
      <c r="I25" s="17" t="s">
        <v>143</v>
      </c>
      <c r="J25" s="30"/>
      <c r="K25" s="17"/>
      <c r="L25" s="17"/>
      <c r="M25" s="17"/>
      <c r="N25" s="17"/>
      <c r="O25" s="17"/>
      <c r="P25" s="17"/>
      <c r="Q25" s="27"/>
    </row>
    <row r="26" spans="1:28" s="11" customFormat="1" ht="12" x14ac:dyDescent="0.2">
      <c r="A26" s="18"/>
      <c r="B26" s="18"/>
      <c r="C26" s="18"/>
      <c r="D26" s="19"/>
      <c r="E26" s="18"/>
      <c r="F26" s="18"/>
      <c r="G26" s="15"/>
      <c r="H26" s="15"/>
      <c r="I26" s="17" t="s">
        <v>144</v>
      </c>
      <c r="J26" s="30"/>
      <c r="K26" s="17"/>
      <c r="L26" s="17"/>
      <c r="M26" s="17"/>
      <c r="N26" s="17"/>
      <c r="O26" s="17"/>
      <c r="P26" s="17"/>
      <c r="Q26" s="17"/>
    </row>
    <row r="27" spans="1:28" s="11" customFormat="1" ht="12" x14ac:dyDescent="0.2">
      <c r="A27" s="18"/>
      <c r="B27" s="18"/>
      <c r="C27" s="18"/>
      <c r="D27" s="19"/>
      <c r="E27" s="18"/>
      <c r="F27" s="18"/>
      <c r="G27" s="15"/>
      <c r="H27" s="15"/>
      <c r="I27" s="17" t="s">
        <v>145</v>
      </c>
      <c r="J27" s="30"/>
      <c r="K27" s="17"/>
      <c r="L27" s="17"/>
      <c r="M27" s="17"/>
      <c r="N27" s="17"/>
      <c r="O27" s="17"/>
      <c r="P27" s="17"/>
      <c r="Q27" s="17"/>
    </row>
    <row r="28" spans="1:28" s="11" customFormat="1" ht="12" x14ac:dyDescent="0.2">
      <c r="A28" s="18"/>
      <c r="B28" s="18"/>
      <c r="C28" s="18"/>
      <c r="D28" s="19"/>
      <c r="E28" s="18"/>
      <c r="F28" s="18"/>
      <c r="G28" s="15"/>
      <c r="H28" s="15"/>
      <c r="I28" s="17" t="s">
        <v>150</v>
      </c>
      <c r="J28" s="30"/>
      <c r="K28" s="17"/>
      <c r="L28" s="17"/>
      <c r="M28" s="17"/>
      <c r="N28" s="17"/>
      <c r="O28" s="17"/>
      <c r="P28" s="17"/>
      <c r="Q28" s="17"/>
    </row>
    <row r="29" spans="1:28" s="11" customFormat="1" ht="12" x14ac:dyDescent="0.2">
      <c r="A29" s="18"/>
      <c r="B29" s="18"/>
      <c r="C29" s="18"/>
      <c r="D29" s="19"/>
      <c r="E29" s="18"/>
      <c r="F29" s="18"/>
      <c r="G29" s="15"/>
      <c r="H29" s="15"/>
      <c r="I29" s="17" t="s">
        <v>151</v>
      </c>
      <c r="J29" s="30"/>
      <c r="K29" s="17"/>
      <c r="L29" s="17"/>
      <c r="M29" s="17"/>
      <c r="N29" s="17"/>
      <c r="O29" s="17"/>
      <c r="P29" s="17"/>
      <c r="Q29" s="17"/>
    </row>
    <row r="30" spans="1:28" s="11" customFormat="1" ht="12" x14ac:dyDescent="0.2">
      <c r="A30" s="18"/>
      <c r="B30" s="18"/>
      <c r="C30" s="18"/>
      <c r="D30" s="19"/>
      <c r="E30" s="18"/>
      <c r="F30" s="18"/>
      <c r="G30" s="15"/>
      <c r="H30" s="15"/>
      <c r="I30" s="17"/>
      <c r="J30" s="30"/>
      <c r="K30" s="17"/>
      <c r="L30" s="17"/>
      <c r="M30" s="17"/>
      <c r="N30" s="17"/>
      <c r="O30" s="17"/>
      <c r="P30" s="17"/>
      <c r="Q30" s="17"/>
    </row>
    <row r="31" spans="1:28" s="11" customFormat="1" ht="12" x14ac:dyDescent="0.2">
      <c r="A31" s="18"/>
      <c r="B31" s="18"/>
      <c r="C31" s="18"/>
      <c r="D31" s="19"/>
      <c r="E31" s="18"/>
      <c r="F31" s="18"/>
      <c r="G31" s="15"/>
      <c r="H31" s="15"/>
      <c r="K31" s="17"/>
      <c r="L31" s="17"/>
      <c r="M31" s="17"/>
      <c r="N31" s="17"/>
      <c r="O31" s="17"/>
      <c r="P31" s="17"/>
      <c r="Q31" s="17"/>
    </row>
    <row r="32" spans="1:28" s="11" customFormat="1" ht="12" x14ac:dyDescent="0.2">
      <c r="A32" s="18"/>
      <c r="B32" s="18"/>
      <c r="C32" s="18"/>
      <c r="D32" s="19"/>
      <c r="E32" s="18"/>
      <c r="F32" s="18"/>
      <c r="G32" s="15"/>
      <c r="H32" s="15"/>
      <c r="I32" s="17"/>
      <c r="J32" s="30"/>
      <c r="K32" s="17"/>
      <c r="L32" s="17"/>
      <c r="M32" s="17"/>
      <c r="N32" s="17"/>
      <c r="O32" s="17"/>
      <c r="P32" s="17"/>
      <c r="Q32" s="17"/>
    </row>
    <row r="33" spans="1:17" s="11" customFormat="1" ht="12" x14ac:dyDescent="0.2">
      <c r="A33" s="18"/>
      <c r="B33" s="18"/>
      <c r="C33" s="18"/>
      <c r="D33" s="19"/>
      <c r="E33" s="18"/>
      <c r="F33" s="18"/>
      <c r="G33" s="15"/>
      <c r="H33" s="15"/>
      <c r="I33" s="17"/>
      <c r="J33" s="30"/>
      <c r="K33" s="17"/>
      <c r="L33" s="17"/>
      <c r="M33" s="17"/>
      <c r="N33" s="17"/>
      <c r="O33" s="17"/>
      <c r="P33" s="17"/>
      <c r="Q33" s="17"/>
    </row>
    <row r="34" spans="1:17" s="11" customFormat="1" ht="12" x14ac:dyDescent="0.2">
      <c r="A34" s="18"/>
      <c r="B34" s="18"/>
      <c r="C34" s="18"/>
      <c r="D34" s="19"/>
      <c r="E34" s="18"/>
      <c r="F34" s="18"/>
      <c r="G34" s="15"/>
      <c r="H34" s="15"/>
      <c r="I34" s="17"/>
      <c r="J34" s="30"/>
      <c r="K34" s="17"/>
      <c r="L34" s="17"/>
      <c r="M34" s="17"/>
      <c r="N34" s="17"/>
      <c r="O34" s="17"/>
      <c r="P34" s="17"/>
      <c r="Q34" s="17"/>
    </row>
    <row r="35" spans="1:17" s="11" customFormat="1" ht="12" x14ac:dyDescent="0.2">
      <c r="A35" s="18"/>
      <c r="B35" s="18"/>
      <c r="C35" s="18"/>
      <c r="D35" s="19"/>
      <c r="E35" s="18"/>
      <c r="F35" s="18"/>
      <c r="G35" s="15"/>
      <c r="H35" s="15"/>
      <c r="I35" s="17"/>
      <c r="J35" s="30"/>
      <c r="K35" s="17"/>
      <c r="L35" s="17"/>
      <c r="M35" s="17"/>
      <c r="N35" s="17"/>
      <c r="O35" s="17"/>
      <c r="P35" s="17"/>
      <c r="Q35" s="17"/>
    </row>
    <row r="36" spans="1:17" s="11" customFormat="1" ht="12" x14ac:dyDescent="0.2">
      <c r="A36" s="18"/>
      <c r="B36" s="18"/>
      <c r="C36" s="18"/>
      <c r="D36" s="19"/>
      <c r="E36" s="18"/>
      <c r="F36" s="18"/>
      <c r="G36" s="15"/>
      <c r="H36" s="15"/>
      <c r="I36" s="17"/>
      <c r="J36" s="30"/>
      <c r="K36" s="17"/>
      <c r="L36" s="17"/>
      <c r="M36" s="17"/>
      <c r="N36" s="17"/>
      <c r="O36" s="17"/>
      <c r="P36" s="17"/>
      <c r="Q36" s="17"/>
    </row>
    <row r="37" spans="1:17" s="11" customFormat="1" ht="12" x14ac:dyDescent="0.2">
      <c r="A37" s="18"/>
      <c r="B37" s="18"/>
      <c r="C37" s="18"/>
      <c r="D37" s="19"/>
      <c r="E37" s="18"/>
      <c r="F37" s="18"/>
      <c r="G37" s="15"/>
      <c r="H37" s="15"/>
      <c r="I37" s="17"/>
      <c r="J37" s="30"/>
      <c r="K37" s="17"/>
      <c r="L37" s="17"/>
      <c r="M37" s="17"/>
      <c r="N37" s="17"/>
      <c r="O37" s="17"/>
      <c r="P37" s="17"/>
      <c r="Q37" s="17"/>
    </row>
    <row r="38" spans="1:17" s="11" customFormat="1" ht="12" x14ac:dyDescent="0.2">
      <c r="A38" s="18"/>
      <c r="B38" s="18"/>
      <c r="C38" s="18"/>
      <c r="D38" s="19"/>
      <c r="E38" s="18"/>
      <c r="F38" s="18"/>
      <c r="G38" s="15"/>
      <c r="H38" s="15"/>
      <c r="I38" s="17"/>
      <c r="J38" s="30"/>
      <c r="K38" s="17"/>
      <c r="L38" s="17"/>
      <c r="M38" s="17"/>
      <c r="N38" s="17"/>
      <c r="O38" s="17"/>
      <c r="P38" s="17"/>
      <c r="Q38" s="17"/>
    </row>
    <row r="39" spans="1:17" s="11" customFormat="1" ht="12" x14ac:dyDescent="0.2">
      <c r="A39" s="18"/>
      <c r="B39" s="18"/>
      <c r="C39" s="18"/>
      <c r="D39" s="19"/>
      <c r="E39" s="18"/>
      <c r="F39" s="18"/>
      <c r="G39" s="15"/>
      <c r="H39" s="15"/>
      <c r="I39" s="17"/>
      <c r="J39" s="30"/>
      <c r="K39" s="17"/>
      <c r="L39" s="17"/>
      <c r="M39" s="17"/>
      <c r="N39" s="17"/>
      <c r="O39" s="17"/>
      <c r="P39" s="17"/>
      <c r="Q39" s="17"/>
    </row>
    <row r="40" spans="1:17" s="11" customFormat="1" ht="12" x14ac:dyDescent="0.2">
      <c r="A40" s="18"/>
      <c r="B40" s="18"/>
      <c r="C40" s="18"/>
      <c r="D40" s="19"/>
      <c r="E40" s="18"/>
      <c r="F40" s="18"/>
      <c r="G40" s="15"/>
      <c r="H40" s="15"/>
      <c r="I40" s="17"/>
      <c r="J40" s="30"/>
      <c r="K40" s="17"/>
      <c r="L40" s="17"/>
      <c r="M40" s="17"/>
      <c r="N40" s="17"/>
      <c r="O40" s="17"/>
      <c r="P40" s="17"/>
      <c r="Q40" s="17"/>
    </row>
    <row r="41" spans="1:17" s="11" customFormat="1" ht="12" x14ac:dyDescent="0.2">
      <c r="A41" s="18"/>
      <c r="B41" s="18"/>
      <c r="C41" s="18"/>
      <c r="D41" s="19"/>
      <c r="E41" s="18"/>
      <c r="F41" s="18"/>
      <c r="G41" s="15"/>
      <c r="H41" s="15"/>
      <c r="I41" s="17"/>
      <c r="J41" s="30"/>
      <c r="K41" s="17"/>
      <c r="L41" s="17"/>
      <c r="M41" s="17"/>
      <c r="N41" s="17"/>
      <c r="O41" s="17"/>
      <c r="P41" s="17"/>
      <c r="Q41" s="17"/>
    </row>
    <row r="42" spans="1:17" s="11" customFormat="1" ht="12" x14ac:dyDescent="0.2">
      <c r="A42" s="18"/>
      <c r="B42" s="18"/>
      <c r="C42" s="18"/>
      <c r="D42" s="19"/>
      <c r="E42" s="18"/>
      <c r="F42" s="18"/>
      <c r="G42" s="15"/>
      <c r="H42" s="15"/>
      <c r="I42" s="17"/>
      <c r="J42" s="30"/>
      <c r="K42" s="17"/>
      <c r="L42" s="17"/>
      <c r="M42" s="17"/>
      <c r="N42" s="17"/>
      <c r="O42" s="17"/>
      <c r="P42" s="17"/>
      <c r="Q42" s="17"/>
    </row>
    <row r="43" spans="1:17" s="11" customFormat="1" ht="12" x14ac:dyDescent="0.2">
      <c r="A43" s="18"/>
      <c r="B43" s="18"/>
      <c r="C43" s="18"/>
      <c r="D43" s="19"/>
      <c r="E43" s="18"/>
      <c r="F43" s="18"/>
      <c r="G43" s="15"/>
      <c r="H43" s="15"/>
      <c r="I43" s="17"/>
      <c r="J43" s="30"/>
      <c r="K43" s="17"/>
      <c r="L43" s="17"/>
      <c r="M43" s="17"/>
      <c r="N43" s="17"/>
      <c r="O43" s="17"/>
      <c r="P43" s="17"/>
      <c r="Q43" s="17"/>
    </row>
    <row r="44" spans="1:17" s="11" customFormat="1" ht="12" x14ac:dyDescent="0.2">
      <c r="A44" s="18"/>
      <c r="B44" s="18"/>
      <c r="C44" s="18"/>
      <c r="D44" s="19"/>
      <c r="E44" s="18"/>
      <c r="F44" s="18"/>
      <c r="G44" s="15"/>
      <c r="H44" s="15"/>
      <c r="I44" s="17"/>
      <c r="J44" s="30"/>
      <c r="K44" s="17"/>
      <c r="L44" s="17"/>
      <c r="M44" s="17"/>
      <c r="N44" s="17"/>
      <c r="O44" s="17"/>
      <c r="P44" s="17"/>
      <c r="Q44" s="17"/>
    </row>
    <row r="45" spans="1:17" s="11" customFormat="1" ht="12" x14ac:dyDescent="0.2">
      <c r="A45" s="18"/>
      <c r="B45" s="18"/>
      <c r="C45" s="18"/>
      <c r="D45" s="19"/>
      <c r="E45" s="18"/>
      <c r="F45" s="18"/>
      <c r="G45" s="15"/>
      <c r="H45" s="15"/>
      <c r="I45" s="17"/>
      <c r="J45" s="30"/>
      <c r="K45" s="17"/>
      <c r="L45" s="17"/>
      <c r="M45" s="17"/>
      <c r="N45" s="17"/>
      <c r="O45" s="17"/>
      <c r="P45" s="17"/>
      <c r="Q45" s="17"/>
    </row>
    <row r="46" spans="1:17" s="11" customFormat="1" ht="12" x14ac:dyDescent="0.2">
      <c r="A46" s="18"/>
      <c r="B46" s="18"/>
      <c r="C46" s="18"/>
      <c r="D46" s="19"/>
      <c r="E46" s="18"/>
      <c r="F46" s="18"/>
      <c r="G46" s="15"/>
      <c r="H46" s="15"/>
      <c r="I46" s="17"/>
      <c r="J46" s="30"/>
      <c r="K46" s="17"/>
      <c r="L46" s="17"/>
      <c r="M46" s="17"/>
      <c r="N46" s="17"/>
      <c r="O46" s="17"/>
      <c r="P46" s="17"/>
      <c r="Q46" s="17"/>
    </row>
    <row r="47" spans="1:17" s="11" customFormat="1" ht="12" x14ac:dyDescent="0.2">
      <c r="A47" s="18"/>
      <c r="B47" s="18"/>
      <c r="C47" s="18"/>
      <c r="D47" s="19"/>
      <c r="E47" s="18"/>
      <c r="F47" s="18"/>
      <c r="G47" s="15"/>
      <c r="H47" s="15"/>
      <c r="I47" s="17"/>
      <c r="J47" s="30"/>
      <c r="K47" s="17"/>
      <c r="L47" s="17"/>
      <c r="M47" s="17"/>
      <c r="N47" s="17"/>
      <c r="O47" s="17"/>
      <c r="P47" s="17"/>
      <c r="Q47" s="17"/>
    </row>
    <row r="48" spans="1:17" s="11" customFormat="1" ht="12" x14ac:dyDescent="0.2">
      <c r="A48" s="18"/>
      <c r="B48" s="18"/>
      <c r="C48" s="18"/>
      <c r="D48" s="19"/>
      <c r="E48" s="18"/>
      <c r="F48" s="18"/>
      <c r="G48" s="15"/>
      <c r="H48" s="15"/>
      <c r="I48" s="17"/>
      <c r="J48" s="30"/>
      <c r="K48" s="17"/>
      <c r="L48" s="17"/>
      <c r="M48" s="17"/>
      <c r="N48" s="17"/>
      <c r="O48" s="17"/>
      <c r="P48" s="17"/>
      <c r="Q48" s="17"/>
    </row>
    <row r="49" spans="1:17" s="11" customFormat="1" ht="12" x14ac:dyDescent="0.2">
      <c r="A49" s="18"/>
      <c r="B49" s="18"/>
      <c r="C49" s="18"/>
      <c r="D49" s="19"/>
      <c r="E49" s="18"/>
      <c r="F49" s="18"/>
      <c r="G49" s="15"/>
      <c r="H49" s="15"/>
      <c r="I49" s="17"/>
      <c r="J49" s="30"/>
      <c r="K49" s="17"/>
      <c r="L49" s="17"/>
      <c r="M49" s="17"/>
      <c r="N49" s="17"/>
      <c r="O49" s="17"/>
      <c r="P49" s="17"/>
      <c r="Q49" s="17"/>
    </row>
    <row r="50" spans="1:17" s="11" customFormat="1" ht="12" x14ac:dyDescent="0.2">
      <c r="A50" s="18"/>
      <c r="B50" s="18"/>
      <c r="C50" s="18"/>
      <c r="D50" s="19"/>
      <c r="E50" s="18"/>
      <c r="F50" s="18"/>
      <c r="G50" s="15"/>
      <c r="H50" s="15"/>
      <c r="I50" s="17"/>
      <c r="J50" s="30"/>
      <c r="K50" s="17"/>
      <c r="L50" s="17"/>
      <c r="M50" s="17"/>
      <c r="N50" s="17"/>
      <c r="O50" s="17"/>
      <c r="P50" s="17"/>
      <c r="Q50" s="17"/>
    </row>
    <row r="51" spans="1:17" s="11" customFormat="1" ht="12" x14ac:dyDescent="0.2">
      <c r="A51" s="18"/>
      <c r="B51" s="18"/>
      <c r="C51" s="18"/>
      <c r="D51" s="19"/>
      <c r="E51" s="18"/>
      <c r="F51" s="18"/>
      <c r="G51" s="15"/>
      <c r="H51" s="15"/>
      <c r="I51" s="17"/>
      <c r="J51" s="30"/>
      <c r="K51" s="17"/>
      <c r="L51" s="17"/>
      <c r="M51" s="17"/>
      <c r="N51" s="17"/>
      <c r="O51" s="17"/>
      <c r="P51" s="17"/>
      <c r="Q51" s="17"/>
    </row>
    <row r="52" spans="1:17" s="11" customFormat="1" ht="12" x14ac:dyDescent="0.2">
      <c r="A52" s="18"/>
      <c r="B52" s="18"/>
      <c r="C52" s="18"/>
      <c r="D52" s="19"/>
      <c r="E52" s="18"/>
      <c r="F52" s="18"/>
      <c r="G52" s="15"/>
      <c r="H52" s="15"/>
      <c r="I52" s="17"/>
      <c r="J52" s="30"/>
      <c r="K52" s="17"/>
      <c r="L52" s="17"/>
      <c r="M52" s="17"/>
      <c r="N52" s="17"/>
      <c r="O52" s="17"/>
      <c r="P52" s="17"/>
      <c r="Q52" s="17"/>
    </row>
    <row r="53" spans="1:17" s="11" customFormat="1" ht="12" x14ac:dyDescent="0.2">
      <c r="A53" s="18"/>
      <c r="B53" s="18"/>
      <c r="C53" s="18"/>
      <c r="D53" s="19"/>
      <c r="E53" s="18"/>
      <c r="F53" s="18"/>
      <c r="G53" s="15"/>
      <c r="H53" s="15"/>
      <c r="I53" s="17"/>
      <c r="J53" s="30"/>
      <c r="K53" s="17"/>
      <c r="L53" s="17"/>
      <c r="M53" s="17"/>
      <c r="N53" s="17"/>
      <c r="O53" s="17"/>
      <c r="P53" s="17"/>
      <c r="Q53" s="17"/>
    </row>
    <row r="54" spans="1:17" s="11" customFormat="1" ht="12" x14ac:dyDescent="0.2">
      <c r="A54" s="18"/>
      <c r="B54" s="18"/>
      <c r="C54" s="18"/>
      <c r="D54" s="19"/>
      <c r="E54" s="18"/>
      <c r="F54" s="18"/>
      <c r="G54" s="15"/>
      <c r="H54" s="15"/>
      <c r="I54" s="17"/>
      <c r="J54" s="30"/>
      <c r="K54" s="17"/>
      <c r="L54" s="17"/>
      <c r="M54" s="17"/>
      <c r="N54" s="17"/>
      <c r="O54" s="17"/>
      <c r="P54" s="17"/>
      <c r="Q54" s="17"/>
    </row>
    <row r="55" spans="1:17" s="11" customFormat="1" ht="12" x14ac:dyDescent="0.2">
      <c r="A55" s="18"/>
      <c r="B55" s="18"/>
      <c r="C55" s="18"/>
      <c r="D55" s="19"/>
      <c r="E55" s="18"/>
      <c r="F55" s="18"/>
      <c r="G55" s="15"/>
      <c r="H55" s="15"/>
      <c r="I55" s="17"/>
      <c r="J55" s="30"/>
      <c r="K55" s="17"/>
      <c r="L55" s="17"/>
      <c r="M55" s="17"/>
      <c r="N55" s="17"/>
      <c r="O55" s="17"/>
      <c r="P55" s="17"/>
      <c r="Q55" s="17"/>
    </row>
    <row r="56" spans="1:17" s="11" customFormat="1" ht="12" x14ac:dyDescent="0.2">
      <c r="A56" s="18"/>
      <c r="B56" s="18"/>
      <c r="C56" s="18"/>
      <c r="D56" s="19"/>
      <c r="E56" s="18"/>
      <c r="F56" s="18"/>
      <c r="G56" s="15"/>
      <c r="H56" s="15"/>
      <c r="I56" s="17"/>
      <c r="J56" s="30"/>
      <c r="K56" s="17"/>
      <c r="L56" s="17"/>
      <c r="M56" s="17"/>
      <c r="N56" s="17"/>
      <c r="O56" s="17"/>
      <c r="P56" s="17"/>
      <c r="Q56" s="17"/>
    </row>
    <row r="57" spans="1:17" s="11" customFormat="1" ht="12" x14ac:dyDescent="0.2">
      <c r="A57" s="18"/>
      <c r="B57" s="18"/>
      <c r="C57" s="18"/>
      <c r="D57" s="19"/>
      <c r="E57" s="18"/>
      <c r="F57" s="18"/>
      <c r="G57" s="15"/>
      <c r="H57" s="15"/>
      <c r="I57" s="17"/>
      <c r="J57" s="30"/>
      <c r="K57" s="17"/>
      <c r="L57" s="17"/>
      <c r="M57" s="17"/>
      <c r="N57" s="17"/>
      <c r="O57" s="17"/>
      <c r="P57" s="17"/>
      <c r="Q57" s="17"/>
    </row>
    <row r="58" spans="1:17" s="11" customFormat="1" ht="12" x14ac:dyDescent="0.2">
      <c r="A58" s="18"/>
      <c r="B58" s="18"/>
      <c r="C58" s="18"/>
      <c r="D58" s="19"/>
      <c r="E58" s="18"/>
      <c r="F58" s="18"/>
      <c r="G58" s="15"/>
      <c r="H58" s="15"/>
      <c r="I58" s="17"/>
      <c r="J58" s="30"/>
      <c r="K58" s="17"/>
      <c r="L58" s="17"/>
      <c r="M58" s="17"/>
      <c r="N58" s="17"/>
      <c r="O58" s="17"/>
      <c r="P58" s="17"/>
      <c r="Q58" s="17"/>
    </row>
    <row r="59" spans="1:17" s="11" customFormat="1" ht="12" x14ac:dyDescent="0.2">
      <c r="A59" s="18"/>
      <c r="B59" s="18"/>
      <c r="C59" s="18"/>
      <c r="D59" s="19"/>
      <c r="E59" s="18"/>
      <c r="F59" s="18"/>
      <c r="G59" s="15"/>
      <c r="H59" s="15"/>
      <c r="I59" s="17"/>
      <c r="J59" s="30"/>
      <c r="K59" s="17"/>
      <c r="L59" s="17"/>
      <c r="M59" s="17"/>
      <c r="N59" s="17"/>
      <c r="O59" s="17"/>
      <c r="P59" s="17"/>
      <c r="Q59" s="17"/>
    </row>
    <row r="60" spans="1:17" s="11" customFormat="1" ht="12" x14ac:dyDescent="0.2">
      <c r="A60" s="18"/>
      <c r="B60" s="18"/>
      <c r="C60" s="18"/>
      <c r="D60" s="19"/>
      <c r="E60" s="18"/>
      <c r="F60" s="18"/>
      <c r="G60" s="15"/>
      <c r="H60" s="15"/>
      <c r="I60" s="17"/>
      <c r="J60" s="30"/>
      <c r="K60" s="17"/>
      <c r="L60" s="17"/>
      <c r="M60" s="17"/>
      <c r="N60" s="17"/>
      <c r="O60" s="17"/>
      <c r="P60" s="17"/>
      <c r="Q60" s="17"/>
    </row>
    <row r="61" spans="1:17" s="11" customFormat="1" ht="12" x14ac:dyDescent="0.2">
      <c r="A61" s="18"/>
      <c r="B61" s="18"/>
      <c r="C61" s="18"/>
      <c r="D61" s="19"/>
      <c r="E61" s="18"/>
      <c r="F61" s="18"/>
      <c r="G61" s="15"/>
      <c r="H61" s="15"/>
      <c r="I61" s="17"/>
      <c r="J61" s="30"/>
      <c r="K61" s="17"/>
      <c r="L61" s="17"/>
      <c r="M61" s="17"/>
      <c r="N61" s="17"/>
      <c r="O61" s="17"/>
      <c r="P61" s="17"/>
      <c r="Q61" s="17"/>
    </row>
    <row r="62" spans="1:17" s="11" customFormat="1" ht="12" x14ac:dyDescent="0.2">
      <c r="A62" s="18"/>
      <c r="B62" s="18"/>
      <c r="C62" s="18"/>
      <c r="D62" s="19"/>
      <c r="E62" s="18"/>
      <c r="F62" s="18"/>
      <c r="G62" s="15"/>
      <c r="H62" s="15"/>
      <c r="I62" s="17"/>
      <c r="J62" s="30"/>
      <c r="K62" s="17"/>
      <c r="L62" s="17"/>
      <c r="M62" s="17"/>
      <c r="N62" s="17"/>
      <c r="O62" s="17"/>
      <c r="P62" s="17"/>
      <c r="Q62" s="17"/>
    </row>
    <row r="63" spans="1:17" s="11" customFormat="1" ht="12" x14ac:dyDescent="0.2">
      <c r="A63" s="18"/>
      <c r="B63" s="18"/>
      <c r="C63" s="18"/>
      <c r="D63" s="19"/>
      <c r="E63" s="18"/>
      <c r="F63" s="18"/>
      <c r="G63" s="15"/>
      <c r="H63" s="15"/>
      <c r="I63" s="17"/>
      <c r="J63" s="30"/>
      <c r="K63" s="17"/>
      <c r="L63" s="17"/>
      <c r="M63" s="17"/>
      <c r="N63" s="17"/>
      <c r="O63" s="17"/>
      <c r="P63" s="17"/>
      <c r="Q63" s="17"/>
    </row>
  </sheetData>
  <mergeCells count="16">
    <mergeCell ref="O9:Z9"/>
    <mergeCell ref="M9:M10"/>
    <mergeCell ref="I9:I10"/>
    <mergeCell ref="N9:N10"/>
    <mergeCell ref="K9:L9"/>
    <mergeCell ref="J9:J10"/>
    <mergeCell ref="I4:L4"/>
    <mergeCell ref="I5:L5"/>
    <mergeCell ref="F9:F10"/>
    <mergeCell ref="G9:G10"/>
    <mergeCell ref="H9:H10"/>
    <mergeCell ref="A9:A10"/>
    <mergeCell ref="B9:B10"/>
    <mergeCell ref="C9:C10"/>
    <mergeCell ref="E9:E10"/>
    <mergeCell ref="D9:D10"/>
  </mergeCells>
  <phoneticPr fontId="17" type="noConversion"/>
  <printOptions horizontalCentered="1"/>
  <pageMargins left="0.78740157480314965" right="0.2" top="0.39370078740157483" bottom="0.39370078740157483" header="0.23" footer="0"/>
  <pageSetup paperSize="5" scale="50" orientation="landscape" horizontalDpi="200" verticalDpi="200" r:id="rId1"/>
  <headerFooter alignWithMargins="0">
    <oddFooter>&amp;C&amp;P&amp;R</oddFooter>
  </headerFooter>
  <ignoredErrors>
    <ignoredError sqref="M14:N1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6" enableFormatConditionsCalculation="0">
    <tabColor indexed="40"/>
    <pageSetUpPr fitToPage="1"/>
  </sheetPr>
  <dimension ref="A1:AB92"/>
  <sheetViews>
    <sheetView showGridLines="0" view="pageBreakPreview" topLeftCell="F61" zoomScale="85" zoomScaleSheetLayoutView="85" workbookViewId="0">
      <selection activeCell="N86" sqref="N86"/>
    </sheetView>
  </sheetViews>
  <sheetFormatPr baseColWidth="10" defaultColWidth="11.42578125" defaultRowHeight="12.75" x14ac:dyDescent="0.2"/>
  <cols>
    <col min="1" max="1" width="4" style="1" customWidth="1"/>
    <col min="2" max="2" width="4.42578125" style="1" customWidth="1"/>
    <col min="3" max="3" width="3.7109375" style="1" customWidth="1"/>
    <col min="4" max="4" width="5.42578125" style="7" customWidth="1"/>
    <col min="5" max="5" width="5.140625" style="1" customWidth="1"/>
    <col min="6" max="6" width="6.140625" style="1" customWidth="1"/>
    <col min="7" max="7" width="7.28515625" style="1" customWidth="1"/>
    <col min="8" max="8" width="4.7109375" style="1" customWidth="1"/>
    <col min="9" max="9" width="56" style="4" customWidth="1"/>
    <col min="10" max="10" width="17.140625" style="4" bestFit="1" customWidth="1"/>
    <col min="11" max="12" width="11.42578125" style="4" customWidth="1"/>
    <col min="13" max="13" width="13.85546875" style="4" bestFit="1" customWidth="1"/>
    <col min="14" max="14" width="16.5703125" style="4" customWidth="1"/>
    <col min="15" max="15" width="13.7109375" style="4" customWidth="1"/>
    <col min="16" max="18" width="13.5703125" style="4" customWidth="1"/>
    <col min="19" max="27" width="11.42578125" style="4" customWidth="1"/>
    <col min="28" max="16384" width="11.42578125" style="4"/>
  </cols>
  <sheetData>
    <row r="1" spans="1:28" ht="15" x14ac:dyDescent="0.25">
      <c r="H1" s="99"/>
      <c r="I1" s="492" t="s">
        <v>210</v>
      </c>
      <c r="J1" s="492"/>
      <c r="K1" s="492"/>
      <c r="L1" s="492"/>
      <c r="M1" s="206"/>
      <c r="AA1" s="100"/>
    </row>
    <row r="2" spans="1:28" ht="14.25" x14ac:dyDescent="0.2">
      <c r="D2" s="99"/>
      <c r="I2" s="493" t="s">
        <v>20</v>
      </c>
      <c r="J2" s="493"/>
      <c r="K2" s="493"/>
      <c r="L2" s="493"/>
      <c r="M2" s="207"/>
      <c r="N2" s="101"/>
      <c r="O2" s="101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100"/>
    </row>
    <row r="3" spans="1:28" x14ac:dyDescent="0.2">
      <c r="C3" s="101"/>
      <c r="D3" s="99"/>
      <c r="I3" s="102"/>
      <c r="J3" s="102"/>
      <c r="K3" s="102"/>
      <c r="L3" s="102"/>
      <c r="M3" s="102"/>
      <c r="N3" s="101"/>
      <c r="O3" s="101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100"/>
    </row>
    <row r="4" spans="1:28" s="63" customFormat="1" ht="23.25" customHeight="1" x14ac:dyDescent="0.2">
      <c r="A4" s="55"/>
      <c r="B4" s="55"/>
      <c r="C4" s="77"/>
      <c r="E4" s="55"/>
      <c r="F4" s="55"/>
      <c r="H4" s="57" t="s">
        <v>21</v>
      </c>
      <c r="J4" s="497" t="s">
        <v>44</v>
      </c>
      <c r="K4" s="497"/>
      <c r="L4" s="497"/>
      <c r="M4" s="497"/>
      <c r="N4" s="497"/>
      <c r="P4" s="104"/>
      <c r="Q4" s="105" t="s">
        <v>100</v>
      </c>
      <c r="R4" s="105"/>
      <c r="S4" s="105"/>
      <c r="T4" s="142" t="s">
        <v>469</v>
      </c>
      <c r="U4" s="104"/>
      <c r="V4" s="104"/>
      <c r="W4" s="104"/>
      <c r="X4" s="104"/>
      <c r="Y4" s="104"/>
      <c r="Z4" s="104"/>
      <c r="AA4" s="106"/>
    </row>
    <row r="5" spans="1:28" s="63" customFormat="1" ht="20.25" customHeight="1" x14ac:dyDescent="0.2">
      <c r="A5" s="55"/>
      <c r="B5" s="55"/>
      <c r="C5" s="55"/>
      <c r="E5" s="55"/>
      <c r="F5" s="55"/>
      <c r="G5" s="55"/>
      <c r="H5" s="68" t="s">
        <v>22</v>
      </c>
      <c r="I5" s="144"/>
      <c r="J5" s="144"/>
      <c r="K5" s="144"/>
      <c r="L5" s="144"/>
      <c r="M5" s="144"/>
      <c r="O5" s="77"/>
      <c r="P5" s="104"/>
      <c r="Q5" s="104"/>
      <c r="R5" s="104"/>
      <c r="S5" s="108"/>
      <c r="T5" s="104"/>
      <c r="U5" s="104"/>
      <c r="V5" s="104"/>
      <c r="W5" s="104"/>
      <c r="X5" s="104"/>
      <c r="Y5" s="104"/>
      <c r="Z5" s="104"/>
      <c r="AA5" s="106"/>
      <c r="AB5" s="66"/>
    </row>
    <row r="6" spans="1:28" s="63" customFormat="1" ht="20.25" x14ac:dyDescent="0.2">
      <c r="A6" s="55"/>
      <c r="B6" s="55"/>
      <c r="C6" s="55"/>
      <c r="E6" s="55"/>
      <c r="F6" s="55"/>
      <c r="G6" s="55"/>
      <c r="H6" s="68" t="s">
        <v>23</v>
      </c>
      <c r="I6" s="77"/>
      <c r="L6" s="212" t="s">
        <v>41</v>
      </c>
      <c r="M6" s="69"/>
      <c r="N6" s="77"/>
      <c r="O6" s="104" t="s">
        <v>51</v>
      </c>
      <c r="P6" s="104"/>
      <c r="Q6" s="104"/>
      <c r="R6" s="104"/>
      <c r="S6" s="104"/>
      <c r="T6" s="104" t="s">
        <v>52</v>
      </c>
      <c r="U6" s="104"/>
      <c r="V6" s="104"/>
      <c r="W6" s="104"/>
      <c r="X6" s="104"/>
      <c r="Y6" s="104"/>
      <c r="Z6" s="104"/>
      <c r="AA6" s="106"/>
      <c r="AB6" s="66"/>
    </row>
    <row r="7" spans="1:28" ht="15.75" x14ac:dyDescent="0.2">
      <c r="I7" s="101"/>
      <c r="J7" s="101"/>
      <c r="K7" s="101"/>
      <c r="L7" s="101"/>
      <c r="M7" s="101"/>
      <c r="N7" s="101"/>
      <c r="O7" s="101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100"/>
      <c r="AB7" s="20"/>
    </row>
    <row r="8" spans="1:28" x14ac:dyDescent="0.2">
      <c r="A8" s="8"/>
      <c r="B8" s="8"/>
      <c r="C8" s="8"/>
      <c r="D8" s="9"/>
      <c r="E8" s="8"/>
      <c r="F8" s="8"/>
      <c r="G8" s="8"/>
      <c r="H8" s="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8" s="80" customFormat="1" ht="15" customHeight="1" x14ac:dyDescent="0.2">
      <c r="A9" s="488" t="s">
        <v>11</v>
      </c>
      <c r="B9" s="488" t="s">
        <v>12</v>
      </c>
      <c r="C9" s="488" t="s">
        <v>13</v>
      </c>
      <c r="D9" s="498" t="s">
        <v>14</v>
      </c>
      <c r="E9" s="488" t="s">
        <v>24</v>
      </c>
      <c r="F9" s="488" t="s">
        <v>15</v>
      </c>
      <c r="G9" s="488" t="s">
        <v>0</v>
      </c>
      <c r="H9" s="488" t="s">
        <v>25</v>
      </c>
      <c r="I9" s="477" t="s">
        <v>1</v>
      </c>
      <c r="J9" s="479" t="s">
        <v>26</v>
      </c>
      <c r="K9" s="503" t="s">
        <v>27</v>
      </c>
      <c r="L9" s="504"/>
      <c r="M9" s="500" t="s">
        <v>192</v>
      </c>
      <c r="N9" s="479" t="s">
        <v>16</v>
      </c>
      <c r="O9" s="479" t="s">
        <v>28</v>
      </c>
      <c r="P9" s="477" t="s">
        <v>29</v>
      </c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</row>
    <row r="10" spans="1:28" s="81" customFormat="1" ht="35.25" customHeight="1" x14ac:dyDescent="0.2">
      <c r="A10" s="489"/>
      <c r="B10" s="489"/>
      <c r="C10" s="489"/>
      <c r="D10" s="499"/>
      <c r="E10" s="489"/>
      <c r="F10" s="489"/>
      <c r="G10" s="489"/>
      <c r="H10" s="489"/>
      <c r="I10" s="477"/>
      <c r="J10" s="479"/>
      <c r="K10" s="109" t="s">
        <v>30</v>
      </c>
      <c r="L10" s="109" t="s">
        <v>31</v>
      </c>
      <c r="M10" s="501"/>
      <c r="N10" s="479"/>
      <c r="O10" s="479"/>
      <c r="P10" s="90" t="s">
        <v>8</v>
      </c>
      <c r="Q10" s="90" t="s">
        <v>9</v>
      </c>
      <c r="R10" s="90" t="s">
        <v>10</v>
      </c>
      <c r="S10" s="90" t="s">
        <v>32</v>
      </c>
      <c r="T10" s="90" t="s">
        <v>33</v>
      </c>
      <c r="U10" s="90" t="s">
        <v>34</v>
      </c>
      <c r="V10" s="90" t="s">
        <v>35</v>
      </c>
      <c r="W10" s="90" t="s">
        <v>36</v>
      </c>
      <c r="X10" s="90" t="s">
        <v>37</v>
      </c>
      <c r="Y10" s="90" t="s">
        <v>38</v>
      </c>
      <c r="Z10" s="90" t="s">
        <v>39</v>
      </c>
      <c r="AA10" s="90" t="s">
        <v>40</v>
      </c>
    </row>
    <row r="11" spans="1:28" s="17" customFormat="1" ht="14.25" x14ac:dyDescent="0.2">
      <c r="A11" s="21" t="s">
        <v>17</v>
      </c>
      <c r="B11" s="21" t="s">
        <v>18</v>
      </c>
      <c r="C11" s="21" t="s">
        <v>19</v>
      </c>
      <c r="D11" s="21" t="s">
        <v>42</v>
      </c>
      <c r="E11" s="21" t="s">
        <v>43</v>
      </c>
      <c r="F11" s="21" t="s">
        <v>41</v>
      </c>
      <c r="G11" s="111">
        <v>1131</v>
      </c>
      <c r="H11" s="42">
        <v>0</v>
      </c>
      <c r="I11" s="213" t="s">
        <v>118</v>
      </c>
      <c r="J11" s="244">
        <v>7900999</v>
      </c>
      <c r="K11" s="194"/>
      <c r="L11" s="194">
        <v>225579.62</v>
      </c>
      <c r="M11" s="273">
        <f>+N11-O11</f>
        <v>1468663.1600000011</v>
      </c>
      <c r="N11" s="24">
        <f>+J11-K11+L11</f>
        <v>8126578.6200000001</v>
      </c>
      <c r="O11" s="24">
        <f>SUM(P11:AA11)</f>
        <v>6657915.459999999</v>
      </c>
      <c r="P11" s="240">
        <f>362080.8+355525.05+5244.6</f>
        <v>722850.45</v>
      </c>
      <c r="Q11" s="240">
        <f>355525.05+355525.05</f>
        <v>711050.1</v>
      </c>
      <c r="R11" s="240">
        <f>355525.05+355525.05+5827.08</f>
        <v>716877.17999999993</v>
      </c>
      <c r="S11" s="240">
        <f>355525.05+367546.5+65800</f>
        <v>788871.55</v>
      </c>
      <c r="T11" s="240">
        <f>371479.95+366468.3</f>
        <v>737948.25</v>
      </c>
      <c r="U11" s="240">
        <f>366468.3+369618.69+31763.4</f>
        <v>767850.39</v>
      </c>
      <c r="V11" s="24">
        <f>369618.69+369618.69</f>
        <v>739237.38</v>
      </c>
      <c r="W11" s="240">
        <f>369618.69+369618.69-5244.6</f>
        <v>733992.78</v>
      </c>
      <c r="X11" s="194">
        <f>369618.69+369618.69</f>
        <v>739237.38</v>
      </c>
      <c r="Y11" s="24"/>
      <c r="Z11" s="24"/>
      <c r="AA11" s="113"/>
      <c r="AB11" s="27"/>
    </row>
    <row r="12" spans="1:28" s="82" customFormat="1" ht="14.25" x14ac:dyDescent="0.2">
      <c r="A12" s="21" t="s">
        <v>17</v>
      </c>
      <c r="B12" s="21" t="s">
        <v>18</v>
      </c>
      <c r="C12" s="21" t="s">
        <v>19</v>
      </c>
      <c r="D12" s="21" t="s">
        <v>42</v>
      </c>
      <c r="E12" s="21" t="s">
        <v>43</v>
      </c>
      <c r="F12" s="21" t="s">
        <v>41</v>
      </c>
      <c r="G12" s="111">
        <v>1321</v>
      </c>
      <c r="H12" s="190">
        <v>0</v>
      </c>
      <c r="I12" s="247" t="s">
        <v>120</v>
      </c>
      <c r="J12" s="245">
        <v>109736</v>
      </c>
      <c r="K12" s="194"/>
      <c r="L12" s="194"/>
      <c r="M12" s="273">
        <f t="shared" ref="M12:M22" si="0">+N12-O12</f>
        <v>0</v>
      </c>
      <c r="N12" s="113">
        <f t="shared" ref="N12:N21" si="1">+J12-K12+L12</f>
        <v>109736</v>
      </c>
      <c r="O12" s="24">
        <f>SUM(P12:AA12)</f>
        <v>109736</v>
      </c>
      <c r="P12" s="194">
        <v>826.2</v>
      </c>
      <c r="R12" s="194">
        <f>2620.86+1166.64</f>
        <v>3787.5</v>
      </c>
      <c r="S12" s="194"/>
      <c r="T12" s="194"/>
      <c r="U12" s="194">
        <v>1544.1</v>
      </c>
      <c r="V12" s="113"/>
      <c r="W12" s="194">
        <f>104404.4-826.2</f>
        <v>103578.2</v>
      </c>
      <c r="X12" s="194"/>
      <c r="Y12" s="113"/>
      <c r="Z12" s="113"/>
      <c r="AA12" s="113"/>
      <c r="AB12" s="83"/>
    </row>
    <row r="13" spans="1:28" s="17" customFormat="1" ht="14.25" x14ac:dyDescent="0.2">
      <c r="A13" s="21" t="s">
        <v>17</v>
      </c>
      <c r="B13" s="21" t="s">
        <v>18</v>
      </c>
      <c r="C13" s="21" t="s">
        <v>19</v>
      </c>
      <c r="D13" s="21" t="s">
        <v>42</v>
      </c>
      <c r="E13" s="21" t="s">
        <v>43</v>
      </c>
      <c r="F13" s="21" t="s">
        <v>41</v>
      </c>
      <c r="G13" s="111">
        <v>1322</v>
      </c>
      <c r="H13" s="42">
        <v>0</v>
      </c>
      <c r="I13" s="213" t="s">
        <v>58</v>
      </c>
      <c r="J13" s="245">
        <v>1097361</v>
      </c>
      <c r="K13" s="194"/>
      <c r="L13" s="194">
        <v>31330.5</v>
      </c>
      <c r="M13" s="273">
        <f t="shared" si="0"/>
        <v>541864.79</v>
      </c>
      <c r="N13" s="24">
        <f t="shared" si="1"/>
        <v>1128691.5</v>
      </c>
      <c r="O13" s="24">
        <f>SUM(P13:AA13)</f>
        <v>586826.71</v>
      </c>
      <c r="P13" s="240">
        <v>898.05</v>
      </c>
      <c r="Q13" s="240"/>
      <c r="R13" s="240">
        <f>570767.58+7849.26+3494.01</f>
        <v>582110.85</v>
      </c>
      <c r="S13" s="240"/>
      <c r="T13" s="240"/>
      <c r="U13" s="240">
        <v>-2228.36</v>
      </c>
      <c r="V13" s="24"/>
      <c r="W13" s="240">
        <v>-898.05</v>
      </c>
      <c r="X13" s="194">
        <v>6944.22</v>
      </c>
      <c r="Y13" s="24"/>
      <c r="Z13" s="24"/>
      <c r="AA13" s="113"/>
      <c r="AB13" s="27"/>
    </row>
    <row r="14" spans="1:28" s="17" customFormat="1" ht="13.5" customHeight="1" x14ac:dyDescent="0.2">
      <c r="A14" s="21" t="s">
        <v>17</v>
      </c>
      <c r="B14" s="21" t="s">
        <v>18</v>
      </c>
      <c r="C14" s="21" t="s">
        <v>19</v>
      </c>
      <c r="D14" s="21" t="s">
        <v>42</v>
      </c>
      <c r="E14" s="21" t="s">
        <v>43</v>
      </c>
      <c r="F14" s="21" t="s">
        <v>41</v>
      </c>
      <c r="G14" s="72">
        <v>1411</v>
      </c>
      <c r="H14" s="42">
        <v>0</v>
      </c>
      <c r="I14" s="213" t="s">
        <v>121</v>
      </c>
      <c r="J14" s="245">
        <v>451906</v>
      </c>
      <c r="K14" s="194"/>
      <c r="L14" s="194"/>
      <c r="M14" s="273">
        <f>+N14-O14</f>
        <v>84273.460000000021</v>
      </c>
      <c r="N14" s="246">
        <f>+J14-K14+L14</f>
        <v>451906</v>
      </c>
      <c r="O14" s="24">
        <f t="shared" ref="O14:O22" si="2">SUM(P14:AA14)</f>
        <v>367632.54</v>
      </c>
      <c r="P14" s="240">
        <v>40383.050000000003</v>
      </c>
      <c r="Q14" s="208">
        <v>37353.57</v>
      </c>
      <c r="R14" s="208">
        <v>41355.19</v>
      </c>
      <c r="S14" s="240">
        <v>40432.5</v>
      </c>
      <c r="T14" s="240">
        <v>42279.06</v>
      </c>
      <c r="U14" s="240">
        <v>40713.019999999997</v>
      </c>
      <c r="V14" s="24">
        <v>42158.67</v>
      </c>
      <c r="W14" s="240">
        <v>42158.67</v>
      </c>
      <c r="X14" s="194">
        <v>40798.81</v>
      </c>
      <c r="Y14" s="24"/>
      <c r="Z14" s="24"/>
      <c r="AA14" s="113"/>
      <c r="AB14" s="27"/>
    </row>
    <row r="15" spans="1:28" s="17" customFormat="1" ht="14.25" x14ac:dyDescent="0.2">
      <c r="A15" s="21" t="s">
        <v>17</v>
      </c>
      <c r="B15" s="21" t="s">
        <v>18</v>
      </c>
      <c r="C15" s="21" t="s">
        <v>19</v>
      </c>
      <c r="D15" s="21" t="s">
        <v>42</v>
      </c>
      <c r="E15" s="21" t="s">
        <v>43</v>
      </c>
      <c r="F15" s="21" t="s">
        <v>41</v>
      </c>
      <c r="G15" s="111">
        <v>1421</v>
      </c>
      <c r="H15" s="42">
        <v>0</v>
      </c>
      <c r="I15" s="213" t="s">
        <v>122</v>
      </c>
      <c r="J15" s="195">
        <v>237030</v>
      </c>
      <c r="K15" s="194"/>
      <c r="L15" s="194"/>
      <c r="M15" s="273">
        <f t="shared" si="0"/>
        <v>40978.44</v>
      </c>
      <c r="N15" s="24">
        <f t="shared" si="1"/>
        <v>237030</v>
      </c>
      <c r="O15" s="24">
        <f t="shared" si="2"/>
        <v>196051.56</v>
      </c>
      <c r="P15" s="240">
        <f>10679.98+10483.31</f>
        <v>21163.29</v>
      </c>
      <c r="Q15" s="240">
        <f>10483.31+10483.31</f>
        <v>20966.62</v>
      </c>
      <c r="R15" s="240">
        <f>10483.31+10483.31</f>
        <v>20966.62</v>
      </c>
      <c r="S15" s="240">
        <f>10483.31+10757.04+1916.25</f>
        <v>23156.6</v>
      </c>
      <c r="T15" s="240">
        <f>10953.71+10803.36</f>
        <v>21757.07</v>
      </c>
      <c r="U15" s="240">
        <f>10803.36+10897.87+952.91</f>
        <v>22654.140000000003</v>
      </c>
      <c r="V15" s="24">
        <f>10897.87+10897.87</f>
        <v>21795.74</v>
      </c>
      <c r="W15" s="240">
        <f>10897.87+10897.87</f>
        <v>21795.74</v>
      </c>
      <c r="X15" s="194">
        <f>10897.87+10897.87</f>
        <v>21795.74</v>
      </c>
      <c r="Y15" s="24"/>
      <c r="Z15" s="24"/>
      <c r="AA15" s="113"/>
      <c r="AB15" s="27"/>
    </row>
    <row r="16" spans="1:28" s="17" customFormat="1" ht="15" customHeight="1" x14ac:dyDescent="0.2">
      <c r="A16" s="21" t="s">
        <v>17</v>
      </c>
      <c r="B16" s="21" t="s">
        <v>18</v>
      </c>
      <c r="C16" s="21" t="s">
        <v>19</v>
      </c>
      <c r="D16" s="21" t="s">
        <v>42</v>
      </c>
      <c r="E16" s="21" t="s">
        <v>43</v>
      </c>
      <c r="F16" s="21" t="s">
        <v>41</v>
      </c>
      <c r="G16" s="111">
        <v>1431</v>
      </c>
      <c r="H16" s="42">
        <v>0</v>
      </c>
      <c r="I16" s="213" t="s">
        <v>59</v>
      </c>
      <c r="J16" s="195">
        <v>1382675</v>
      </c>
      <c r="K16" s="194"/>
      <c r="L16" s="194">
        <v>39476.43</v>
      </c>
      <c r="M16" s="273">
        <f t="shared" si="0"/>
        <v>278514.81000000006</v>
      </c>
      <c r="N16" s="24">
        <f t="shared" si="1"/>
        <v>1422151.43</v>
      </c>
      <c r="O16" s="24">
        <f t="shared" si="2"/>
        <v>1143636.6199999999</v>
      </c>
      <c r="P16" s="240">
        <f>62300.08+61152.82</f>
        <v>123452.9</v>
      </c>
      <c r="Q16" s="240">
        <f>61152.82+61152.82</f>
        <v>122305.64</v>
      </c>
      <c r="R16" s="240">
        <f>61152.82+61152.82</f>
        <v>122305.64</v>
      </c>
      <c r="S16" s="240">
        <f>61152.82+62749.5+11178.21</f>
        <v>135080.53</v>
      </c>
      <c r="T16" s="240">
        <f>63896.76+63019.72</f>
        <v>126916.48000000001</v>
      </c>
      <c r="U16" s="240">
        <f>63019.72+63571.01+5558.64</f>
        <v>132149.37000000002</v>
      </c>
      <c r="V16" s="24">
        <f>63571.01+63571.01</f>
        <v>127142.02</v>
      </c>
      <c r="W16" s="240">
        <f>63571.01+63571.01</f>
        <v>127142.02</v>
      </c>
      <c r="X16" s="194">
        <f>63571.01+63571.01</f>
        <v>127142.02</v>
      </c>
      <c r="Y16" s="24"/>
      <c r="Z16" s="24"/>
      <c r="AA16" s="113"/>
      <c r="AB16" s="27"/>
    </row>
    <row r="17" spans="1:28" s="17" customFormat="1" ht="14.25" x14ac:dyDescent="0.2">
      <c r="A17" s="21" t="s">
        <v>17</v>
      </c>
      <c r="B17" s="21" t="s">
        <v>18</v>
      </c>
      <c r="C17" s="21" t="s">
        <v>19</v>
      </c>
      <c r="D17" s="21" t="s">
        <v>42</v>
      </c>
      <c r="E17" s="21" t="s">
        <v>43</v>
      </c>
      <c r="F17" s="21" t="s">
        <v>41</v>
      </c>
      <c r="G17" s="111">
        <v>1432</v>
      </c>
      <c r="H17" s="42">
        <v>0</v>
      </c>
      <c r="I17" s="213" t="s">
        <v>173</v>
      </c>
      <c r="J17" s="195">
        <v>158020</v>
      </c>
      <c r="K17" s="194"/>
      <c r="L17" s="194"/>
      <c r="M17" s="273">
        <f t="shared" si="0"/>
        <v>27318.498999999982</v>
      </c>
      <c r="N17" s="24">
        <f t="shared" si="1"/>
        <v>158020</v>
      </c>
      <c r="O17" s="24">
        <f t="shared" si="2"/>
        <v>130701.50100000002</v>
      </c>
      <c r="P17" s="240">
        <f>7120.02+6988.9</f>
        <v>14108.92</v>
      </c>
      <c r="Q17" s="240">
        <f>6988.9+6988.9</f>
        <v>13977.8</v>
      </c>
      <c r="R17" s="240">
        <f>6988.9+6988.9</f>
        <v>13977.8</v>
      </c>
      <c r="S17" s="240">
        <f>6988.9+7171.39+1277.5</f>
        <v>15437.79</v>
      </c>
      <c r="T17" s="240">
        <f>7302.251+7202.28</f>
        <v>14504.530999999999</v>
      </c>
      <c r="U17" s="240">
        <f>7202.28+7265.3+635.28</f>
        <v>15102.86</v>
      </c>
      <c r="V17" s="24">
        <f>7265.3+7265.3</f>
        <v>14530.6</v>
      </c>
      <c r="W17" s="240">
        <f>7265.3+7265.3</f>
        <v>14530.6</v>
      </c>
      <c r="X17" s="194">
        <f>7265.3+7265.3</f>
        <v>14530.6</v>
      </c>
      <c r="Y17" s="24"/>
      <c r="Z17" s="24"/>
      <c r="AA17" s="113"/>
      <c r="AB17" s="27"/>
    </row>
    <row r="18" spans="1:28" s="82" customFormat="1" ht="14.25" x14ac:dyDescent="0.2">
      <c r="A18" s="21" t="s">
        <v>17</v>
      </c>
      <c r="B18" s="21" t="s">
        <v>18</v>
      </c>
      <c r="C18" s="21" t="s">
        <v>19</v>
      </c>
      <c r="D18" s="21" t="s">
        <v>42</v>
      </c>
      <c r="E18" s="21" t="s">
        <v>43</v>
      </c>
      <c r="F18" s="21" t="s">
        <v>41</v>
      </c>
      <c r="G18" s="189">
        <v>1611</v>
      </c>
      <c r="H18" s="190">
        <v>0</v>
      </c>
      <c r="I18" s="247" t="s">
        <v>123</v>
      </c>
      <c r="J18" s="248">
        <v>303882</v>
      </c>
      <c r="K18" s="194">
        <v>303882</v>
      </c>
      <c r="L18" s="194"/>
      <c r="M18" s="274">
        <f t="shared" si="0"/>
        <v>0</v>
      </c>
      <c r="N18" s="113">
        <f t="shared" si="1"/>
        <v>0</v>
      </c>
      <c r="O18" s="24">
        <f t="shared" si="2"/>
        <v>0</v>
      </c>
      <c r="P18" s="194"/>
      <c r="Q18" s="194"/>
      <c r="R18" s="194"/>
      <c r="S18" s="194"/>
      <c r="T18" s="194"/>
      <c r="U18" s="194"/>
      <c r="V18" s="113"/>
      <c r="W18" s="194"/>
      <c r="X18" s="194"/>
      <c r="Y18" s="113"/>
      <c r="Z18" s="113"/>
      <c r="AA18" s="113"/>
      <c r="AB18" s="83"/>
    </row>
    <row r="19" spans="1:28" s="17" customFormat="1" ht="14.25" x14ac:dyDescent="0.2">
      <c r="A19" s="21" t="s">
        <v>17</v>
      </c>
      <c r="B19" s="21" t="s">
        <v>18</v>
      </c>
      <c r="C19" s="21" t="s">
        <v>19</v>
      </c>
      <c r="D19" s="21" t="s">
        <v>42</v>
      </c>
      <c r="E19" s="21" t="s">
        <v>43</v>
      </c>
      <c r="F19" s="21" t="s">
        <v>41</v>
      </c>
      <c r="G19" s="72">
        <v>1612</v>
      </c>
      <c r="H19" s="42">
        <v>0</v>
      </c>
      <c r="I19" s="213" t="s">
        <v>154</v>
      </c>
      <c r="J19" s="196">
        <v>214938</v>
      </c>
      <c r="K19" s="194"/>
      <c r="L19" s="194"/>
      <c r="M19" s="273">
        <f t="shared" si="0"/>
        <v>110163.99</v>
      </c>
      <c r="N19" s="24">
        <f t="shared" si="1"/>
        <v>214938</v>
      </c>
      <c r="O19" s="24">
        <f t="shared" si="2"/>
        <v>104774.01</v>
      </c>
      <c r="P19" s="240"/>
      <c r="Q19" s="240"/>
      <c r="R19" s="240">
        <v>104774.01</v>
      </c>
      <c r="S19" s="240"/>
      <c r="T19" s="240"/>
      <c r="U19" s="240"/>
      <c r="V19" s="24"/>
      <c r="W19" s="240"/>
      <c r="X19" s="194"/>
      <c r="Y19" s="24"/>
      <c r="Z19" s="24"/>
      <c r="AA19" s="113"/>
      <c r="AB19" s="27"/>
    </row>
    <row r="20" spans="1:28" s="17" customFormat="1" ht="14.25" x14ac:dyDescent="0.2">
      <c r="A20" s="21" t="s">
        <v>17</v>
      </c>
      <c r="B20" s="21" t="s">
        <v>18</v>
      </c>
      <c r="C20" s="21" t="s">
        <v>19</v>
      </c>
      <c r="D20" s="21" t="s">
        <v>42</v>
      </c>
      <c r="E20" s="21" t="s">
        <v>43</v>
      </c>
      <c r="F20" s="21" t="s">
        <v>41</v>
      </c>
      <c r="G20" s="72">
        <v>1712</v>
      </c>
      <c r="H20" s="42">
        <v>0</v>
      </c>
      <c r="I20" s="213" t="s">
        <v>124</v>
      </c>
      <c r="J20" s="195">
        <v>376017</v>
      </c>
      <c r="K20" s="194"/>
      <c r="L20" s="194"/>
      <c r="M20" s="273">
        <f t="shared" si="0"/>
        <v>77678.02999999997</v>
      </c>
      <c r="N20" s="24">
        <f t="shared" si="1"/>
        <v>376017</v>
      </c>
      <c r="O20" s="24">
        <f t="shared" si="2"/>
        <v>298338.97000000003</v>
      </c>
      <c r="P20" s="240">
        <f>16819.21+16541.59</f>
        <v>33360.800000000003</v>
      </c>
      <c r="Q20" s="240">
        <f>16541.59+16541.59</f>
        <v>33083.18</v>
      </c>
      <c r="R20" s="240">
        <f>16541.59+16541.59</f>
        <v>33083.18</v>
      </c>
      <c r="S20" s="240">
        <f>16541.59+16652.63</f>
        <v>33194.22</v>
      </c>
      <c r="T20" s="240">
        <f>16819.21+16548.86</f>
        <v>33368.07</v>
      </c>
      <c r="U20" s="240">
        <f>16531.19+16531.19</f>
        <v>33062.379999999997</v>
      </c>
      <c r="V20" s="118">
        <f>16531.19+16531.19</f>
        <v>33062.379999999997</v>
      </c>
      <c r="W20" s="240">
        <f>16531.19+16531.19</f>
        <v>33062.379999999997</v>
      </c>
      <c r="X20" s="194">
        <f>16531.19+16531.19</f>
        <v>33062.379999999997</v>
      </c>
      <c r="Y20" s="24"/>
      <c r="Z20" s="24"/>
      <c r="AA20" s="113"/>
      <c r="AB20" s="27"/>
    </row>
    <row r="21" spans="1:28" s="17" customFormat="1" ht="14.25" x14ac:dyDescent="0.2">
      <c r="A21" s="21" t="s">
        <v>17</v>
      </c>
      <c r="B21" s="21" t="s">
        <v>18</v>
      </c>
      <c r="C21" s="21" t="s">
        <v>19</v>
      </c>
      <c r="D21" s="21" t="s">
        <v>42</v>
      </c>
      <c r="E21" s="21" t="s">
        <v>43</v>
      </c>
      <c r="F21" s="21" t="s">
        <v>41</v>
      </c>
      <c r="G21" s="72">
        <v>1713</v>
      </c>
      <c r="H21" s="42">
        <v>0</v>
      </c>
      <c r="I21" s="213" t="s">
        <v>125</v>
      </c>
      <c r="J21" s="195">
        <v>195360</v>
      </c>
      <c r="K21" s="194"/>
      <c r="L21" s="194"/>
      <c r="M21" s="273">
        <f t="shared" si="0"/>
        <v>37962.399999999994</v>
      </c>
      <c r="N21" s="24">
        <f t="shared" si="1"/>
        <v>195360</v>
      </c>
      <c r="O21" s="24">
        <f t="shared" si="2"/>
        <v>157397.6</v>
      </c>
      <c r="P21" s="240">
        <f>8858.35+8729.68</f>
        <v>17588.03</v>
      </c>
      <c r="Q21" s="240">
        <f>8729.68+8729.68</f>
        <v>17459.36</v>
      </c>
      <c r="R21" s="240">
        <f>8729.68+8729.68</f>
        <v>17459.36</v>
      </c>
      <c r="S21" s="240">
        <f>8729.68+8781.14</f>
        <v>17510.82</v>
      </c>
      <c r="T21" s="240">
        <f>8858.35+8775.76</f>
        <v>17634.11</v>
      </c>
      <c r="U21" s="240">
        <f>8718.24+8718.24</f>
        <v>17436.48</v>
      </c>
      <c r="V21" s="118">
        <f>8718.24+8718.24</f>
        <v>17436.48</v>
      </c>
      <c r="W21" s="240">
        <f>8718.24+8718.24</f>
        <v>17436.48</v>
      </c>
      <c r="X21" s="194">
        <f>8718.24+8718.24</f>
        <v>17436.48</v>
      </c>
      <c r="Y21" s="24"/>
      <c r="Z21" s="24"/>
      <c r="AA21" s="113"/>
      <c r="AB21" s="27"/>
    </row>
    <row r="22" spans="1:28" s="82" customFormat="1" ht="14.25" x14ac:dyDescent="0.2">
      <c r="A22" s="21" t="s">
        <v>17</v>
      </c>
      <c r="B22" s="21" t="s">
        <v>18</v>
      </c>
      <c r="C22" s="21" t="s">
        <v>19</v>
      </c>
      <c r="D22" s="21" t="s">
        <v>42</v>
      </c>
      <c r="E22" s="21" t="s">
        <v>43</v>
      </c>
      <c r="F22" s="21" t="s">
        <v>41</v>
      </c>
      <c r="G22" s="189">
        <v>1715</v>
      </c>
      <c r="H22" s="190">
        <v>0</v>
      </c>
      <c r="I22" s="247" t="s">
        <v>137</v>
      </c>
      <c r="J22" s="195">
        <v>302288</v>
      </c>
      <c r="K22" s="194"/>
      <c r="L22" s="194">
        <v>7495.45</v>
      </c>
      <c r="M22" s="274">
        <f t="shared" si="0"/>
        <v>0</v>
      </c>
      <c r="N22" s="113">
        <f>+J22-K22+L22</f>
        <v>309783.45</v>
      </c>
      <c r="O22" s="24">
        <f t="shared" si="2"/>
        <v>309783.45</v>
      </c>
      <c r="P22" s="194"/>
      <c r="Q22" s="194"/>
      <c r="R22" s="194"/>
      <c r="S22" s="194"/>
      <c r="T22" s="194"/>
      <c r="U22" s="194"/>
      <c r="V22" s="113"/>
      <c r="W22" s="194"/>
      <c r="X22" s="194">
        <v>309783.45</v>
      </c>
      <c r="Y22" s="113"/>
      <c r="Z22" s="113"/>
      <c r="AA22" s="113"/>
      <c r="AB22" s="83"/>
    </row>
    <row r="23" spans="1:28" s="25" customFormat="1" ht="15" x14ac:dyDescent="0.25">
      <c r="A23" s="22"/>
      <c r="B23" s="22"/>
      <c r="C23" s="22"/>
      <c r="D23" s="33"/>
      <c r="E23" s="22"/>
      <c r="F23" s="22"/>
      <c r="G23" s="22"/>
      <c r="H23" s="22"/>
      <c r="I23" s="210" t="s">
        <v>2</v>
      </c>
      <c r="J23" s="73">
        <f>SUM(J11:J22)</f>
        <v>12730212</v>
      </c>
      <c r="K23" s="73">
        <f t="shared" ref="K23:O23" si="3">SUM(K11:K22)</f>
        <v>303882</v>
      </c>
      <c r="L23" s="73">
        <f>SUM(L11:L22)</f>
        <v>303882</v>
      </c>
      <c r="M23" s="275">
        <f>SUM(M11:M22)</f>
        <v>2667417.5790000008</v>
      </c>
      <c r="N23" s="73">
        <f t="shared" si="3"/>
        <v>12730212</v>
      </c>
      <c r="O23" s="73">
        <f t="shared" si="3"/>
        <v>10062794.420999998</v>
      </c>
      <c r="P23" s="73">
        <f>SUM(P11:P22)</f>
        <v>974631.69000000018</v>
      </c>
      <c r="Q23" s="73">
        <f t="shared" ref="Q23:AA23" si="4">SUM(Q11:Q22)</f>
        <v>956196.27</v>
      </c>
      <c r="R23" s="73">
        <f t="shared" si="4"/>
        <v>1656697.3299999998</v>
      </c>
      <c r="S23" s="73">
        <f t="shared" si="4"/>
        <v>1053684.01</v>
      </c>
      <c r="T23" s="73">
        <f t="shared" si="4"/>
        <v>994407.57099999988</v>
      </c>
      <c r="U23" s="73">
        <f t="shared" si="4"/>
        <v>1028284.38</v>
      </c>
      <c r="V23" s="73">
        <f t="shared" si="4"/>
        <v>995363.27</v>
      </c>
      <c r="W23" s="73">
        <f t="shared" si="4"/>
        <v>1092798.8199999998</v>
      </c>
      <c r="X23" s="73">
        <f t="shared" si="4"/>
        <v>1310731.0799999998</v>
      </c>
      <c r="Y23" s="73">
        <f t="shared" si="4"/>
        <v>0</v>
      </c>
      <c r="Z23" s="73">
        <f t="shared" si="4"/>
        <v>0</v>
      </c>
      <c r="AA23" s="73">
        <f t="shared" si="4"/>
        <v>0</v>
      </c>
      <c r="AB23" s="27"/>
    </row>
    <row r="24" spans="1:28" s="32" customFormat="1" ht="14.25" x14ac:dyDescent="0.2">
      <c r="A24" s="21" t="s">
        <v>17</v>
      </c>
      <c r="B24" s="21" t="s">
        <v>18</v>
      </c>
      <c r="C24" s="21" t="s">
        <v>19</v>
      </c>
      <c r="D24" s="21" t="s">
        <v>42</v>
      </c>
      <c r="E24" s="21" t="s">
        <v>43</v>
      </c>
      <c r="F24" s="21" t="s">
        <v>41</v>
      </c>
      <c r="G24" s="189">
        <v>2111</v>
      </c>
      <c r="H24" s="190">
        <v>0</v>
      </c>
      <c r="I24" s="214" t="s">
        <v>73</v>
      </c>
      <c r="J24" s="199">
        <v>60000</v>
      </c>
      <c r="K24" s="113"/>
      <c r="L24" s="113"/>
      <c r="M24" s="113">
        <f t="shared" ref="M24:M39" si="5">+N24-O24</f>
        <v>7158.2199999999939</v>
      </c>
      <c r="N24" s="113">
        <f>+J24-K24+L24</f>
        <v>60000</v>
      </c>
      <c r="O24" s="113">
        <f>SUM(P24:AA24)</f>
        <v>52841.780000000006</v>
      </c>
      <c r="P24" s="194">
        <v>904.8</v>
      </c>
      <c r="Q24" s="194"/>
      <c r="R24" s="194">
        <f>58+558+5422.8</f>
        <v>6038.8</v>
      </c>
      <c r="S24" s="194">
        <v>292.49</v>
      </c>
      <c r="T24" s="194">
        <v>200</v>
      </c>
      <c r="U24" s="194">
        <v>114</v>
      </c>
      <c r="V24" s="194">
        <f>37814.05+35.52</f>
        <v>37849.57</v>
      </c>
      <c r="W24" s="194">
        <f>6953.22+384.5</f>
        <v>7337.72</v>
      </c>
      <c r="X24" s="194">
        <v>104.4</v>
      </c>
      <c r="Y24" s="113"/>
      <c r="Z24" s="113"/>
      <c r="AA24" s="113"/>
      <c r="AB24" s="83"/>
    </row>
    <row r="25" spans="1:28" s="32" customFormat="1" ht="14.25" x14ac:dyDescent="0.2">
      <c r="A25" s="21" t="s">
        <v>17</v>
      </c>
      <c r="B25" s="21" t="s">
        <v>18</v>
      </c>
      <c r="C25" s="21" t="s">
        <v>19</v>
      </c>
      <c r="D25" s="21" t="s">
        <v>42</v>
      </c>
      <c r="E25" s="21" t="s">
        <v>43</v>
      </c>
      <c r="F25" s="21" t="s">
        <v>41</v>
      </c>
      <c r="G25" s="189">
        <v>2121</v>
      </c>
      <c r="H25" s="190">
        <v>0</v>
      </c>
      <c r="I25" s="214" t="s">
        <v>106</v>
      </c>
      <c r="J25" s="199">
        <v>60000</v>
      </c>
      <c r="K25" s="113"/>
      <c r="L25" s="113"/>
      <c r="M25" s="113">
        <f t="shared" si="5"/>
        <v>13058.470000000001</v>
      </c>
      <c r="N25" s="113">
        <f t="shared" ref="N25:N72" si="6">+J25-K25+L25</f>
        <v>60000</v>
      </c>
      <c r="O25" s="113">
        <f t="shared" ref="O25:O42" si="7">SUM(P25:AA25)</f>
        <v>46941.53</v>
      </c>
      <c r="P25" s="194"/>
      <c r="Q25" s="194"/>
      <c r="R25" s="194"/>
      <c r="S25" s="194"/>
      <c r="T25" s="194"/>
      <c r="U25" s="194">
        <v>35770.92</v>
      </c>
      <c r="V25" s="194"/>
      <c r="W25" s="194">
        <v>11170.61</v>
      </c>
      <c r="X25" s="194"/>
      <c r="Y25" s="113"/>
      <c r="Z25" s="113"/>
      <c r="AA25" s="113"/>
      <c r="AB25" s="83"/>
    </row>
    <row r="26" spans="1:28" s="32" customFormat="1" ht="14.25" x14ac:dyDescent="0.2">
      <c r="A26" s="21" t="s">
        <v>17</v>
      </c>
      <c r="B26" s="21" t="s">
        <v>18</v>
      </c>
      <c r="C26" s="21" t="s">
        <v>19</v>
      </c>
      <c r="D26" s="21" t="s">
        <v>42</v>
      </c>
      <c r="E26" s="21" t="s">
        <v>43</v>
      </c>
      <c r="F26" s="21" t="s">
        <v>41</v>
      </c>
      <c r="G26" s="189">
        <v>2141</v>
      </c>
      <c r="H26" s="190">
        <v>0</v>
      </c>
      <c r="I26" s="214" t="s">
        <v>74</v>
      </c>
      <c r="J26" s="199">
        <v>10000</v>
      </c>
      <c r="K26" s="113"/>
      <c r="L26" s="113"/>
      <c r="M26" s="113">
        <f t="shared" si="5"/>
        <v>9669</v>
      </c>
      <c r="N26" s="113">
        <f t="shared" si="6"/>
        <v>10000</v>
      </c>
      <c r="O26" s="113">
        <f t="shared" si="7"/>
        <v>331</v>
      </c>
      <c r="P26" s="194"/>
      <c r="Q26" s="194"/>
      <c r="R26" s="194">
        <v>331</v>
      </c>
      <c r="S26" s="194"/>
      <c r="T26" s="194"/>
      <c r="U26" s="194"/>
      <c r="V26" s="194"/>
      <c r="W26" s="194"/>
      <c r="X26" s="194"/>
      <c r="Y26" s="113"/>
      <c r="Z26" s="113"/>
      <c r="AA26" s="113"/>
      <c r="AB26" s="83"/>
    </row>
    <row r="27" spans="1:28" s="32" customFormat="1" ht="14.25" x14ac:dyDescent="0.2">
      <c r="A27" s="21" t="s">
        <v>17</v>
      </c>
      <c r="B27" s="21" t="s">
        <v>18</v>
      </c>
      <c r="C27" s="21" t="s">
        <v>19</v>
      </c>
      <c r="D27" s="21" t="s">
        <v>42</v>
      </c>
      <c r="E27" s="21" t="s">
        <v>43</v>
      </c>
      <c r="F27" s="21" t="s">
        <v>41</v>
      </c>
      <c r="G27" s="189">
        <v>2161</v>
      </c>
      <c r="H27" s="190">
        <v>0</v>
      </c>
      <c r="I27" s="214" t="s">
        <v>55</v>
      </c>
      <c r="J27" s="199">
        <v>40000</v>
      </c>
      <c r="K27" s="113"/>
      <c r="L27" s="113"/>
      <c r="M27" s="113">
        <f t="shared" si="5"/>
        <v>3989.8499999999985</v>
      </c>
      <c r="N27" s="113">
        <f t="shared" si="6"/>
        <v>40000</v>
      </c>
      <c r="O27" s="113">
        <f t="shared" si="7"/>
        <v>36010.15</v>
      </c>
      <c r="P27" s="194"/>
      <c r="Q27" s="194"/>
      <c r="R27" s="194">
        <f>132.01+4720.71+812</f>
        <v>5664.72</v>
      </c>
      <c r="S27" s="194"/>
      <c r="T27" s="194"/>
      <c r="U27" s="194"/>
      <c r="V27" s="194"/>
      <c r="W27" s="194"/>
      <c r="X27" s="194">
        <f>29293.45+1051.98</f>
        <v>30345.43</v>
      </c>
      <c r="Y27" s="113"/>
      <c r="Z27" s="113"/>
      <c r="AA27" s="113"/>
      <c r="AB27" s="83"/>
    </row>
    <row r="28" spans="1:28" s="32" customFormat="1" ht="14.25" x14ac:dyDescent="0.2">
      <c r="A28" s="21" t="s">
        <v>17</v>
      </c>
      <c r="B28" s="21" t="s">
        <v>18</v>
      </c>
      <c r="C28" s="21" t="s">
        <v>19</v>
      </c>
      <c r="D28" s="21" t="s">
        <v>42</v>
      </c>
      <c r="E28" s="21" t="s">
        <v>43</v>
      </c>
      <c r="F28" s="21" t="s">
        <v>41</v>
      </c>
      <c r="G28" s="189">
        <v>2171</v>
      </c>
      <c r="H28" s="190">
        <v>0</v>
      </c>
      <c r="I28" s="214" t="s">
        <v>97</v>
      </c>
      <c r="J28" s="199">
        <v>1500</v>
      </c>
      <c r="K28" s="113"/>
      <c r="L28" s="113"/>
      <c r="M28" s="113">
        <f t="shared" si="5"/>
        <v>825.58</v>
      </c>
      <c r="N28" s="113">
        <f t="shared" si="6"/>
        <v>1500</v>
      </c>
      <c r="O28" s="113">
        <f t="shared" si="7"/>
        <v>674.42</v>
      </c>
      <c r="P28" s="194"/>
      <c r="Q28" s="194"/>
      <c r="R28" s="194"/>
      <c r="S28" s="194"/>
      <c r="T28" s="194"/>
      <c r="U28" s="194"/>
      <c r="V28" s="194">
        <v>674.42</v>
      </c>
      <c r="W28" s="194"/>
      <c r="X28" s="194"/>
      <c r="Y28" s="113"/>
      <c r="Z28" s="113"/>
      <c r="AA28" s="113"/>
      <c r="AB28" s="83"/>
    </row>
    <row r="29" spans="1:28" s="32" customFormat="1" ht="14.25" x14ac:dyDescent="0.2">
      <c r="A29" s="21" t="s">
        <v>17</v>
      </c>
      <c r="B29" s="21" t="s">
        <v>18</v>
      </c>
      <c r="C29" s="21" t="s">
        <v>19</v>
      </c>
      <c r="D29" s="21" t="s">
        <v>42</v>
      </c>
      <c r="E29" s="21" t="s">
        <v>43</v>
      </c>
      <c r="F29" s="21" t="s">
        <v>41</v>
      </c>
      <c r="G29" s="189">
        <v>2214</v>
      </c>
      <c r="H29" s="190">
        <v>0</v>
      </c>
      <c r="I29" s="214" t="s">
        <v>75</v>
      </c>
      <c r="J29" s="199">
        <v>36000</v>
      </c>
      <c r="K29" s="113"/>
      <c r="L29" s="113"/>
      <c r="M29" s="113">
        <f t="shared" si="5"/>
        <v>10208.550000000003</v>
      </c>
      <c r="N29" s="113">
        <f t="shared" si="6"/>
        <v>36000</v>
      </c>
      <c r="O29" s="113">
        <f t="shared" si="7"/>
        <v>25791.449999999997</v>
      </c>
      <c r="P29" s="194">
        <v>819</v>
      </c>
      <c r="Q29" s="194">
        <f>912.1+630+147</f>
        <v>1689.1</v>
      </c>
      <c r="R29" s="194">
        <f>3415.53+210+2064.8</f>
        <v>5690.33</v>
      </c>
      <c r="S29" s="194">
        <f>2553.3+567+1000+315</f>
        <v>4435.3</v>
      </c>
      <c r="T29" s="194">
        <v>1600.39</v>
      </c>
      <c r="U29" s="194">
        <f>884+1158.21+420</f>
        <v>2462.21</v>
      </c>
      <c r="V29" s="194">
        <f>405+459+1549+270+583.25</f>
        <v>3266.25</v>
      </c>
      <c r="W29" s="194">
        <f>2737.12+545.75+1000+242</f>
        <v>4524.87</v>
      </c>
      <c r="X29" s="194">
        <f>754+432+118</f>
        <v>1304</v>
      </c>
      <c r="Y29" s="113"/>
      <c r="Z29" s="113"/>
      <c r="AA29" s="113"/>
      <c r="AB29" s="83"/>
    </row>
    <row r="30" spans="1:28" s="32" customFormat="1" ht="14.25" x14ac:dyDescent="0.2">
      <c r="A30" s="21" t="s">
        <v>17</v>
      </c>
      <c r="B30" s="21" t="s">
        <v>18</v>
      </c>
      <c r="C30" s="21" t="s">
        <v>19</v>
      </c>
      <c r="D30" s="21" t="s">
        <v>42</v>
      </c>
      <c r="E30" s="21" t="s">
        <v>43</v>
      </c>
      <c r="F30" s="21" t="s">
        <v>41</v>
      </c>
      <c r="G30" s="189">
        <v>2231</v>
      </c>
      <c r="H30" s="190">
        <v>0</v>
      </c>
      <c r="I30" s="214" t="s">
        <v>107</v>
      </c>
      <c r="J30" s="199">
        <v>1500</v>
      </c>
      <c r="K30" s="113"/>
      <c r="L30" s="113"/>
      <c r="M30" s="113">
        <f t="shared" si="5"/>
        <v>1205.5999999999999</v>
      </c>
      <c r="N30" s="113">
        <f t="shared" si="6"/>
        <v>1500</v>
      </c>
      <c r="O30" s="113">
        <f t="shared" si="7"/>
        <v>294.39999999999998</v>
      </c>
      <c r="P30" s="194"/>
      <c r="Q30" s="194">
        <v>46.4</v>
      </c>
      <c r="R30" s="194"/>
      <c r="S30" s="194"/>
      <c r="T30" s="194"/>
      <c r="U30" s="194"/>
      <c r="V30" s="194"/>
      <c r="W30" s="194"/>
      <c r="X30" s="194">
        <v>248</v>
      </c>
      <c r="Y30" s="113"/>
      <c r="Z30" s="113"/>
      <c r="AA30" s="113"/>
      <c r="AB30" s="83"/>
    </row>
    <row r="31" spans="1:28" s="32" customFormat="1" ht="14.25" x14ac:dyDescent="0.2">
      <c r="A31" s="21" t="s">
        <v>17</v>
      </c>
      <c r="B31" s="21" t="s">
        <v>18</v>
      </c>
      <c r="C31" s="21" t="s">
        <v>19</v>
      </c>
      <c r="D31" s="21" t="s">
        <v>42</v>
      </c>
      <c r="E31" s="21" t="s">
        <v>43</v>
      </c>
      <c r="F31" s="21" t="s">
        <v>41</v>
      </c>
      <c r="G31" s="189">
        <v>2391</v>
      </c>
      <c r="H31" s="190">
        <v>0</v>
      </c>
      <c r="I31" s="214" t="s">
        <v>61</v>
      </c>
      <c r="J31" s="199">
        <v>15000</v>
      </c>
      <c r="K31" s="113"/>
      <c r="L31" s="113"/>
      <c r="M31" s="113">
        <f t="shared" si="5"/>
        <v>8834.880000000001</v>
      </c>
      <c r="N31" s="113">
        <f t="shared" si="6"/>
        <v>15000</v>
      </c>
      <c r="O31" s="113">
        <f t="shared" si="7"/>
        <v>6165.12</v>
      </c>
      <c r="P31" s="194"/>
      <c r="Q31" s="194"/>
      <c r="R31" s="194"/>
      <c r="S31" s="194"/>
      <c r="T31" s="194"/>
      <c r="U31" s="194">
        <v>419.5</v>
      </c>
      <c r="V31" s="194">
        <v>146.54</v>
      </c>
      <c r="W31" s="194">
        <v>174</v>
      </c>
      <c r="X31" s="194">
        <f>4705.32+719.76</f>
        <v>5425.08</v>
      </c>
      <c r="Y31" s="113"/>
      <c r="Z31" s="113"/>
      <c r="AA31" s="113"/>
      <c r="AB31" s="83"/>
    </row>
    <row r="32" spans="1:28" s="32" customFormat="1" ht="14.25" x14ac:dyDescent="0.2">
      <c r="A32" s="21" t="s">
        <v>17</v>
      </c>
      <c r="B32" s="21" t="s">
        <v>18</v>
      </c>
      <c r="C32" s="21" t="s">
        <v>19</v>
      </c>
      <c r="D32" s="21" t="s">
        <v>42</v>
      </c>
      <c r="E32" s="21" t="s">
        <v>43</v>
      </c>
      <c r="F32" s="21" t="s">
        <v>41</v>
      </c>
      <c r="G32" s="189">
        <v>2451</v>
      </c>
      <c r="H32" s="190">
        <v>0</v>
      </c>
      <c r="I32" s="214" t="s">
        <v>104</v>
      </c>
      <c r="J32" s="199">
        <v>3000</v>
      </c>
      <c r="K32" s="113"/>
      <c r="L32" s="113"/>
      <c r="M32" s="113">
        <f t="shared" si="5"/>
        <v>1065.1199999999999</v>
      </c>
      <c r="N32" s="113">
        <f t="shared" si="6"/>
        <v>3000</v>
      </c>
      <c r="O32" s="113">
        <f t="shared" si="7"/>
        <v>1934.88</v>
      </c>
      <c r="P32" s="194"/>
      <c r="Q32" s="194"/>
      <c r="R32" s="194"/>
      <c r="S32" s="194"/>
      <c r="T32" s="194"/>
      <c r="U32" s="194"/>
      <c r="V32" s="194">
        <v>1934.88</v>
      </c>
      <c r="W32" s="194"/>
      <c r="X32" s="194"/>
      <c r="Y32" s="113"/>
      <c r="Z32" s="113"/>
      <c r="AA32" s="113"/>
      <c r="AB32" s="83"/>
    </row>
    <row r="33" spans="1:28" s="462" customFormat="1" ht="14.25" x14ac:dyDescent="0.2">
      <c r="A33" s="249" t="s">
        <v>17</v>
      </c>
      <c r="B33" s="249" t="s">
        <v>18</v>
      </c>
      <c r="C33" s="249" t="s">
        <v>19</v>
      </c>
      <c r="D33" s="249" t="s">
        <v>42</v>
      </c>
      <c r="E33" s="249" t="s">
        <v>43</v>
      </c>
      <c r="F33" s="249" t="s">
        <v>41</v>
      </c>
      <c r="G33" s="250">
        <v>2461</v>
      </c>
      <c r="H33" s="251">
        <v>0</v>
      </c>
      <c r="I33" s="252" t="s">
        <v>76</v>
      </c>
      <c r="J33" s="460">
        <v>10000</v>
      </c>
      <c r="K33" s="253"/>
      <c r="L33" s="253">
        <v>5000</v>
      </c>
      <c r="M33" s="253">
        <f t="shared" si="5"/>
        <v>3354.6499999999996</v>
      </c>
      <c r="N33" s="253">
        <f t="shared" si="6"/>
        <v>15000</v>
      </c>
      <c r="O33" s="253">
        <f t="shared" si="7"/>
        <v>11645.35</v>
      </c>
      <c r="P33" s="253">
        <v>72</v>
      </c>
      <c r="Q33" s="253">
        <f>99+299.98</f>
        <v>398.98</v>
      </c>
      <c r="R33" s="253">
        <v>348</v>
      </c>
      <c r="S33" s="253"/>
      <c r="T33" s="253"/>
      <c r="U33" s="253">
        <f>144+300.96</f>
        <v>444.96</v>
      </c>
      <c r="V33" s="253">
        <f>8951.66+130+134.72</f>
        <v>9216.3799999999992</v>
      </c>
      <c r="W33" s="253">
        <f>75.01+550</f>
        <v>625.01</v>
      </c>
      <c r="X33" s="253">
        <v>540.02</v>
      </c>
      <c r="Y33" s="253"/>
      <c r="Z33" s="253"/>
      <c r="AA33" s="253"/>
      <c r="AB33" s="461"/>
    </row>
    <row r="34" spans="1:28" s="32" customFormat="1" ht="14.25" x14ac:dyDescent="0.2">
      <c r="A34" s="21" t="s">
        <v>17</v>
      </c>
      <c r="B34" s="21" t="s">
        <v>18</v>
      </c>
      <c r="C34" s="21" t="s">
        <v>19</v>
      </c>
      <c r="D34" s="21" t="s">
        <v>42</v>
      </c>
      <c r="E34" s="21" t="s">
        <v>43</v>
      </c>
      <c r="F34" s="21" t="s">
        <v>41</v>
      </c>
      <c r="G34" s="189">
        <v>2491</v>
      </c>
      <c r="H34" s="190">
        <v>0</v>
      </c>
      <c r="I34" s="214" t="s">
        <v>77</v>
      </c>
      <c r="J34" s="199">
        <v>75000</v>
      </c>
      <c r="K34" s="113"/>
      <c r="L34" s="113"/>
      <c r="M34" s="253">
        <f t="shared" si="5"/>
        <v>52212.740000000005</v>
      </c>
      <c r="N34" s="113">
        <f t="shared" si="6"/>
        <v>75000</v>
      </c>
      <c r="O34" s="113">
        <f t="shared" si="7"/>
        <v>22787.26</v>
      </c>
      <c r="P34" s="194">
        <f>97.99+228</f>
        <v>325.99</v>
      </c>
      <c r="Q34" s="194">
        <f>187.99+193</f>
        <v>380.99</v>
      </c>
      <c r="R34" s="194">
        <v>345.46</v>
      </c>
      <c r="S34" s="194">
        <f>6799.92+4144.01+200</f>
        <v>11143.93</v>
      </c>
      <c r="T34" s="194">
        <f>5439.94+202.99+140+139.2</f>
        <v>5922.1299999999992</v>
      </c>
      <c r="U34" s="194">
        <v>55.48</v>
      </c>
      <c r="V34" s="194">
        <f>718.04+48+1293.87+726.77</f>
        <v>2786.68</v>
      </c>
      <c r="W34" s="194">
        <f>761.44+261.16</f>
        <v>1022.6000000000001</v>
      </c>
      <c r="X34" s="194">
        <f>666.01+137.99</f>
        <v>804</v>
      </c>
      <c r="Y34" s="113"/>
      <c r="Z34" s="194"/>
      <c r="AA34" s="113"/>
      <c r="AB34" s="83"/>
    </row>
    <row r="35" spans="1:28" s="32" customFormat="1" ht="14.25" x14ac:dyDescent="0.2">
      <c r="A35" s="21" t="s">
        <v>17</v>
      </c>
      <c r="B35" s="21" t="s">
        <v>18</v>
      </c>
      <c r="C35" s="21" t="s">
        <v>19</v>
      </c>
      <c r="D35" s="21" t="s">
        <v>42</v>
      </c>
      <c r="E35" s="21" t="s">
        <v>43</v>
      </c>
      <c r="F35" s="21" t="s">
        <v>41</v>
      </c>
      <c r="G35" s="189">
        <v>2531</v>
      </c>
      <c r="H35" s="190">
        <v>0</v>
      </c>
      <c r="I35" s="214" t="s">
        <v>108</v>
      </c>
      <c r="J35" s="199">
        <v>4000</v>
      </c>
      <c r="K35" s="113"/>
      <c r="L35" s="113"/>
      <c r="M35" s="113">
        <f t="shared" si="5"/>
        <v>-71.75</v>
      </c>
      <c r="N35" s="113">
        <f t="shared" si="6"/>
        <v>4000</v>
      </c>
      <c r="O35" s="113">
        <f t="shared" si="7"/>
        <v>4071.75</v>
      </c>
      <c r="P35" s="194"/>
      <c r="Q35" s="194"/>
      <c r="R35" s="194"/>
      <c r="S35" s="194"/>
      <c r="T35" s="194"/>
      <c r="U35" s="194"/>
      <c r="V35" s="194">
        <v>3940.35</v>
      </c>
      <c r="W35" s="194"/>
      <c r="X35" s="194">
        <v>131.4</v>
      </c>
      <c r="Y35" s="113"/>
      <c r="Z35" s="113"/>
      <c r="AA35" s="113"/>
      <c r="AB35" s="83"/>
    </row>
    <row r="36" spans="1:28" s="32" customFormat="1" ht="13.5" customHeight="1" x14ac:dyDescent="0.2">
      <c r="A36" s="21" t="s">
        <v>17</v>
      </c>
      <c r="B36" s="21" t="s">
        <v>18</v>
      </c>
      <c r="C36" s="21" t="s">
        <v>19</v>
      </c>
      <c r="D36" s="21" t="s">
        <v>42</v>
      </c>
      <c r="E36" s="21" t="s">
        <v>43</v>
      </c>
      <c r="F36" s="21" t="s">
        <v>41</v>
      </c>
      <c r="G36" s="189">
        <v>2611</v>
      </c>
      <c r="H36" s="190">
        <v>0</v>
      </c>
      <c r="I36" s="214" t="s">
        <v>62</v>
      </c>
      <c r="J36" s="199">
        <v>148618</v>
      </c>
      <c r="K36" s="113"/>
      <c r="L36" s="113"/>
      <c r="M36" s="253">
        <f t="shared" si="5"/>
        <v>82723.33</v>
      </c>
      <c r="N36" s="113">
        <f t="shared" si="6"/>
        <v>148618</v>
      </c>
      <c r="O36" s="113">
        <f>SUM(P36:AA36)</f>
        <v>65894.67</v>
      </c>
      <c r="P36" s="194">
        <f>100+500+1610.09</f>
        <v>2210.09</v>
      </c>
      <c r="Q36" s="194">
        <f>300+150+3110.21+190+2088.4+1950.01</f>
        <v>7788.6200000000008</v>
      </c>
      <c r="R36" s="194">
        <f>2187.6+1700+2500.02+1667.77</f>
        <v>8055.3899999999994</v>
      </c>
      <c r="S36" s="194">
        <f>2575.85+100+800+700.01+3124.91+8006.31</f>
        <v>15307.08</v>
      </c>
      <c r="T36" s="194">
        <f>2470.25+100+1500.02+800</f>
        <v>4870.2700000000004</v>
      </c>
      <c r="U36" s="194">
        <f>2362.69+800.03+200+450.16</f>
        <v>3812.88</v>
      </c>
      <c r="V36" s="194">
        <f>1527.11+1894.99+400.07+2785.2+300</f>
        <v>6907.37</v>
      </c>
      <c r="W36" s="194">
        <f>1840.8+3199.98+300+1220.1+600+500</f>
        <v>7660.8799999999992</v>
      </c>
      <c r="X36" s="194">
        <f>3319.56+1447.7+2650.03+394.8+1470</f>
        <v>9282.09</v>
      </c>
      <c r="Y36" s="194"/>
      <c r="Z36" s="113"/>
      <c r="AA36" s="113"/>
      <c r="AB36" s="83"/>
    </row>
    <row r="37" spans="1:28" s="32" customFormat="1" ht="14.25" x14ac:dyDescent="0.2">
      <c r="A37" s="21" t="s">
        <v>17</v>
      </c>
      <c r="B37" s="21" t="s">
        <v>18</v>
      </c>
      <c r="C37" s="21" t="s">
        <v>19</v>
      </c>
      <c r="D37" s="21" t="s">
        <v>42</v>
      </c>
      <c r="E37" s="21" t="s">
        <v>43</v>
      </c>
      <c r="F37" s="21" t="s">
        <v>41</v>
      </c>
      <c r="G37" s="189">
        <v>2711</v>
      </c>
      <c r="H37" s="190">
        <v>0</v>
      </c>
      <c r="I37" s="214" t="s">
        <v>63</v>
      </c>
      <c r="J37" s="199">
        <v>10000</v>
      </c>
      <c r="K37" s="113"/>
      <c r="L37" s="113"/>
      <c r="M37" s="113">
        <f>+N37-O37</f>
        <v>1180.6200000000008</v>
      </c>
      <c r="N37" s="113">
        <f t="shared" si="6"/>
        <v>10000</v>
      </c>
      <c r="O37" s="113">
        <f t="shared" si="7"/>
        <v>8819.3799999999992</v>
      </c>
      <c r="P37" s="194"/>
      <c r="R37" s="194">
        <v>8819.3799999999992</v>
      </c>
      <c r="S37" s="194"/>
      <c r="T37" s="194"/>
      <c r="U37" s="194"/>
      <c r="V37" s="194"/>
      <c r="W37" s="194"/>
      <c r="X37" s="194"/>
      <c r="Y37" s="113"/>
      <c r="Z37" s="113"/>
      <c r="AA37" s="113"/>
      <c r="AB37" s="83"/>
    </row>
    <row r="38" spans="1:28" s="32" customFormat="1" ht="14.25" x14ac:dyDescent="0.2">
      <c r="A38" s="21" t="s">
        <v>17</v>
      </c>
      <c r="B38" s="21" t="s">
        <v>18</v>
      </c>
      <c r="C38" s="21" t="s">
        <v>19</v>
      </c>
      <c r="D38" s="21" t="s">
        <v>42</v>
      </c>
      <c r="E38" s="21" t="s">
        <v>43</v>
      </c>
      <c r="F38" s="21" t="s">
        <v>41</v>
      </c>
      <c r="G38" s="189">
        <v>2721</v>
      </c>
      <c r="H38" s="190">
        <v>0</v>
      </c>
      <c r="I38" s="214" t="s">
        <v>78</v>
      </c>
      <c r="J38" s="199">
        <v>5000</v>
      </c>
      <c r="K38" s="113"/>
      <c r="L38" s="113"/>
      <c r="M38" s="253">
        <f t="shared" si="5"/>
        <v>4547.6000000000004</v>
      </c>
      <c r="N38" s="113">
        <f t="shared" si="6"/>
        <v>5000</v>
      </c>
      <c r="O38" s="113">
        <f t="shared" si="7"/>
        <v>452.4</v>
      </c>
      <c r="P38" s="194"/>
      <c r="Q38" s="194"/>
      <c r="R38" s="194"/>
      <c r="S38" s="194"/>
      <c r="T38" s="194"/>
      <c r="U38" s="194"/>
      <c r="V38" s="194"/>
      <c r="W38" s="194"/>
      <c r="X38" s="194">
        <v>452.4</v>
      </c>
      <c r="Y38" s="113"/>
      <c r="Z38" s="113"/>
      <c r="AA38" s="113"/>
      <c r="AB38" s="83"/>
    </row>
    <row r="39" spans="1:28" s="32" customFormat="1" ht="14.25" x14ac:dyDescent="0.2">
      <c r="A39" s="21" t="s">
        <v>17</v>
      </c>
      <c r="B39" s="21" t="s">
        <v>18</v>
      </c>
      <c r="C39" s="21" t="s">
        <v>19</v>
      </c>
      <c r="D39" s="21" t="s">
        <v>42</v>
      </c>
      <c r="E39" s="21" t="s">
        <v>43</v>
      </c>
      <c r="F39" s="21" t="s">
        <v>41</v>
      </c>
      <c r="G39" s="189">
        <v>2911</v>
      </c>
      <c r="H39" s="190">
        <v>0</v>
      </c>
      <c r="I39" s="214" t="s">
        <v>212</v>
      </c>
      <c r="J39" s="199">
        <v>3000</v>
      </c>
      <c r="K39" s="113"/>
      <c r="L39" s="113"/>
      <c r="M39" s="113">
        <f t="shared" si="5"/>
        <v>3000</v>
      </c>
      <c r="N39" s="113">
        <f t="shared" ref="N39:N41" si="8">+J39-K39+L39</f>
        <v>3000</v>
      </c>
      <c r="O39" s="113">
        <f t="shared" si="7"/>
        <v>0</v>
      </c>
      <c r="P39" s="194"/>
      <c r="Q39" s="194"/>
      <c r="R39" s="194"/>
      <c r="S39" s="194"/>
      <c r="T39" s="194"/>
      <c r="U39" s="194"/>
      <c r="V39" s="194"/>
      <c r="W39" s="194"/>
      <c r="X39" s="194"/>
      <c r="Y39" s="113"/>
      <c r="Z39" s="113"/>
      <c r="AA39" s="113"/>
      <c r="AB39" s="83"/>
    </row>
    <row r="40" spans="1:28" s="32" customFormat="1" ht="14.25" x14ac:dyDescent="0.2">
      <c r="A40" s="21" t="s">
        <v>17</v>
      </c>
      <c r="B40" s="21" t="s">
        <v>18</v>
      </c>
      <c r="C40" s="21" t="s">
        <v>19</v>
      </c>
      <c r="D40" s="21" t="s">
        <v>42</v>
      </c>
      <c r="E40" s="21" t="s">
        <v>43</v>
      </c>
      <c r="F40" s="21" t="s">
        <v>41</v>
      </c>
      <c r="G40" s="189">
        <v>2931</v>
      </c>
      <c r="H40" s="190">
        <v>0</v>
      </c>
      <c r="I40" s="214" t="s">
        <v>114</v>
      </c>
      <c r="J40" s="199">
        <v>20000</v>
      </c>
      <c r="K40" s="113"/>
      <c r="L40" s="113"/>
      <c r="M40" s="253">
        <f t="shared" ref="M40:M41" si="9">+N40-O40</f>
        <v>15646.18</v>
      </c>
      <c r="N40" s="113">
        <f t="shared" si="8"/>
        <v>20000</v>
      </c>
      <c r="O40" s="113">
        <f t="shared" si="7"/>
        <v>4353.82</v>
      </c>
      <c r="P40" s="194"/>
      <c r="Q40" s="194"/>
      <c r="R40" s="194">
        <v>448</v>
      </c>
      <c r="S40" s="194">
        <v>112</v>
      </c>
      <c r="T40" s="194"/>
      <c r="U40" s="194"/>
      <c r="V40" s="194">
        <v>2702.48</v>
      </c>
      <c r="W40" s="194">
        <f>580+72+439.34</f>
        <v>1091.3399999999999</v>
      </c>
      <c r="X40" s="194"/>
      <c r="Y40" s="113"/>
      <c r="Z40" s="113"/>
      <c r="AA40" s="113"/>
      <c r="AB40" s="83"/>
    </row>
    <row r="41" spans="1:28" s="32" customFormat="1" ht="14.25" x14ac:dyDescent="0.2">
      <c r="A41" s="21" t="s">
        <v>17</v>
      </c>
      <c r="B41" s="21" t="s">
        <v>18</v>
      </c>
      <c r="C41" s="21" t="s">
        <v>19</v>
      </c>
      <c r="D41" s="21" t="s">
        <v>42</v>
      </c>
      <c r="E41" s="21" t="s">
        <v>43</v>
      </c>
      <c r="F41" s="21" t="s">
        <v>41</v>
      </c>
      <c r="G41" s="189">
        <v>2941</v>
      </c>
      <c r="H41" s="190">
        <v>0</v>
      </c>
      <c r="I41" s="214" t="s">
        <v>213</v>
      </c>
      <c r="J41" s="199">
        <v>8000</v>
      </c>
      <c r="K41" s="113"/>
      <c r="L41" s="113"/>
      <c r="M41" s="113">
        <f t="shared" si="9"/>
        <v>6555.4</v>
      </c>
      <c r="N41" s="113">
        <f t="shared" si="8"/>
        <v>8000</v>
      </c>
      <c r="O41" s="113">
        <f t="shared" si="7"/>
        <v>1444.6</v>
      </c>
      <c r="P41" s="194">
        <v>169</v>
      </c>
      <c r="Q41" s="194">
        <v>765.6</v>
      </c>
      <c r="R41" s="194"/>
      <c r="S41" s="194"/>
      <c r="T41" s="194">
        <v>112</v>
      </c>
      <c r="U41" s="194"/>
      <c r="V41" s="194">
        <v>113</v>
      </c>
      <c r="W41" s="194">
        <v>285</v>
      </c>
      <c r="X41" s="194"/>
      <c r="Y41" s="113"/>
      <c r="Z41" s="113"/>
      <c r="AA41" s="113"/>
      <c r="AB41" s="83"/>
    </row>
    <row r="42" spans="1:28" s="32" customFormat="1" ht="15.75" customHeight="1" x14ac:dyDescent="0.2">
      <c r="A42" s="21" t="s">
        <v>17</v>
      </c>
      <c r="B42" s="21" t="s">
        <v>18</v>
      </c>
      <c r="C42" s="21" t="s">
        <v>19</v>
      </c>
      <c r="D42" s="21" t="s">
        <v>42</v>
      </c>
      <c r="E42" s="21" t="s">
        <v>43</v>
      </c>
      <c r="F42" s="21" t="s">
        <v>41</v>
      </c>
      <c r="G42" s="189">
        <v>2961</v>
      </c>
      <c r="H42" s="190">
        <v>0</v>
      </c>
      <c r="I42" s="214" t="s">
        <v>214</v>
      </c>
      <c r="J42" s="199">
        <v>30000</v>
      </c>
      <c r="K42" s="113"/>
      <c r="L42" s="113"/>
      <c r="M42" s="113">
        <f>+N42-O42</f>
        <v>-60</v>
      </c>
      <c r="N42" s="113">
        <f>+J42-K42+L42</f>
        <v>30000</v>
      </c>
      <c r="O42" s="113">
        <f t="shared" si="7"/>
        <v>30060</v>
      </c>
      <c r="P42" s="194"/>
      <c r="Q42" s="194">
        <f>1450+1900.01</f>
        <v>3350.01</v>
      </c>
      <c r="R42" s="194"/>
      <c r="S42" s="194">
        <v>740</v>
      </c>
      <c r="T42" s="194"/>
      <c r="U42" s="194"/>
      <c r="V42" s="194">
        <f>2031.96+301.3+4640+1670.01+1340</f>
        <v>9983.27</v>
      </c>
      <c r="W42" s="194">
        <v>60</v>
      </c>
      <c r="X42" s="194">
        <f>8250.01+7676.71</f>
        <v>15926.720000000001</v>
      </c>
      <c r="Y42" s="113"/>
      <c r="Z42" s="113"/>
      <c r="AA42" s="113"/>
      <c r="AB42" s="83"/>
    </row>
    <row r="43" spans="1:28" s="11" customFormat="1" ht="15" x14ac:dyDescent="0.25">
      <c r="A43" s="43"/>
      <c r="B43" s="43"/>
      <c r="C43" s="43"/>
      <c r="D43" s="43"/>
      <c r="E43" s="44"/>
      <c r="F43" s="45"/>
      <c r="G43" s="22"/>
      <c r="H43" s="43"/>
      <c r="I43" s="210" t="s">
        <v>3</v>
      </c>
      <c r="J43" s="73">
        <f t="shared" ref="J43:N43" si="10">SUM(J24:J42)</f>
        <v>540618</v>
      </c>
      <c r="K43" s="73">
        <f t="shared" si="10"/>
        <v>0</v>
      </c>
      <c r="L43" s="73">
        <f t="shared" si="10"/>
        <v>5000</v>
      </c>
      <c r="M43" s="73">
        <f t="shared" si="10"/>
        <v>225104.03999999998</v>
      </c>
      <c r="N43" s="73">
        <f t="shared" si="10"/>
        <v>545618</v>
      </c>
      <c r="O43" s="73">
        <f>SUM(O24:O42)</f>
        <v>320513.96000000002</v>
      </c>
      <c r="P43" s="73">
        <f>SUM(P24:P42)</f>
        <v>4500.88</v>
      </c>
      <c r="Q43" s="73">
        <f t="shared" ref="Q43:AA43" si="11">SUM(Q24:Q42)</f>
        <v>14419.7</v>
      </c>
      <c r="R43" s="73">
        <f t="shared" si="11"/>
        <v>35741.079999999994</v>
      </c>
      <c r="S43" s="73">
        <f t="shared" si="11"/>
        <v>32030.800000000003</v>
      </c>
      <c r="T43" s="73">
        <f t="shared" si="11"/>
        <v>12704.79</v>
      </c>
      <c r="U43" s="73">
        <f t="shared" si="11"/>
        <v>43079.95</v>
      </c>
      <c r="V43" s="73">
        <f t="shared" si="11"/>
        <v>79521.189999999988</v>
      </c>
      <c r="W43" s="73">
        <f t="shared" si="11"/>
        <v>33952.029999999992</v>
      </c>
      <c r="X43" s="73">
        <f t="shared" si="11"/>
        <v>64563.54</v>
      </c>
      <c r="Y43" s="73">
        <f t="shared" si="11"/>
        <v>0</v>
      </c>
      <c r="Z43" s="73">
        <f t="shared" si="11"/>
        <v>0</v>
      </c>
      <c r="AA43" s="73">
        <f t="shared" si="11"/>
        <v>0</v>
      </c>
      <c r="AB43" s="27"/>
    </row>
    <row r="44" spans="1:28" s="23" customFormat="1" ht="13.5" customHeight="1" x14ac:dyDescent="0.2">
      <c r="A44" s="21" t="s">
        <v>17</v>
      </c>
      <c r="B44" s="21" t="s">
        <v>18</v>
      </c>
      <c r="C44" s="21" t="s">
        <v>19</v>
      </c>
      <c r="D44" s="21" t="s">
        <v>42</v>
      </c>
      <c r="E44" s="21" t="s">
        <v>43</v>
      </c>
      <c r="F44" s="21" t="s">
        <v>41</v>
      </c>
      <c r="G44" s="189">
        <v>3111</v>
      </c>
      <c r="H44" s="190">
        <v>0</v>
      </c>
      <c r="I44" s="214" t="s">
        <v>79</v>
      </c>
      <c r="J44" s="198">
        <v>210000</v>
      </c>
      <c r="K44" s="113">
        <v>5000</v>
      </c>
      <c r="L44" s="113"/>
      <c r="M44" s="113">
        <f t="shared" ref="M44:M69" si="12">+N44-O44</f>
        <v>18749.799999999988</v>
      </c>
      <c r="N44" s="113">
        <f t="shared" si="6"/>
        <v>205000</v>
      </c>
      <c r="O44" s="113">
        <f>SUM(P44:AA44)</f>
        <v>186250.2</v>
      </c>
      <c r="P44" s="194">
        <v>8758</v>
      </c>
      <c r="Q44" s="194">
        <f>4848+1303+7476</f>
        <v>13627</v>
      </c>
      <c r="R44" s="194">
        <v>4848</v>
      </c>
      <c r="S44" s="194">
        <f>1391+10177</f>
        <v>11568</v>
      </c>
      <c r="T44" s="194">
        <v>13943.2</v>
      </c>
      <c r="U44" s="194">
        <f>48720+15498</f>
        <v>64218</v>
      </c>
      <c r="V44" s="194">
        <v>9499</v>
      </c>
      <c r="W44" s="194">
        <f>1360+10807+11462+23533</f>
        <v>47162</v>
      </c>
      <c r="X44" s="194">
        <v>12627</v>
      </c>
      <c r="Y44" s="113"/>
      <c r="Z44" s="113"/>
      <c r="AA44" s="113"/>
      <c r="AB44" s="83"/>
    </row>
    <row r="45" spans="1:28" s="32" customFormat="1" ht="14.25" x14ac:dyDescent="0.2">
      <c r="A45" s="21" t="s">
        <v>17</v>
      </c>
      <c r="B45" s="21" t="s">
        <v>18</v>
      </c>
      <c r="C45" s="21" t="s">
        <v>19</v>
      </c>
      <c r="D45" s="21" t="s">
        <v>42</v>
      </c>
      <c r="E45" s="21" t="s">
        <v>43</v>
      </c>
      <c r="F45" s="21" t="s">
        <v>41</v>
      </c>
      <c r="G45" s="189">
        <v>3131</v>
      </c>
      <c r="H45" s="190">
        <v>0</v>
      </c>
      <c r="I45" s="214" t="s">
        <v>65</v>
      </c>
      <c r="J45" s="198">
        <v>20000</v>
      </c>
      <c r="K45" s="113"/>
      <c r="L45" s="113"/>
      <c r="M45" s="113">
        <f t="shared" si="12"/>
        <v>8218</v>
      </c>
      <c r="N45" s="113">
        <f t="shared" si="6"/>
        <v>20000</v>
      </c>
      <c r="O45" s="113">
        <f t="shared" ref="O45:O69" si="13">SUM(P45:AA45)</f>
        <v>11782</v>
      </c>
      <c r="P45" s="194"/>
      <c r="Q45" s="194"/>
      <c r="R45" s="194">
        <v>5353</v>
      </c>
      <c r="S45" s="194"/>
      <c r="T45" s="194"/>
      <c r="U45" s="194">
        <v>6429</v>
      </c>
      <c r="V45" s="194"/>
      <c r="W45" s="194"/>
      <c r="X45" s="194"/>
      <c r="Y45" s="113"/>
      <c r="Z45" s="113"/>
      <c r="AA45" s="113"/>
      <c r="AB45" s="83"/>
    </row>
    <row r="46" spans="1:28" s="32" customFormat="1" ht="14.25" x14ac:dyDescent="0.2">
      <c r="A46" s="21" t="s">
        <v>17</v>
      </c>
      <c r="B46" s="21" t="s">
        <v>18</v>
      </c>
      <c r="C46" s="21" t="s">
        <v>19</v>
      </c>
      <c r="D46" s="21" t="s">
        <v>42</v>
      </c>
      <c r="E46" s="21" t="s">
        <v>43</v>
      </c>
      <c r="F46" s="21" t="s">
        <v>41</v>
      </c>
      <c r="G46" s="189">
        <v>3141</v>
      </c>
      <c r="H46" s="190">
        <v>0</v>
      </c>
      <c r="I46" s="214" t="s">
        <v>80</v>
      </c>
      <c r="J46" s="198">
        <v>80000</v>
      </c>
      <c r="K46" s="113"/>
      <c r="L46" s="113"/>
      <c r="M46" s="113">
        <f t="shared" si="12"/>
        <v>47484.03</v>
      </c>
      <c r="N46" s="113">
        <f t="shared" si="6"/>
        <v>80000</v>
      </c>
      <c r="O46" s="113">
        <f t="shared" si="13"/>
        <v>32515.97</v>
      </c>
      <c r="P46" s="194">
        <v>1451</v>
      </c>
      <c r="Q46" s="194">
        <v>3247</v>
      </c>
      <c r="R46" s="194">
        <v>3416</v>
      </c>
      <c r="S46" s="194">
        <v>3077</v>
      </c>
      <c r="T46" s="194">
        <v>3630</v>
      </c>
      <c r="U46" s="194">
        <v>3155</v>
      </c>
      <c r="V46" s="194">
        <v>3800</v>
      </c>
      <c r="W46" s="194">
        <v>5769.29</v>
      </c>
      <c r="X46" s="194">
        <v>4970.68</v>
      </c>
      <c r="Y46" s="113"/>
      <c r="Z46" s="113"/>
      <c r="AA46" s="113"/>
      <c r="AB46" s="83"/>
    </row>
    <row r="47" spans="1:28" s="32" customFormat="1" ht="15" customHeight="1" x14ac:dyDescent="0.2">
      <c r="A47" s="21" t="s">
        <v>17</v>
      </c>
      <c r="B47" s="21" t="s">
        <v>18</v>
      </c>
      <c r="C47" s="21" t="s">
        <v>19</v>
      </c>
      <c r="D47" s="21" t="s">
        <v>42</v>
      </c>
      <c r="E47" s="21" t="s">
        <v>43</v>
      </c>
      <c r="F47" s="21" t="s">
        <v>41</v>
      </c>
      <c r="G47" s="189">
        <v>3151</v>
      </c>
      <c r="H47" s="190">
        <v>0</v>
      </c>
      <c r="I47" s="214" t="s">
        <v>109</v>
      </c>
      <c r="J47" s="198">
        <v>2000</v>
      </c>
      <c r="K47" s="113"/>
      <c r="L47" s="113"/>
      <c r="M47" s="113">
        <f t="shared" si="12"/>
        <v>1121</v>
      </c>
      <c r="N47" s="113">
        <f t="shared" si="6"/>
        <v>2000</v>
      </c>
      <c r="O47" s="113">
        <f t="shared" si="13"/>
        <v>879</v>
      </c>
      <c r="P47" s="194"/>
      <c r="Q47" s="194"/>
      <c r="R47" s="194">
        <v>100</v>
      </c>
      <c r="S47" s="194">
        <f>200+200</f>
        <v>400</v>
      </c>
      <c r="T47" s="194">
        <f>100+179+100</f>
        <v>379</v>
      </c>
      <c r="U47" s="194"/>
      <c r="V47" s="194"/>
      <c r="W47" s="194"/>
      <c r="X47" s="194"/>
      <c r="Y47" s="113"/>
      <c r="Z47" s="113"/>
      <c r="AA47" s="113"/>
      <c r="AB47" s="83"/>
    </row>
    <row r="48" spans="1:28" s="32" customFormat="1" ht="14.25" x14ac:dyDescent="0.2">
      <c r="A48" s="21" t="s">
        <v>17</v>
      </c>
      <c r="B48" s="21" t="s">
        <v>18</v>
      </c>
      <c r="C48" s="21" t="s">
        <v>19</v>
      </c>
      <c r="D48" s="21" t="s">
        <v>42</v>
      </c>
      <c r="E48" s="21" t="s">
        <v>43</v>
      </c>
      <c r="F48" s="21" t="s">
        <v>41</v>
      </c>
      <c r="G48" s="189">
        <v>3171</v>
      </c>
      <c r="H48" s="190">
        <v>0</v>
      </c>
      <c r="I48" s="214" t="s">
        <v>98</v>
      </c>
      <c r="J48" s="198">
        <v>36000</v>
      </c>
      <c r="K48" s="113"/>
      <c r="L48" s="113"/>
      <c r="M48" s="113">
        <f t="shared" si="12"/>
        <v>8153.4700000000012</v>
      </c>
      <c r="N48" s="113">
        <f t="shared" si="6"/>
        <v>36000</v>
      </c>
      <c r="O48" s="113">
        <f t="shared" si="13"/>
        <v>27846.53</v>
      </c>
      <c r="P48" s="194">
        <f>549+549+799+799</f>
        <v>2696</v>
      </c>
      <c r="Q48" s="194">
        <f>549+5220+799+799+549</f>
        <v>7916</v>
      </c>
      <c r="R48" s="194">
        <f>549+549+799+799</f>
        <v>2696</v>
      </c>
      <c r="S48" s="194">
        <f>549+549+799+799</f>
        <v>2696</v>
      </c>
      <c r="T48" s="194">
        <f>799+799+549+549</f>
        <v>2696</v>
      </c>
      <c r="U48" s="194">
        <f>549+799+549</f>
        <v>1897</v>
      </c>
      <c r="V48" s="194">
        <f>549+689.47+619.06+549</f>
        <v>2406.5299999999997</v>
      </c>
      <c r="W48" s="194">
        <f>799+799+549+549</f>
        <v>2696</v>
      </c>
      <c r="X48" s="194">
        <f>799+799+549</f>
        <v>2147</v>
      </c>
      <c r="Y48" s="113"/>
      <c r="Z48" s="113"/>
      <c r="AA48" s="113"/>
      <c r="AB48" s="83"/>
    </row>
    <row r="49" spans="1:28" s="32" customFormat="1" ht="14.25" x14ac:dyDescent="0.2">
      <c r="A49" s="21" t="s">
        <v>17</v>
      </c>
      <c r="B49" s="21" t="s">
        <v>18</v>
      </c>
      <c r="C49" s="21" t="s">
        <v>19</v>
      </c>
      <c r="D49" s="21" t="s">
        <v>42</v>
      </c>
      <c r="E49" s="21" t="s">
        <v>43</v>
      </c>
      <c r="F49" s="21" t="s">
        <v>41</v>
      </c>
      <c r="G49" s="189">
        <v>3181</v>
      </c>
      <c r="H49" s="190">
        <v>0</v>
      </c>
      <c r="I49" s="214" t="s">
        <v>64</v>
      </c>
      <c r="J49" s="198">
        <v>14000</v>
      </c>
      <c r="K49" s="113"/>
      <c r="L49" s="113"/>
      <c r="M49" s="113">
        <f t="shared" si="12"/>
        <v>8981.85</v>
      </c>
      <c r="N49" s="113">
        <f t="shared" si="6"/>
        <v>14000</v>
      </c>
      <c r="O49" s="113">
        <f t="shared" si="13"/>
        <v>5018.1499999999996</v>
      </c>
      <c r="P49" s="194">
        <v>478.91</v>
      </c>
      <c r="Q49" s="194">
        <v>323.91000000000003</v>
      </c>
      <c r="R49" s="194">
        <v>291</v>
      </c>
      <c r="S49" s="194">
        <v>445.86</v>
      </c>
      <c r="T49" s="194"/>
      <c r="U49" s="194">
        <f>200.92+212.08</f>
        <v>413</v>
      </c>
      <c r="V49" s="194">
        <f>869.62+903.5+199.96</f>
        <v>1973.08</v>
      </c>
      <c r="W49" s="194">
        <f>212.08+309.02+571.29</f>
        <v>1092.3899999999999</v>
      </c>
      <c r="X49" s="194"/>
      <c r="Y49" s="113"/>
      <c r="Z49" s="113"/>
      <c r="AA49" s="113"/>
      <c r="AB49" s="83"/>
    </row>
    <row r="50" spans="1:28" s="32" customFormat="1" ht="14.25" x14ac:dyDescent="0.2">
      <c r="A50" s="21" t="s">
        <v>17</v>
      </c>
      <c r="B50" s="21" t="s">
        <v>18</v>
      </c>
      <c r="C50" s="21" t="s">
        <v>19</v>
      </c>
      <c r="D50" s="21" t="s">
        <v>42</v>
      </c>
      <c r="E50" s="21" t="s">
        <v>43</v>
      </c>
      <c r="F50" s="21" t="s">
        <v>41</v>
      </c>
      <c r="G50" s="189">
        <v>3221</v>
      </c>
      <c r="H50" s="190">
        <v>0</v>
      </c>
      <c r="I50" s="214" t="s">
        <v>66</v>
      </c>
      <c r="J50" s="198">
        <v>100000</v>
      </c>
      <c r="K50" s="113"/>
      <c r="L50" s="113"/>
      <c r="M50" s="253">
        <f t="shared" si="12"/>
        <v>32278.699999999997</v>
      </c>
      <c r="N50" s="113">
        <f>+J50-K50+L50</f>
        <v>100000</v>
      </c>
      <c r="O50" s="113">
        <f>SUM(P50:AA50)</f>
        <v>67721.3</v>
      </c>
      <c r="P50" s="194">
        <v>6960</v>
      </c>
      <c r="Q50" s="194">
        <v>6960</v>
      </c>
      <c r="R50" s="194">
        <v>7615.63</v>
      </c>
      <c r="S50" s="194">
        <v>7615.63</v>
      </c>
      <c r="T50" s="194">
        <v>7615.63</v>
      </c>
      <c r="U50" s="194">
        <v>7615.63</v>
      </c>
      <c r="V50" s="194">
        <v>7615.63</v>
      </c>
      <c r="W50" s="194">
        <v>7856.52</v>
      </c>
      <c r="X50" s="194">
        <v>7866.63</v>
      </c>
      <c r="Y50" s="113"/>
      <c r="Z50" s="113"/>
      <c r="AA50" s="113"/>
      <c r="AB50" s="83"/>
    </row>
    <row r="51" spans="1:28" s="32" customFormat="1" ht="14.25" x14ac:dyDescent="0.2">
      <c r="A51" s="21" t="s">
        <v>17</v>
      </c>
      <c r="B51" s="21" t="s">
        <v>18</v>
      </c>
      <c r="C51" s="21" t="s">
        <v>19</v>
      </c>
      <c r="D51" s="21" t="s">
        <v>42</v>
      </c>
      <c r="E51" s="21" t="s">
        <v>43</v>
      </c>
      <c r="F51" s="21" t="s">
        <v>41</v>
      </c>
      <c r="G51" s="189">
        <v>3232</v>
      </c>
      <c r="H51" s="190">
        <v>0</v>
      </c>
      <c r="I51" s="214" t="s">
        <v>67</v>
      </c>
      <c r="J51" s="198">
        <v>60000</v>
      </c>
      <c r="K51" s="113"/>
      <c r="L51" s="113"/>
      <c r="M51" s="113">
        <f t="shared" si="12"/>
        <v>23042.6</v>
      </c>
      <c r="N51" s="113">
        <f t="shared" si="6"/>
        <v>60000</v>
      </c>
      <c r="O51" s="113">
        <f t="shared" si="13"/>
        <v>36957.4</v>
      </c>
      <c r="P51" s="194"/>
      <c r="Q51" s="194">
        <v>4083.2</v>
      </c>
      <c r="R51" s="194">
        <f>4083.2+4083.2</f>
        <v>8166.4</v>
      </c>
      <c r="S51" s="194"/>
      <c r="T51" s="194">
        <v>4083</v>
      </c>
      <c r="U51" s="194">
        <v>4083.2</v>
      </c>
      <c r="V51" s="194">
        <v>4083.2</v>
      </c>
      <c r="W51" s="194">
        <f>4083.2+464</f>
        <v>4547.2</v>
      </c>
      <c r="X51" s="194">
        <f>4083.2+3828</f>
        <v>7911.2</v>
      </c>
      <c r="Y51" s="113"/>
      <c r="Z51" s="113"/>
      <c r="AA51" s="113"/>
      <c r="AB51" s="83"/>
    </row>
    <row r="52" spans="1:28" s="32" customFormat="1" ht="14.25" x14ac:dyDescent="0.2">
      <c r="A52" s="21" t="s">
        <v>17</v>
      </c>
      <c r="B52" s="21" t="s">
        <v>18</v>
      </c>
      <c r="C52" s="21" t="s">
        <v>19</v>
      </c>
      <c r="D52" s="21" t="s">
        <v>42</v>
      </c>
      <c r="E52" s="21" t="s">
        <v>43</v>
      </c>
      <c r="F52" s="21" t="s">
        <v>41</v>
      </c>
      <c r="G52" s="189">
        <v>3311</v>
      </c>
      <c r="H52" s="190">
        <v>0</v>
      </c>
      <c r="I52" s="214" t="s">
        <v>68</v>
      </c>
      <c r="J52" s="198">
        <v>60000</v>
      </c>
      <c r="K52" s="194">
        <v>2338</v>
      </c>
      <c r="L52" s="194"/>
      <c r="M52" s="113">
        <f t="shared" si="12"/>
        <v>21876</v>
      </c>
      <c r="N52" s="113">
        <f t="shared" si="6"/>
        <v>57662</v>
      </c>
      <c r="O52" s="113">
        <f t="shared" si="13"/>
        <v>35786</v>
      </c>
      <c r="P52" s="194"/>
      <c r="Q52" s="194"/>
      <c r="R52" s="194"/>
      <c r="S52" s="194"/>
      <c r="T52" s="194"/>
      <c r="U52" s="194">
        <v>35786</v>
      </c>
      <c r="V52" s="194"/>
      <c r="W52" s="194"/>
      <c r="X52" s="194"/>
      <c r="Y52" s="113"/>
      <c r="Z52" s="113"/>
      <c r="AA52" s="113"/>
      <c r="AB52" s="83"/>
    </row>
    <row r="53" spans="1:28" s="32" customFormat="1" ht="14.25" x14ac:dyDescent="0.2">
      <c r="A53" s="21" t="s">
        <v>17</v>
      </c>
      <c r="B53" s="21" t="s">
        <v>18</v>
      </c>
      <c r="C53" s="21" t="s">
        <v>19</v>
      </c>
      <c r="D53" s="21" t="s">
        <v>42</v>
      </c>
      <c r="E53" s="21" t="s">
        <v>43</v>
      </c>
      <c r="F53" s="21" t="s">
        <v>41</v>
      </c>
      <c r="G53" s="189">
        <v>3341</v>
      </c>
      <c r="H53" s="190">
        <v>0</v>
      </c>
      <c r="I53" s="214" t="s">
        <v>81</v>
      </c>
      <c r="J53" s="198">
        <v>14000</v>
      </c>
      <c r="K53" s="194"/>
      <c r="L53" s="194"/>
      <c r="M53" s="113">
        <f t="shared" si="12"/>
        <v>7330</v>
      </c>
      <c r="N53" s="113">
        <f t="shared" si="6"/>
        <v>14000</v>
      </c>
      <c r="O53" s="113">
        <f t="shared" si="13"/>
        <v>6670</v>
      </c>
      <c r="P53" s="194"/>
      <c r="Q53" s="194">
        <v>3335</v>
      </c>
      <c r="R53" s="194"/>
      <c r="S53" s="194"/>
      <c r="T53" s="194"/>
      <c r="U53" s="194"/>
      <c r="V53" s="194"/>
      <c r="W53" s="194"/>
      <c r="X53" s="194">
        <v>3335</v>
      </c>
      <c r="Y53" s="113"/>
      <c r="Z53" s="113"/>
      <c r="AA53" s="113"/>
      <c r="AB53" s="83"/>
    </row>
    <row r="54" spans="1:28" s="32" customFormat="1" ht="14.25" x14ac:dyDescent="0.2">
      <c r="A54" s="21" t="s">
        <v>17</v>
      </c>
      <c r="B54" s="21" t="s">
        <v>18</v>
      </c>
      <c r="C54" s="21" t="s">
        <v>19</v>
      </c>
      <c r="D54" s="21" t="s">
        <v>42</v>
      </c>
      <c r="E54" s="21" t="s">
        <v>43</v>
      </c>
      <c r="F54" s="21" t="s">
        <v>41</v>
      </c>
      <c r="G54" s="189">
        <v>3342</v>
      </c>
      <c r="H54" s="190">
        <v>0</v>
      </c>
      <c r="I54" s="214" t="s">
        <v>82</v>
      </c>
      <c r="J54" s="198">
        <v>70000</v>
      </c>
      <c r="K54" s="194"/>
      <c r="L54" s="194"/>
      <c r="M54" s="113">
        <f t="shared" si="12"/>
        <v>50076</v>
      </c>
      <c r="N54" s="113">
        <f t="shared" si="6"/>
        <v>70000</v>
      </c>
      <c r="O54" s="113">
        <f t="shared" si="13"/>
        <v>19924</v>
      </c>
      <c r="P54" s="194"/>
      <c r="Q54" s="194"/>
      <c r="R54" s="194">
        <f>3712+3712</f>
        <v>7424</v>
      </c>
      <c r="S54" s="194"/>
      <c r="T54" s="194"/>
      <c r="U54" s="194"/>
      <c r="V54" s="194"/>
      <c r="W54" s="194"/>
      <c r="X54" s="194">
        <v>12500</v>
      </c>
      <c r="Y54" s="113"/>
      <c r="Z54" s="113"/>
      <c r="AA54" s="113"/>
      <c r="AB54" s="83"/>
    </row>
    <row r="55" spans="1:28" s="32" customFormat="1" ht="14.25" x14ac:dyDescent="0.2">
      <c r="A55" s="21" t="s">
        <v>17</v>
      </c>
      <c r="B55" s="21" t="s">
        <v>18</v>
      </c>
      <c r="C55" s="21" t="s">
        <v>19</v>
      </c>
      <c r="D55" s="21" t="s">
        <v>42</v>
      </c>
      <c r="E55" s="21" t="s">
        <v>43</v>
      </c>
      <c r="F55" s="21" t="s">
        <v>41</v>
      </c>
      <c r="G55" s="192">
        <v>3362</v>
      </c>
      <c r="H55" s="190">
        <v>0</v>
      </c>
      <c r="I55" s="214" t="s">
        <v>83</v>
      </c>
      <c r="J55" s="198">
        <v>15000</v>
      </c>
      <c r="K55" s="194"/>
      <c r="L55" s="194"/>
      <c r="M55" s="113">
        <f t="shared" si="12"/>
        <v>8311.92</v>
      </c>
      <c r="N55" s="113">
        <f t="shared" si="6"/>
        <v>15000</v>
      </c>
      <c r="O55" s="113">
        <f t="shared" si="13"/>
        <v>6688.08</v>
      </c>
      <c r="P55" s="194">
        <v>8</v>
      </c>
      <c r="Q55" s="194"/>
      <c r="R55" s="194"/>
      <c r="S55" s="194"/>
      <c r="T55" s="194">
        <v>99.18</v>
      </c>
      <c r="U55" s="194">
        <v>160.08000000000001</v>
      </c>
      <c r="V55" s="194">
        <f>568.8+127.6</f>
        <v>696.4</v>
      </c>
      <c r="W55" s="194">
        <f>156.6+2707.61</f>
        <v>2864.21</v>
      </c>
      <c r="X55" s="194">
        <f>310.88+2320+111.36+117.97</f>
        <v>2860.21</v>
      </c>
      <c r="Y55" s="113"/>
      <c r="Z55" s="113"/>
      <c r="AA55" s="113"/>
      <c r="AB55" s="83"/>
    </row>
    <row r="56" spans="1:28" s="32" customFormat="1" ht="14.25" x14ac:dyDescent="0.2">
      <c r="A56" s="21" t="s">
        <v>17</v>
      </c>
      <c r="B56" s="21" t="s">
        <v>18</v>
      </c>
      <c r="C56" s="21" t="s">
        <v>19</v>
      </c>
      <c r="D56" s="21" t="s">
        <v>42</v>
      </c>
      <c r="E56" s="249" t="s">
        <v>43</v>
      </c>
      <c r="F56" s="249" t="s">
        <v>41</v>
      </c>
      <c r="G56" s="250">
        <v>3451</v>
      </c>
      <c r="H56" s="251">
        <v>0</v>
      </c>
      <c r="I56" s="252" t="s">
        <v>69</v>
      </c>
      <c r="J56" s="198">
        <v>230000</v>
      </c>
      <c r="K56" s="253"/>
      <c r="L56" s="253">
        <v>2338</v>
      </c>
      <c r="M56" s="194">
        <f t="shared" si="12"/>
        <v>0.13000000000465661</v>
      </c>
      <c r="N56" s="113">
        <f t="shared" si="6"/>
        <v>232338</v>
      </c>
      <c r="O56" s="113">
        <f t="shared" si="13"/>
        <v>232337.87</v>
      </c>
      <c r="P56" s="253"/>
      <c r="Q56" s="253"/>
      <c r="R56" s="253"/>
      <c r="S56" s="253">
        <f>157423.87+74914</f>
        <v>232337.87</v>
      </c>
      <c r="T56" s="253"/>
      <c r="U56" s="253"/>
      <c r="V56" s="253"/>
      <c r="W56" s="194"/>
      <c r="X56" s="194"/>
      <c r="Y56" s="113"/>
      <c r="Z56" s="113"/>
      <c r="AA56" s="113"/>
      <c r="AB56" s="83"/>
    </row>
    <row r="57" spans="1:28" s="32" customFormat="1" ht="14.25" x14ac:dyDescent="0.2">
      <c r="A57" s="21" t="s">
        <v>17</v>
      </c>
      <c r="B57" s="21" t="s">
        <v>18</v>
      </c>
      <c r="C57" s="21" t="s">
        <v>19</v>
      </c>
      <c r="D57" s="21" t="s">
        <v>42</v>
      </c>
      <c r="E57" s="21" t="s">
        <v>43</v>
      </c>
      <c r="F57" s="21" t="s">
        <v>41</v>
      </c>
      <c r="G57" s="189">
        <v>3511</v>
      </c>
      <c r="H57" s="190">
        <v>0</v>
      </c>
      <c r="I57" s="214" t="s">
        <v>84</v>
      </c>
      <c r="J57" s="198">
        <v>50000</v>
      </c>
      <c r="K57" s="113"/>
      <c r="L57" s="113"/>
      <c r="M57" s="113">
        <f t="shared" si="12"/>
        <v>49122.400000000001</v>
      </c>
      <c r="N57" s="113">
        <f t="shared" si="6"/>
        <v>50000</v>
      </c>
      <c r="O57" s="113">
        <f t="shared" si="13"/>
        <v>877.6</v>
      </c>
      <c r="P57" s="194"/>
      <c r="Q57" s="194">
        <v>170</v>
      </c>
      <c r="R57" s="194"/>
      <c r="S57" s="194"/>
      <c r="T57" s="194"/>
      <c r="U57" s="194">
        <v>116</v>
      </c>
      <c r="V57" s="194"/>
      <c r="W57" s="194"/>
      <c r="X57" s="194">
        <f>162.4+429.2</f>
        <v>591.6</v>
      </c>
      <c r="Y57" s="113"/>
      <c r="Z57" s="113"/>
      <c r="AA57" s="113"/>
      <c r="AB57" s="83"/>
    </row>
    <row r="58" spans="1:28" s="32" customFormat="1" ht="13.5" customHeight="1" x14ac:dyDescent="0.2">
      <c r="A58" s="21" t="s">
        <v>17</v>
      </c>
      <c r="B58" s="21" t="s">
        <v>18</v>
      </c>
      <c r="C58" s="21" t="s">
        <v>19</v>
      </c>
      <c r="D58" s="21" t="s">
        <v>42</v>
      </c>
      <c r="E58" s="21" t="s">
        <v>43</v>
      </c>
      <c r="F58" s="21" t="s">
        <v>41</v>
      </c>
      <c r="G58" s="189">
        <v>3521</v>
      </c>
      <c r="H58" s="190">
        <v>0</v>
      </c>
      <c r="I58" s="214" t="s">
        <v>115</v>
      </c>
      <c r="J58" s="198">
        <v>5000</v>
      </c>
      <c r="K58" s="113"/>
      <c r="L58" s="113"/>
      <c r="M58" s="113">
        <f t="shared" si="12"/>
        <v>279.39999999999964</v>
      </c>
      <c r="N58" s="113">
        <f t="shared" si="6"/>
        <v>5000</v>
      </c>
      <c r="O58" s="113">
        <f t="shared" si="13"/>
        <v>4720.6000000000004</v>
      </c>
      <c r="P58" s="194">
        <v>290</v>
      </c>
      <c r="Q58" s="194"/>
      <c r="R58" s="194">
        <v>910.6</v>
      </c>
      <c r="S58" s="194"/>
      <c r="T58" s="194">
        <v>2320</v>
      </c>
      <c r="U58" s="194">
        <v>1200</v>
      </c>
      <c r="V58" s="194"/>
      <c r="W58" s="194"/>
      <c r="X58" s="194"/>
      <c r="Y58" s="113"/>
      <c r="Z58" s="113"/>
      <c r="AA58" s="113"/>
      <c r="AB58" s="83"/>
    </row>
    <row r="59" spans="1:28" s="32" customFormat="1" ht="13.5" customHeight="1" x14ac:dyDescent="0.2">
      <c r="A59" s="21" t="s">
        <v>17</v>
      </c>
      <c r="B59" s="21" t="s">
        <v>18</v>
      </c>
      <c r="C59" s="21" t="s">
        <v>19</v>
      </c>
      <c r="D59" s="21" t="s">
        <v>42</v>
      </c>
      <c r="E59" s="21" t="s">
        <v>43</v>
      </c>
      <c r="F59" s="21" t="s">
        <v>41</v>
      </c>
      <c r="G59" s="189">
        <v>3531</v>
      </c>
      <c r="H59" s="190">
        <v>0</v>
      </c>
      <c r="I59" s="214" t="s">
        <v>116</v>
      </c>
      <c r="J59" s="198">
        <v>23000</v>
      </c>
      <c r="K59" s="113"/>
      <c r="L59" s="113"/>
      <c r="M59" s="113">
        <f t="shared" si="12"/>
        <v>17559.599999999999</v>
      </c>
      <c r="N59" s="113">
        <f t="shared" si="6"/>
        <v>23000</v>
      </c>
      <c r="O59" s="113">
        <f t="shared" si="13"/>
        <v>5440.4</v>
      </c>
      <c r="P59" s="194"/>
      <c r="Q59" s="194"/>
      <c r="R59" s="194"/>
      <c r="S59" s="194"/>
      <c r="T59" s="194">
        <v>580</v>
      </c>
      <c r="U59" s="194"/>
      <c r="V59" s="194">
        <v>1044</v>
      </c>
      <c r="W59" s="194">
        <v>3816.4</v>
      </c>
      <c r="X59" s="194"/>
      <c r="Y59" s="113"/>
      <c r="Z59" s="113"/>
      <c r="AA59" s="113"/>
      <c r="AB59" s="83"/>
    </row>
    <row r="60" spans="1:28" s="32" customFormat="1" ht="14.25" x14ac:dyDescent="0.2">
      <c r="A60" s="21" t="s">
        <v>17</v>
      </c>
      <c r="B60" s="21" t="s">
        <v>18</v>
      </c>
      <c r="C60" s="21" t="s">
        <v>19</v>
      </c>
      <c r="D60" s="21" t="s">
        <v>42</v>
      </c>
      <c r="E60" s="21" t="s">
        <v>43</v>
      </c>
      <c r="F60" s="21" t="s">
        <v>41</v>
      </c>
      <c r="G60" s="189">
        <v>3551</v>
      </c>
      <c r="H60" s="190">
        <v>0</v>
      </c>
      <c r="I60" s="214" t="s">
        <v>102</v>
      </c>
      <c r="J60" s="198">
        <v>100000</v>
      </c>
      <c r="K60" s="113"/>
      <c r="L60" s="113"/>
      <c r="M60" s="113">
        <f t="shared" si="12"/>
        <v>32465.800000000003</v>
      </c>
      <c r="N60" s="113">
        <f t="shared" si="6"/>
        <v>100000</v>
      </c>
      <c r="O60" s="113">
        <f>SUM(P60:AA60)</f>
        <v>67534.2</v>
      </c>
      <c r="P60" s="194">
        <v>99.99</v>
      </c>
      <c r="Q60" s="194"/>
      <c r="R60" s="194">
        <v>174</v>
      </c>
      <c r="S60" s="194">
        <f>8804.4+5707.2+1488.8</f>
        <v>16000.399999999998</v>
      </c>
      <c r="T60" s="194">
        <f>1700+522</f>
        <v>2222</v>
      </c>
      <c r="U60" s="194">
        <f>9499.99</f>
        <v>9499.99</v>
      </c>
      <c r="V60" s="194">
        <f>2784+4299.99</f>
        <v>7083.99</v>
      </c>
      <c r="W60" s="194">
        <v>250</v>
      </c>
      <c r="X60" s="194">
        <f>7499.99+9860+12068.64+2575.2+200</f>
        <v>32203.829999999998</v>
      </c>
      <c r="Y60" s="113"/>
      <c r="Z60" s="113"/>
      <c r="AA60" s="113"/>
      <c r="AB60" s="83"/>
    </row>
    <row r="61" spans="1:28" s="11" customFormat="1" ht="14.25" x14ac:dyDescent="0.2">
      <c r="A61" s="21" t="s">
        <v>17</v>
      </c>
      <c r="B61" s="21" t="s">
        <v>18</v>
      </c>
      <c r="C61" s="21" t="s">
        <v>19</v>
      </c>
      <c r="D61" s="21" t="s">
        <v>42</v>
      </c>
      <c r="E61" s="21" t="s">
        <v>43</v>
      </c>
      <c r="F61" s="21" t="s">
        <v>41</v>
      </c>
      <c r="G61" s="72">
        <v>3591</v>
      </c>
      <c r="H61" s="42">
        <v>0</v>
      </c>
      <c r="I61" s="209" t="s">
        <v>85</v>
      </c>
      <c r="J61" s="197">
        <v>20000</v>
      </c>
      <c r="K61" s="113"/>
      <c r="L61" s="113"/>
      <c r="M61" s="24">
        <f t="shared" si="12"/>
        <v>17526.010000000002</v>
      </c>
      <c r="N61" s="24">
        <f t="shared" si="6"/>
        <v>20000</v>
      </c>
      <c r="O61" s="113">
        <f t="shared" si="13"/>
        <v>2473.9899999999998</v>
      </c>
      <c r="P61" s="194"/>
      <c r="Q61" s="194"/>
      <c r="R61" s="194">
        <v>754</v>
      </c>
      <c r="S61" s="194"/>
      <c r="T61" s="194"/>
      <c r="U61" s="194">
        <v>187.99</v>
      </c>
      <c r="V61" s="194">
        <v>1392</v>
      </c>
      <c r="W61" s="194"/>
      <c r="X61" s="194">
        <v>140</v>
      </c>
      <c r="Y61" s="113"/>
      <c r="Z61" s="113"/>
      <c r="AA61" s="113"/>
      <c r="AB61" s="27"/>
    </row>
    <row r="62" spans="1:28" s="32" customFormat="1" ht="14.25" x14ac:dyDescent="0.2">
      <c r="A62" s="21" t="s">
        <v>17</v>
      </c>
      <c r="B62" s="21" t="s">
        <v>18</v>
      </c>
      <c r="C62" s="21" t="s">
        <v>19</v>
      </c>
      <c r="D62" s="21" t="s">
        <v>42</v>
      </c>
      <c r="E62" s="21" t="s">
        <v>43</v>
      </c>
      <c r="F62" s="21" t="s">
        <v>41</v>
      </c>
      <c r="G62" s="189">
        <v>3611</v>
      </c>
      <c r="H62" s="190">
        <v>0</v>
      </c>
      <c r="I62" s="214" t="s">
        <v>86</v>
      </c>
      <c r="J62" s="197">
        <v>200000</v>
      </c>
      <c r="K62" s="113"/>
      <c r="L62" s="113"/>
      <c r="M62" s="24">
        <f t="shared" si="12"/>
        <v>176872.05</v>
      </c>
      <c r="N62" s="113">
        <f t="shared" si="6"/>
        <v>200000</v>
      </c>
      <c r="O62" s="113">
        <f t="shared" si="13"/>
        <v>23127.95</v>
      </c>
      <c r="P62" s="194"/>
      <c r="Q62" s="194"/>
      <c r="R62" s="194">
        <f>8700+520+63.8</f>
        <v>9283.7999999999993</v>
      </c>
      <c r="S62" s="194"/>
      <c r="T62" s="194"/>
      <c r="U62" s="194">
        <f>3436.5+8700</f>
        <v>12136.5</v>
      </c>
      <c r="V62" s="194"/>
      <c r="W62" s="194">
        <f>1045+662.65</f>
        <v>1707.65</v>
      </c>
      <c r="X62" s="194"/>
      <c r="Y62" s="113"/>
      <c r="Z62" s="113"/>
      <c r="AA62" s="113"/>
      <c r="AB62" s="83"/>
    </row>
    <row r="63" spans="1:28" s="32" customFormat="1" ht="13.5" customHeight="1" x14ac:dyDescent="0.2">
      <c r="A63" s="21" t="s">
        <v>17</v>
      </c>
      <c r="B63" s="21" t="s">
        <v>18</v>
      </c>
      <c r="C63" s="21" t="s">
        <v>19</v>
      </c>
      <c r="D63" s="21" t="s">
        <v>42</v>
      </c>
      <c r="E63" s="21" t="s">
        <v>43</v>
      </c>
      <c r="F63" s="21" t="s">
        <v>41</v>
      </c>
      <c r="G63" s="189">
        <v>3711</v>
      </c>
      <c r="H63" s="190">
        <v>0</v>
      </c>
      <c r="I63" s="214" t="s">
        <v>215</v>
      </c>
      <c r="J63" s="198">
        <v>70000</v>
      </c>
      <c r="K63" s="113"/>
      <c r="L63" s="113"/>
      <c r="M63" s="113">
        <f t="shared" si="12"/>
        <v>38418.29</v>
      </c>
      <c r="N63" s="113">
        <f t="shared" si="6"/>
        <v>70000</v>
      </c>
      <c r="O63" s="113">
        <f t="shared" si="13"/>
        <v>31581.71</v>
      </c>
      <c r="P63" s="194"/>
      <c r="Q63" s="194">
        <v>2881.73</v>
      </c>
      <c r="R63" s="194"/>
      <c r="S63" s="194">
        <f>2608+3026</f>
        <v>5634</v>
      </c>
      <c r="T63" s="194"/>
      <c r="U63" s="194"/>
      <c r="V63" s="194">
        <f>2971+3950</f>
        <v>6921</v>
      </c>
      <c r="W63" s="194">
        <f>1757.98+2395+2328+1449+1200+3713</f>
        <v>12842.98</v>
      </c>
      <c r="X63" s="194">
        <v>3302</v>
      </c>
      <c r="Y63" s="113"/>
      <c r="Z63" s="113"/>
      <c r="AA63" s="113"/>
      <c r="AB63" s="83"/>
    </row>
    <row r="64" spans="1:28" s="32" customFormat="1" ht="14.25" x14ac:dyDescent="0.2">
      <c r="A64" s="21" t="s">
        <v>17</v>
      </c>
      <c r="B64" s="21" t="s">
        <v>18</v>
      </c>
      <c r="C64" s="21" t="s">
        <v>19</v>
      </c>
      <c r="D64" s="21" t="s">
        <v>42</v>
      </c>
      <c r="E64" s="21" t="s">
        <v>43</v>
      </c>
      <c r="F64" s="21" t="s">
        <v>41</v>
      </c>
      <c r="G64" s="189">
        <v>3712</v>
      </c>
      <c r="H64" s="190">
        <v>0</v>
      </c>
      <c r="I64" s="214" t="s">
        <v>216</v>
      </c>
      <c r="J64" s="198">
        <v>20000</v>
      </c>
      <c r="K64" s="113"/>
      <c r="L64" s="113"/>
      <c r="M64" s="113">
        <f t="shared" si="12"/>
        <v>20000</v>
      </c>
      <c r="N64" s="113">
        <f t="shared" si="6"/>
        <v>20000</v>
      </c>
      <c r="O64" s="113">
        <f t="shared" si="13"/>
        <v>0</v>
      </c>
      <c r="P64" s="194"/>
      <c r="Q64" s="194"/>
      <c r="R64" s="194"/>
      <c r="S64" s="194"/>
      <c r="T64" s="194"/>
      <c r="U64" s="194"/>
      <c r="V64" s="194"/>
      <c r="W64" s="194"/>
      <c r="X64" s="194"/>
      <c r="Y64" s="113"/>
      <c r="Z64" s="113"/>
      <c r="AA64" s="113"/>
      <c r="AB64" s="83"/>
    </row>
    <row r="65" spans="1:28" s="254" customFormat="1" ht="14.25" x14ac:dyDescent="0.2">
      <c r="A65" s="191" t="s">
        <v>17</v>
      </c>
      <c r="B65" s="191" t="s">
        <v>18</v>
      </c>
      <c r="C65" s="191" t="s">
        <v>19</v>
      </c>
      <c r="D65" s="191" t="s">
        <v>42</v>
      </c>
      <c r="E65" s="191" t="s">
        <v>43</v>
      </c>
      <c r="F65" s="191" t="s">
        <v>41</v>
      </c>
      <c r="G65" s="192">
        <v>3721</v>
      </c>
      <c r="H65" s="193">
        <v>0</v>
      </c>
      <c r="I65" s="214" t="s">
        <v>217</v>
      </c>
      <c r="J65" s="198">
        <v>60000</v>
      </c>
      <c r="K65" s="194"/>
      <c r="L65" s="194"/>
      <c r="M65" s="194">
        <f t="shared" si="12"/>
        <v>45097.240000000005</v>
      </c>
      <c r="N65" s="194">
        <f t="shared" si="6"/>
        <v>60000</v>
      </c>
      <c r="O65" s="113">
        <f t="shared" si="13"/>
        <v>14902.759999999998</v>
      </c>
      <c r="P65" s="194">
        <v>226.77</v>
      </c>
      <c r="Q65" s="194">
        <f>63+146.8+106+14+130</f>
        <v>459.8</v>
      </c>
      <c r="R65" s="194">
        <f>1200+91+56</f>
        <v>1347</v>
      </c>
      <c r="S65" s="194">
        <f>2400+14+14+210</f>
        <v>2638</v>
      </c>
      <c r="T65" s="194">
        <f>225.6+153.98+28+1067.11+2140</f>
        <v>3614.6899999999996</v>
      </c>
      <c r="U65" s="194">
        <f>47+28+14</f>
        <v>89</v>
      </c>
      <c r="V65" s="194">
        <f>45+98+28</f>
        <v>171</v>
      </c>
      <c r="W65" s="194">
        <f>122+459.82+55+20.88+214+300</f>
        <v>1171.6999999999998</v>
      </c>
      <c r="X65" s="194">
        <f>89+98+327.8+1890+1000+1780</f>
        <v>5184.8</v>
      </c>
      <c r="Y65" s="194"/>
      <c r="Z65" s="194"/>
      <c r="AA65" s="194"/>
      <c r="AB65" s="83"/>
    </row>
    <row r="66" spans="1:28" s="254" customFormat="1" ht="14.25" x14ac:dyDescent="0.2">
      <c r="A66" s="191" t="s">
        <v>17</v>
      </c>
      <c r="B66" s="191" t="s">
        <v>18</v>
      </c>
      <c r="C66" s="191" t="s">
        <v>19</v>
      </c>
      <c r="D66" s="191" t="s">
        <v>42</v>
      </c>
      <c r="E66" s="191" t="s">
        <v>43</v>
      </c>
      <c r="F66" s="191" t="s">
        <v>41</v>
      </c>
      <c r="G66" s="192">
        <v>3751</v>
      </c>
      <c r="H66" s="193">
        <v>0</v>
      </c>
      <c r="I66" s="214" t="s">
        <v>88</v>
      </c>
      <c r="J66" s="198">
        <v>350000</v>
      </c>
      <c r="K66" s="194"/>
      <c r="L66" s="194"/>
      <c r="M66" s="194">
        <f t="shared" ref="M66:M67" si="14">+N66-O66</f>
        <v>148214.66</v>
      </c>
      <c r="N66" s="194">
        <f t="shared" ref="N66:N67" si="15">+J66-K66+L66</f>
        <v>350000</v>
      </c>
      <c r="O66" s="113">
        <f t="shared" si="13"/>
        <v>201785.34</v>
      </c>
      <c r="P66" s="194">
        <v>5632.69</v>
      </c>
      <c r="Q66" s="194">
        <v>16471.86</v>
      </c>
      <c r="R66" s="194">
        <v>60168</v>
      </c>
      <c r="S66" s="194">
        <v>6535.42</v>
      </c>
      <c r="T66" s="194">
        <f>440+5374+7878.02</f>
        <v>13692.02</v>
      </c>
      <c r="U66" s="194">
        <v>6839.24</v>
      </c>
      <c r="V66" s="194">
        <v>7189.05</v>
      </c>
      <c r="W66" s="194">
        <v>31881.16</v>
      </c>
      <c r="X66" s="194">
        <v>53375.9</v>
      </c>
      <c r="Y66" s="194"/>
      <c r="Z66" s="194"/>
      <c r="AA66" s="194"/>
      <c r="AB66" s="83"/>
    </row>
    <row r="67" spans="1:28" s="254" customFormat="1" ht="14.25" x14ac:dyDescent="0.2">
      <c r="A67" s="191" t="s">
        <v>17</v>
      </c>
      <c r="B67" s="191" t="s">
        <v>18</v>
      </c>
      <c r="C67" s="191" t="s">
        <v>19</v>
      </c>
      <c r="D67" s="191" t="s">
        <v>42</v>
      </c>
      <c r="E67" s="191" t="s">
        <v>43</v>
      </c>
      <c r="F67" s="191" t="s">
        <v>41</v>
      </c>
      <c r="G67" s="192">
        <v>3761</v>
      </c>
      <c r="H67" s="193">
        <v>0</v>
      </c>
      <c r="I67" s="214" t="s">
        <v>218</v>
      </c>
      <c r="J67" s="198">
        <v>30000</v>
      </c>
      <c r="K67" s="194"/>
      <c r="L67" s="194"/>
      <c r="M67" s="194">
        <f t="shared" si="14"/>
        <v>30000</v>
      </c>
      <c r="N67" s="194">
        <f t="shared" si="15"/>
        <v>30000</v>
      </c>
      <c r="O67" s="113">
        <f t="shared" si="13"/>
        <v>0</v>
      </c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83"/>
    </row>
    <row r="68" spans="1:28" s="32" customFormat="1" ht="14.25" x14ac:dyDescent="0.2">
      <c r="A68" s="21" t="s">
        <v>17</v>
      </c>
      <c r="B68" s="21" t="s">
        <v>18</v>
      </c>
      <c r="C68" s="21" t="s">
        <v>19</v>
      </c>
      <c r="D68" s="21" t="s">
        <v>42</v>
      </c>
      <c r="E68" s="21" t="s">
        <v>43</v>
      </c>
      <c r="F68" s="21" t="s">
        <v>41</v>
      </c>
      <c r="G68" s="189">
        <v>3841</v>
      </c>
      <c r="H68" s="190">
        <v>0</v>
      </c>
      <c r="I68" s="214" t="s">
        <v>219</v>
      </c>
      <c r="J68" s="198">
        <v>394308</v>
      </c>
      <c r="K68" s="113"/>
      <c r="L68" s="113"/>
      <c r="M68" s="113">
        <f t="shared" si="12"/>
        <v>165125.56</v>
      </c>
      <c r="N68" s="113">
        <f t="shared" si="6"/>
        <v>394308</v>
      </c>
      <c r="O68" s="113">
        <f t="shared" si="13"/>
        <v>229182.44</v>
      </c>
      <c r="P68" s="194">
        <v>1670.4</v>
      </c>
      <c r="Q68" s="194">
        <v>171</v>
      </c>
      <c r="R68" s="194">
        <f>200+299.97+11285.06+11600</f>
        <v>23385.03</v>
      </c>
      <c r="S68" s="194">
        <f>11100.01+484</f>
        <v>11584.01</v>
      </c>
      <c r="T68" s="194">
        <v>17480</v>
      </c>
      <c r="U68" s="194"/>
      <c r="V68" s="194">
        <v>64960</v>
      </c>
      <c r="W68" s="194">
        <f>4160+12900+31656</f>
        <v>48716</v>
      </c>
      <c r="X68" s="194">
        <f>6000+55216</f>
        <v>61216</v>
      </c>
      <c r="Y68" s="113"/>
      <c r="Z68" s="113"/>
      <c r="AA68" s="113"/>
      <c r="AB68" s="83"/>
    </row>
    <row r="69" spans="1:28" s="23" customFormat="1" ht="14.25" x14ac:dyDescent="0.2">
      <c r="A69" s="21" t="s">
        <v>17</v>
      </c>
      <c r="B69" s="21" t="s">
        <v>18</v>
      </c>
      <c r="C69" s="21" t="s">
        <v>19</v>
      </c>
      <c r="D69" s="21" t="s">
        <v>42</v>
      </c>
      <c r="E69" s="21" t="s">
        <v>43</v>
      </c>
      <c r="F69" s="21" t="s">
        <v>41</v>
      </c>
      <c r="G69" s="189">
        <v>3921</v>
      </c>
      <c r="H69" s="190">
        <v>0</v>
      </c>
      <c r="I69" s="214" t="s">
        <v>70</v>
      </c>
      <c r="J69" s="198">
        <v>50000</v>
      </c>
      <c r="K69" s="113"/>
      <c r="L69" s="113"/>
      <c r="M69" s="113">
        <f t="shared" si="12"/>
        <v>44260</v>
      </c>
      <c r="N69" s="113">
        <f t="shared" si="6"/>
        <v>50000</v>
      </c>
      <c r="O69" s="113">
        <f t="shared" si="13"/>
        <v>5740</v>
      </c>
      <c r="P69" s="194"/>
      <c r="Q69" s="194"/>
      <c r="R69" s="194"/>
      <c r="S69" s="194"/>
      <c r="T69" s="194">
        <f>574+574+574+574+574+574+574+574+574+574</f>
        <v>5740</v>
      </c>
      <c r="U69" s="194"/>
      <c r="V69" s="194"/>
      <c r="W69" s="194"/>
      <c r="X69" s="194"/>
      <c r="Y69" s="113"/>
      <c r="Z69" s="113"/>
      <c r="AA69" s="113"/>
      <c r="AB69" s="83"/>
    </row>
    <row r="70" spans="1:28" s="12" customFormat="1" ht="15" x14ac:dyDescent="0.25">
      <c r="A70" s="22"/>
      <c r="B70" s="22"/>
      <c r="C70" s="22"/>
      <c r="D70" s="33"/>
      <c r="E70" s="22"/>
      <c r="F70" s="22"/>
      <c r="G70" s="22"/>
      <c r="H70" s="22"/>
      <c r="I70" s="210" t="s">
        <v>4</v>
      </c>
      <c r="J70" s="73">
        <f>SUM(J44:J69)</f>
        <v>2283308</v>
      </c>
      <c r="K70" s="73">
        <f t="shared" ref="K70:N70" si="16">SUM(K44:K69)</f>
        <v>7338</v>
      </c>
      <c r="L70" s="73">
        <f t="shared" si="16"/>
        <v>2338</v>
      </c>
      <c r="M70" s="73">
        <f t="shared" si="16"/>
        <v>1020564.51</v>
      </c>
      <c r="N70" s="73">
        <f t="shared" si="16"/>
        <v>2278308</v>
      </c>
      <c r="O70" s="73">
        <f>SUM(O44:O69)</f>
        <v>1257743.4899999998</v>
      </c>
      <c r="P70" s="73">
        <f>SUM(P44:P69)</f>
        <v>28271.760000000002</v>
      </c>
      <c r="Q70" s="73">
        <f t="shared" ref="Q70:AA70" si="17">SUM(Q44:Q69)</f>
        <v>59646.500000000007</v>
      </c>
      <c r="R70" s="73">
        <f t="shared" si="17"/>
        <v>135932.46</v>
      </c>
      <c r="S70" s="73">
        <f t="shared" si="17"/>
        <v>300532.19</v>
      </c>
      <c r="T70" s="73">
        <f t="shared" si="17"/>
        <v>78094.720000000001</v>
      </c>
      <c r="U70" s="73">
        <f t="shared" si="17"/>
        <v>153825.62999999998</v>
      </c>
      <c r="V70" s="73">
        <f t="shared" si="17"/>
        <v>118834.88</v>
      </c>
      <c r="W70" s="73">
        <f t="shared" si="17"/>
        <v>172373.5</v>
      </c>
      <c r="X70" s="73">
        <f t="shared" si="17"/>
        <v>210231.85</v>
      </c>
      <c r="Y70" s="73">
        <f t="shared" si="17"/>
        <v>0</v>
      </c>
      <c r="Z70" s="73">
        <f t="shared" si="17"/>
        <v>0</v>
      </c>
      <c r="AA70" s="73">
        <f t="shared" si="17"/>
        <v>0</v>
      </c>
      <c r="AB70" s="27"/>
    </row>
    <row r="71" spans="1:28" s="32" customFormat="1" ht="14.25" x14ac:dyDescent="0.2">
      <c r="A71" s="21" t="s">
        <v>17</v>
      </c>
      <c r="B71" s="21" t="s">
        <v>18</v>
      </c>
      <c r="C71" s="21" t="s">
        <v>19</v>
      </c>
      <c r="D71" s="21" t="s">
        <v>42</v>
      </c>
      <c r="E71" s="21" t="s">
        <v>43</v>
      </c>
      <c r="F71" s="21" t="s">
        <v>41</v>
      </c>
      <c r="G71" s="189">
        <v>4419</v>
      </c>
      <c r="H71" s="190">
        <v>0</v>
      </c>
      <c r="I71" s="214" t="s">
        <v>89</v>
      </c>
      <c r="J71" s="199">
        <v>30000</v>
      </c>
      <c r="K71" s="113">
        <f>'Dir. y admon'!K67</f>
        <v>0</v>
      </c>
      <c r="L71" s="113">
        <f>'Dir. y admon'!L67</f>
        <v>0</v>
      </c>
      <c r="M71" s="113">
        <f>+N71-O71</f>
        <v>21148</v>
      </c>
      <c r="N71" s="113">
        <f t="shared" si="6"/>
        <v>30000</v>
      </c>
      <c r="O71" s="113">
        <f>SUM(P71:AA71)</f>
        <v>8852</v>
      </c>
      <c r="P71" s="194">
        <v>120</v>
      </c>
      <c r="Q71" s="194">
        <v>120</v>
      </c>
      <c r="R71" s="194">
        <v>120</v>
      </c>
      <c r="S71" s="194">
        <v>120</v>
      </c>
      <c r="T71" s="194">
        <f>120+3944</f>
        <v>4064</v>
      </c>
      <c r="U71" s="194">
        <f>120+3828</f>
        <v>3948</v>
      </c>
      <c r="V71" s="113">
        <v>120</v>
      </c>
      <c r="W71" s="194">
        <v>120</v>
      </c>
      <c r="X71" s="113">
        <v>120</v>
      </c>
      <c r="Y71" s="113"/>
      <c r="Z71" s="113"/>
      <c r="AA71" s="113"/>
      <c r="AB71" s="83"/>
    </row>
    <row r="72" spans="1:28" s="32" customFormat="1" ht="14.25" x14ac:dyDescent="0.2">
      <c r="A72" s="21" t="s">
        <v>17</v>
      </c>
      <c r="B72" s="21" t="s">
        <v>18</v>
      </c>
      <c r="C72" s="21" t="s">
        <v>19</v>
      </c>
      <c r="D72" s="21" t="s">
        <v>42</v>
      </c>
      <c r="E72" s="21" t="s">
        <v>43</v>
      </c>
      <c r="F72" s="21" t="s">
        <v>41</v>
      </c>
      <c r="G72" s="189">
        <v>4432</v>
      </c>
      <c r="H72" s="190">
        <v>0</v>
      </c>
      <c r="I72" s="214" t="s">
        <v>99</v>
      </c>
      <c r="J72" s="199">
        <v>140000</v>
      </c>
      <c r="K72" s="113">
        <f>'Ident sus'!K24</f>
        <v>0</v>
      </c>
      <c r="L72" s="113">
        <f>'Ident sus'!L24</f>
        <v>0</v>
      </c>
      <c r="M72" s="113">
        <f>+N72-O72</f>
        <v>105000</v>
      </c>
      <c r="N72" s="113">
        <f t="shared" si="6"/>
        <v>140000</v>
      </c>
      <c r="O72" s="113">
        <f>SUM(P72:AA72)</f>
        <v>35000</v>
      </c>
      <c r="P72" s="194">
        <v>0</v>
      </c>
      <c r="Q72" s="194">
        <v>0</v>
      </c>
      <c r="R72" s="194">
        <v>0</v>
      </c>
      <c r="S72" s="194"/>
      <c r="T72" s="194">
        <v>15000</v>
      </c>
      <c r="U72" s="194"/>
      <c r="V72" s="113"/>
      <c r="W72" s="194">
        <v>20000</v>
      </c>
      <c r="X72" s="113"/>
      <c r="Y72" s="113"/>
      <c r="Z72" s="113"/>
      <c r="AA72" s="113"/>
      <c r="AB72" s="83"/>
    </row>
    <row r="73" spans="1:28" s="12" customFormat="1" ht="15" x14ac:dyDescent="0.25">
      <c r="A73" s="22"/>
      <c r="B73" s="22"/>
      <c r="C73" s="22"/>
      <c r="D73" s="33"/>
      <c r="E73" s="22"/>
      <c r="F73" s="22"/>
      <c r="G73" s="22"/>
      <c r="H73" s="22"/>
      <c r="I73" s="210" t="s">
        <v>5</v>
      </c>
      <c r="J73" s="73">
        <f t="shared" ref="J73:N73" si="18">SUM(J71:J72)</f>
        <v>170000</v>
      </c>
      <c r="K73" s="73">
        <f t="shared" si="18"/>
        <v>0</v>
      </c>
      <c r="L73" s="73">
        <f t="shared" si="18"/>
        <v>0</v>
      </c>
      <c r="M73" s="73">
        <f t="shared" si="18"/>
        <v>126148</v>
      </c>
      <c r="N73" s="73">
        <f t="shared" si="18"/>
        <v>170000</v>
      </c>
      <c r="O73" s="73">
        <f>SUM(O71:O72)</f>
        <v>43852</v>
      </c>
      <c r="P73" s="73">
        <f>SUM(P71:P72)</f>
        <v>120</v>
      </c>
      <c r="Q73" s="73">
        <f t="shared" ref="Q73:AA73" si="19">SUM(Q71:Q72)</f>
        <v>120</v>
      </c>
      <c r="R73" s="73">
        <f t="shared" si="19"/>
        <v>120</v>
      </c>
      <c r="S73" s="73">
        <f t="shared" si="19"/>
        <v>120</v>
      </c>
      <c r="T73" s="73">
        <f t="shared" si="19"/>
        <v>19064</v>
      </c>
      <c r="U73" s="73">
        <f t="shared" si="19"/>
        <v>3948</v>
      </c>
      <c r="V73" s="73">
        <f t="shared" si="19"/>
        <v>120</v>
      </c>
      <c r="W73" s="73">
        <f t="shared" si="19"/>
        <v>20120</v>
      </c>
      <c r="X73" s="73">
        <f t="shared" si="19"/>
        <v>120</v>
      </c>
      <c r="Y73" s="73">
        <f t="shared" si="19"/>
        <v>0</v>
      </c>
      <c r="Z73" s="73">
        <f t="shared" si="19"/>
        <v>0</v>
      </c>
      <c r="AA73" s="73">
        <f t="shared" si="19"/>
        <v>0</v>
      </c>
      <c r="AB73" s="27"/>
    </row>
    <row r="74" spans="1:28" s="32" customFormat="1" ht="14.25" x14ac:dyDescent="0.2">
      <c r="A74" s="21" t="s">
        <v>17</v>
      </c>
      <c r="B74" s="21" t="s">
        <v>18</v>
      </c>
      <c r="C74" s="21" t="s">
        <v>19</v>
      </c>
      <c r="D74" s="21" t="s">
        <v>42</v>
      </c>
      <c r="E74" s="191" t="s">
        <v>43</v>
      </c>
      <c r="F74" s="191" t="s">
        <v>41</v>
      </c>
      <c r="G74" s="192">
        <v>5111</v>
      </c>
      <c r="H74" s="193">
        <v>0</v>
      </c>
      <c r="I74" s="214" t="s">
        <v>90</v>
      </c>
      <c r="J74" s="199">
        <v>50000</v>
      </c>
      <c r="K74" s="194"/>
      <c r="L74" s="194"/>
      <c r="M74" s="277">
        <f>+N74-O74</f>
        <v>50000</v>
      </c>
      <c r="N74" s="194">
        <f>J74+L74-K74</f>
        <v>50000</v>
      </c>
      <c r="O74" s="24">
        <f t="shared" ref="O74:O77" si="20">SUM(P74:AA74)</f>
        <v>0</v>
      </c>
      <c r="P74" s="194"/>
      <c r="Q74" s="194"/>
      <c r="R74" s="194"/>
      <c r="S74" s="194"/>
      <c r="T74" s="194"/>
      <c r="U74" s="194"/>
      <c r="V74" s="194"/>
      <c r="W74" s="113"/>
      <c r="X74" s="113"/>
      <c r="Y74" s="113"/>
      <c r="Z74" s="113"/>
      <c r="AA74" s="113">
        <f>'Dir. y admon'!Z70</f>
        <v>0</v>
      </c>
      <c r="AB74" s="83"/>
    </row>
    <row r="75" spans="1:28" s="11" customFormat="1" ht="14.25" x14ac:dyDescent="0.2">
      <c r="A75" s="21" t="s">
        <v>17</v>
      </c>
      <c r="B75" s="21" t="s">
        <v>18</v>
      </c>
      <c r="C75" s="21" t="s">
        <v>19</v>
      </c>
      <c r="D75" s="21" t="s">
        <v>42</v>
      </c>
      <c r="E75" s="191" t="s">
        <v>43</v>
      </c>
      <c r="F75" s="21" t="s">
        <v>41</v>
      </c>
      <c r="G75" s="72">
        <v>5121</v>
      </c>
      <c r="H75" s="42">
        <v>0</v>
      </c>
      <c r="I75" s="209" t="s">
        <v>221</v>
      </c>
      <c r="J75" s="199">
        <v>30000</v>
      </c>
      <c r="K75" s="24"/>
      <c r="L75" s="24"/>
      <c r="M75" s="24">
        <f t="shared" ref="M75:M77" si="21">+N75-O75</f>
        <v>17994</v>
      </c>
      <c r="N75" s="24">
        <f>+J75-K75+L75</f>
        <v>30000</v>
      </c>
      <c r="O75" s="24">
        <f t="shared" si="20"/>
        <v>12006</v>
      </c>
      <c r="P75" s="24"/>
      <c r="Q75" s="24"/>
      <c r="R75" s="24"/>
      <c r="S75" s="24"/>
      <c r="T75" s="24"/>
      <c r="U75" s="24"/>
      <c r="V75" s="24"/>
      <c r="W75" s="24"/>
      <c r="X75" s="24">
        <v>12006</v>
      </c>
      <c r="Y75" s="24"/>
      <c r="Z75" s="24"/>
      <c r="AA75" s="24">
        <f>'Dir. y admon'!Z71</f>
        <v>0</v>
      </c>
      <c r="AB75" s="27"/>
    </row>
    <row r="76" spans="1:28" s="11" customFormat="1" ht="14.25" x14ac:dyDescent="0.2">
      <c r="A76" s="21" t="s">
        <v>17</v>
      </c>
      <c r="B76" s="21" t="s">
        <v>18</v>
      </c>
      <c r="C76" s="21" t="s">
        <v>19</v>
      </c>
      <c r="D76" s="21" t="s">
        <v>42</v>
      </c>
      <c r="E76" s="21" t="s">
        <v>43</v>
      </c>
      <c r="F76" s="21" t="s">
        <v>41</v>
      </c>
      <c r="G76" s="72">
        <v>5151</v>
      </c>
      <c r="H76" s="42">
        <v>0</v>
      </c>
      <c r="I76" s="209" t="s">
        <v>110</v>
      </c>
      <c r="J76" s="199">
        <v>30000</v>
      </c>
      <c r="K76" s="24"/>
      <c r="L76" s="24"/>
      <c r="M76" s="24">
        <f t="shared" si="21"/>
        <v>30000</v>
      </c>
      <c r="N76" s="24">
        <f t="shared" ref="N76:N77" si="22">+J76-K76+L76</f>
        <v>30000</v>
      </c>
      <c r="O76" s="24">
        <f t="shared" si="20"/>
        <v>0</v>
      </c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>
        <f>'Dir. y admon'!Z72</f>
        <v>0</v>
      </c>
      <c r="AB76" s="27"/>
    </row>
    <row r="77" spans="1:28" s="11" customFormat="1" ht="14.25" x14ac:dyDescent="0.2">
      <c r="A77" s="21" t="s">
        <v>17</v>
      </c>
      <c r="B77" s="21" t="s">
        <v>18</v>
      </c>
      <c r="C77" s="21" t="s">
        <v>19</v>
      </c>
      <c r="D77" s="21" t="s">
        <v>42</v>
      </c>
      <c r="E77" s="21" t="s">
        <v>43</v>
      </c>
      <c r="F77" s="21" t="s">
        <v>41</v>
      </c>
      <c r="G77" s="72">
        <v>5231</v>
      </c>
      <c r="H77" s="42">
        <v>0</v>
      </c>
      <c r="I77" s="209" t="s">
        <v>220</v>
      </c>
      <c r="J77" s="199">
        <v>5000</v>
      </c>
      <c r="K77" s="24"/>
      <c r="L77" s="24"/>
      <c r="M77" s="24">
        <f t="shared" si="21"/>
        <v>1555.37</v>
      </c>
      <c r="N77" s="24">
        <f t="shared" si="22"/>
        <v>5000</v>
      </c>
      <c r="O77" s="24">
        <f t="shared" si="20"/>
        <v>3444.63</v>
      </c>
      <c r="P77" s="24"/>
      <c r="Q77" s="24"/>
      <c r="R77" s="24"/>
      <c r="S77" s="24"/>
      <c r="T77" s="24"/>
      <c r="U77" s="24">
        <v>3444.63</v>
      </c>
      <c r="V77" s="24"/>
      <c r="W77" s="24"/>
      <c r="X77" s="24"/>
      <c r="Y77" s="24"/>
      <c r="Z77" s="24"/>
      <c r="AA77" s="24">
        <f>'Dir. y admon'!Z73</f>
        <v>0</v>
      </c>
      <c r="AB77" s="27"/>
    </row>
    <row r="78" spans="1:28" s="12" customFormat="1" x14ac:dyDescent="0.2">
      <c r="A78" s="22"/>
      <c r="B78" s="22"/>
      <c r="C78" s="22"/>
      <c r="D78" s="33"/>
      <c r="E78" s="22"/>
      <c r="F78" s="22"/>
      <c r="G78" s="22"/>
      <c r="H78" s="22"/>
      <c r="I78" s="92" t="s">
        <v>6</v>
      </c>
      <c r="J78" s="73">
        <f t="shared" ref="J78:AA78" si="23">SUM(J74:J77)</f>
        <v>115000</v>
      </c>
      <c r="K78" s="73">
        <f t="shared" si="23"/>
        <v>0</v>
      </c>
      <c r="L78" s="73">
        <f t="shared" si="23"/>
        <v>0</v>
      </c>
      <c r="M78" s="73">
        <f t="shared" si="23"/>
        <v>99549.37</v>
      </c>
      <c r="N78" s="73">
        <f t="shared" si="23"/>
        <v>115000</v>
      </c>
      <c r="O78" s="73">
        <f t="shared" si="23"/>
        <v>15450.630000000001</v>
      </c>
      <c r="P78" s="73">
        <f t="shared" si="23"/>
        <v>0</v>
      </c>
      <c r="Q78" s="73">
        <f t="shared" si="23"/>
        <v>0</v>
      </c>
      <c r="R78" s="73">
        <f t="shared" si="23"/>
        <v>0</v>
      </c>
      <c r="S78" s="73">
        <f t="shared" si="23"/>
        <v>0</v>
      </c>
      <c r="T78" s="73">
        <f t="shared" si="23"/>
        <v>0</v>
      </c>
      <c r="U78" s="73">
        <f t="shared" si="23"/>
        <v>3444.63</v>
      </c>
      <c r="V78" s="73">
        <f t="shared" si="23"/>
        <v>0</v>
      </c>
      <c r="W78" s="73">
        <f t="shared" si="23"/>
        <v>0</v>
      </c>
      <c r="X78" s="73">
        <f t="shared" si="23"/>
        <v>12006</v>
      </c>
      <c r="Y78" s="73">
        <f t="shared" si="23"/>
        <v>0</v>
      </c>
      <c r="Z78" s="73">
        <f t="shared" si="23"/>
        <v>0</v>
      </c>
      <c r="AA78" s="73">
        <f t="shared" si="23"/>
        <v>0</v>
      </c>
    </row>
    <row r="79" spans="1:28" x14ac:dyDescent="0.2"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</row>
    <row r="80" spans="1:28" s="146" customFormat="1" ht="17.25" customHeight="1" x14ac:dyDescent="0.2">
      <c r="A80" s="494"/>
      <c r="B80" s="495"/>
      <c r="C80" s="495"/>
      <c r="D80" s="495"/>
      <c r="E80" s="495"/>
      <c r="F80" s="495"/>
      <c r="G80" s="495"/>
      <c r="H80" s="496"/>
      <c r="I80" s="154" t="s">
        <v>7</v>
      </c>
      <c r="J80" s="155">
        <f t="shared" ref="J80:AA80" si="24">J78+J73+J70+J43+J23</f>
        <v>15839138</v>
      </c>
      <c r="K80" s="155">
        <f t="shared" si="24"/>
        <v>311220</v>
      </c>
      <c r="L80" s="155">
        <f t="shared" si="24"/>
        <v>311220</v>
      </c>
      <c r="M80" s="155">
        <f t="shared" si="24"/>
        <v>4138783.4990000008</v>
      </c>
      <c r="N80" s="155">
        <f t="shared" si="24"/>
        <v>15839138</v>
      </c>
      <c r="O80" s="155">
        <f>O78+O73+O70+O43+O23</f>
        <v>11700354.500999998</v>
      </c>
      <c r="P80" s="155">
        <f t="shared" si="24"/>
        <v>1007524.3300000002</v>
      </c>
      <c r="Q80" s="155">
        <f t="shared" si="24"/>
        <v>1030382.47</v>
      </c>
      <c r="R80" s="155">
        <f t="shared" si="24"/>
        <v>1828490.8699999999</v>
      </c>
      <c r="S80" s="155">
        <f t="shared" si="24"/>
        <v>1386367</v>
      </c>
      <c r="T80" s="155">
        <f t="shared" si="24"/>
        <v>1104271.0809999998</v>
      </c>
      <c r="U80" s="155">
        <f t="shared" si="24"/>
        <v>1232582.5899999999</v>
      </c>
      <c r="V80" s="155">
        <f t="shared" si="24"/>
        <v>1193839.3400000001</v>
      </c>
      <c r="W80" s="155">
        <f t="shared" si="24"/>
        <v>1319244.3499999999</v>
      </c>
      <c r="X80" s="155">
        <f t="shared" si="24"/>
        <v>1597652.4699999997</v>
      </c>
      <c r="Y80" s="155">
        <f t="shared" si="24"/>
        <v>0</v>
      </c>
      <c r="Z80" s="155">
        <f t="shared" si="24"/>
        <v>0</v>
      </c>
      <c r="AA80" s="155">
        <f t="shared" si="24"/>
        <v>0</v>
      </c>
    </row>
    <row r="81" spans="1:27" s="11" customFormat="1" x14ac:dyDescent="0.2">
      <c r="A81" s="1"/>
      <c r="B81" s="1"/>
      <c r="C81" s="1"/>
      <c r="D81" s="7"/>
      <c r="E81" s="1"/>
      <c r="F81" s="1"/>
      <c r="G81" s="1"/>
      <c r="H81" s="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s="11" customFormat="1" hidden="1" x14ac:dyDescent="0.2">
      <c r="A82" s="1"/>
      <c r="B82" s="1"/>
      <c r="C82" s="1"/>
      <c r="D82" s="7"/>
      <c r="E82" s="1"/>
      <c r="F82" s="1"/>
      <c r="G82" s="202">
        <v>3571</v>
      </c>
      <c r="H82" s="502" t="s">
        <v>182</v>
      </c>
      <c r="I82" s="502"/>
      <c r="J82" s="4"/>
      <c r="K82" s="4"/>
      <c r="L82" s="4"/>
      <c r="M82" s="4"/>
      <c r="N82" s="4"/>
      <c r="O82" s="11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s="11" customFormat="1" x14ac:dyDescent="0.2">
      <c r="A83" s="1"/>
      <c r="B83" s="1"/>
      <c r="C83" s="1"/>
      <c r="D83" s="7"/>
      <c r="E83" s="1"/>
      <c r="F83" s="1"/>
      <c r="G83" s="1"/>
      <c r="H83" s="1"/>
      <c r="I83" s="4"/>
      <c r="J83" s="4"/>
      <c r="K83" s="91"/>
      <c r="L83" s="4"/>
      <c r="M83" s="4"/>
      <c r="N83" s="4"/>
      <c r="O83" s="91"/>
      <c r="P83" s="4"/>
      <c r="Q83" s="4"/>
      <c r="R83" s="91"/>
      <c r="S83" s="4"/>
      <c r="T83" s="4"/>
      <c r="U83" s="4"/>
      <c r="V83" s="4"/>
      <c r="W83" s="4"/>
      <c r="X83" s="4"/>
      <c r="Y83" s="4"/>
      <c r="Z83" s="4"/>
      <c r="AA83" s="4"/>
    </row>
    <row r="84" spans="1:27" s="11" customFormat="1" x14ac:dyDescent="0.2">
      <c r="A84" s="1"/>
      <c r="B84" s="1"/>
      <c r="C84" s="1"/>
      <c r="D84" s="7"/>
      <c r="E84" s="1"/>
      <c r="F84" s="1"/>
      <c r="G84" s="1"/>
      <c r="H84" s="1"/>
      <c r="I84" s="25" t="s">
        <v>174</v>
      </c>
      <c r="J84" s="143">
        <v>15839138</v>
      </c>
      <c r="K84" s="4"/>
      <c r="L84" s="455"/>
      <c r="M84"/>
      <c r="N84"/>
      <c r="O84"/>
      <c r="P84"/>
      <c r="Q84"/>
      <c r="R84"/>
      <c r="S84"/>
      <c r="T84"/>
      <c r="U84"/>
      <c r="V84"/>
      <c r="W84"/>
      <c r="X84"/>
      <c r="Y84" s="4"/>
      <c r="Z84" s="4"/>
      <c r="AA84" s="4"/>
    </row>
    <row r="85" spans="1:27" s="11" customFormat="1" x14ac:dyDescent="0.2">
      <c r="A85" s="1"/>
      <c r="B85" s="1"/>
      <c r="C85" s="1"/>
      <c r="D85" s="7"/>
      <c r="E85" s="1"/>
      <c r="F85" s="1"/>
      <c r="G85" s="1"/>
      <c r="H85" s="1"/>
      <c r="I85" s="165" t="s">
        <v>152</v>
      </c>
      <c r="J85" s="167"/>
      <c r="K85" s="4"/>
      <c r="L85"/>
      <c r="M85"/>
      <c r="N85"/>
      <c r="O85"/>
      <c r="P85"/>
      <c r="Q85"/>
      <c r="R85"/>
      <c r="S85"/>
      <c r="T85"/>
      <c r="U85"/>
      <c r="V85"/>
      <c r="W85"/>
      <c r="X85"/>
      <c r="Y85" s="4"/>
      <c r="Z85" s="4"/>
      <c r="AA85" s="4"/>
    </row>
    <row r="86" spans="1:27" s="11" customFormat="1" x14ac:dyDescent="0.2">
      <c r="A86" s="1"/>
      <c r="B86" s="1"/>
      <c r="C86" s="1"/>
      <c r="D86" s="7"/>
      <c r="E86" s="1"/>
      <c r="F86" s="1"/>
      <c r="G86" s="1"/>
      <c r="H86" s="1"/>
      <c r="I86" s="17" t="s">
        <v>175</v>
      </c>
      <c r="J86" s="28">
        <f>SUM(J84:J85)</f>
        <v>15839138</v>
      </c>
      <c r="K86" s="4"/>
      <c r="L86"/>
      <c r="M86"/>
      <c r="N86"/>
      <c r="O86"/>
      <c r="P86"/>
      <c r="Q86"/>
      <c r="R86"/>
      <c r="S86"/>
      <c r="T86"/>
      <c r="U86"/>
      <c r="V86"/>
      <c r="W86"/>
      <c r="X86"/>
      <c r="Y86" s="4"/>
      <c r="Z86" s="4"/>
      <c r="AA86" s="4"/>
    </row>
    <row r="87" spans="1:27" s="11" customFormat="1" x14ac:dyDescent="0.2">
      <c r="A87" s="1"/>
      <c r="B87" s="1"/>
      <c r="C87" s="1"/>
      <c r="D87" s="7"/>
      <c r="E87" s="1"/>
      <c r="F87" s="1"/>
      <c r="G87" s="1"/>
      <c r="H87" s="1"/>
      <c r="I87" s="149"/>
      <c r="J87" s="95"/>
      <c r="K87" s="4"/>
      <c r="L87" s="4"/>
      <c r="M87" s="4"/>
      <c r="N87" s="16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s="11" customFormat="1" x14ac:dyDescent="0.2">
      <c r="A88" s="1"/>
      <c r="B88" s="1"/>
      <c r="C88" s="1"/>
      <c r="D88" s="7"/>
      <c r="E88" s="1"/>
      <c r="F88" s="1"/>
      <c r="G88" s="1"/>
      <c r="H88" s="1"/>
      <c r="I88" s="174"/>
      <c r="J88" s="143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s="11" customFormat="1" x14ac:dyDescent="0.2">
      <c r="A89" s="1"/>
      <c r="B89" s="1"/>
      <c r="C89" s="1"/>
      <c r="D89" s="7"/>
      <c r="E89" s="1"/>
      <c r="F89" s="1"/>
      <c r="G89" s="1"/>
      <c r="H89" s="1"/>
      <c r="I89" s="149"/>
      <c r="J89" s="9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s="11" customFormat="1" x14ac:dyDescent="0.2">
      <c r="A90" s="1"/>
      <c r="B90" s="1"/>
      <c r="C90" s="1"/>
      <c r="D90" s="7"/>
      <c r="E90" s="1"/>
      <c r="F90" s="1"/>
      <c r="G90" s="1"/>
      <c r="H90" s="1"/>
      <c r="I90" s="149"/>
      <c r="J90" s="9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x14ac:dyDescent="0.2">
      <c r="I91" s="149"/>
      <c r="J91" s="95"/>
    </row>
    <row r="92" spans="1:27" x14ac:dyDescent="0.2">
      <c r="J92" s="143"/>
    </row>
  </sheetData>
  <mergeCells count="20">
    <mergeCell ref="H82:I82"/>
    <mergeCell ref="P9:AA9"/>
    <mergeCell ref="N9:N10"/>
    <mergeCell ref="I9:I10"/>
    <mergeCell ref="O9:O10"/>
    <mergeCell ref="K9:L9"/>
    <mergeCell ref="J9:J10"/>
    <mergeCell ref="I1:L1"/>
    <mergeCell ref="I2:L2"/>
    <mergeCell ref="A80:H80"/>
    <mergeCell ref="F9:F10"/>
    <mergeCell ref="G9:G10"/>
    <mergeCell ref="H9:H10"/>
    <mergeCell ref="J4:N4"/>
    <mergeCell ref="A9:A10"/>
    <mergeCell ref="B9:B10"/>
    <mergeCell ref="C9:C10"/>
    <mergeCell ref="E9:E10"/>
    <mergeCell ref="D9:D10"/>
    <mergeCell ref="M9:M10"/>
  </mergeCells>
  <phoneticPr fontId="17" type="noConversion"/>
  <printOptions horizontalCentered="1"/>
  <pageMargins left="0.37" right="0.39370078740157483" top="0.39370078740157483" bottom="0.39370078740157483" header="0" footer="0"/>
  <pageSetup paperSize="5" scale="51" fitToHeight="0" orientation="landscape" r:id="rId1"/>
  <headerFooter alignWithMargins="0">
    <oddFooter>&amp;C&amp;P&amp;R</oddFooter>
  </headerFooter>
  <rowBreaks count="1" manualBreakCount="1">
    <brk id="73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 enableFormatConditionsCalculation="0">
    <tabColor indexed="33"/>
    <pageSetUpPr fitToPage="1"/>
  </sheetPr>
  <dimension ref="A1:AB89"/>
  <sheetViews>
    <sheetView showGridLines="0" tabSelected="1" view="pageBreakPreview" zoomScale="80" zoomScaleNormal="75" zoomScaleSheetLayoutView="80" workbookViewId="0">
      <selection activeCell="J42" sqref="J42"/>
    </sheetView>
  </sheetViews>
  <sheetFormatPr baseColWidth="10" defaultRowHeight="12.75" x14ac:dyDescent="0.2"/>
  <cols>
    <col min="1" max="1" width="4" style="1" customWidth="1"/>
    <col min="2" max="2" width="4.42578125" style="1" customWidth="1"/>
    <col min="3" max="3" width="4.5703125" style="1" customWidth="1"/>
    <col min="4" max="4" width="5.28515625" style="7" customWidth="1"/>
    <col min="5" max="5" width="5.28515625" style="1" customWidth="1"/>
    <col min="6" max="6" width="6.140625" style="1" customWidth="1"/>
    <col min="7" max="7" width="7.28515625" style="15" customWidth="1"/>
    <col min="8" max="8" width="3.7109375" style="15" customWidth="1"/>
    <col min="9" max="9" width="44.85546875" style="17" bestFit="1" customWidth="1"/>
    <col min="10" max="10" width="15.5703125" style="28" customWidth="1"/>
    <col min="11" max="11" width="14.28515625" style="27" customWidth="1"/>
    <col min="12" max="12" width="15.42578125" style="27" customWidth="1"/>
    <col min="13" max="13" width="16" style="27" customWidth="1"/>
    <col min="14" max="14" width="16" style="17" customWidth="1"/>
    <col min="15" max="15" width="12.7109375" style="17" customWidth="1"/>
    <col min="16" max="16" width="12.5703125" style="17" customWidth="1"/>
    <col min="17" max="17" width="11.5703125" style="17" customWidth="1"/>
    <col min="18" max="26" width="11.5703125" style="4" customWidth="1"/>
    <col min="27" max="28" width="11.42578125" style="74" customWidth="1"/>
    <col min="29" max="16384" width="11.42578125" style="4"/>
  </cols>
  <sheetData>
    <row r="1" spans="1:28" ht="25.5" x14ac:dyDescent="0.35">
      <c r="D1" s="3"/>
      <c r="H1" s="6" t="s">
        <v>210</v>
      </c>
      <c r="Z1" s="5"/>
    </row>
    <row r="2" spans="1:28" ht="23.25" x14ac:dyDescent="0.35">
      <c r="H2" s="2" t="s">
        <v>20</v>
      </c>
      <c r="M2" s="36"/>
      <c r="N2" s="35"/>
      <c r="O2" s="34"/>
      <c r="P2" s="34"/>
      <c r="Q2" s="34"/>
      <c r="R2" s="6"/>
      <c r="S2" s="6"/>
      <c r="T2" s="6"/>
      <c r="U2" s="6"/>
      <c r="V2" s="6"/>
      <c r="W2" s="6"/>
      <c r="X2" s="6"/>
      <c r="Y2" s="6"/>
      <c r="Z2" s="5"/>
    </row>
    <row r="3" spans="1:28" ht="25.5" x14ac:dyDescent="0.35">
      <c r="C3" s="2"/>
      <c r="D3" s="3"/>
      <c r="I3" s="37"/>
      <c r="J3" s="38"/>
      <c r="K3" s="39"/>
      <c r="L3" s="39"/>
      <c r="M3" s="36"/>
      <c r="N3" s="35"/>
      <c r="O3" s="34"/>
      <c r="P3" s="34"/>
      <c r="Q3" s="34"/>
      <c r="R3" s="6"/>
      <c r="S3" s="6"/>
      <c r="T3" s="6"/>
      <c r="U3" s="6"/>
      <c r="V3" s="6"/>
      <c r="W3" s="6"/>
      <c r="X3" s="6"/>
      <c r="Y3" s="6"/>
      <c r="Z3" s="5"/>
    </row>
    <row r="4" spans="1:28" s="63" customFormat="1" ht="23.25" customHeight="1" x14ac:dyDescent="0.2">
      <c r="A4" s="55"/>
      <c r="B4" s="55"/>
      <c r="C4" s="56"/>
      <c r="D4" s="57" t="s">
        <v>21</v>
      </c>
      <c r="E4" s="55"/>
      <c r="F4" s="55"/>
      <c r="G4" s="58"/>
      <c r="H4" s="58"/>
      <c r="I4" s="104" t="s">
        <v>44</v>
      </c>
      <c r="J4" s="104"/>
      <c r="K4" s="104"/>
      <c r="L4" s="104"/>
      <c r="M4" s="67"/>
      <c r="N4" s="59"/>
      <c r="O4" s="60"/>
      <c r="P4" s="93" t="s">
        <v>100</v>
      </c>
      <c r="Q4" s="93"/>
      <c r="R4" s="94"/>
      <c r="S4" s="142" t="str">
        <f>+'01.Recurso Estatal'!T4</f>
        <v>TERCER</v>
      </c>
      <c r="T4" s="61"/>
      <c r="U4" s="61"/>
      <c r="V4" s="61"/>
      <c r="W4" s="61"/>
      <c r="X4" s="61"/>
      <c r="Y4" s="61"/>
      <c r="Z4" s="62"/>
      <c r="AA4" s="77"/>
      <c r="AB4" s="77"/>
    </row>
    <row r="5" spans="1:28" s="63" customFormat="1" ht="20.25" customHeight="1" x14ac:dyDescent="0.2">
      <c r="A5" s="55"/>
      <c r="B5" s="55"/>
      <c r="C5" s="55"/>
      <c r="D5" s="126"/>
      <c r="E5" s="127"/>
      <c r="F5" s="127"/>
      <c r="G5" s="127"/>
      <c r="H5" s="127"/>
      <c r="I5" s="482"/>
      <c r="J5" s="482"/>
      <c r="K5" s="482"/>
      <c r="L5" s="482"/>
      <c r="M5" s="128"/>
      <c r="N5" s="77"/>
      <c r="O5" s="104"/>
      <c r="P5" s="104"/>
      <c r="Q5" s="104"/>
      <c r="R5" s="108"/>
      <c r="S5" s="104"/>
      <c r="T5" s="104"/>
      <c r="U5" s="104"/>
      <c r="V5" s="104"/>
      <c r="W5" s="104"/>
      <c r="X5" s="104"/>
      <c r="Y5" s="104"/>
      <c r="Z5" s="106"/>
      <c r="AA5" s="78"/>
      <c r="AB5" s="77"/>
    </row>
    <row r="6" spans="1:28" s="63" customFormat="1" ht="15.75" x14ac:dyDescent="0.2">
      <c r="A6" s="55"/>
      <c r="B6" s="55"/>
      <c r="C6" s="55"/>
      <c r="D6" s="104" t="s">
        <v>23</v>
      </c>
      <c r="E6" s="55"/>
      <c r="F6" s="104"/>
      <c r="G6" s="104"/>
      <c r="H6" s="104"/>
      <c r="I6" s="104"/>
      <c r="J6" s="104" t="s">
        <v>41</v>
      </c>
      <c r="K6" s="130"/>
      <c r="L6" s="130"/>
      <c r="M6" s="130"/>
      <c r="N6" s="104" t="s">
        <v>51</v>
      </c>
      <c r="O6" s="104"/>
      <c r="P6" s="104"/>
      <c r="Q6" s="104" t="s">
        <v>96</v>
      </c>
      <c r="R6" s="104"/>
      <c r="S6" s="104"/>
      <c r="T6" s="104"/>
      <c r="U6" s="104"/>
      <c r="V6" s="104"/>
      <c r="W6" s="104"/>
      <c r="X6" s="104"/>
      <c r="Y6" s="104"/>
      <c r="Z6" s="106"/>
      <c r="AA6" s="78"/>
      <c r="AB6" s="77"/>
    </row>
    <row r="7" spans="1:28" ht="15.75" x14ac:dyDescent="0.2">
      <c r="G7" s="1"/>
      <c r="H7" s="1"/>
      <c r="I7" s="101"/>
      <c r="J7" s="131"/>
      <c r="K7" s="132"/>
      <c r="L7" s="132"/>
      <c r="M7" s="132"/>
      <c r="N7" s="101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100"/>
      <c r="AA7" s="79"/>
    </row>
    <row r="8" spans="1:28" x14ac:dyDescent="0.2">
      <c r="A8" s="8"/>
      <c r="B8" s="8"/>
      <c r="C8" s="8"/>
      <c r="D8" s="9"/>
      <c r="E8" s="8"/>
      <c r="F8" s="8"/>
      <c r="G8" s="8"/>
      <c r="H8" s="8"/>
      <c r="I8" s="10"/>
      <c r="J8" s="133"/>
      <c r="K8" s="134"/>
      <c r="L8" s="134"/>
      <c r="M8" s="134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8" s="88" customFormat="1" ht="15" customHeight="1" x14ac:dyDescent="0.2">
      <c r="A9" s="483" t="s">
        <v>11</v>
      </c>
      <c r="B9" s="483" t="s">
        <v>12</v>
      </c>
      <c r="C9" s="483" t="s">
        <v>13</v>
      </c>
      <c r="D9" s="484" t="s">
        <v>14</v>
      </c>
      <c r="E9" s="483" t="s">
        <v>24</v>
      </c>
      <c r="F9" s="483" t="s">
        <v>15</v>
      </c>
      <c r="G9" s="483" t="s">
        <v>0</v>
      </c>
      <c r="H9" s="483" t="s">
        <v>25</v>
      </c>
      <c r="I9" s="477" t="s">
        <v>1</v>
      </c>
      <c r="J9" s="478" t="s">
        <v>26</v>
      </c>
      <c r="K9" s="480" t="s">
        <v>27</v>
      </c>
      <c r="L9" s="480"/>
      <c r="M9" s="478" t="s">
        <v>16</v>
      </c>
      <c r="N9" s="479" t="s">
        <v>28</v>
      </c>
      <c r="O9" s="477" t="s">
        <v>29</v>
      </c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87"/>
      <c r="AB9" s="87"/>
    </row>
    <row r="10" spans="1:28" s="89" customFormat="1" ht="40.9" customHeight="1" x14ac:dyDescent="0.2">
      <c r="A10" s="483"/>
      <c r="B10" s="483"/>
      <c r="C10" s="483"/>
      <c r="D10" s="484"/>
      <c r="E10" s="483"/>
      <c r="F10" s="483"/>
      <c r="G10" s="483"/>
      <c r="H10" s="483"/>
      <c r="I10" s="477"/>
      <c r="J10" s="478"/>
      <c r="K10" s="135" t="s">
        <v>30</v>
      </c>
      <c r="L10" s="135" t="s">
        <v>31</v>
      </c>
      <c r="M10" s="478"/>
      <c r="N10" s="479"/>
      <c r="O10" s="90" t="s">
        <v>8</v>
      </c>
      <c r="P10" s="90" t="s">
        <v>9</v>
      </c>
      <c r="Q10" s="90" t="s">
        <v>10</v>
      </c>
      <c r="R10" s="90" t="s">
        <v>32</v>
      </c>
      <c r="S10" s="90" t="s">
        <v>33</v>
      </c>
      <c r="T10" s="90" t="s">
        <v>34</v>
      </c>
      <c r="U10" s="90" t="s">
        <v>35</v>
      </c>
      <c r="V10" s="90" t="s">
        <v>36</v>
      </c>
      <c r="W10" s="90" t="s">
        <v>37</v>
      </c>
      <c r="X10" s="90" t="s">
        <v>38</v>
      </c>
      <c r="Y10" s="90" t="s">
        <v>39</v>
      </c>
      <c r="Z10" s="90" t="s">
        <v>40</v>
      </c>
      <c r="AA10" s="86"/>
      <c r="AB10" s="86"/>
    </row>
    <row r="11" spans="1:28" s="17" customFormat="1" ht="14.25" x14ac:dyDescent="0.2">
      <c r="A11" s="21" t="s">
        <v>17</v>
      </c>
      <c r="B11" s="21" t="s">
        <v>18</v>
      </c>
      <c r="C11" s="21" t="s">
        <v>19</v>
      </c>
      <c r="D11" s="21" t="s">
        <v>42</v>
      </c>
      <c r="E11" s="21" t="s">
        <v>43</v>
      </c>
      <c r="F11" s="21" t="s">
        <v>41</v>
      </c>
      <c r="G11" s="203">
        <v>1131</v>
      </c>
      <c r="H11" s="42">
        <v>0</v>
      </c>
      <c r="I11" s="209" t="s">
        <v>183</v>
      </c>
      <c r="J11" s="195">
        <v>788941.4</v>
      </c>
      <c r="K11" s="182"/>
      <c r="L11" s="182"/>
      <c r="M11" s="119">
        <f>J11+L11-K11</f>
        <v>788941.4</v>
      </c>
      <c r="N11" s="118">
        <f>SUM(O11:Z11)</f>
        <v>0</v>
      </c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82"/>
      <c r="AB11" s="82"/>
    </row>
    <row r="12" spans="1:28" s="17" customFormat="1" ht="14.25" x14ac:dyDescent="0.2">
      <c r="A12" s="21" t="s">
        <v>17</v>
      </c>
      <c r="B12" s="21" t="s">
        <v>18</v>
      </c>
      <c r="C12" s="21" t="s">
        <v>19</v>
      </c>
      <c r="D12" s="21" t="s">
        <v>42</v>
      </c>
      <c r="E12" s="21" t="s">
        <v>43</v>
      </c>
      <c r="F12" s="21" t="s">
        <v>41</v>
      </c>
      <c r="G12" s="203">
        <v>1321</v>
      </c>
      <c r="H12" s="42">
        <v>0</v>
      </c>
      <c r="I12" s="209" t="s">
        <v>57</v>
      </c>
      <c r="J12" s="195">
        <v>10957.62</v>
      </c>
      <c r="K12" s="414"/>
      <c r="L12" s="414">
        <v>3133.05</v>
      </c>
      <c r="M12" s="119">
        <f t="shared" ref="M12:M23" si="0">J12+L12-K12</f>
        <v>14090.670000000002</v>
      </c>
      <c r="N12" s="118">
        <f t="shared" ref="N12:N23" si="1">SUM(O12:Z12)</f>
        <v>12095.17</v>
      </c>
      <c r="O12" s="118"/>
      <c r="P12" s="118"/>
      <c r="Q12" s="118"/>
      <c r="R12" s="118"/>
      <c r="S12" s="118"/>
      <c r="T12" s="118"/>
      <c r="U12" s="118"/>
      <c r="V12" s="118">
        <v>11845.84</v>
      </c>
      <c r="W12" s="118">
        <v>249.33</v>
      </c>
      <c r="X12" s="118"/>
      <c r="Y12" s="118"/>
      <c r="Z12" s="118"/>
      <c r="AA12" s="82"/>
      <c r="AB12" s="82"/>
    </row>
    <row r="13" spans="1:28" s="17" customFormat="1" ht="14.25" x14ac:dyDescent="0.2">
      <c r="A13" s="21" t="s">
        <v>17</v>
      </c>
      <c r="B13" s="21" t="s">
        <v>18</v>
      </c>
      <c r="C13" s="21" t="s">
        <v>19</v>
      </c>
      <c r="D13" s="21" t="s">
        <v>42</v>
      </c>
      <c r="E13" s="21" t="s">
        <v>43</v>
      </c>
      <c r="F13" s="21" t="s">
        <v>41</v>
      </c>
      <c r="G13" s="203">
        <v>1322</v>
      </c>
      <c r="H13" s="42">
        <v>0</v>
      </c>
      <c r="I13" s="209" t="s">
        <v>58</v>
      </c>
      <c r="J13" s="195">
        <v>109575.17</v>
      </c>
      <c r="K13" s="414"/>
      <c r="L13" s="414"/>
      <c r="M13" s="119">
        <f t="shared" si="0"/>
        <v>109575.17</v>
      </c>
      <c r="N13" s="118">
        <f t="shared" si="1"/>
        <v>0</v>
      </c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82"/>
      <c r="AB13" s="82"/>
    </row>
    <row r="14" spans="1:28" s="17" customFormat="1" ht="14.25" x14ac:dyDescent="0.2">
      <c r="A14" s="21" t="s">
        <v>17</v>
      </c>
      <c r="B14" s="21" t="s">
        <v>18</v>
      </c>
      <c r="C14" s="21" t="s">
        <v>19</v>
      </c>
      <c r="D14" s="21" t="s">
        <v>42</v>
      </c>
      <c r="E14" s="21" t="s">
        <v>43</v>
      </c>
      <c r="F14" s="21" t="s">
        <v>41</v>
      </c>
      <c r="G14" s="203">
        <v>1411</v>
      </c>
      <c r="H14" s="42">
        <v>0</v>
      </c>
      <c r="I14" s="209" t="s">
        <v>222</v>
      </c>
      <c r="J14" s="195">
        <v>37136.839999999997</v>
      </c>
      <c r="K14" s="414"/>
      <c r="L14" s="414">
        <v>10236.75</v>
      </c>
      <c r="M14" s="119">
        <f t="shared" si="0"/>
        <v>47373.59</v>
      </c>
      <c r="N14" s="118">
        <f t="shared" si="1"/>
        <v>0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82"/>
      <c r="AB14" s="82"/>
    </row>
    <row r="15" spans="1:28" s="17" customFormat="1" ht="14.25" x14ac:dyDescent="0.2">
      <c r="A15" s="21" t="s">
        <v>17</v>
      </c>
      <c r="B15" s="21" t="s">
        <v>18</v>
      </c>
      <c r="C15" s="21" t="s">
        <v>19</v>
      </c>
      <c r="D15" s="21" t="s">
        <v>42</v>
      </c>
      <c r="E15" s="21" t="s">
        <v>43</v>
      </c>
      <c r="F15" s="21" t="s">
        <v>41</v>
      </c>
      <c r="G15" s="203">
        <v>1421</v>
      </c>
      <c r="H15" s="42">
        <v>0</v>
      </c>
      <c r="I15" s="209" t="s">
        <v>184</v>
      </c>
      <c r="J15" s="195">
        <v>23668.21</v>
      </c>
      <c r="K15" s="414"/>
      <c r="L15" s="414">
        <v>6767.39</v>
      </c>
      <c r="M15" s="119">
        <f t="shared" si="0"/>
        <v>30435.599999999999</v>
      </c>
      <c r="N15" s="118">
        <f t="shared" si="1"/>
        <v>0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82"/>
      <c r="AB15" s="82"/>
    </row>
    <row r="16" spans="1:28" s="17" customFormat="1" ht="14.25" x14ac:dyDescent="0.2">
      <c r="A16" s="21" t="s">
        <v>17</v>
      </c>
      <c r="B16" s="21" t="s">
        <v>18</v>
      </c>
      <c r="C16" s="21" t="s">
        <v>19</v>
      </c>
      <c r="D16" s="21" t="s">
        <v>42</v>
      </c>
      <c r="E16" s="21" t="s">
        <v>43</v>
      </c>
      <c r="F16" s="21" t="s">
        <v>41</v>
      </c>
      <c r="G16" s="204">
        <v>1431</v>
      </c>
      <c r="H16" s="42">
        <v>0</v>
      </c>
      <c r="I16" s="209" t="s">
        <v>59</v>
      </c>
      <c r="J16" s="195">
        <v>138064.57</v>
      </c>
      <c r="K16" s="414"/>
      <c r="L16" s="414"/>
      <c r="M16" s="119">
        <f t="shared" si="0"/>
        <v>138064.57</v>
      </c>
      <c r="N16" s="118">
        <f t="shared" si="1"/>
        <v>0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82"/>
      <c r="AB16" s="82"/>
    </row>
    <row r="17" spans="1:28" s="17" customFormat="1" ht="14.25" x14ac:dyDescent="0.2">
      <c r="A17" s="21" t="s">
        <v>17</v>
      </c>
      <c r="B17" s="21" t="s">
        <v>18</v>
      </c>
      <c r="C17" s="21" t="s">
        <v>19</v>
      </c>
      <c r="D17" s="21" t="s">
        <v>42</v>
      </c>
      <c r="E17" s="21" t="s">
        <v>43</v>
      </c>
      <c r="F17" s="21" t="s">
        <v>41</v>
      </c>
      <c r="G17" s="205">
        <v>1432</v>
      </c>
      <c r="H17" s="42">
        <v>0</v>
      </c>
      <c r="I17" s="209" t="s">
        <v>185</v>
      </c>
      <c r="J17" s="120">
        <v>15778.81</v>
      </c>
      <c r="K17" s="414"/>
      <c r="L17" s="414">
        <v>4511.59</v>
      </c>
      <c r="M17" s="119">
        <f t="shared" si="0"/>
        <v>20290.400000000001</v>
      </c>
      <c r="N17" s="118">
        <f t="shared" si="1"/>
        <v>0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82"/>
      <c r="AB17" s="82"/>
    </row>
    <row r="18" spans="1:28" s="17" customFormat="1" ht="12" customHeight="1" x14ac:dyDescent="0.2">
      <c r="A18" s="21" t="s">
        <v>17</v>
      </c>
      <c r="B18" s="21" t="s">
        <v>18</v>
      </c>
      <c r="C18" s="21" t="s">
        <v>19</v>
      </c>
      <c r="D18" s="21" t="s">
        <v>42</v>
      </c>
      <c r="E18" s="21" t="s">
        <v>43</v>
      </c>
      <c r="F18" s="21" t="s">
        <v>41</v>
      </c>
      <c r="G18" s="204">
        <v>1521</v>
      </c>
      <c r="H18" s="42">
        <v>0</v>
      </c>
      <c r="I18" s="209" t="s">
        <v>103</v>
      </c>
      <c r="J18" s="195">
        <v>150000</v>
      </c>
      <c r="K18" s="414"/>
      <c r="L18" s="414"/>
      <c r="M18" s="119">
        <f t="shared" si="0"/>
        <v>150000</v>
      </c>
      <c r="N18" s="118">
        <f t="shared" si="1"/>
        <v>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82"/>
      <c r="AB18" s="82"/>
    </row>
    <row r="19" spans="1:28" s="17" customFormat="1" ht="14.25" x14ac:dyDescent="0.2">
      <c r="A19" s="21" t="s">
        <v>17</v>
      </c>
      <c r="B19" s="21" t="s">
        <v>18</v>
      </c>
      <c r="C19" s="21" t="s">
        <v>19</v>
      </c>
      <c r="D19" s="21" t="s">
        <v>42</v>
      </c>
      <c r="E19" s="21" t="s">
        <v>43</v>
      </c>
      <c r="F19" s="21" t="s">
        <v>41</v>
      </c>
      <c r="G19" s="204">
        <v>1611</v>
      </c>
      <c r="H19" s="42">
        <v>0</v>
      </c>
      <c r="I19" s="209" t="s">
        <v>186</v>
      </c>
      <c r="J19" s="195">
        <v>27633.96</v>
      </c>
      <c r="K19" s="414">
        <v>26552.48</v>
      </c>
      <c r="L19" s="414"/>
      <c r="M19" s="119">
        <f t="shared" si="0"/>
        <v>1081.4799999999996</v>
      </c>
      <c r="N19" s="118">
        <f t="shared" si="1"/>
        <v>0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82"/>
      <c r="AB19" s="82"/>
    </row>
    <row r="20" spans="1:28" s="17" customFormat="1" ht="14.25" x14ac:dyDescent="0.2">
      <c r="A20" s="21" t="s">
        <v>17</v>
      </c>
      <c r="B20" s="21" t="s">
        <v>18</v>
      </c>
      <c r="C20" s="21" t="s">
        <v>19</v>
      </c>
      <c r="D20" s="21" t="s">
        <v>42</v>
      </c>
      <c r="E20" s="21" t="s">
        <v>43</v>
      </c>
      <c r="F20" s="21" t="s">
        <v>41</v>
      </c>
      <c r="G20" s="204">
        <v>1612</v>
      </c>
      <c r="H20" s="42">
        <v>0</v>
      </c>
      <c r="I20" s="209" t="s">
        <v>154</v>
      </c>
      <c r="J20" s="195">
        <v>21024.92</v>
      </c>
      <c r="K20" s="414"/>
      <c r="L20" s="414"/>
      <c r="M20" s="119">
        <f t="shared" si="0"/>
        <v>21024.92</v>
      </c>
      <c r="N20" s="118">
        <f t="shared" si="1"/>
        <v>0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82"/>
      <c r="AB20" s="82"/>
    </row>
    <row r="21" spans="1:28" s="17" customFormat="1" ht="14.25" x14ac:dyDescent="0.2">
      <c r="A21" s="21" t="s">
        <v>17</v>
      </c>
      <c r="B21" s="21" t="s">
        <v>18</v>
      </c>
      <c r="C21" s="21" t="s">
        <v>19</v>
      </c>
      <c r="D21" s="21" t="s">
        <v>42</v>
      </c>
      <c r="E21" s="21" t="s">
        <v>43</v>
      </c>
      <c r="F21" s="21" t="s">
        <v>41</v>
      </c>
      <c r="G21" s="204">
        <v>1712</v>
      </c>
      <c r="H21" s="42">
        <v>0</v>
      </c>
      <c r="I21" s="209" t="s">
        <v>187</v>
      </c>
      <c r="J21" s="195">
        <v>27643.919999999998</v>
      </c>
      <c r="K21" s="414"/>
      <c r="L21" s="414"/>
      <c r="M21" s="119">
        <f t="shared" si="0"/>
        <v>27643.919999999998</v>
      </c>
      <c r="N21" s="118">
        <f t="shared" si="1"/>
        <v>0</v>
      </c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82"/>
      <c r="AB21" s="82"/>
    </row>
    <row r="22" spans="1:28" s="17" customFormat="1" ht="14.25" x14ac:dyDescent="0.2">
      <c r="A22" s="21" t="s">
        <v>17</v>
      </c>
      <c r="B22" s="21" t="s">
        <v>18</v>
      </c>
      <c r="C22" s="21" t="s">
        <v>19</v>
      </c>
      <c r="D22" s="21" t="s">
        <v>42</v>
      </c>
      <c r="E22" s="21" t="s">
        <v>43</v>
      </c>
      <c r="F22" s="21" t="s">
        <v>41</v>
      </c>
      <c r="G22" s="204">
        <v>1713</v>
      </c>
      <c r="H22" s="42">
        <v>0</v>
      </c>
      <c r="I22" s="209" t="s">
        <v>188</v>
      </c>
      <c r="J22" s="195">
        <v>17240.28</v>
      </c>
      <c r="K22" s="414"/>
      <c r="L22" s="414"/>
      <c r="M22" s="119">
        <f t="shared" si="0"/>
        <v>17240.28</v>
      </c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82"/>
      <c r="AB22" s="82"/>
    </row>
    <row r="23" spans="1:28" s="17" customFormat="1" ht="14.25" x14ac:dyDescent="0.2">
      <c r="A23" s="21" t="s">
        <v>17</v>
      </c>
      <c r="B23" s="21" t="s">
        <v>18</v>
      </c>
      <c r="C23" s="21" t="s">
        <v>19</v>
      </c>
      <c r="D23" s="21" t="s">
        <v>42</v>
      </c>
      <c r="E23" s="21" t="s">
        <v>43</v>
      </c>
      <c r="F23" s="21" t="s">
        <v>41</v>
      </c>
      <c r="G23" s="203">
        <v>1715</v>
      </c>
      <c r="H23" s="42">
        <v>0</v>
      </c>
      <c r="I23" s="209" t="s">
        <v>189</v>
      </c>
      <c r="J23" s="195">
        <v>32872.5</v>
      </c>
      <c r="K23" s="414"/>
      <c r="L23" s="414">
        <v>1903.7</v>
      </c>
      <c r="M23" s="119">
        <f t="shared" si="0"/>
        <v>34776.199999999997</v>
      </c>
      <c r="N23" s="118">
        <f t="shared" si="1"/>
        <v>16166.8</v>
      </c>
      <c r="O23" s="118"/>
      <c r="P23" s="118"/>
      <c r="Q23" s="118"/>
      <c r="R23" s="118"/>
      <c r="S23" s="118"/>
      <c r="T23" s="118"/>
      <c r="U23" s="118"/>
      <c r="V23" s="118"/>
      <c r="W23" s="118">
        <v>16166.8</v>
      </c>
      <c r="X23" s="118"/>
      <c r="Y23" s="118"/>
      <c r="Z23" s="118"/>
      <c r="AA23" s="82"/>
      <c r="AB23" s="82"/>
    </row>
    <row r="24" spans="1:28" s="12" customFormat="1" ht="15" x14ac:dyDescent="0.25">
      <c r="A24" s="22"/>
      <c r="B24" s="22"/>
      <c r="C24" s="22"/>
      <c r="D24" s="33"/>
      <c r="E24" s="22"/>
      <c r="F24" s="22"/>
      <c r="G24" s="22"/>
      <c r="H24" s="22"/>
      <c r="I24" s="210" t="s">
        <v>2</v>
      </c>
      <c r="J24" s="96">
        <f t="shared" ref="J24:Z24" si="2">SUM(J11:J23)</f>
        <v>1400538.2</v>
      </c>
      <c r="K24" s="96">
        <f t="shared" si="2"/>
        <v>26552.48</v>
      </c>
      <c r="L24" s="96">
        <f t="shared" si="2"/>
        <v>26552.48</v>
      </c>
      <c r="M24" s="96">
        <f>SUM(M11:M23)</f>
        <v>1400538.1999999997</v>
      </c>
      <c r="N24" s="96">
        <f t="shared" si="2"/>
        <v>28261.97</v>
      </c>
      <c r="O24" s="96">
        <f t="shared" si="2"/>
        <v>0</v>
      </c>
      <c r="P24" s="96">
        <f t="shared" si="2"/>
        <v>0</v>
      </c>
      <c r="Q24" s="96">
        <f t="shared" si="2"/>
        <v>0</v>
      </c>
      <c r="R24" s="96">
        <f t="shared" si="2"/>
        <v>0</v>
      </c>
      <c r="S24" s="96">
        <f t="shared" si="2"/>
        <v>0</v>
      </c>
      <c r="T24" s="96">
        <f t="shared" si="2"/>
        <v>0</v>
      </c>
      <c r="U24" s="96">
        <f t="shared" si="2"/>
        <v>0</v>
      </c>
      <c r="V24" s="96">
        <f t="shared" si="2"/>
        <v>11845.84</v>
      </c>
      <c r="W24" s="96">
        <f t="shared" si="2"/>
        <v>16416.13</v>
      </c>
      <c r="X24" s="96">
        <f t="shared" si="2"/>
        <v>0</v>
      </c>
      <c r="Y24" s="96">
        <f t="shared" si="2"/>
        <v>0</v>
      </c>
      <c r="Z24" s="96">
        <f t="shared" si="2"/>
        <v>0</v>
      </c>
      <c r="AA24" s="23"/>
      <c r="AB24" s="23"/>
    </row>
    <row r="25" spans="1:28" s="82" customFormat="1" ht="14.25" x14ac:dyDescent="0.2">
      <c r="A25" s="21" t="s">
        <v>17</v>
      </c>
      <c r="B25" s="21" t="s">
        <v>18</v>
      </c>
      <c r="C25" s="21" t="s">
        <v>19</v>
      </c>
      <c r="D25" s="21" t="s">
        <v>42</v>
      </c>
      <c r="E25" s="21" t="s">
        <v>43</v>
      </c>
      <c r="F25" s="21" t="s">
        <v>41</v>
      </c>
      <c r="G25" s="189">
        <v>2381</v>
      </c>
      <c r="H25" s="190">
        <v>0</v>
      </c>
      <c r="I25" s="214" t="s">
        <v>93</v>
      </c>
      <c r="J25" s="195">
        <v>500000</v>
      </c>
      <c r="K25" s="242"/>
      <c r="L25" s="242"/>
      <c r="M25" s="259">
        <f t="shared" ref="M25:M26" si="3">J25+L25-K25</f>
        <v>500000</v>
      </c>
      <c r="N25" s="125">
        <f>SUM(O25:Z25)</f>
        <v>376342.07</v>
      </c>
      <c r="O25" s="243"/>
      <c r="P25" s="243">
        <f>14340+2000+3300</f>
        <v>19640</v>
      </c>
      <c r="Q25" s="243">
        <f>4480+2000+1780+10000+3200+8210+2000+960</f>
        <v>32630</v>
      </c>
      <c r="R25" s="243">
        <f>1400+5000+3297+220+4800+11005</f>
        <v>25722</v>
      </c>
      <c r="S25" s="243">
        <f>7265+7100+3375+2015+5255+6160+3600+6785</f>
        <v>41555</v>
      </c>
      <c r="T25" s="243">
        <f>7090+7082+3520+6850+9360</f>
        <v>33902</v>
      </c>
      <c r="U25" s="243">
        <f>2500+7940+8767.4+6960+6560+5420+6550</f>
        <v>44697.4</v>
      </c>
      <c r="V25" s="243">
        <f>28917.67+8935+6400+1000+1300+3375+3570</f>
        <v>53497.67</v>
      </c>
      <c r="W25" s="243">
        <f>7770+10203+10630+10100+10320+6473+10352+10330+5220+10200+6870+900+10400+250+4180+10500</f>
        <v>124698</v>
      </c>
      <c r="X25" s="125"/>
      <c r="Y25" s="125"/>
      <c r="Z25" s="125"/>
      <c r="AA25" s="83"/>
    </row>
    <row r="26" spans="1:28" s="17" customFormat="1" ht="14.25" x14ac:dyDescent="0.2">
      <c r="A26" s="21" t="s">
        <v>17</v>
      </c>
      <c r="B26" s="21" t="s">
        <v>18</v>
      </c>
      <c r="C26" s="21" t="s">
        <v>19</v>
      </c>
      <c r="D26" s="21" t="s">
        <v>42</v>
      </c>
      <c r="E26" s="21" t="s">
        <v>43</v>
      </c>
      <c r="F26" s="21" t="s">
        <v>41</v>
      </c>
      <c r="G26" s="72">
        <v>2611</v>
      </c>
      <c r="H26" s="42">
        <v>0</v>
      </c>
      <c r="I26" s="209" t="s">
        <v>169</v>
      </c>
      <c r="J26" s="195">
        <v>13000</v>
      </c>
      <c r="K26" s="120"/>
      <c r="L26" s="120"/>
      <c r="M26" s="181">
        <f t="shared" si="3"/>
        <v>13000</v>
      </c>
      <c r="N26" s="118">
        <f>SUM(O26:Z26)</f>
        <v>0</v>
      </c>
      <c r="O26" s="178"/>
      <c r="P26" s="178"/>
      <c r="Q26" s="178"/>
      <c r="R26" s="178"/>
      <c r="S26" s="178"/>
      <c r="T26" s="178"/>
      <c r="U26" s="118"/>
      <c r="V26" s="118"/>
      <c r="W26" s="118"/>
      <c r="X26" s="118"/>
      <c r="Y26" s="118"/>
      <c r="Z26" s="118"/>
      <c r="AA26" s="83"/>
      <c r="AB26" s="82"/>
    </row>
    <row r="27" spans="1:28" s="53" customFormat="1" ht="15" x14ac:dyDescent="0.25">
      <c r="A27" s="136"/>
      <c r="B27" s="136"/>
      <c r="C27" s="136"/>
      <c r="D27" s="136"/>
      <c r="E27" s="136"/>
      <c r="F27" s="136"/>
      <c r="G27" s="54"/>
      <c r="H27" s="54"/>
      <c r="I27" s="211" t="s">
        <v>3</v>
      </c>
      <c r="J27" s="137">
        <f t="shared" ref="J27:Z27" si="4">SUM(J25:J26)</f>
        <v>513000</v>
      </c>
      <c r="K27" s="137">
        <f t="shared" si="4"/>
        <v>0</v>
      </c>
      <c r="L27" s="137">
        <f t="shared" si="4"/>
        <v>0</v>
      </c>
      <c r="M27" s="137">
        <f t="shared" si="4"/>
        <v>513000</v>
      </c>
      <c r="N27" s="137">
        <f t="shared" si="4"/>
        <v>376342.07</v>
      </c>
      <c r="O27" s="137">
        <f t="shared" si="4"/>
        <v>0</v>
      </c>
      <c r="P27" s="137">
        <f t="shared" si="4"/>
        <v>19640</v>
      </c>
      <c r="Q27" s="137">
        <f t="shared" si="4"/>
        <v>32630</v>
      </c>
      <c r="R27" s="137">
        <f t="shared" si="4"/>
        <v>25722</v>
      </c>
      <c r="S27" s="137">
        <f t="shared" si="4"/>
        <v>41555</v>
      </c>
      <c r="T27" s="137">
        <f t="shared" si="4"/>
        <v>33902</v>
      </c>
      <c r="U27" s="137">
        <f t="shared" si="4"/>
        <v>44697.4</v>
      </c>
      <c r="V27" s="137">
        <f t="shared" si="4"/>
        <v>53497.67</v>
      </c>
      <c r="W27" s="137">
        <f t="shared" si="4"/>
        <v>124698</v>
      </c>
      <c r="X27" s="137">
        <f t="shared" si="4"/>
        <v>0</v>
      </c>
      <c r="Y27" s="137">
        <f t="shared" si="4"/>
        <v>0</v>
      </c>
      <c r="Z27" s="137">
        <f t="shared" si="4"/>
        <v>0</v>
      </c>
      <c r="AA27" s="83"/>
      <c r="AB27" s="84"/>
    </row>
    <row r="28" spans="1:28" s="53" customFormat="1" ht="14.25" x14ac:dyDescent="0.2">
      <c r="A28" s="21" t="s">
        <v>17</v>
      </c>
      <c r="B28" s="21" t="s">
        <v>18</v>
      </c>
      <c r="C28" s="21" t="s">
        <v>19</v>
      </c>
      <c r="D28" s="21" t="s">
        <v>42</v>
      </c>
      <c r="E28" s="21" t="s">
        <v>43</v>
      </c>
      <c r="F28" s="21" t="s">
        <v>41</v>
      </c>
      <c r="G28" s="205">
        <v>3411</v>
      </c>
      <c r="H28" s="42">
        <v>0</v>
      </c>
      <c r="I28" s="209" t="s">
        <v>94</v>
      </c>
      <c r="J28" s="120">
        <v>20000</v>
      </c>
      <c r="K28" s="120"/>
      <c r="L28" s="120"/>
      <c r="M28" s="119">
        <f t="shared" ref="M28:M35" si="5">J28+L28-K28</f>
        <v>20000</v>
      </c>
      <c r="N28" s="118">
        <f>SUM(O28:Z28)</f>
        <v>7218.6499999999987</v>
      </c>
      <c r="O28" s="178">
        <v>1223.76</v>
      </c>
      <c r="P28" s="178">
        <v>628</v>
      </c>
      <c r="Q28" s="178">
        <v>582.98</v>
      </c>
      <c r="R28" s="178">
        <v>523.12</v>
      </c>
      <c r="S28" s="178">
        <v>609.99</v>
      </c>
      <c r="T28" s="178">
        <v>594.91</v>
      </c>
      <c r="U28" s="118">
        <v>1337.07</v>
      </c>
      <c r="V28" s="118">
        <v>1167.0999999999999</v>
      </c>
      <c r="W28" s="118">
        <v>551.72</v>
      </c>
      <c r="X28" s="118"/>
      <c r="Y28" s="118"/>
      <c r="Z28" s="118"/>
      <c r="AA28" s="83"/>
      <c r="AB28" s="84"/>
    </row>
    <row r="29" spans="1:28" s="53" customFormat="1" ht="14.25" x14ac:dyDescent="0.2">
      <c r="A29" s="21" t="s">
        <v>17</v>
      </c>
      <c r="B29" s="21" t="s">
        <v>18</v>
      </c>
      <c r="C29" s="21" t="s">
        <v>19</v>
      </c>
      <c r="D29" s="21" t="s">
        <v>42</v>
      </c>
      <c r="E29" s="21" t="s">
        <v>43</v>
      </c>
      <c r="F29" s="21" t="s">
        <v>41</v>
      </c>
      <c r="G29" s="205">
        <v>3481</v>
      </c>
      <c r="H29" s="42">
        <v>0</v>
      </c>
      <c r="I29" s="209" t="s">
        <v>95</v>
      </c>
      <c r="J29" s="120">
        <v>20000</v>
      </c>
      <c r="K29" s="120"/>
      <c r="L29" s="120"/>
      <c r="M29" s="119">
        <f t="shared" si="5"/>
        <v>20000</v>
      </c>
      <c r="N29" s="118">
        <f>SUM(O29:Z29)</f>
        <v>11805.3</v>
      </c>
      <c r="O29" s="178">
        <f>510.91+510.91</f>
        <v>1021.82</v>
      </c>
      <c r="P29" s="178">
        <f>650.14+650.14</f>
        <v>1300.28</v>
      </c>
      <c r="Q29" s="178">
        <f>821.22+821.22</f>
        <v>1642.44</v>
      </c>
      <c r="R29" s="178">
        <f>853.14+853.14</f>
        <v>1706.28</v>
      </c>
      <c r="S29" s="178">
        <v>1006.48</v>
      </c>
      <c r="T29" s="178">
        <f>494.42+494.42</f>
        <v>988.84</v>
      </c>
      <c r="U29" s="118">
        <f>320.04+320.04</f>
        <v>640.08000000000004</v>
      </c>
      <c r="V29" s="178">
        <f>788.26+788.26</f>
        <v>1576.52</v>
      </c>
      <c r="W29" s="178">
        <f>961.28+961.28</f>
        <v>1922.56</v>
      </c>
      <c r="X29" s="118"/>
      <c r="Y29" s="118"/>
      <c r="Z29" s="118"/>
      <c r="AA29" s="83"/>
      <c r="AB29" s="84"/>
    </row>
    <row r="30" spans="1:28" s="17" customFormat="1" ht="14.25" x14ac:dyDescent="0.2">
      <c r="A30" s="21" t="s">
        <v>17</v>
      </c>
      <c r="B30" s="21" t="s">
        <v>18</v>
      </c>
      <c r="C30" s="21" t="s">
        <v>19</v>
      </c>
      <c r="D30" s="21" t="s">
        <v>42</v>
      </c>
      <c r="E30" s="21" t="s">
        <v>43</v>
      </c>
      <c r="F30" s="21" t="s">
        <v>41</v>
      </c>
      <c r="G30" s="72">
        <v>3571</v>
      </c>
      <c r="H30" s="42">
        <v>0</v>
      </c>
      <c r="I30" s="209" t="s">
        <v>193</v>
      </c>
      <c r="J30" s="120">
        <v>20000</v>
      </c>
      <c r="K30" s="120"/>
      <c r="L30" s="120"/>
      <c r="M30" s="119">
        <f t="shared" si="5"/>
        <v>20000</v>
      </c>
      <c r="N30" s="118">
        <f>SUM(O30:Z30)</f>
        <v>0</v>
      </c>
      <c r="O30" s="178"/>
      <c r="P30" s="178"/>
      <c r="Q30" s="178"/>
      <c r="R30" s="178"/>
      <c r="S30" s="178"/>
      <c r="T30" s="178"/>
      <c r="U30" s="118"/>
      <c r="V30" s="118"/>
      <c r="W30" s="178"/>
      <c r="X30" s="118"/>
      <c r="Y30" s="118"/>
      <c r="Z30" s="118"/>
      <c r="AA30" s="83"/>
      <c r="AB30" s="82"/>
    </row>
    <row r="31" spans="1:28" s="82" customFormat="1" ht="14.25" x14ac:dyDescent="0.2">
      <c r="A31" s="21" t="s">
        <v>17</v>
      </c>
      <c r="B31" s="21" t="s">
        <v>18</v>
      </c>
      <c r="C31" s="21" t="s">
        <v>19</v>
      </c>
      <c r="D31" s="21" t="s">
        <v>42</v>
      </c>
      <c r="E31" s="21" t="s">
        <v>43</v>
      </c>
      <c r="F31" s="21" t="s">
        <v>41</v>
      </c>
      <c r="G31" s="189">
        <v>3751</v>
      </c>
      <c r="H31" s="190">
        <v>0</v>
      </c>
      <c r="I31" s="214" t="s">
        <v>190</v>
      </c>
      <c r="J31" s="242">
        <v>100000</v>
      </c>
      <c r="K31" s="242"/>
      <c r="L31" s="242"/>
      <c r="M31" s="125">
        <f t="shared" si="5"/>
        <v>100000</v>
      </c>
      <c r="N31" s="125">
        <f>SUM(O31:Z31)</f>
        <v>59653.38</v>
      </c>
      <c r="O31" s="243"/>
      <c r="P31" s="243"/>
      <c r="Q31" s="243"/>
      <c r="R31" s="243"/>
      <c r="S31" s="243">
        <v>59653.38</v>
      </c>
      <c r="T31" s="243">
        <v>0</v>
      </c>
      <c r="U31" s="125">
        <v>0</v>
      </c>
      <c r="V31" s="125">
        <v>0</v>
      </c>
      <c r="W31" s="125">
        <v>0</v>
      </c>
      <c r="X31" s="125">
        <v>0</v>
      </c>
      <c r="Y31" s="125"/>
      <c r="Z31" s="125"/>
      <c r="AA31" s="83"/>
    </row>
    <row r="32" spans="1:28" x14ac:dyDescent="0.2">
      <c r="A32" s="22"/>
      <c r="B32" s="22"/>
      <c r="C32" s="22"/>
      <c r="D32" s="33"/>
      <c r="E32" s="22"/>
      <c r="F32" s="22"/>
      <c r="G32" s="22"/>
      <c r="H32" s="22"/>
      <c r="I32" s="92" t="s">
        <v>4</v>
      </c>
      <c r="J32" s="96">
        <f>SUM(J28:J31)</f>
        <v>160000</v>
      </c>
      <c r="K32" s="96">
        <f t="shared" ref="K32:Z32" si="6">SUM(K28:K31)</f>
        <v>0</v>
      </c>
      <c r="L32" s="96">
        <f t="shared" si="6"/>
        <v>0</v>
      </c>
      <c r="M32" s="96">
        <f t="shared" si="6"/>
        <v>160000</v>
      </c>
      <c r="N32" s="96">
        <f>SUM(N28:N31)</f>
        <v>78677.329999999987</v>
      </c>
      <c r="O32" s="96">
        <f t="shared" si="6"/>
        <v>2245.58</v>
      </c>
      <c r="P32" s="96">
        <f t="shared" si="6"/>
        <v>1928.28</v>
      </c>
      <c r="Q32" s="96">
        <f t="shared" si="6"/>
        <v>2225.42</v>
      </c>
      <c r="R32" s="96">
        <f t="shared" si="6"/>
        <v>2229.4</v>
      </c>
      <c r="S32" s="96">
        <f t="shared" si="6"/>
        <v>61269.85</v>
      </c>
      <c r="T32" s="96">
        <f t="shared" si="6"/>
        <v>1583.75</v>
      </c>
      <c r="U32" s="96">
        <f t="shared" si="6"/>
        <v>1977.15</v>
      </c>
      <c r="V32" s="96">
        <f t="shared" si="6"/>
        <v>2743.62</v>
      </c>
      <c r="W32" s="96">
        <f t="shared" si="6"/>
        <v>2474.2799999999997</v>
      </c>
      <c r="X32" s="96">
        <f t="shared" si="6"/>
        <v>0</v>
      </c>
      <c r="Y32" s="96">
        <f t="shared" si="6"/>
        <v>0</v>
      </c>
      <c r="Z32" s="96">
        <f t="shared" si="6"/>
        <v>0</v>
      </c>
      <c r="AA32" s="83"/>
    </row>
    <row r="33" spans="1:28" s="17" customFormat="1" x14ac:dyDescent="0.2">
      <c r="A33" s="21"/>
      <c r="B33" s="21"/>
      <c r="C33" s="21"/>
      <c r="D33" s="21"/>
      <c r="E33" s="21"/>
      <c r="F33" s="21"/>
      <c r="G33" s="72"/>
      <c r="H33" s="42"/>
      <c r="I33" s="150"/>
      <c r="J33" s="120"/>
      <c r="K33" s="120"/>
      <c r="L33" s="120"/>
      <c r="M33" s="119">
        <f t="shared" si="5"/>
        <v>0</v>
      </c>
      <c r="N33" s="118">
        <f>SUM(O33:Z33)</f>
        <v>0</v>
      </c>
      <c r="O33" s="118"/>
      <c r="P33" s="118"/>
      <c r="Q33" s="118"/>
      <c r="R33" s="118"/>
      <c r="S33" s="118"/>
      <c r="T33" s="118"/>
      <c r="U33" s="125"/>
      <c r="V33" s="118"/>
      <c r="W33" s="118"/>
      <c r="X33" s="118"/>
      <c r="Y33" s="118"/>
      <c r="Z33" s="118"/>
      <c r="AA33" s="83"/>
      <c r="AB33" s="82"/>
    </row>
    <row r="34" spans="1:28" s="12" customFormat="1" x14ac:dyDescent="0.2">
      <c r="A34" s="22"/>
      <c r="B34" s="22"/>
      <c r="C34" s="22"/>
      <c r="D34" s="33"/>
      <c r="E34" s="22"/>
      <c r="F34" s="22"/>
      <c r="G34" s="22"/>
      <c r="H34" s="22"/>
      <c r="I34" s="92" t="s">
        <v>5</v>
      </c>
      <c r="J34" s="96">
        <f>SUM(J33)</f>
        <v>0</v>
      </c>
      <c r="K34" s="96">
        <f t="shared" ref="K34:M34" si="7">SUM(K33)</f>
        <v>0</v>
      </c>
      <c r="L34" s="96">
        <f t="shared" si="7"/>
        <v>0</v>
      </c>
      <c r="M34" s="96">
        <f t="shared" si="7"/>
        <v>0</v>
      </c>
      <c r="N34" s="96">
        <f t="shared" ref="N34:Z34" si="8">SUM(N33)</f>
        <v>0</v>
      </c>
      <c r="O34" s="96">
        <f t="shared" si="8"/>
        <v>0</v>
      </c>
      <c r="P34" s="96">
        <f t="shared" si="8"/>
        <v>0</v>
      </c>
      <c r="Q34" s="96">
        <f t="shared" si="8"/>
        <v>0</v>
      </c>
      <c r="R34" s="96">
        <f t="shared" si="8"/>
        <v>0</v>
      </c>
      <c r="S34" s="96">
        <f t="shared" si="8"/>
        <v>0</v>
      </c>
      <c r="T34" s="96">
        <f t="shared" si="8"/>
        <v>0</v>
      </c>
      <c r="U34" s="96">
        <f t="shared" si="8"/>
        <v>0</v>
      </c>
      <c r="V34" s="96">
        <f t="shared" si="8"/>
        <v>0</v>
      </c>
      <c r="W34" s="96">
        <f t="shared" si="8"/>
        <v>0</v>
      </c>
      <c r="X34" s="96">
        <f t="shared" si="8"/>
        <v>0</v>
      </c>
      <c r="Y34" s="96">
        <f t="shared" si="8"/>
        <v>0</v>
      </c>
      <c r="Z34" s="96">
        <f t="shared" si="8"/>
        <v>0</v>
      </c>
      <c r="AA34" s="83"/>
      <c r="AB34" s="23"/>
    </row>
    <row r="35" spans="1:28" s="17" customFormat="1" x14ac:dyDescent="0.2">
      <c r="A35" s="21"/>
      <c r="B35" s="21"/>
      <c r="C35" s="21"/>
      <c r="D35" s="21"/>
      <c r="E35" s="21"/>
      <c r="F35" s="21"/>
      <c r="G35" s="72"/>
      <c r="H35" s="42"/>
      <c r="I35" s="150"/>
      <c r="J35" s="120"/>
      <c r="K35" s="120"/>
      <c r="L35" s="120"/>
      <c r="M35" s="119">
        <f t="shared" si="5"/>
        <v>0</v>
      </c>
      <c r="N35" s="118"/>
      <c r="O35" s="118"/>
      <c r="P35" s="118"/>
      <c r="Q35" s="118"/>
      <c r="R35" s="118"/>
      <c r="S35" s="118"/>
      <c r="T35" s="118"/>
      <c r="U35" s="125"/>
      <c r="V35" s="118"/>
      <c r="W35" s="118"/>
      <c r="X35" s="118"/>
      <c r="Y35" s="118"/>
      <c r="Z35" s="118"/>
      <c r="AA35" s="83"/>
      <c r="AB35" s="82"/>
    </row>
    <row r="36" spans="1:28" s="12" customFormat="1" x14ac:dyDescent="0.2">
      <c r="A36" s="22"/>
      <c r="B36" s="22"/>
      <c r="C36" s="22"/>
      <c r="D36" s="33"/>
      <c r="E36" s="22"/>
      <c r="F36" s="22"/>
      <c r="G36" s="22"/>
      <c r="H36" s="22"/>
      <c r="I36" s="92" t="s">
        <v>6</v>
      </c>
      <c r="J36" s="96">
        <f t="shared" ref="J36:Z36" si="9">SUM(J35:J35)</f>
        <v>0</v>
      </c>
      <c r="K36" s="96">
        <f t="shared" si="9"/>
        <v>0</v>
      </c>
      <c r="L36" s="96">
        <f t="shared" si="9"/>
        <v>0</v>
      </c>
      <c r="M36" s="96">
        <f t="shared" si="9"/>
        <v>0</v>
      </c>
      <c r="N36" s="96">
        <f t="shared" si="9"/>
        <v>0</v>
      </c>
      <c r="O36" s="96">
        <f t="shared" si="9"/>
        <v>0</v>
      </c>
      <c r="P36" s="96">
        <f t="shared" si="9"/>
        <v>0</v>
      </c>
      <c r="Q36" s="96">
        <f t="shared" si="9"/>
        <v>0</v>
      </c>
      <c r="R36" s="96">
        <f t="shared" si="9"/>
        <v>0</v>
      </c>
      <c r="S36" s="96">
        <f t="shared" si="9"/>
        <v>0</v>
      </c>
      <c r="T36" s="96">
        <f t="shared" si="9"/>
        <v>0</v>
      </c>
      <c r="U36" s="96">
        <f t="shared" si="9"/>
        <v>0</v>
      </c>
      <c r="V36" s="96">
        <f t="shared" si="9"/>
        <v>0</v>
      </c>
      <c r="W36" s="96">
        <f t="shared" si="9"/>
        <v>0</v>
      </c>
      <c r="X36" s="96">
        <f t="shared" si="9"/>
        <v>0</v>
      </c>
      <c r="Y36" s="96">
        <f t="shared" si="9"/>
        <v>0</v>
      </c>
      <c r="Z36" s="96">
        <f t="shared" si="9"/>
        <v>0</v>
      </c>
      <c r="AA36" s="23"/>
      <c r="AB36" s="23"/>
    </row>
    <row r="37" spans="1:28" x14ac:dyDescent="0.2">
      <c r="G37" s="1"/>
      <c r="H37" s="1"/>
      <c r="I37" s="4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8" s="14" customFormat="1" ht="17.25" customHeight="1" x14ac:dyDescent="0.2">
      <c r="A38" s="505"/>
      <c r="B38" s="506"/>
      <c r="C38" s="506"/>
      <c r="D38" s="506"/>
      <c r="E38" s="506"/>
      <c r="F38" s="506"/>
      <c r="G38" s="506"/>
      <c r="H38" s="507"/>
      <c r="I38" s="156" t="s">
        <v>7</v>
      </c>
      <c r="J38" s="157">
        <f t="shared" ref="J38:Z38" si="10">SUM(J24,J27,J32,J34,J36)</f>
        <v>2073538.2</v>
      </c>
      <c r="K38" s="157">
        <f t="shared" si="10"/>
        <v>26552.48</v>
      </c>
      <c r="L38" s="157">
        <f t="shared" si="10"/>
        <v>26552.48</v>
      </c>
      <c r="M38" s="157">
        <f t="shared" si="10"/>
        <v>2073538.1999999997</v>
      </c>
      <c r="N38" s="157">
        <f>SUM(N24,N27,N32,N34,N36)</f>
        <v>483281.37</v>
      </c>
      <c r="O38" s="157">
        <f t="shared" si="10"/>
        <v>2245.58</v>
      </c>
      <c r="P38" s="157">
        <f t="shared" si="10"/>
        <v>21568.28</v>
      </c>
      <c r="Q38" s="157">
        <f t="shared" si="10"/>
        <v>34855.42</v>
      </c>
      <c r="R38" s="157">
        <f t="shared" si="10"/>
        <v>27951.4</v>
      </c>
      <c r="S38" s="157">
        <f t="shared" si="10"/>
        <v>102824.85</v>
      </c>
      <c r="T38" s="157">
        <f t="shared" si="10"/>
        <v>35485.75</v>
      </c>
      <c r="U38" s="157">
        <f t="shared" si="10"/>
        <v>46674.55</v>
      </c>
      <c r="V38" s="157">
        <f t="shared" si="10"/>
        <v>68087.12999999999</v>
      </c>
      <c r="W38" s="157">
        <f t="shared" si="10"/>
        <v>143588.41</v>
      </c>
      <c r="X38" s="157">
        <f t="shared" si="10"/>
        <v>0</v>
      </c>
      <c r="Y38" s="157">
        <f t="shared" si="10"/>
        <v>0</v>
      </c>
      <c r="Z38" s="157">
        <f t="shared" si="10"/>
        <v>0</v>
      </c>
      <c r="AA38" s="85"/>
      <c r="AB38" s="85"/>
    </row>
    <row r="39" spans="1:28" s="11" customFormat="1" ht="12" x14ac:dyDescent="0.2">
      <c r="A39" s="15"/>
      <c r="B39" s="15"/>
      <c r="C39" s="15"/>
      <c r="D39" s="16"/>
      <c r="E39" s="15"/>
      <c r="F39" s="15"/>
      <c r="G39" s="15"/>
      <c r="H39" s="15"/>
      <c r="I39" s="17"/>
      <c r="J39" s="28"/>
      <c r="K39" s="27"/>
      <c r="L39" s="27"/>
      <c r="M39" s="2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2"/>
      <c r="AB39" s="32"/>
    </row>
    <row r="40" spans="1:28" s="11" customFormat="1" ht="12" x14ac:dyDescent="0.2">
      <c r="A40" s="15"/>
      <c r="B40" s="15"/>
      <c r="C40" s="15"/>
      <c r="D40" s="16"/>
      <c r="E40" s="15"/>
      <c r="F40" s="15"/>
      <c r="G40" s="15"/>
      <c r="H40" s="15"/>
      <c r="I40" s="165" t="s">
        <v>168</v>
      </c>
      <c r="J40" s="176">
        <v>10000</v>
      </c>
      <c r="K40" s="27"/>
      <c r="L40" s="27"/>
      <c r="M40" s="2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32"/>
      <c r="AB40" s="32"/>
    </row>
    <row r="41" spans="1:28" s="11" customFormat="1" ht="12" x14ac:dyDescent="0.2">
      <c r="A41" s="15"/>
      <c r="B41" s="15"/>
      <c r="C41" s="15"/>
      <c r="D41" s="16"/>
      <c r="E41" s="15"/>
      <c r="F41" s="15"/>
      <c r="G41" s="15"/>
      <c r="H41" s="15"/>
      <c r="I41" s="177" t="s">
        <v>223</v>
      </c>
      <c r="J41" s="176">
        <v>600000</v>
      </c>
      <c r="K41" s="27"/>
      <c r="L41" s="27"/>
      <c r="M41" s="2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2"/>
      <c r="AB41" s="32"/>
    </row>
    <row r="42" spans="1:28" s="11" customFormat="1" ht="12" x14ac:dyDescent="0.2">
      <c r="A42" s="15"/>
      <c r="B42" s="15"/>
      <c r="C42" s="15"/>
      <c r="D42" s="16"/>
      <c r="E42" s="15"/>
      <c r="F42" s="15"/>
      <c r="G42" s="15"/>
      <c r="H42" s="15"/>
      <c r="I42" s="165" t="s">
        <v>211</v>
      </c>
      <c r="J42" s="176">
        <v>1426395</v>
      </c>
      <c r="K42" s="27"/>
      <c r="L42" s="27"/>
      <c r="M42" s="2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32"/>
      <c r="AB42" s="32"/>
    </row>
    <row r="43" spans="1:28" s="11" customFormat="1" ht="12" x14ac:dyDescent="0.2">
      <c r="A43" s="15"/>
      <c r="B43" s="15"/>
      <c r="C43" s="15"/>
      <c r="D43" s="16"/>
      <c r="E43" s="15"/>
      <c r="F43" s="15"/>
      <c r="G43" s="15"/>
      <c r="H43" s="15"/>
      <c r="I43" s="177" t="s">
        <v>170</v>
      </c>
      <c r="J43" s="176">
        <v>37143</v>
      </c>
      <c r="K43" s="27"/>
      <c r="L43" s="27"/>
      <c r="M43" s="2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32"/>
      <c r="AB43" s="32"/>
    </row>
    <row r="44" spans="1:28" s="11" customFormat="1" ht="12" x14ac:dyDescent="0.2">
      <c r="A44" s="15"/>
      <c r="B44" s="15"/>
      <c r="C44" s="15"/>
      <c r="D44" s="16"/>
      <c r="E44" s="15"/>
      <c r="F44" s="15"/>
      <c r="G44" s="15"/>
      <c r="H44" s="15"/>
      <c r="I44" s="177"/>
      <c r="J44" s="176"/>
      <c r="K44" s="27"/>
      <c r="L44" s="27"/>
      <c r="M44" s="2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32"/>
      <c r="AB44" s="32"/>
    </row>
    <row r="45" spans="1:28" s="11" customFormat="1" ht="12" x14ac:dyDescent="0.2">
      <c r="A45" s="18"/>
      <c r="B45" s="18"/>
      <c r="C45" s="18"/>
      <c r="D45" s="19"/>
      <c r="E45" s="18"/>
      <c r="F45" s="18"/>
      <c r="G45" s="15"/>
      <c r="H45" s="15"/>
      <c r="I45" s="177" t="s">
        <v>171</v>
      </c>
      <c r="J45" s="176">
        <f>SUM(J40:J44)</f>
        <v>2073538</v>
      </c>
      <c r="K45" s="27"/>
      <c r="L45" s="27"/>
      <c r="M45" s="27"/>
      <c r="N45" s="17"/>
      <c r="O45" s="17"/>
      <c r="P45" s="17"/>
      <c r="Q45" s="48"/>
      <c r="AA45" s="32"/>
      <c r="AB45" s="32"/>
    </row>
    <row r="46" spans="1:28" s="11" customFormat="1" ht="12" x14ac:dyDescent="0.2">
      <c r="A46" s="18"/>
      <c r="B46" s="18"/>
      <c r="C46" s="18"/>
      <c r="D46" s="19"/>
      <c r="E46" s="18"/>
      <c r="F46" s="18"/>
      <c r="G46" s="15"/>
      <c r="H46" s="15"/>
      <c r="I46" s="17"/>
      <c r="J46" s="28"/>
      <c r="K46" s="27"/>
      <c r="L46" s="27"/>
      <c r="M46" s="27"/>
      <c r="N46" s="17"/>
      <c r="O46" s="17"/>
      <c r="P46" s="17"/>
      <c r="Q46" s="17"/>
      <c r="AA46" s="32"/>
      <c r="AB46" s="32"/>
    </row>
    <row r="47" spans="1:28" s="11" customFormat="1" ht="12" x14ac:dyDescent="0.2">
      <c r="A47" s="18"/>
      <c r="B47" s="18"/>
      <c r="C47" s="18"/>
      <c r="D47" s="19"/>
      <c r="E47" s="18"/>
      <c r="F47" s="18"/>
      <c r="G47" s="15"/>
      <c r="H47" s="15"/>
      <c r="I47" s="17"/>
      <c r="J47" s="28"/>
      <c r="K47" s="27"/>
      <c r="L47" s="27"/>
      <c r="M47" s="27"/>
      <c r="N47" s="17"/>
      <c r="O47" s="17"/>
      <c r="P47" s="17"/>
      <c r="Q47" s="17"/>
      <c r="AA47" s="32"/>
      <c r="AB47" s="32"/>
    </row>
    <row r="48" spans="1:28" s="11" customFormat="1" ht="12" x14ac:dyDescent="0.2">
      <c r="A48" s="18"/>
      <c r="B48" s="18"/>
      <c r="C48" s="18"/>
      <c r="D48" s="19"/>
      <c r="E48" s="18"/>
      <c r="F48" s="18"/>
      <c r="G48" s="15"/>
      <c r="H48" s="15"/>
      <c r="I48" s="17"/>
      <c r="J48" s="28"/>
      <c r="K48" s="28"/>
      <c r="L48" s="28"/>
      <c r="M48" s="28"/>
      <c r="N48" s="28"/>
      <c r="O48" s="28"/>
      <c r="P48" s="28"/>
      <c r="Q48" s="28"/>
      <c r="R48" s="28"/>
      <c r="AA48" s="32"/>
      <c r="AB48" s="32"/>
    </row>
    <row r="49" spans="1:28" s="11" customFormat="1" ht="12" x14ac:dyDescent="0.2">
      <c r="A49" s="18"/>
      <c r="B49" s="18"/>
      <c r="C49" s="18"/>
      <c r="D49" s="19"/>
      <c r="E49" s="18"/>
      <c r="F49" s="18"/>
      <c r="G49" s="15"/>
      <c r="H49" s="15"/>
      <c r="I49" s="17"/>
      <c r="J49" s="28"/>
      <c r="K49" s="27"/>
      <c r="L49" s="27"/>
      <c r="M49" s="27"/>
      <c r="N49" s="17"/>
      <c r="O49" s="17"/>
      <c r="P49" s="17"/>
      <c r="Q49" s="17"/>
      <c r="AA49" s="32"/>
      <c r="AB49" s="32"/>
    </row>
    <row r="50" spans="1:28" s="11" customFormat="1" ht="12" x14ac:dyDescent="0.2">
      <c r="A50" s="18"/>
      <c r="B50" s="18"/>
      <c r="C50" s="18"/>
      <c r="D50" s="19"/>
      <c r="E50" s="18"/>
      <c r="F50" s="18"/>
      <c r="G50" s="15"/>
      <c r="H50" s="15"/>
      <c r="I50" s="17"/>
      <c r="J50" s="28"/>
      <c r="K50" s="27"/>
      <c r="L50" s="27"/>
      <c r="M50" s="27"/>
      <c r="N50" s="17"/>
      <c r="O50" s="17"/>
      <c r="P50" s="17"/>
      <c r="Q50" s="17"/>
      <c r="AA50" s="32"/>
      <c r="AB50" s="32"/>
    </row>
    <row r="51" spans="1:28" s="11" customFormat="1" ht="12" x14ac:dyDescent="0.2">
      <c r="A51" s="18"/>
      <c r="B51" s="18"/>
      <c r="C51" s="18"/>
      <c r="D51" s="19"/>
      <c r="E51" s="18"/>
      <c r="F51" s="18"/>
      <c r="G51" s="15"/>
      <c r="H51" s="15"/>
      <c r="I51" s="17"/>
      <c r="J51" s="28"/>
      <c r="K51" s="27"/>
      <c r="L51" s="27"/>
      <c r="M51" s="27"/>
      <c r="N51" s="17"/>
      <c r="O51" s="17"/>
      <c r="P51" s="17"/>
      <c r="Q51" s="17"/>
      <c r="AA51" s="32"/>
      <c r="AB51" s="32"/>
    </row>
    <row r="52" spans="1:28" s="11" customFormat="1" ht="12" x14ac:dyDescent="0.2">
      <c r="A52" s="18"/>
      <c r="B52" s="18"/>
      <c r="C52" s="18"/>
      <c r="D52" s="19"/>
      <c r="E52" s="18"/>
      <c r="F52" s="18"/>
      <c r="G52" s="15"/>
      <c r="H52" s="15"/>
      <c r="I52" s="17"/>
      <c r="J52" s="28"/>
      <c r="K52" s="27"/>
      <c r="L52" s="27"/>
      <c r="M52" s="27"/>
      <c r="N52" s="17"/>
      <c r="O52" s="17"/>
      <c r="P52" s="17"/>
      <c r="Q52" s="17"/>
      <c r="AA52" s="32"/>
      <c r="AB52" s="32"/>
    </row>
    <row r="53" spans="1:28" s="11" customFormat="1" ht="12" x14ac:dyDescent="0.2">
      <c r="A53" s="18"/>
      <c r="B53" s="18"/>
      <c r="C53" s="18"/>
      <c r="D53" s="19"/>
      <c r="E53" s="18"/>
      <c r="F53" s="18"/>
      <c r="G53" s="15"/>
      <c r="H53" s="15"/>
      <c r="I53" s="17"/>
      <c r="J53" s="28"/>
      <c r="K53" s="27"/>
      <c r="L53" s="27"/>
      <c r="M53" s="27"/>
      <c r="N53" s="17"/>
      <c r="O53" s="17"/>
      <c r="P53" s="17"/>
      <c r="Q53" s="17"/>
      <c r="AA53" s="32"/>
      <c r="AB53" s="32"/>
    </row>
    <row r="54" spans="1:28" s="11" customFormat="1" ht="12" x14ac:dyDescent="0.2">
      <c r="A54" s="18"/>
      <c r="B54" s="18"/>
      <c r="C54" s="18"/>
      <c r="D54" s="19"/>
      <c r="E54" s="18"/>
      <c r="F54" s="18"/>
      <c r="G54" s="15"/>
      <c r="H54" s="15"/>
      <c r="I54" s="17"/>
      <c r="J54" s="28"/>
      <c r="K54" s="27"/>
      <c r="L54" s="27"/>
      <c r="M54" s="27"/>
      <c r="N54" s="17"/>
      <c r="O54" s="17"/>
      <c r="P54" s="17"/>
      <c r="Q54" s="17"/>
      <c r="AA54" s="32"/>
      <c r="AB54" s="32"/>
    </row>
    <row r="55" spans="1:28" s="11" customFormat="1" ht="12" x14ac:dyDescent="0.2">
      <c r="A55" s="18"/>
      <c r="B55" s="18"/>
      <c r="C55" s="18"/>
      <c r="D55" s="19"/>
      <c r="E55" s="18"/>
      <c r="F55" s="18"/>
      <c r="G55" s="15"/>
      <c r="H55" s="15"/>
      <c r="I55" s="17"/>
      <c r="J55" s="28"/>
      <c r="K55" s="27"/>
      <c r="L55" s="27"/>
      <c r="M55" s="27"/>
      <c r="N55" s="17"/>
      <c r="O55" s="17"/>
      <c r="P55" s="17"/>
      <c r="Q55" s="17"/>
      <c r="AA55" s="32"/>
      <c r="AB55" s="32"/>
    </row>
    <row r="56" spans="1:28" s="11" customFormat="1" ht="12" x14ac:dyDescent="0.2">
      <c r="A56" s="18"/>
      <c r="B56" s="18"/>
      <c r="C56" s="18"/>
      <c r="D56" s="19"/>
      <c r="E56" s="18"/>
      <c r="F56" s="18"/>
      <c r="G56" s="15"/>
      <c r="H56" s="15"/>
      <c r="I56" s="17"/>
      <c r="J56" s="28"/>
      <c r="K56" s="27"/>
      <c r="L56" s="27"/>
      <c r="M56" s="27"/>
      <c r="N56" s="17"/>
      <c r="O56" s="17"/>
      <c r="P56" s="17"/>
      <c r="Q56" s="17"/>
      <c r="AA56" s="32"/>
      <c r="AB56" s="32"/>
    </row>
    <row r="57" spans="1:28" s="11" customFormat="1" ht="12" x14ac:dyDescent="0.2">
      <c r="A57" s="18"/>
      <c r="B57" s="18"/>
      <c r="C57" s="18"/>
      <c r="D57" s="19"/>
      <c r="E57" s="18"/>
      <c r="F57" s="18"/>
      <c r="G57" s="15"/>
      <c r="H57" s="15"/>
      <c r="I57" s="17"/>
      <c r="J57" s="28"/>
      <c r="K57" s="27"/>
      <c r="L57" s="27"/>
      <c r="M57" s="27"/>
      <c r="N57" s="17"/>
      <c r="O57" s="17"/>
      <c r="P57" s="17"/>
      <c r="Q57" s="17"/>
      <c r="AA57" s="32"/>
      <c r="AB57" s="32"/>
    </row>
    <row r="58" spans="1:28" s="11" customFormat="1" ht="12" x14ac:dyDescent="0.2">
      <c r="A58" s="18"/>
      <c r="B58" s="18"/>
      <c r="C58" s="18"/>
      <c r="D58" s="19"/>
      <c r="E58" s="18"/>
      <c r="F58" s="18"/>
      <c r="G58" s="15"/>
      <c r="H58" s="15"/>
      <c r="I58" s="17"/>
      <c r="J58" s="28"/>
      <c r="K58" s="27"/>
      <c r="L58" s="27"/>
      <c r="M58" s="27"/>
      <c r="N58" s="17"/>
      <c r="O58" s="17"/>
      <c r="P58" s="17"/>
      <c r="Q58" s="17"/>
      <c r="AA58" s="32"/>
      <c r="AB58" s="32"/>
    </row>
    <row r="59" spans="1:28" s="11" customFormat="1" ht="12" x14ac:dyDescent="0.2">
      <c r="A59" s="18"/>
      <c r="B59" s="18"/>
      <c r="C59" s="18"/>
      <c r="D59" s="19"/>
      <c r="E59" s="18"/>
      <c r="F59" s="18"/>
      <c r="G59" s="15"/>
      <c r="H59" s="15"/>
      <c r="I59" s="17"/>
      <c r="J59" s="28"/>
      <c r="K59" s="27"/>
      <c r="L59" s="27"/>
      <c r="M59" s="27"/>
      <c r="N59" s="17"/>
      <c r="O59" s="17"/>
      <c r="P59" s="17"/>
      <c r="Q59" s="17"/>
      <c r="AA59" s="32"/>
      <c r="AB59" s="32"/>
    </row>
    <row r="60" spans="1:28" s="11" customFormat="1" ht="12" x14ac:dyDescent="0.2">
      <c r="A60" s="18"/>
      <c r="B60" s="18"/>
      <c r="C60" s="18"/>
      <c r="D60" s="19"/>
      <c r="E60" s="18"/>
      <c r="F60" s="18"/>
      <c r="G60" s="15"/>
      <c r="H60" s="15"/>
      <c r="I60" s="17"/>
      <c r="J60" s="28"/>
      <c r="K60" s="27"/>
      <c r="L60" s="27"/>
      <c r="M60" s="27"/>
      <c r="N60" s="17"/>
      <c r="O60" s="17"/>
      <c r="P60" s="17"/>
      <c r="Q60" s="17"/>
      <c r="AA60" s="32"/>
      <c r="AB60" s="32"/>
    </row>
    <row r="61" spans="1:28" s="11" customFormat="1" ht="12" x14ac:dyDescent="0.2">
      <c r="A61" s="18"/>
      <c r="B61" s="18"/>
      <c r="C61" s="18"/>
      <c r="D61" s="19"/>
      <c r="E61" s="18"/>
      <c r="F61" s="18"/>
      <c r="G61" s="15"/>
      <c r="H61" s="15"/>
      <c r="I61" s="17"/>
      <c r="J61" s="28"/>
      <c r="K61" s="27"/>
      <c r="L61" s="27"/>
      <c r="M61" s="27"/>
      <c r="N61" s="17"/>
      <c r="O61" s="17"/>
      <c r="P61" s="17"/>
      <c r="Q61" s="17"/>
      <c r="AA61" s="32"/>
      <c r="AB61" s="32"/>
    </row>
    <row r="62" spans="1:28" s="11" customFormat="1" ht="12" x14ac:dyDescent="0.2">
      <c r="A62" s="18"/>
      <c r="B62" s="18"/>
      <c r="C62" s="18"/>
      <c r="D62" s="19"/>
      <c r="E62" s="18"/>
      <c r="F62" s="18"/>
      <c r="G62" s="15"/>
      <c r="H62" s="15"/>
      <c r="I62" s="17"/>
      <c r="J62" s="28"/>
      <c r="K62" s="27"/>
      <c r="L62" s="27"/>
      <c r="M62" s="27"/>
      <c r="N62" s="17"/>
      <c r="O62" s="17"/>
      <c r="P62" s="17"/>
      <c r="Q62" s="17"/>
      <c r="AA62" s="32"/>
      <c r="AB62" s="32"/>
    </row>
    <row r="63" spans="1:28" s="11" customFormat="1" ht="12" x14ac:dyDescent="0.2">
      <c r="A63" s="18"/>
      <c r="B63" s="18"/>
      <c r="C63" s="18"/>
      <c r="D63" s="19"/>
      <c r="E63" s="18"/>
      <c r="F63" s="18"/>
      <c r="G63" s="15"/>
      <c r="H63" s="15"/>
      <c r="I63" s="17"/>
      <c r="J63" s="28"/>
      <c r="K63" s="27"/>
      <c r="L63" s="27"/>
      <c r="M63" s="27"/>
      <c r="N63" s="17"/>
      <c r="O63" s="17"/>
      <c r="P63" s="17"/>
      <c r="Q63" s="17"/>
      <c r="AA63" s="32"/>
      <c r="AB63" s="32"/>
    </row>
    <row r="64" spans="1:28" s="11" customFormat="1" ht="12" x14ac:dyDescent="0.2">
      <c r="A64" s="18"/>
      <c r="B64" s="18"/>
      <c r="C64" s="18"/>
      <c r="D64" s="19"/>
      <c r="E64" s="18"/>
      <c r="F64" s="18"/>
      <c r="G64" s="15"/>
      <c r="H64" s="15"/>
      <c r="I64" s="17"/>
      <c r="J64" s="28"/>
      <c r="K64" s="27"/>
      <c r="L64" s="27"/>
      <c r="M64" s="27"/>
      <c r="N64" s="17"/>
      <c r="O64" s="17"/>
      <c r="P64" s="17"/>
      <c r="Q64" s="17"/>
      <c r="AA64" s="32"/>
      <c r="AB64" s="32"/>
    </row>
    <row r="65" spans="1:28" s="11" customFormat="1" ht="12" x14ac:dyDescent="0.2">
      <c r="A65" s="18"/>
      <c r="B65" s="18"/>
      <c r="C65" s="18"/>
      <c r="D65" s="19"/>
      <c r="E65" s="18"/>
      <c r="F65" s="18"/>
      <c r="G65" s="15"/>
      <c r="H65" s="15"/>
      <c r="I65" s="17"/>
      <c r="J65" s="28"/>
      <c r="K65" s="27"/>
      <c r="L65" s="27"/>
      <c r="M65" s="27"/>
      <c r="N65" s="17"/>
      <c r="O65" s="17"/>
      <c r="P65" s="17"/>
      <c r="Q65" s="17"/>
      <c r="AA65" s="32"/>
      <c r="AB65" s="32"/>
    </row>
    <row r="66" spans="1:28" s="11" customFormat="1" ht="12" x14ac:dyDescent="0.2">
      <c r="A66" s="18"/>
      <c r="B66" s="18"/>
      <c r="C66" s="18"/>
      <c r="D66" s="19"/>
      <c r="E66" s="18"/>
      <c r="F66" s="18"/>
      <c r="G66" s="15"/>
      <c r="H66" s="15"/>
      <c r="I66" s="17"/>
      <c r="J66" s="28"/>
      <c r="K66" s="27"/>
      <c r="L66" s="27"/>
      <c r="M66" s="27"/>
      <c r="N66" s="17"/>
      <c r="O66" s="17"/>
      <c r="P66" s="17"/>
      <c r="Q66" s="17"/>
      <c r="AA66" s="32"/>
      <c r="AB66" s="32"/>
    </row>
    <row r="67" spans="1:28" s="11" customFormat="1" ht="12" x14ac:dyDescent="0.2">
      <c r="A67" s="18"/>
      <c r="B67" s="18"/>
      <c r="C67" s="18"/>
      <c r="D67" s="19"/>
      <c r="E67" s="18"/>
      <c r="F67" s="18"/>
      <c r="G67" s="15"/>
      <c r="H67" s="15"/>
      <c r="I67" s="17"/>
      <c r="J67" s="28"/>
      <c r="K67" s="27"/>
      <c r="L67" s="27"/>
      <c r="M67" s="27"/>
      <c r="N67" s="17"/>
      <c r="O67" s="17"/>
      <c r="P67" s="17"/>
      <c r="Q67" s="17"/>
      <c r="AA67" s="32"/>
      <c r="AB67" s="32"/>
    </row>
    <row r="68" spans="1:28" s="11" customFormat="1" ht="12" x14ac:dyDescent="0.2">
      <c r="A68" s="18"/>
      <c r="B68" s="18"/>
      <c r="C68" s="18"/>
      <c r="D68" s="19"/>
      <c r="E68" s="18"/>
      <c r="F68" s="18"/>
      <c r="G68" s="15"/>
      <c r="H68" s="15"/>
      <c r="I68" s="17"/>
      <c r="J68" s="28"/>
      <c r="K68" s="27"/>
      <c r="L68" s="27"/>
      <c r="M68" s="27"/>
      <c r="N68" s="17"/>
      <c r="O68" s="17"/>
      <c r="P68" s="17"/>
      <c r="Q68" s="17"/>
      <c r="AA68" s="32"/>
      <c r="AB68" s="32"/>
    </row>
    <row r="69" spans="1:28" s="11" customFormat="1" ht="12" x14ac:dyDescent="0.2">
      <c r="A69" s="18"/>
      <c r="B69" s="18"/>
      <c r="C69" s="18"/>
      <c r="D69" s="19"/>
      <c r="E69" s="18"/>
      <c r="F69" s="18"/>
      <c r="G69" s="15"/>
      <c r="H69" s="15"/>
      <c r="I69" s="17"/>
      <c r="J69" s="28"/>
      <c r="K69" s="27"/>
      <c r="L69" s="27"/>
      <c r="M69" s="27"/>
      <c r="N69" s="17"/>
      <c r="O69" s="17"/>
      <c r="P69" s="17"/>
      <c r="Q69" s="17"/>
      <c r="AA69" s="32"/>
      <c r="AB69" s="32"/>
    </row>
    <row r="70" spans="1:28" s="11" customFormat="1" ht="12" x14ac:dyDescent="0.2">
      <c r="A70" s="18"/>
      <c r="B70" s="18"/>
      <c r="C70" s="18"/>
      <c r="D70" s="19"/>
      <c r="E70" s="18"/>
      <c r="F70" s="18"/>
      <c r="G70" s="15"/>
      <c r="H70" s="15"/>
      <c r="I70" s="17"/>
      <c r="J70" s="28"/>
      <c r="K70" s="27"/>
      <c r="L70" s="27"/>
      <c r="M70" s="27"/>
      <c r="N70" s="17"/>
      <c r="O70" s="17"/>
      <c r="P70" s="17"/>
      <c r="Q70" s="17"/>
      <c r="AA70" s="32"/>
      <c r="AB70" s="32"/>
    </row>
    <row r="71" spans="1:28" s="11" customFormat="1" ht="12" x14ac:dyDescent="0.2">
      <c r="A71" s="18"/>
      <c r="B71" s="18"/>
      <c r="C71" s="18"/>
      <c r="D71" s="19"/>
      <c r="E71" s="18"/>
      <c r="F71" s="18"/>
      <c r="G71" s="15"/>
      <c r="H71" s="15"/>
      <c r="I71" s="17"/>
      <c r="J71" s="28"/>
      <c r="K71" s="27"/>
      <c r="L71" s="27"/>
      <c r="M71" s="27"/>
      <c r="N71" s="17"/>
      <c r="O71" s="17"/>
      <c r="P71" s="17"/>
      <c r="Q71" s="17"/>
      <c r="AA71" s="32"/>
      <c r="AB71" s="32"/>
    </row>
    <row r="72" spans="1:28" s="11" customFormat="1" ht="12" x14ac:dyDescent="0.2">
      <c r="A72" s="18"/>
      <c r="B72" s="18"/>
      <c r="C72" s="18"/>
      <c r="D72" s="19"/>
      <c r="E72" s="18"/>
      <c r="F72" s="18"/>
      <c r="G72" s="15"/>
      <c r="H72" s="15"/>
      <c r="I72" s="17"/>
      <c r="J72" s="28"/>
      <c r="K72" s="27"/>
      <c r="L72" s="27"/>
      <c r="M72" s="27"/>
      <c r="N72" s="17"/>
      <c r="O72" s="17"/>
      <c r="P72" s="17"/>
      <c r="Q72" s="17"/>
      <c r="AA72" s="32"/>
      <c r="AB72" s="32"/>
    </row>
    <row r="73" spans="1:28" s="11" customFormat="1" ht="12" x14ac:dyDescent="0.2">
      <c r="A73" s="18"/>
      <c r="B73" s="18"/>
      <c r="C73" s="18"/>
      <c r="D73" s="19"/>
      <c r="E73" s="18"/>
      <c r="F73" s="18"/>
      <c r="G73" s="15"/>
      <c r="H73" s="15"/>
      <c r="I73" s="17"/>
      <c r="J73" s="28"/>
      <c r="K73" s="27"/>
      <c r="L73" s="27"/>
      <c r="M73" s="27"/>
      <c r="N73" s="17"/>
      <c r="O73" s="17"/>
      <c r="P73" s="17"/>
      <c r="Q73" s="17"/>
      <c r="AA73" s="32"/>
      <c r="AB73" s="32"/>
    </row>
    <row r="74" spans="1:28" s="11" customFormat="1" ht="12" x14ac:dyDescent="0.2">
      <c r="A74" s="18"/>
      <c r="B74" s="18"/>
      <c r="C74" s="18"/>
      <c r="D74" s="19"/>
      <c r="E74" s="18"/>
      <c r="F74" s="18"/>
      <c r="G74" s="15"/>
      <c r="H74" s="15"/>
      <c r="I74" s="17"/>
      <c r="J74" s="28"/>
      <c r="K74" s="27"/>
      <c r="L74" s="27"/>
      <c r="M74" s="27"/>
      <c r="N74" s="17"/>
      <c r="O74" s="17"/>
      <c r="P74" s="17"/>
      <c r="Q74" s="17"/>
      <c r="AA74" s="32"/>
      <c r="AB74" s="32"/>
    </row>
    <row r="75" spans="1:28" s="11" customFormat="1" ht="12" x14ac:dyDescent="0.2">
      <c r="A75" s="18"/>
      <c r="B75" s="18"/>
      <c r="C75" s="18"/>
      <c r="D75" s="19"/>
      <c r="E75" s="18"/>
      <c r="F75" s="18"/>
      <c r="G75" s="15"/>
      <c r="H75" s="15"/>
      <c r="I75" s="17"/>
      <c r="J75" s="28"/>
      <c r="K75" s="27"/>
      <c r="L75" s="27"/>
      <c r="M75" s="27"/>
      <c r="N75" s="17"/>
      <c r="O75" s="17"/>
      <c r="P75" s="17"/>
      <c r="Q75" s="17"/>
      <c r="AA75" s="32"/>
      <c r="AB75" s="32"/>
    </row>
    <row r="76" spans="1:28" s="11" customFormat="1" ht="12" x14ac:dyDescent="0.2">
      <c r="A76" s="18"/>
      <c r="B76" s="18"/>
      <c r="C76" s="18"/>
      <c r="D76" s="19"/>
      <c r="E76" s="18"/>
      <c r="F76" s="18"/>
      <c r="G76" s="15"/>
      <c r="H76" s="15"/>
      <c r="I76" s="17"/>
      <c r="J76" s="28"/>
      <c r="K76" s="27"/>
      <c r="L76" s="27"/>
      <c r="M76" s="27"/>
      <c r="N76" s="17"/>
      <c r="O76" s="17"/>
      <c r="P76" s="17"/>
      <c r="Q76" s="17"/>
      <c r="AA76" s="32"/>
      <c r="AB76" s="32"/>
    </row>
    <row r="77" spans="1:28" s="11" customFormat="1" ht="12" x14ac:dyDescent="0.2">
      <c r="A77" s="18"/>
      <c r="B77" s="18"/>
      <c r="C77" s="18"/>
      <c r="D77" s="19"/>
      <c r="E77" s="18"/>
      <c r="F77" s="18"/>
      <c r="G77" s="15"/>
      <c r="H77" s="15"/>
      <c r="I77" s="17"/>
      <c r="J77" s="28"/>
      <c r="K77" s="27"/>
      <c r="L77" s="27"/>
      <c r="M77" s="27"/>
      <c r="N77" s="17"/>
      <c r="O77" s="17"/>
      <c r="P77" s="17"/>
      <c r="Q77" s="17"/>
      <c r="AA77" s="32"/>
      <c r="AB77" s="32"/>
    </row>
    <row r="78" spans="1:28" s="11" customFormat="1" ht="12" x14ac:dyDescent="0.2">
      <c r="A78" s="18"/>
      <c r="B78" s="18"/>
      <c r="C78" s="18"/>
      <c r="D78" s="19"/>
      <c r="E78" s="18"/>
      <c r="F78" s="18"/>
      <c r="G78" s="15"/>
      <c r="H78" s="15"/>
      <c r="I78" s="17"/>
      <c r="J78" s="28"/>
      <c r="K78" s="27"/>
      <c r="L78" s="27"/>
      <c r="M78" s="27"/>
      <c r="N78" s="17"/>
      <c r="O78" s="17"/>
      <c r="P78" s="17"/>
      <c r="Q78" s="17"/>
      <c r="AA78" s="32"/>
      <c r="AB78" s="32"/>
    </row>
    <row r="79" spans="1:28" s="11" customFormat="1" ht="12" x14ac:dyDescent="0.2">
      <c r="A79" s="18"/>
      <c r="B79" s="18"/>
      <c r="C79" s="18"/>
      <c r="D79" s="19"/>
      <c r="E79" s="18"/>
      <c r="F79" s="18"/>
      <c r="G79" s="15"/>
      <c r="H79" s="15"/>
      <c r="I79" s="17"/>
      <c r="J79" s="28"/>
      <c r="K79" s="27"/>
      <c r="L79" s="27"/>
      <c r="M79" s="27"/>
      <c r="N79" s="17"/>
      <c r="O79" s="17"/>
      <c r="P79" s="17"/>
      <c r="Q79" s="17"/>
      <c r="AA79" s="32"/>
      <c r="AB79" s="32"/>
    </row>
    <row r="80" spans="1:28" s="11" customFormat="1" ht="12" x14ac:dyDescent="0.2">
      <c r="A80" s="18"/>
      <c r="B80" s="18"/>
      <c r="C80" s="18"/>
      <c r="D80" s="19"/>
      <c r="E80" s="18"/>
      <c r="F80" s="18"/>
      <c r="G80" s="15"/>
      <c r="H80" s="15"/>
      <c r="I80" s="17"/>
      <c r="J80" s="28"/>
      <c r="K80" s="27"/>
      <c r="L80" s="27"/>
      <c r="M80" s="27"/>
      <c r="N80" s="17"/>
      <c r="O80" s="17"/>
      <c r="P80" s="17"/>
      <c r="Q80" s="17"/>
      <c r="AA80" s="32"/>
      <c r="AB80" s="32"/>
    </row>
    <row r="81" spans="1:28" s="11" customFormat="1" ht="12" x14ac:dyDescent="0.2">
      <c r="A81" s="18"/>
      <c r="B81" s="18"/>
      <c r="C81" s="18"/>
      <c r="D81" s="19"/>
      <c r="E81" s="18"/>
      <c r="F81" s="18"/>
      <c r="G81" s="15"/>
      <c r="H81" s="15"/>
      <c r="I81" s="17"/>
      <c r="J81" s="28"/>
      <c r="K81" s="27"/>
      <c r="L81" s="27"/>
      <c r="M81" s="27"/>
      <c r="N81" s="17"/>
      <c r="O81" s="17"/>
      <c r="P81" s="17"/>
      <c r="Q81" s="17"/>
      <c r="AA81" s="32"/>
      <c r="AB81" s="32"/>
    </row>
    <row r="82" spans="1:28" s="11" customFormat="1" ht="12" x14ac:dyDescent="0.2">
      <c r="A82" s="18"/>
      <c r="B82" s="18"/>
      <c r="C82" s="18"/>
      <c r="D82" s="19"/>
      <c r="E82" s="18"/>
      <c r="F82" s="18"/>
      <c r="G82" s="15"/>
      <c r="H82" s="15"/>
      <c r="I82" s="17"/>
      <c r="J82" s="28"/>
      <c r="K82" s="27"/>
      <c r="L82" s="27"/>
      <c r="M82" s="27"/>
      <c r="N82" s="17"/>
      <c r="O82" s="17"/>
      <c r="P82" s="17"/>
      <c r="Q82" s="17"/>
      <c r="AA82" s="32"/>
      <c r="AB82" s="32"/>
    </row>
    <row r="83" spans="1:28" s="11" customFormat="1" ht="12" x14ac:dyDescent="0.2">
      <c r="A83" s="18"/>
      <c r="B83" s="18"/>
      <c r="C83" s="18"/>
      <c r="D83" s="19"/>
      <c r="E83" s="18"/>
      <c r="F83" s="18"/>
      <c r="G83" s="15"/>
      <c r="H83" s="15"/>
      <c r="I83" s="17"/>
      <c r="J83" s="28"/>
      <c r="K83" s="27"/>
      <c r="L83" s="27"/>
      <c r="M83" s="27"/>
      <c r="N83" s="17"/>
      <c r="O83" s="17"/>
      <c r="P83" s="17"/>
      <c r="Q83" s="17"/>
      <c r="AA83" s="32"/>
      <c r="AB83" s="32"/>
    </row>
    <row r="84" spans="1:28" s="11" customFormat="1" ht="12" x14ac:dyDescent="0.2">
      <c r="A84" s="18"/>
      <c r="B84" s="18"/>
      <c r="C84" s="18"/>
      <c r="D84" s="19"/>
      <c r="E84" s="18"/>
      <c r="F84" s="18"/>
      <c r="G84" s="15"/>
      <c r="H84" s="15"/>
      <c r="I84" s="17"/>
      <c r="J84" s="28"/>
      <c r="K84" s="27"/>
      <c r="L84" s="27"/>
      <c r="M84" s="27"/>
      <c r="N84" s="17"/>
      <c r="O84" s="17"/>
      <c r="P84" s="17"/>
      <c r="Q84" s="17"/>
      <c r="AA84" s="32"/>
      <c r="AB84" s="32"/>
    </row>
    <row r="85" spans="1:28" s="11" customFormat="1" ht="12" x14ac:dyDescent="0.2">
      <c r="A85" s="18"/>
      <c r="B85" s="18"/>
      <c r="C85" s="18"/>
      <c r="D85" s="19"/>
      <c r="E85" s="18"/>
      <c r="F85" s="18"/>
      <c r="G85" s="15"/>
      <c r="H85" s="15"/>
      <c r="I85" s="17"/>
      <c r="J85" s="28"/>
      <c r="K85" s="27"/>
      <c r="L85" s="27"/>
      <c r="M85" s="27"/>
      <c r="N85" s="17"/>
      <c r="O85" s="17"/>
      <c r="P85" s="17"/>
      <c r="Q85" s="17"/>
      <c r="AA85" s="32"/>
      <c r="AB85" s="32"/>
    </row>
    <row r="86" spans="1:28" s="11" customFormat="1" ht="12" x14ac:dyDescent="0.2">
      <c r="A86" s="18"/>
      <c r="B86" s="18"/>
      <c r="C86" s="18"/>
      <c r="D86" s="19"/>
      <c r="E86" s="18"/>
      <c r="F86" s="18"/>
      <c r="G86" s="15"/>
      <c r="H86" s="15"/>
      <c r="I86" s="17"/>
      <c r="J86" s="28"/>
      <c r="K86" s="27"/>
      <c r="L86" s="27"/>
      <c r="M86" s="27"/>
      <c r="N86" s="17"/>
      <c r="O86" s="17"/>
      <c r="P86" s="17"/>
      <c r="Q86" s="17"/>
      <c r="AA86" s="32"/>
      <c r="AB86" s="32"/>
    </row>
    <row r="87" spans="1:28" s="11" customFormat="1" ht="12" x14ac:dyDescent="0.2">
      <c r="A87" s="18"/>
      <c r="B87" s="18"/>
      <c r="C87" s="18"/>
      <c r="D87" s="19"/>
      <c r="E87" s="18"/>
      <c r="F87" s="18"/>
      <c r="G87" s="15"/>
      <c r="H87" s="15"/>
      <c r="I87" s="17"/>
      <c r="J87" s="28"/>
      <c r="K87" s="27"/>
      <c r="L87" s="27"/>
      <c r="M87" s="27"/>
      <c r="N87" s="17"/>
      <c r="O87" s="17"/>
      <c r="P87" s="17"/>
      <c r="Q87" s="17"/>
      <c r="AA87" s="32"/>
      <c r="AB87" s="32"/>
    </row>
    <row r="88" spans="1:28" s="11" customFormat="1" ht="12" x14ac:dyDescent="0.2">
      <c r="A88" s="18"/>
      <c r="B88" s="18"/>
      <c r="C88" s="18"/>
      <c r="D88" s="19"/>
      <c r="E88" s="18"/>
      <c r="F88" s="18"/>
      <c r="G88" s="15"/>
      <c r="H88" s="15"/>
      <c r="I88" s="17"/>
      <c r="J88" s="28"/>
      <c r="K88" s="27"/>
      <c r="L88" s="27"/>
      <c r="M88" s="27"/>
      <c r="N88" s="17"/>
      <c r="O88" s="17"/>
      <c r="P88" s="17"/>
      <c r="Q88" s="17"/>
      <c r="AA88" s="32"/>
      <c r="AB88" s="32"/>
    </row>
    <row r="89" spans="1:28" s="11" customFormat="1" ht="12" x14ac:dyDescent="0.2">
      <c r="A89" s="18"/>
      <c r="B89" s="18"/>
      <c r="C89" s="18"/>
      <c r="D89" s="19"/>
      <c r="E89" s="18"/>
      <c r="F89" s="18"/>
      <c r="G89" s="15"/>
      <c r="H89" s="15"/>
      <c r="I89" s="17"/>
      <c r="J89" s="28"/>
      <c r="K89" s="27"/>
      <c r="L89" s="27"/>
      <c r="M89" s="27"/>
      <c r="N89" s="17"/>
      <c r="O89" s="17"/>
      <c r="P89" s="17"/>
      <c r="Q89" s="17"/>
      <c r="AA89" s="32"/>
      <c r="AB89" s="32"/>
    </row>
  </sheetData>
  <mergeCells count="16">
    <mergeCell ref="O9:Z9"/>
    <mergeCell ref="M9:M10"/>
    <mergeCell ref="I9:I10"/>
    <mergeCell ref="N9:N10"/>
    <mergeCell ref="K9:L9"/>
    <mergeCell ref="J9:J10"/>
    <mergeCell ref="A38:H38"/>
    <mergeCell ref="I5:L5"/>
    <mergeCell ref="F9:F10"/>
    <mergeCell ref="G9:G10"/>
    <mergeCell ref="H9:H10"/>
    <mergeCell ref="A9:A10"/>
    <mergeCell ref="B9:B10"/>
    <mergeCell ref="C9:C10"/>
    <mergeCell ref="E9:E10"/>
    <mergeCell ref="D9:D10"/>
  </mergeCells>
  <phoneticPr fontId="17" type="noConversion"/>
  <pageMargins left="0.62992125984251968" right="0.19" top="0.39370078740157483" bottom="0.39370078740157483" header="0" footer="0"/>
  <pageSetup paperSize="5" scale="54" fitToHeight="0" orientation="landscape" r:id="rId1"/>
  <headerFooter alignWithMargins="0">
    <oddFooter>&amp;C&amp;P&amp;R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B87"/>
  <sheetViews>
    <sheetView showGridLines="0" view="pageBreakPreview" zoomScale="70" zoomScaleNormal="75" zoomScaleSheetLayoutView="70" workbookViewId="0">
      <selection activeCell="X19" sqref="X19"/>
    </sheetView>
  </sheetViews>
  <sheetFormatPr baseColWidth="10" defaultColWidth="11.42578125" defaultRowHeight="12.75" x14ac:dyDescent="0.2"/>
  <cols>
    <col min="1" max="1" width="4" style="1" customWidth="1"/>
    <col min="2" max="2" width="4.42578125" style="1" customWidth="1"/>
    <col min="3" max="3" width="4.5703125" style="1" customWidth="1"/>
    <col min="4" max="4" width="5" style="7" customWidth="1"/>
    <col min="5" max="5" width="4.85546875" style="1" customWidth="1"/>
    <col min="6" max="6" width="6.140625" style="1" customWidth="1"/>
    <col min="7" max="7" width="5.5703125" style="15" customWidth="1"/>
    <col min="8" max="8" width="3.28515625" style="15" customWidth="1"/>
    <col min="9" max="9" width="29.7109375" style="17" customWidth="1"/>
    <col min="10" max="10" width="17.140625" style="28" customWidth="1"/>
    <col min="11" max="12" width="12.85546875" style="27" customWidth="1"/>
    <col min="13" max="13" width="18.7109375" style="27" customWidth="1"/>
    <col min="14" max="14" width="16.28515625" style="17" customWidth="1"/>
    <col min="15" max="17" width="12.28515625" style="17" customWidth="1"/>
    <col min="18" max="21" width="12.28515625" style="4" customWidth="1"/>
    <col min="22" max="22" width="14" style="4" bestFit="1" customWidth="1"/>
    <col min="23" max="23" width="13.42578125" style="4" bestFit="1" customWidth="1"/>
    <col min="24" max="24" width="13.85546875" style="4" customWidth="1"/>
    <col min="25" max="25" width="13" style="4" customWidth="1"/>
    <col min="26" max="26" width="14.140625" style="4" customWidth="1"/>
    <col min="27" max="28" width="11.42578125" style="74" customWidth="1"/>
    <col min="29" max="16384" width="11.42578125" style="4"/>
  </cols>
  <sheetData>
    <row r="1" spans="1:28" ht="25.5" x14ac:dyDescent="0.35">
      <c r="D1" s="3"/>
      <c r="H1" s="6" t="s">
        <v>210</v>
      </c>
      <c r="Z1" s="5"/>
    </row>
    <row r="2" spans="1:28" ht="23.25" x14ac:dyDescent="0.35">
      <c r="H2" s="2" t="s">
        <v>20</v>
      </c>
      <c r="M2" s="36"/>
      <c r="N2" s="35"/>
      <c r="O2" s="34"/>
      <c r="P2" s="34"/>
      <c r="Q2" s="34"/>
      <c r="R2" s="6"/>
      <c r="S2" s="6"/>
      <c r="T2" s="6"/>
      <c r="U2" s="6"/>
      <c r="V2" s="6"/>
      <c r="W2" s="6"/>
      <c r="X2" s="6"/>
      <c r="Y2" s="6"/>
      <c r="Z2" s="5"/>
    </row>
    <row r="3" spans="1:28" ht="25.5" x14ac:dyDescent="0.35">
      <c r="C3" s="2"/>
      <c r="D3" s="3"/>
      <c r="I3" s="37"/>
      <c r="J3" s="38"/>
      <c r="K3" s="39"/>
      <c r="L3" s="39"/>
      <c r="M3" s="36"/>
      <c r="N3" s="35"/>
      <c r="O3" s="34"/>
      <c r="P3" s="34"/>
      <c r="Q3" s="34"/>
      <c r="R3" s="6"/>
      <c r="S3" s="6"/>
      <c r="T3" s="6"/>
      <c r="U3" s="6"/>
      <c r="V3" s="6"/>
      <c r="W3" s="6"/>
      <c r="X3" s="6"/>
      <c r="Y3" s="6"/>
      <c r="Z3" s="5"/>
    </row>
    <row r="4" spans="1:28" s="63" customFormat="1" ht="23.25" customHeight="1" x14ac:dyDescent="0.2">
      <c r="A4" s="55"/>
      <c r="B4" s="55"/>
      <c r="C4" s="56"/>
      <c r="D4" s="57" t="s">
        <v>21</v>
      </c>
      <c r="E4" s="55"/>
      <c r="F4" s="55"/>
      <c r="G4" s="58"/>
      <c r="H4" s="58"/>
      <c r="I4" s="508" t="s">
        <v>44</v>
      </c>
      <c r="J4" s="508"/>
      <c r="K4" s="508"/>
      <c r="L4" s="508"/>
      <c r="M4" s="67"/>
      <c r="N4" s="59"/>
      <c r="O4" s="60"/>
      <c r="P4" s="93" t="s">
        <v>100</v>
      </c>
      <c r="Q4" s="93"/>
      <c r="R4" s="94"/>
      <c r="S4" s="142" t="str">
        <f>+'01.Recurso Estatal'!T4</f>
        <v>TERCER</v>
      </c>
      <c r="T4" s="61"/>
      <c r="U4" s="61"/>
      <c r="V4" s="61"/>
      <c r="W4" s="61"/>
      <c r="X4" s="61"/>
      <c r="Y4" s="61"/>
      <c r="Z4" s="62"/>
      <c r="AA4" s="77"/>
      <c r="AB4" s="77"/>
    </row>
    <row r="5" spans="1:28" s="63" customFormat="1" ht="20.25" customHeight="1" x14ac:dyDescent="0.2">
      <c r="A5" s="55"/>
      <c r="B5" s="55"/>
      <c r="C5" s="55"/>
      <c r="D5" s="126"/>
      <c r="E5" s="127"/>
      <c r="F5" s="127"/>
      <c r="G5" s="127"/>
      <c r="H5" s="127"/>
      <c r="I5" s="482"/>
      <c r="J5" s="482"/>
      <c r="K5" s="482"/>
      <c r="L5" s="482"/>
      <c r="M5" s="128"/>
      <c r="N5" s="77"/>
      <c r="O5" s="104"/>
      <c r="P5" s="104"/>
      <c r="Q5" s="104"/>
      <c r="R5" s="108"/>
      <c r="S5" s="104"/>
      <c r="T5" s="104"/>
      <c r="U5" s="104"/>
      <c r="V5" s="104"/>
      <c r="W5" s="104"/>
      <c r="X5" s="104"/>
      <c r="Y5" s="104"/>
      <c r="Z5" s="106"/>
      <c r="AA5" s="78"/>
      <c r="AB5" s="77"/>
    </row>
    <row r="6" spans="1:28" s="63" customFormat="1" ht="15.75" x14ac:dyDescent="0.2">
      <c r="A6" s="55"/>
      <c r="B6" s="55"/>
      <c r="C6" s="55"/>
      <c r="D6" s="218" t="s">
        <v>23</v>
      </c>
      <c r="E6" s="55"/>
      <c r="F6" s="55"/>
      <c r="G6" s="55"/>
      <c r="H6" s="215"/>
      <c r="I6" s="77"/>
      <c r="J6" s="219" t="s">
        <v>41</v>
      </c>
      <c r="K6" s="130"/>
      <c r="L6" s="130"/>
      <c r="M6" s="130"/>
      <c r="N6" s="77" t="s">
        <v>51</v>
      </c>
      <c r="O6" s="216"/>
      <c r="P6" s="104"/>
      <c r="Q6" s="104" t="s">
        <v>179</v>
      </c>
      <c r="R6" s="104"/>
      <c r="S6" s="104"/>
      <c r="T6" s="104"/>
      <c r="U6" s="104"/>
      <c r="V6" s="104"/>
      <c r="W6" s="104"/>
      <c r="X6" s="104"/>
      <c r="Y6" s="104"/>
      <c r="Z6" s="106"/>
      <c r="AA6" s="78"/>
      <c r="AB6" s="77"/>
    </row>
    <row r="7" spans="1:28" ht="15.75" x14ac:dyDescent="0.2">
      <c r="G7" s="1"/>
      <c r="H7" s="1"/>
      <c r="I7" s="101"/>
      <c r="J7" s="131"/>
      <c r="K7" s="132"/>
      <c r="L7" s="132"/>
      <c r="M7" s="132"/>
      <c r="N7" s="101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100"/>
      <c r="AA7" s="79"/>
    </row>
    <row r="8" spans="1:28" x14ac:dyDescent="0.2">
      <c r="A8" s="8"/>
      <c r="B8" s="8"/>
      <c r="C8" s="8"/>
      <c r="D8" s="9"/>
      <c r="E8" s="8"/>
      <c r="F8" s="8"/>
      <c r="G8" s="8"/>
      <c r="H8" s="8"/>
      <c r="I8" s="10"/>
      <c r="J8" s="133"/>
      <c r="K8" s="134"/>
      <c r="L8" s="134"/>
      <c r="M8" s="134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8" s="88" customFormat="1" ht="15" customHeight="1" x14ac:dyDescent="0.2">
      <c r="A9" s="483" t="s">
        <v>11</v>
      </c>
      <c r="B9" s="483" t="s">
        <v>12</v>
      </c>
      <c r="C9" s="483" t="s">
        <v>13</v>
      </c>
      <c r="D9" s="484" t="s">
        <v>14</v>
      </c>
      <c r="E9" s="483" t="s">
        <v>24</v>
      </c>
      <c r="F9" s="483" t="s">
        <v>15</v>
      </c>
      <c r="G9" s="483" t="s">
        <v>0</v>
      </c>
      <c r="H9" s="483" t="s">
        <v>25</v>
      </c>
      <c r="I9" s="477" t="s">
        <v>1</v>
      </c>
      <c r="J9" s="478" t="s">
        <v>26</v>
      </c>
      <c r="K9" s="480" t="s">
        <v>27</v>
      </c>
      <c r="L9" s="480"/>
      <c r="M9" s="478" t="s">
        <v>16</v>
      </c>
      <c r="N9" s="479" t="s">
        <v>28</v>
      </c>
      <c r="O9" s="477" t="s">
        <v>29</v>
      </c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87"/>
      <c r="AB9" s="87"/>
    </row>
    <row r="10" spans="1:28" s="89" customFormat="1" ht="40.9" customHeight="1" x14ac:dyDescent="0.2">
      <c r="A10" s="483"/>
      <c r="B10" s="483"/>
      <c r="C10" s="483"/>
      <c r="D10" s="484"/>
      <c r="E10" s="483"/>
      <c r="F10" s="483"/>
      <c r="G10" s="483"/>
      <c r="H10" s="483"/>
      <c r="I10" s="477"/>
      <c r="J10" s="478"/>
      <c r="K10" s="185" t="s">
        <v>30</v>
      </c>
      <c r="L10" s="185" t="s">
        <v>31</v>
      </c>
      <c r="M10" s="478"/>
      <c r="N10" s="479"/>
      <c r="O10" s="184" t="s">
        <v>8</v>
      </c>
      <c r="P10" s="184" t="s">
        <v>9</v>
      </c>
      <c r="Q10" s="184" t="s">
        <v>10</v>
      </c>
      <c r="R10" s="184" t="s">
        <v>32</v>
      </c>
      <c r="S10" s="184" t="s">
        <v>33</v>
      </c>
      <c r="T10" s="184" t="s">
        <v>34</v>
      </c>
      <c r="U10" s="184" t="s">
        <v>35</v>
      </c>
      <c r="V10" s="184" t="s">
        <v>36</v>
      </c>
      <c r="W10" s="184" t="s">
        <v>37</v>
      </c>
      <c r="X10" s="184" t="s">
        <v>38</v>
      </c>
      <c r="Y10" s="184" t="s">
        <v>39</v>
      </c>
      <c r="Z10" s="184" t="s">
        <v>40</v>
      </c>
      <c r="AA10" s="86"/>
      <c r="AB10" s="86"/>
    </row>
    <row r="11" spans="1:28" s="17" customFormat="1" ht="15" x14ac:dyDescent="0.2">
      <c r="A11" s="21"/>
      <c r="B11" s="21" t="s">
        <v>18</v>
      </c>
      <c r="C11" s="21" t="s">
        <v>19</v>
      </c>
      <c r="D11" s="21" t="s">
        <v>42</v>
      </c>
      <c r="E11" s="21" t="s">
        <v>43</v>
      </c>
      <c r="F11" s="21" t="s">
        <v>41</v>
      </c>
      <c r="G11" s="72">
        <v>1131</v>
      </c>
      <c r="H11" s="42">
        <v>0</v>
      </c>
      <c r="I11" s="220" t="s">
        <v>423</v>
      </c>
      <c r="J11" s="221">
        <v>0</v>
      </c>
      <c r="K11" s="222"/>
      <c r="L11" s="222">
        <v>75612.52</v>
      </c>
      <c r="M11" s="223">
        <f t="shared" ref="M11:M20" si="0">+J11-K11+L11</f>
        <v>75612.52</v>
      </c>
      <c r="N11" s="224">
        <f t="shared" ref="N11:N20" si="1">SUM(O11:Z11)</f>
        <v>0</v>
      </c>
      <c r="O11" s="224"/>
      <c r="P11" s="224"/>
      <c r="Q11" s="118"/>
      <c r="R11" s="118"/>
      <c r="S11" s="118"/>
      <c r="T11" s="118"/>
      <c r="U11" s="118"/>
      <c r="V11" s="118"/>
      <c r="W11" s="178"/>
      <c r="X11" s="118">
        <v>0</v>
      </c>
      <c r="Y11" s="118"/>
      <c r="Z11" s="118"/>
      <c r="AA11" s="83"/>
      <c r="AB11" s="82"/>
    </row>
    <row r="12" spans="1:28" s="17" customFormat="1" ht="15" x14ac:dyDescent="0.2">
      <c r="A12" s="21"/>
      <c r="B12" s="21" t="s">
        <v>18</v>
      </c>
      <c r="C12" s="21" t="s">
        <v>19</v>
      </c>
      <c r="D12" s="21" t="s">
        <v>42</v>
      </c>
      <c r="E12" s="21" t="s">
        <v>43</v>
      </c>
      <c r="F12" s="21" t="s">
        <v>41</v>
      </c>
      <c r="G12" s="72">
        <v>1321</v>
      </c>
      <c r="H12" s="42">
        <v>0</v>
      </c>
      <c r="I12" s="220" t="s">
        <v>120</v>
      </c>
      <c r="J12" s="221">
        <v>0</v>
      </c>
      <c r="K12" s="222"/>
      <c r="L12" s="222">
        <v>1050.17</v>
      </c>
      <c r="M12" s="223">
        <f t="shared" si="0"/>
        <v>1050.17</v>
      </c>
      <c r="N12" s="224">
        <f t="shared" si="1"/>
        <v>1050.17</v>
      </c>
      <c r="O12" s="224"/>
      <c r="P12" s="224"/>
      <c r="Q12" s="118"/>
      <c r="R12" s="118"/>
      <c r="S12" s="118"/>
      <c r="T12" s="118"/>
      <c r="U12" s="118"/>
      <c r="V12" s="118">
        <v>1050.17</v>
      </c>
      <c r="W12" s="178"/>
      <c r="X12" s="118">
        <v>0</v>
      </c>
      <c r="Y12" s="118"/>
      <c r="Z12" s="118"/>
      <c r="AA12" s="83"/>
      <c r="AB12" s="82"/>
    </row>
    <row r="13" spans="1:28" s="17" customFormat="1" ht="15" x14ac:dyDescent="0.2">
      <c r="A13" s="21"/>
      <c r="B13" s="21" t="s">
        <v>18</v>
      </c>
      <c r="C13" s="21" t="s">
        <v>19</v>
      </c>
      <c r="D13" s="21" t="s">
        <v>42</v>
      </c>
      <c r="E13" s="21" t="s">
        <v>43</v>
      </c>
      <c r="F13" s="21" t="s">
        <v>41</v>
      </c>
      <c r="G13" s="72">
        <v>1322</v>
      </c>
      <c r="H13" s="42">
        <v>0</v>
      </c>
      <c r="I13" s="220" t="s">
        <v>58</v>
      </c>
      <c r="J13" s="221">
        <v>0</v>
      </c>
      <c r="K13" s="222"/>
      <c r="L13" s="222">
        <v>10501.74</v>
      </c>
      <c r="M13" s="223">
        <f t="shared" si="0"/>
        <v>10501.74</v>
      </c>
      <c r="N13" s="224">
        <f t="shared" si="1"/>
        <v>0</v>
      </c>
      <c r="O13" s="224"/>
      <c r="P13" s="224"/>
      <c r="Q13" s="118"/>
      <c r="R13" s="118"/>
      <c r="S13" s="118"/>
      <c r="T13" s="118"/>
      <c r="U13" s="118"/>
      <c r="V13" s="118"/>
      <c r="W13" s="178"/>
      <c r="X13" s="118">
        <v>0</v>
      </c>
      <c r="Y13" s="118"/>
      <c r="Z13" s="118"/>
      <c r="AA13" s="83"/>
      <c r="AB13" s="82"/>
    </row>
    <row r="14" spans="1:28" s="17" customFormat="1" ht="15" x14ac:dyDescent="0.2">
      <c r="A14" s="21"/>
      <c r="B14" s="21" t="s">
        <v>18</v>
      </c>
      <c r="C14" s="21" t="s">
        <v>19</v>
      </c>
      <c r="D14" s="21" t="s">
        <v>42</v>
      </c>
      <c r="E14" s="21" t="s">
        <v>43</v>
      </c>
      <c r="F14" s="21" t="s">
        <v>41</v>
      </c>
      <c r="G14" s="72">
        <v>1411</v>
      </c>
      <c r="H14" s="42">
        <v>0</v>
      </c>
      <c r="I14" s="220" t="s">
        <v>121</v>
      </c>
      <c r="J14" s="221">
        <v>0</v>
      </c>
      <c r="K14" s="222"/>
      <c r="L14" s="222"/>
      <c r="M14" s="223">
        <f t="shared" si="0"/>
        <v>0</v>
      </c>
      <c r="N14" s="224">
        <f t="shared" si="1"/>
        <v>0</v>
      </c>
      <c r="O14" s="224"/>
      <c r="P14" s="224"/>
      <c r="Q14" s="118"/>
      <c r="R14" s="118"/>
      <c r="S14" s="118"/>
      <c r="T14" s="118"/>
      <c r="U14" s="118"/>
      <c r="V14" s="118"/>
      <c r="W14" s="178"/>
      <c r="X14" s="118">
        <v>0</v>
      </c>
      <c r="Y14" s="118"/>
      <c r="Z14" s="118"/>
      <c r="AA14" s="83"/>
      <c r="AB14" s="82"/>
    </row>
    <row r="15" spans="1:28" s="17" customFormat="1" ht="15" x14ac:dyDescent="0.2">
      <c r="A15" s="21"/>
      <c r="B15" s="21" t="s">
        <v>18</v>
      </c>
      <c r="C15" s="21" t="s">
        <v>19</v>
      </c>
      <c r="D15" s="21" t="s">
        <v>42</v>
      </c>
      <c r="E15" s="21" t="s">
        <v>43</v>
      </c>
      <c r="F15" s="21" t="s">
        <v>41</v>
      </c>
      <c r="G15" s="72">
        <v>1421</v>
      </c>
      <c r="H15" s="42">
        <v>0</v>
      </c>
      <c r="I15" s="220" t="s">
        <v>424</v>
      </c>
      <c r="J15" s="221">
        <v>0</v>
      </c>
      <c r="K15" s="222"/>
      <c r="L15" s="222">
        <v>2268.38</v>
      </c>
      <c r="M15" s="223">
        <f t="shared" si="0"/>
        <v>2268.38</v>
      </c>
      <c r="N15" s="224">
        <f t="shared" si="1"/>
        <v>0</v>
      </c>
      <c r="O15" s="224"/>
      <c r="P15" s="224"/>
      <c r="Q15" s="118"/>
      <c r="R15" s="118"/>
      <c r="S15" s="118"/>
      <c r="T15" s="118"/>
      <c r="U15" s="118"/>
      <c r="V15" s="118"/>
      <c r="W15" s="178"/>
      <c r="X15" s="118">
        <v>0</v>
      </c>
      <c r="Y15" s="118"/>
      <c r="Z15" s="118"/>
      <c r="AA15" s="83"/>
      <c r="AB15" s="82"/>
    </row>
    <row r="16" spans="1:28" s="17" customFormat="1" ht="15" x14ac:dyDescent="0.2">
      <c r="A16" s="21"/>
      <c r="B16" s="21" t="s">
        <v>18</v>
      </c>
      <c r="C16" s="21" t="s">
        <v>19</v>
      </c>
      <c r="D16" s="21" t="s">
        <v>42</v>
      </c>
      <c r="E16" s="21" t="s">
        <v>43</v>
      </c>
      <c r="F16" s="21" t="s">
        <v>41</v>
      </c>
      <c r="G16" s="72">
        <v>1431</v>
      </c>
      <c r="H16" s="42">
        <v>0</v>
      </c>
      <c r="I16" s="220" t="s">
        <v>425</v>
      </c>
      <c r="J16" s="221">
        <v>0</v>
      </c>
      <c r="K16" s="222"/>
      <c r="L16" s="222">
        <v>13232.19</v>
      </c>
      <c r="M16" s="223">
        <f t="shared" si="0"/>
        <v>13232.19</v>
      </c>
      <c r="N16" s="224">
        <f t="shared" si="1"/>
        <v>0</v>
      </c>
      <c r="O16" s="224"/>
      <c r="P16" s="224"/>
      <c r="Q16" s="118"/>
      <c r="R16" s="118"/>
      <c r="S16" s="118"/>
      <c r="T16" s="118"/>
      <c r="U16" s="118"/>
      <c r="V16" s="118"/>
      <c r="W16" s="178"/>
      <c r="X16" s="118">
        <v>0</v>
      </c>
      <c r="Y16" s="118"/>
      <c r="Z16" s="118"/>
      <c r="AA16" s="83"/>
      <c r="AB16" s="82"/>
    </row>
    <row r="17" spans="1:28" s="17" customFormat="1" ht="15" x14ac:dyDescent="0.2">
      <c r="A17" s="21"/>
      <c r="B17" s="21" t="s">
        <v>18</v>
      </c>
      <c r="C17" s="21" t="s">
        <v>19</v>
      </c>
      <c r="D17" s="21" t="s">
        <v>42</v>
      </c>
      <c r="E17" s="21" t="s">
        <v>43</v>
      </c>
      <c r="F17" s="21" t="s">
        <v>41</v>
      </c>
      <c r="G17" s="72">
        <v>1432</v>
      </c>
      <c r="H17" s="42">
        <v>0</v>
      </c>
      <c r="I17" s="220" t="s">
        <v>420</v>
      </c>
      <c r="J17" s="221">
        <v>0</v>
      </c>
      <c r="K17" s="222"/>
      <c r="L17" s="222">
        <v>1512.25</v>
      </c>
      <c r="M17" s="223">
        <f t="shared" si="0"/>
        <v>1512.25</v>
      </c>
      <c r="N17" s="224">
        <f t="shared" si="1"/>
        <v>0</v>
      </c>
      <c r="O17" s="224"/>
      <c r="P17" s="224"/>
      <c r="Q17" s="118"/>
      <c r="R17" s="118"/>
      <c r="S17" s="118"/>
      <c r="T17" s="118"/>
      <c r="U17" s="118"/>
      <c r="V17" s="118"/>
      <c r="W17" s="178"/>
      <c r="X17" s="118">
        <v>0</v>
      </c>
      <c r="Y17" s="118"/>
      <c r="Z17" s="118"/>
      <c r="AA17" s="83"/>
      <c r="AB17" s="82"/>
    </row>
    <row r="18" spans="1:28" s="17" customFormat="1" ht="15" x14ac:dyDescent="0.2">
      <c r="A18" s="21"/>
      <c r="B18" s="21" t="s">
        <v>18</v>
      </c>
      <c r="C18" s="21" t="s">
        <v>19</v>
      </c>
      <c r="D18" s="21" t="s">
        <v>42</v>
      </c>
      <c r="E18" s="21" t="s">
        <v>43</v>
      </c>
      <c r="F18" s="21" t="s">
        <v>41</v>
      </c>
      <c r="G18" s="72">
        <v>1611</v>
      </c>
      <c r="H18" s="42">
        <v>0</v>
      </c>
      <c r="I18" s="220" t="s">
        <v>422</v>
      </c>
      <c r="J18" s="221">
        <v>107913.38</v>
      </c>
      <c r="K18" s="222">
        <v>107327.77</v>
      </c>
      <c r="L18" s="222"/>
      <c r="M18" s="223">
        <f t="shared" si="0"/>
        <v>585.61000000000058</v>
      </c>
      <c r="N18" s="224">
        <f t="shared" si="1"/>
        <v>0</v>
      </c>
      <c r="O18" s="224"/>
      <c r="P18" s="224"/>
      <c r="Q18" s="118"/>
      <c r="R18" s="118"/>
      <c r="S18" s="118"/>
      <c r="T18" s="118"/>
      <c r="U18" s="118"/>
      <c r="V18" s="118"/>
      <c r="W18" s="178"/>
      <c r="X18" s="118">
        <v>0</v>
      </c>
      <c r="Y18" s="118"/>
      <c r="Z18" s="118"/>
      <c r="AA18" s="83"/>
      <c r="AB18" s="82"/>
    </row>
    <row r="19" spans="1:28" s="17" customFormat="1" ht="15" x14ac:dyDescent="0.2">
      <c r="A19" s="21"/>
      <c r="B19" s="21" t="s">
        <v>18</v>
      </c>
      <c r="C19" s="21" t="s">
        <v>19</v>
      </c>
      <c r="D19" s="21" t="s">
        <v>42</v>
      </c>
      <c r="E19" s="21" t="s">
        <v>43</v>
      </c>
      <c r="F19" s="21" t="s">
        <v>41</v>
      </c>
      <c r="G19" s="72">
        <v>1612</v>
      </c>
      <c r="H19" s="42">
        <v>0</v>
      </c>
      <c r="I19" s="220" t="s">
        <v>426</v>
      </c>
      <c r="J19" s="221">
        <v>0</v>
      </c>
      <c r="K19" s="222"/>
      <c r="L19" s="222"/>
      <c r="M19" s="223">
        <f t="shared" si="0"/>
        <v>0</v>
      </c>
      <c r="N19" s="224">
        <f t="shared" si="1"/>
        <v>0</v>
      </c>
      <c r="O19" s="224"/>
      <c r="P19" s="224"/>
      <c r="Q19" s="118"/>
      <c r="R19" s="118"/>
      <c r="S19" s="118"/>
      <c r="T19" s="118"/>
      <c r="U19" s="118"/>
      <c r="V19" s="118"/>
      <c r="W19" s="178"/>
      <c r="X19" s="118">
        <v>0</v>
      </c>
      <c r="Y19" s="118"/>
      <c r="Z19" s="118"/>
      <c r="AA19" s="83"/>
      <c r="AB19" s="82"/>
    </row>
    <row r="20" spans="1:28" s="17" customFormat="1" ht="15" x14ac:dyDescent="0.2">
      <c r="A20" s="21"/>
      <c r="B20" s="21" t="s">
        <v>18</v>
      </c>
      <c r="C20" s="21" t="s">
        <v>19</v>
      </c>
      <c r="D20" s="21" t="s">
        <v>42</v>
      </c>
      <c r="E20" s="21" t="s">
        <v>43</v>
      </c>
      <c r="F20" s="21" t="s">
        <v>41</v>
      </c>
      <c r="G20" s="72">
        <v>1715</v>
      </c>
      <c r="H20" s="42">
        <v>0</v>
      </c>
      <c r="I20" s="220" t="s">
        <v>427</v>
      </c>
      <c r="J20" s="221">
        <v>0</v>
      </c>
      <c r="K20" s="222"/>
      <c r="L20" s="222">
        <v>3150.52</v>
      </c>
      <c r="M20" s="223">
        <f t="shared" si="0"/>
        <v>3150.52</v>
      </c>
      <c r="N20" s="224">
        <f t="shared" si="1"/>
        <v>3150.52</v>
      </c>
      <c r="O20" s="224"/>
      <c r="P20" s="224"/>
      <c r="Q20" s="118"/>
      <c r="R20" s="118"/>
      <c r="S20" s="118"/>
      <c r="T20" s="118"/>
      <c r="U20" s="118"/>
      <c r="V20" s="118"/>
      <c r="W20" s="178">
        <v>3150.52</v>
      </c>
      <c r="X20" s="118">
        <v>0</v>
      </c>
      <c r="Y20" s="118"/>
      <c r="Z20" s="118"/>
      <c r="AA20" s="83"/>
      <c r="AB20" s="82"/>
    </row>
    <row r="21" spans="1:28" s="12" customFormat="1" x14ac:dyDescent="0.2">
      <c r="A21" s="22"/>
      <c r="B21" s="22"/>
      <c r="C21" s="22"/>
      <c r="D21" s="33"/>
      <c r="E21" s="22"/>
      <c r="F21" s="22"/>
      <c r="G21" s="22"/>
      <c r="H21" s="22"/>
      <c r="I21" s="92" t="s">
        <v>2</v>
      </c>
      <c r="J21" s="96">
        <f t="shared" ref="J21:Z21" si="2">SUM(J11:J20)</f>
        <v>107913.38</v>
      </c>
      <c r="K21" s="96">
        <f t="shared" si="2"/>
        <v>107327.77</v>
      </c>
      <c r="L21" s="96">
        <f t="shared" si="2"/>
        <v>107327.77000000002</v>
      </c>
      <c r="M21" s="96">
        <f t="shared" si="2"/>
        <v>107913.38000000002</v>
      </c>
      <c r="N21" s="96">
        <f t="shared" si="2"/>
        <v>4200.6900000000005</v>
      </c>
      <c r="O21" s="96">
        <f t="shared" si="2"/>
        <v>0</v>
      </c>
      <c r="P21" s="96">
        <f t="shared" si="2"/>
        <v>0</v>
      </c>
      <c r="Q21" s="96">
        <f t="shared" si="2"/>
        <v>0</v>
      </c>
      <c r="R21" s="96">
        <f t="shared" si="2"/>
        <v>0</v>
      </c>
      <c r="S21" s="96">
        <f t="shared" si="2"/>
        <v>0</v>
      </c>
      <c r="T21" s="96">
        <f t="shared" si="2"/>
        <v>0</v>
      </c>
      <c r="U21" s="96">
        <f t="shared" si="2"/>
        <v>0</v>
      </c>
      <c r="V21" s="96">
        <f t="shared" si="2"/>
        <v>1050.17</v>
      </c>
      <c r="W21" s="96">
        <f t="shared" si="2"/>
        <v>3150.52</v>
      </c>
      <c r="X21" s="96">
        <f t="shared" si="2"/>
        <v>0</v>
      </c>
      <c r="Y21" s="96">
        <f t="shared" si="2"/>
        <v>0</v>
      </c>
      <c r="Z21" s="96">
        <f t="shared" si="2"/>
        <v>0</v>
      </c>
      <c r="AA21" s="23"/>
      <c r="AB21" s="23"/>
    </row>
    <row r="22" spans="1:28" s="17" customFormat="1" ht="15" x14ac:dyDescent="0.2">
      <c r="A22" s="21"/>
      <c r="B22" s="21" t="s">
        <v>18</v>
      </c>
      <c r="C22" s="21" t="s">
        <v>19</v>
      </c>
      <c r="D22" s="21" t="s">
        <v>42</v>
      </c>
      <c r="E22" s="21" t="s">
        <v>43</v>
      </c>
      <c r="F22" s="21" t="s">
        <v>41</v>
      </c>
      <c r="G22" s="72">
        <v>2961</v>
      </c>
      <c r="H22" s="42">
        <v>0</v>
      </c>
      <c r="I22" s="220" t="s">
        <v>461</v>
      </c>
      <c r="J22" s="120">
        <v>25000</v>
      </c>
      <c r="K22" s="120"/>
      <c r="L22" s="120"/>
      <c r="M22" s="181">
        <f>+J22+K22-L22</f>
        <v>25000</v>
      </c>
      <c r="N22" s="118">
        <f>SUM(O22:Z22)</f>
        <v>12943.29</v>
      </c>
      <c r="O22" s="118"/>
      <c r="P22" s="118"/>
      <c r="Q22" s="118"/>
      <c r="R22" s="118"/>
      <c r="S22" s="118"/>
      <c r="T22" s="118"/>
      <c r="U22" s="118"/>
      <c r="V22" s="118"/>
      <c r="W22" s="178">
        <f>12500+443.29</f>
        <v>12943.29</v>
      </c>
      <c r="X22" s="118"/>
      <c r="Y22" s="118"/>
      <c r="Z22" s="118"/>
      <c r="AA22" s="83"/>
      <c r="AB22" s="82"/>
    </row>
    <row r="23" spans="1:28" s="53" customFormat="1" x14ac:dyDescent="0.2">
      <c r="A23" s="136"/>
      <c r="B23" s="136"/>
      <c r="C23" s="136"/>
      <c r="D23" s="136"/>
      <c r="E23" s="136"/>
      <c r="F23" s="136"/>
      <c r="G23" s="186"/>
      <c r="H23" s="186"/>
      <c r="I23" s="73" t="s">
        <v>3</v>
      </c>
      <c r="J23" s="137">
        <f>SUM(J22:J22)</f>
        <v>25000</v>
      </c>
      <c r="K23" s="137">
        <f t="shared" ref="K23:Z23" si="3">SUM(K22:K22)</f>
        <v>0</v>
      </c>
      <c r="L23" s="137">
        <f t="shared" si="3"/>
        <v>0</v>
      </c>
      <c r="M23" s="137">
        <f t="shared" si="3"/>
        <v>25000</v>
      </c>
      <c r="N23" s="137">
        <f t="shared" si="3"/>
        <v>12943.29</v>
      </c>
      <c r="O23" s="137">
        <f t="shared" si="3"/>
        <v>0</v>
      </c>
      <c r="P23" s="137">
        <f t="shared" si="3"/>
        <v>0</v>
      </c>
      <c r="Q23" s="137">
        <f t="shared" si="3"/>
        <v>0</v>
      </c>
      <c r="R23" s="137">
        <f t="shared" si="3"/>
        <v>0</v>
      </c>
      <c r="S23" s="137">
        <f t="shared" si="3"/>
        <v>0</v>
      </c>
      <c r="T23" s="137">
        <f t="shared" si="3"/>
        <v>0</v>
      </c>
      <c r="U23" s="137">
        <f t="shared" si="3"/>
        <v>0</v>
      </c>
      <c r="V23" s="137">
        <f t="shared" si="3"/>
        <v>0</v>
      </c>
      <c r="W23" s="137">
        <f t="shared" si="3"/>
        <v>12943.29</v>
      </c>
      <c r="X23" s="137">
        <f t="shared" si="3"/>
        <v>0</v>
      </c>
      <c r="Y23" s="137">
        <f t="shared" si="3"/>
        <v>0</v>
      </c>
      <c r="Z23" s="137">
        <f t="shared" si="3"/>
        <v>0</v>
      </c>
      <c r="AA23" s="83"/>
      <c r="AB23" s="84"/>
    </row>
    <row r="24" spans="1:28" s="17" customFormat="1" ht="15" x14ac:dyDescent="0.2">
      <c r="A24" s="21"/>
      <c r="B24" s="21" t="s">
        <v>18</v>
      </c>
      <c r="C24" s="21" t="s">
        <v>19</v>
      </c>
      <c r="D24" s="21" t="s">
        <v>42</v>
      </c>
      <c r="E24" s="21" t="s">
        <v>43</v>
      </c>
      <c r="F24" s="21" t="s">
        <v>41</v>
      </c>
      <c r="G24" s="72">
        <v>3311</v>
      </c>
      <c r="H24" s="42">
        <v>0</v>
      </c>
      <c r="I24" s="220" t="s">
        <v>462</v>
      </c>
      <c r="J24" s="221">
        <v>29000</v>
      </c>
      <c r="K24" s="222"/>
      <c r="L24" s="222"/>
      <c r="M24" s="475">
        <f>+J24-K24+L24</f>
        <v>29000</v>
      </c>
      <c r="N24" s="224">
        <f>SUM(O24:Z24)</f>
        <v>0</v>
      </c>
      <c r="O24" s="224"/>
      <c r="P24" s="224"/>
      <c r="Q24" s="118"/>
      <c r="R24" s="118"/>
      <c r="S24" s="118"/>
      <c r="T24" s="118"/>
      <c r="U24" s="118"/>
      <c r="V24" s="118"/>
      <c r="W24" s="178"/>
      <c r="X24" s="118">
        <v>0</v>
      </c>
      <c r="Y24" s="118"/>
      <c r="Z24" s="118"/>
      <c r="AA24" s="83"/>
      <c r="AB24" s="82"/>
    </row>
    <row r="25" spans="1:28" s="17" customFormat="1" ht="15" x14ac:dyDescent="0.2">
      <c r="A25" s="21"/>
      <c r="B25" s="21" t="s">
        <v>18</v>
      </c>
      <c r="C25" s="21" t="s">
        <v>19</v>
      </c>
      <c r="D25" s="21" t="s">
        <v>42</v>
      </c>
      <c r="E25" s="21" t="s">
        <v>43</v>
      </c>
      <c r="F25" s="21" t="s">
        <v>41</v>
      </c>
      <c r="G25" s="72">
        <v>3342</v>
      </c>
      <c r="H25" s="42">
        <v>0</v>
      </c>
      <c r="I25" s="220" t="s">
        <v>463</v>
      </c>
      <c r="J25" s="221">
        <v>25000</v>
      </c>
      <c r="K25" s="222"/>
      <c r="L25" s="222"/>
      <c r="M25" s="475">
        <f t="shared" ref="M25:M29" si="4">+J25-K25+L25</f>
        <v>25000</v>
      </c>
      <c r="N25" s="224"/>
      <c r="O25" s="224"/>
      <c r="P25" s="224"/>
      <c r="Q25" s="118"/>
      <c r="R25" s="118"/>
      <c r="S25" s="118"/>
      <c r="T25" s="118"/>
      <c r="U25" s="118"/>
      <c r="V25" s="118"/>
      <c r="W25" s="178"/>
      <c r="X25" s="118"/>
      <c r="Y25" s="118"/>
      <c r="Z25" s="118"/>
      <c r="AA25" s="83"/>
      <c r="AB25" s="82"/>
    </row>
    <row r="26" spans="1:28" s="17" customFormat="1" ht="15" x14ac:dyDescent="0.2">
      <c r="A26" s="21"/>
      <c r="B26" s="21" t="s">
        <v>18</v>
      </c>
      <c r="C26" s="21" t="s">
        <v>19</v>
      </c>
      <c r="D26" s="21" t="s">
        <v>42</v>
      </c>
      <c r="E26" s="21" t="s">
        <v>43</v>
      </c>
      <c r="F26" s="21" t="s">
        <v>41</v>
      </c>
      <c r="G26" s="72">
        <v>3391</v>
      </c>
      <c r="H26" s="42">
        <v>0</v>
      </c>
      <c r="I26" s="220" t="s">
        <v>464</v>
      </c>
      <c r="J26" s="221">
        <v>37500</v>
      </c>
      <c r="K26" s="222"/>
      <c r="L26" s="222"/>
      <c r="M26" s="475">
        <f t="shared" si="4"/>
        <v>37500</v>
      </c>
      <c r="N26" s="224"/>
      <c r="O26" s="224"/>
      <c r="P26" s="224"/>
      <c r="Q26" s="118"/>
      <c r="R26" s="118"/>
      <c r="S26" s="118"/>
      <c r="T26" s="118"/>
      <c r="U26" s="118"/>
      <c r="V26" s="118"/>
      <c r="W26" s="178"/>
      <c r="X26" s="118"/>
      <c r="Y26" s="118"/>
      <c r="Z26" s="118"/>
      <c r="AA26" s="83"/>
      <c r="AB26" s="82"/>
    </row>
    <row r="27" spans="1:28" s="17" customFormat="1" ht="15" x14ac:dyDescent="0.2">
      <c r="A27" s="21"/>
      <c r="B27" s="21" t="s">
        <v>18</v>
      </c>
      <c r="C27" s="21" t="s">
        <v>19</v>
      </c>
      <c r="D27" s="21" t="s">
        <v>42</v>
      </c>
      <c r="E27" s="21" t="s">
        <v>43</v>
      </c>
      <c r="F27" s="21" t="s">
        <v>41</v>
      </c>
      <c r="G27" s="72">
        <v>3551</v>
      </c>
      <c r="H27" s="42">
        <v>0</v>
      </c>
      <c r="I27" s="220" t="s">
        <v>465</v>
      </c>
      <c r="J27" s="221">
        <v>50000</v>
      </c>
      <c r="K27" s="222"/>
      <c r="L27" s="222"/>
      <c r="M27" s="475">
        <f t="shared" si="4"/>
        <v>50000</v>
      </c>
      <c r="N27" s="224"/>
      <c r="O27" s="224"/>
      <c r="P27" s="224"/>
      <c r="Q27" s="118"/>
      <c r="R27" s="118"/>
      <c r="S27" s="118"/>
      <c r="T27" s="118"/>
      <c r="U27" s="118"/>
      <c r="V27" s="118"/>
      <c r="W27" s="178"/>
      <c r="X27" s="118"/>
      <c r="Y27" s="118"/>
      <c r="Z27" s="118"/>
      <c r="AA27" s="83"/>
      <c r="AB27" s="82"/>
    </row>
    <row r="28" spans="1:28" s="17" customFormat="1" ht="15" x14ac:dyDescent="0.2">
      <c r="A28" s="21"/>
      <c r="B28" s="21" t="s">
        <v>18</v>
      </c>
      <c r="C28" s="21" t="s">
        <v>19</v>
      </c>
      <c r="D28" s="21" t="s">
        <v>42</v>
      </c>
      <c r="E28" s="21" t="s">
        <v>43</v>
      </c>
      <c r="F28" s="21" t="s">
        <v>41</v>
      </c>
      <c r="G28" s="72">
        <v>3841</v>
      </c>
      <c r="H28" s="42">
        <v>0</v>
      </c>
      <c r="I28" s="220" t="s">
        <v>219</v>
      </c>
      <c r="J28" s="221">
        <v>304751.3</v>
      </c>
      <c r="K28" s="222"/>
      <c r="L28" s="222"/>
      <c r="M28" s="475">
        <f t="shared" si="4"/>
        <v>304751.3</v>
      </c>
      <c r="N28" s="224">
        <f>SUM(O28:Z28)</f>
        <v>0</v>
      </c>
      <c r="O28" s="224"/>
      <c r="P28" s="224"/>
      <c r="Q28" s="118"/>
      <c r="R28" s="118"/>
      <c r="S28" s="118"/>
      <c r="T28" s="118"/>
      <c r="U28" s="118"/>
      <c r="V28" s="118"/>
      <c r="W28" s="178"/>
      <c r="X28" s="118">
        <v>0</v>
      </c>
      <c r="Y28" s="118"/>
      <c r="Z28" s="118"/>
      <c r="AA28" s="83"/>
      <c r="AB28" s="82"/>
    </row>
    <row r="29" spans="1:28" s="17" customFormat="1" ht="15" x14ac:dyDescent="0.2">
      <c r="A29" s="21"/>
      <c r="B29" s="21" t="s">
        <v>18</v>
      </c>
      <c r="C29" s="21" t="s">
        <v>19</v>
      </c>
      <c r="D29" s="21" t="s">
        <v>42</v>
      </c>
      <c r="E29" s="21" t="s">
        <v>43</v>
      </c>
      <c r="F29" s="21" t="s">
        <v>41</v>
      </c>
      <c r="G29" s="72">
        <v>3941</v>
      </c>
      <c r="H29" s="42">
        <v>0</v>
      </c>
      <c r="I29" s="220" t="s">
        <v>191</v>
      </c>
      <c r="J29" s="221">
        <f>327260.37+75910.61</f>
        <v>403170.98</v>
      </c>
      <c r="K29" s="222"/>
      <c r="L29" s="222"/>
      <c r="M29" s="475">
        <f t="shared" si="4"/>
        <v>403170.98</v>
      </c>
      <c r="N29" s="224">
        <f>SUM(O29:Z29)</f>
        <v>157161.38</v>
      </c>
      <c r="O29" s="224"/>
      <c r="P29" s="224"/>
      <c r="Q29" s="118"/>
      <c r="R29" s="118"/>
      <c r="S29" s="118"/>
      <c r="T29" s="118"/>
      <c r="U29" s="118"/>
      <c r="V29" s="118">
        <v>157161.38</v>
      </c>
      <c r="W29" s="178"/>
      <c r="X29" s="118">
        <v>0</v>
      </c>
      <c r="Y29" s="118"/>
      <c r="Z29" s="118"/>
      <c r="AA29" s="83"/>
      <c r="AB29" s="82"/>
    </row>
    <row r="30" spans="1:28" ht="15" x14ac:dyDescent="0.25">
      <c r="A30" s="22"/>
      <c r="B30" s="22"/>
      <c r="C30" s="22"/>
      <c r="D30" s="33"/>
      <c r="E30" s="22"/>
      <c r="F30" s="22"/>
      <c r="G30" s="22"/>
      <c r="H30" s="22"/>
      <c r="I30" s="92" t="s">
        <v>4</v>
      </c>
      <c r="J30" s="225">
        <f>SUM(J24:J29)</f>
        <v>849422.28</v>
      </c>
      <c r="K30" s="225">
        <f t="shared" ref="K30:Z30" si="5">SUM(K24:K29)</f>
        <v>0</v>
      </c>
      <c r="L30" s="225">
        <f t="shared" si="5"/>
        <v>0</v>
      </c>
      <c r="M30" s="225">
        <f t="shared" si="5"/>
        <v>849422.28</v>
      </c>
      <c r="N30" s="225">
        <f t="shared" si="5"/>
        <v>157161.38</v>
      </c>
      <c r="O30" s="225">
        <f t="shared" si="5"/>
        <v>0</v>
      </c>
      <c r="P30" s="225">
        <f t="shared" si="5"/>
        <v>0</v>
      </c>
      <c r="Q30" s="225">
        <f t="shared" si="5"/>
        <v>0</v>
      </c>
      <c r="R30" s="225">
        <f t="shared" si="5"/>
        <v>0</v>
      </c>
      <c r="S30" s="225">
        <f t="shared" si="5"/>
        <v>0</v>
      </c>
      <c r="T30" s="225">
        <f t="shared" si="5"/>
        <v>0</v>
      </c>
      <c r="U30" s="225">
        <f t="shared" si="5"/>
        <v>0</v>
      </c>
      <c r="V30" s="225">
        <f t="shared" si="5"/>
        <v>157161.38</v>
      </c>
      <c r="W30" s="225">
        <f t="shared" si="5"/>
        <v>0</v>
      </c>
      <c r="X30" s="225">
        <f t="shared" si="5"/>
        <v>0</v>
      </c>
      <c r="Y30" s="225">
        <f t="shared" si="5"/>
        <v>0</v>
      </c>
      <c r="Z30" s="225">
        <f t="shared" si="5"/>
        <v>0</v>
      </c>
      <c r="AA30" s="83"/>
    </row>
    <row r="31" spans="1:28" s="17" customFormat="1" x14ac:dyDescent="0.2">
      <c r="A31" s="21"/>
      <c r="B31" s="21"/>
      <c r="C31" s="21"/>
      <c r="D31" s="21"/>
      <c r="E31" s="21"/>
      <c r="F31" s="21"/>
      <c r="G31" s="72"/>
      <c r="H31" s="42"/>
      <c r="I31" s="150"/>
      <c r="J31" s="120"/>
      <c r="K31" s="120"/>
      <c r="L31" s="120"/>
      <c r="M31" s="119">
        <f t="shared" ref="M31:M33" si="6">J31+L31-K31</f>
        <v>0</v>
      </c>
      <c r="N31" s="118">
        <f>SUM(O31:Z31)</f>
        <v>0</v>
      </c>
      <c r="O31" s="118"/>
      <c r="P31" s="118"/>
      <c r="Q31" s="118"/>
      <c r="R31" s="118"/>
      <c r="S31" s="118"/>
      <c r="T31" s="118"/>
      <c r="U31" s="125"/>
      <c r="V31" s="118"/>
      <c r="W31" s="118"/>
      <c r="X31" s="118"/>
      <c r="Y31" s="118"/>
      <c r="Z31" s="118"/>
      <c r="AA31" s="83"/>
      <c r="AB31" s="82"/>
    </row>
    <row r="32" spans="1:28" s="12" customFormat="1" x14ac:dyDescent="0.2">
      <c r="A32" s="22"/>
      <c r="B32" s="22"/>
      <c r="C32" s="22"/>
      <c r="D32" s="33"/>
      <c r="E32" s="22"/>
      <c r="F32" s="22"/>
      <c r="G32" s="22"/>
      <c r="H32" s="22"/>
      <c r="I32" s="92" t="s">
        <v>5</v>
      </c>
      <c r="J32" s="96">
        <f>SUM(J31)</f>
        <v>0</v>
      </c>
      <c r="K32" s="96">
        <f t="shared" ref="K32:Z32" si="7">SUM(K31)</f>
        <v>0</v>
      </c>
      <c r="L32" s="96">
        <f t="shared" si="7"/>
        <v>0</v>
      </c>
      <c r="M32" s="96">
        <f t="shared" si="7"/>
        <v>0</v>
      </c>
      <c r="N32" s="96">
        <f t="shared" si="7"/>
        <v>0</v>
      </c>
      <c r="O32" s="96">
        <f t="shared" si="7"/>
        <v>0</v>
      </c>
      <c r="P32" s="96">
        <f t="shared" si="7"/>
        <v>0</v>
      </c>
      <c r="Q32" s="96">
        <f t="shared" si="7"/>
        <v>0</v>
      </c>
      <c r="R32" s="96">
        <f t="shared" si="7"/>
        <v>0</v>
      </c>
      <c r="S32" s="96">
        <f t="shared" si="7"/>
        <v>0</v>
      </c>
      <c r="T32" s="96">
        <f t="shared" si="7"/>
        <v>0</v>
      </c>
      <c r="U32" s="96">
        <f t="shared" si="7"/>
        <v>0</v>
      </c>
      <c r="V32" s="96">
        <f t="shared" si="7"/>
        <v>0</v>
      </c>
      <c r="W32" s="96">
        <f t="shared" si="7"/>
        <v>0</v>
      </c>
      <c r="X32" s="96">
        <f t="shared" si="7"/>
        <v>0</v>
      </c>
      <c r="Y32" s="96">
        <f t="shared" si="7"/>
        <v>0</v>
      </c>
      <c r="Z32" s="96">
        <f t="shared" si="7"/>
        <v>0</v>
      </c>
      <c r="AA32" s="83"/>
      <c r="AB32" s="23"/>
    </row>
    <row r="33" spans="1:28" s="17" customFormat="1" x14ac:dyDescent="0.2">
      <c r="A33" s="21"/>
      <c r="B33" s="21"/>
      <c r="C33" s="21"/>
      <c r="D33" s="21"/>
      <c r="E33" s="21"/>
      <c r="F33" s="21"/>
      <c r="G33" s="72"/>
      <c r="H33" s="42"/>
      <c r="I33" s="150"/>
      <c r="J33" s="120"/>
      <c r="K33" s="120"/>
      <c r="L33" s="120"/>
      <c r="M33" s="119">
        <f t="shared" si="6"/>
        <v>0</v>
      </c>
      <c r="N33" s="118"/>
      <c r="O33" s="118"/>
      <c r="P33" s="118"/>
      <c r="Q33" s="118"/>
      <c r="R33" s="118"/>
      <c r="S33" s="118"/>
      <c r="T33" s="118"/>
      <c r="U33" s="125"/>
      <c r="V33" s="118"/>
      <c r="W33" s="118"/>
      <c r="X33" s="118"/>
      <c r="Y33" s="118"/>
      <c r="Z33" s="118"/>
      <c r="AA33" s="83"/>
      <c r="AB33" s="82"/>
    </row>
    <row r="34" spans="1:28" s="12" customFormat="1" x14ac:dyDescent="0.2">
      <c r="A34" s="22"/>
      <c r="B34" s="22"/>
      <c r="C34" s="22"/>
      <c r="D34" s="33"/>
      <c r="E34" s="22"/>
      <c r="F34" s="22"/>
      <c r="G34" s="22"/>
      <c r="H34" s="22"/>
      <c r="I34" s="92" t="s">
        <v>6</v>
      </c>
      <c r="J34" s="96">
        <f t="shared" ref="J34:Z34" si="8">SUM(J33:J33)</f>
        <v>0</v>
      </c>
      <c r="K34" s="96">
        <f t="shared" si="8"/>
        <v>0</v>
      </c>
      <c r="L34" s="96">
        <f t="shared" si="8"/>
        <v>0</v>
      </c>
      <c r="M34" s="96">
        <f t="shared" si="8"/>
        <v>0</v>
      </c>
      <c r="N34" s="96">
        <f t="shared" si="8"/>
        <v>0</v>
      </c>
      <c r="O34" s="96">
        <f t="shared" si="8"/>
        <v>0</v>
      </c>
      <c r="P34" s="96">
        <f t="shared" si="8"/>
        <v>0</v>
      </c>
      <c r="Q34" s="96">
        <f t="shared" si="8"/>
        <v>0</v>
      </c>
      <c r="R34" s="96">
        <f t="shared" si="8"/>
        <v>0</v>
      </c>
      <c r="S34" s="96">
        <f t="shared" si="8"/>
        <v>0</v>
      </c>
      <c r="T34" s="96">
        <f t="shared" si="8"/>
        <v>0</v>
      </c>
      <c r="U34" s="96">
        <f t="shared" si="8"/>
        <v>0</v>
      </c>
      <c r="V34" s="96">
        <f t="shared" si="8"/>
        <v>0</v>
      </c>
      <c r="W34" s="96">
        <f t="shared" si="8"/>
        <v>0</v>
      </c>
      <c r="X34" s="96">
        <f t="shared" si="8"/>
        <v>0</v>
      </c>
      <c r="Y34" s="96">
        <f t="shared" si="8"/>
        <v>0</v>
      </c>
      <c r="Z34" s="96">
        <f t="shared" si="8"/>
        <v>0</v>
      </c>
      <c r="AA34" s="23"/>
      <c r="AB34" s="23"/>
    </row>
    <row r="35" spans="1:28" x14ac:dyDescent="0.2">
      <c r="G35" s="1"/>
      <c r="H35" s="1"/>
      <c r="I35" s="4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8" s="14" customFormat="1" ht="17.25" customHeight="1" x14ac:dyDescent="0.2">
      <c r="A36" s="505"/>
      <c r="B36" s="506"/>
      <c r="C36" s="506"/>
      <c r="D36" s="506"/>
      <c r="E36" s="506"/>
      <c r="F36" s="506"/>
      <c r="G36" s="506"/>
      <c r="H36" s="507"/>
      <c r="I36" s="156" t="s">
        <v>7</v>
      </c>
      <c r="J36" s="157">
        <f t="shared" ref="J36:Z36" si="9">SUM(J21,J23,J30,J32,J34)</f>
        <v>982335.66</v>
      </c>
      <c r="K36" s="157">
        <f t="shared" si="9"/>
        <v>107327.77</v>
      </c>
      <c r="L36" s="157">
        <f t="shared" si="9"/>
        <v>107327.77000000002</v>
      </c>
      <c r="M36" s="157">
        <f t="shared" si="9"/>
        <v>982335.66</v>
      </c>
      <c r="N36" s="157">
        <f t="shared" si="9"/>
        <v>174305.36000000002</v>
      </c>
      <c r="O36" s="157">
        <f t="shared" si="9"/>
        <v>0</v>
      </c>
      <c r="P36" s="157">
        <f t="shared" si="9"/>
        <v>0</v>
      </c>
      <c r="Q36" s="157">
        <f t="shared" si="9"/>
        <v>0</v>
      </c>
      <c r="R36" s="157">
        <f t="shared" si="9"/>
        <v>0</v>
      </c>
      <c r="S36" s="157">
        <f t="shared" si="9"/>
        <v>0</v>
      </c>
      <c r="T36" s="157">
        <f t="shared" si="9"/>
        <v>0</v>
      </c>
      <c r="U36" s="157">
        <f t="shared" si="9"/>
        <v>0</v>
      </c>
      <c r="V36" s="157">
        <f t="shared" si="9"/>
        <v>158211.55000000002</v>
      </c>
      <c r="W36" s="157">
        <f t="shared" si="9"/>
        <v>16093.810000000001</v>
      </c>
      <c r="X36" s="157">
        <f t="shared" si="9"/>
        <v>0</v>
      </c>
      <c r="Y36" s="157">
        <f t="shared" si="9"/>
        <v>0</v>
      </c>
      <c r="Z36" s="157">
        <f t="shared" si="9"/>
        <v>0</v>
      </c>
      <c r="AA36" s="85"/>
      <c r="AB36" s="85"/>
    </row>
    <row r="37" spans="1:28" s="11" customFormat="1" ht="12" x14ac:dyDescent="0.2">
      <c r="A37" s="15"/>
      <c r="B37" s="15"/>
      <c r="C37" s="15"/>
      <c r="D37" s="16"/>
      <c r="E37" s="15"/>
      <c r="F37" s="15"/>
      <c r="G37" s="15"/>
      <c r="H37" s="15"/>
      <c r="I37" s="17"/>
      <c r="J37" s="28"/>
      <c r="K37" s="27"/>
      <c r="L37" s="27"/>
      <c r="M37" s="2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32"/>
      <c r="AB37" s="32"/>
    </row>
    <row r="38" spans="1:28" s="11" customFormat="1" ht="12" x14ac:dyDescent="0.2">
      <c r="A38" s="15"/>
      <c r="B38" s="15"/>
      <c r="C38" s="15"/>
      <c r="D38" s="16"/>
      <c r="E38" s="15"/>
      <c r="F38" s="15"/>
      <c r="G38" s="15"/>
      <c r="H38" s="15"/>
      <c r="I38" s="165"/>
      <c r="J38" s="176"/>
      <c r="K38" s="27"/>
      <c r="L38" s="27"/>
      <c r="M38" s="2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32"/>
      <c r="AB38" s="32"/>
    </row>
    <row r="39" spans="1:28" s="11" customFormat="1" ht="12" x14ac:dyDescent="0.2">
      <c r="A39" s="15"/>
      <c r="B39" s="15"/>
      <c r="C39" s="15"/>
      <c r="D39" s="16"/>
      <c r="E39" s="15"/>
      <c r="F39" s="15"/>
      <c r="G39" s="15"/>
      <c r="H39" s="15"/>
      <c r="I39" s="177"/>
      <c r="J39" s="176">
        <v>739925</v>
      </c>
      <c r="K39" s="27" t="s">
        <v>452</v>
      </c>
      <c r="L39" s="27"/>
      <c r="M39" s="2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2"/>
      <c r="AB39" s="32"/>
    </row>
    <row r="40" spans="1:28" s="11" customFormat="1" ht="12" x14ac:dyDescent="0.2">
      <c r="A40" s="15"/>
      <c r="B40" s="15"/>
      <c r="C40" s="15"/>
      <c r="D40" s="16"/>
      <c r="E40" s="15"/>
      <c r="F40" s="15"/>
      <c r="G40" s="15"/>
      <c r="H40" s="15"/>
      <c r="I40" s="165"/>
      <c r="J40" s="176">
        <v>242410.61</v>
      </c>
      <c r="K40" s="27" t="s">
        <v>452</v>
      </c>
      <c r="L40" s="27"/>
      <c r="M40" s="2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32"/>
      <c r="AB40" s="32"/>
    </row>
    <row r="41" spans="1:28" s="11" customFormat="1" ht="12" x14ac:dyDescent="0.2">
      <c r="A41" s="15"/>
      <c r="B41" s="15"/>
      <c r="C41" s="15"/>
      <c r="D41" s="16"/>
      <c r="E41" s="15"/>
      <c r="F41" s="15"/>
      <c r="G41" s="15"/>
      <c r="H41" s="15"/>
      <c r="I41" s="177"/>
      <c r="J41" s="176"/>
      <c r="K41" s="27"/>
      <c r="L41" s="27"/>
      <c r="M41" s="2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2"/>
      <c r="AB41" s="32"/>
    </row>
    <row r="42" spans="1:28" s="11" customFormat="1" ht="12" x14ac:dyDescent="0.2">
      <c r="A42" s="15"/>
      <c r="B42" s="15"/>
      <c r="C42" s="15"/>
      <c r="D42" s="16"/>
      <c r="E42" s="15"/>
      <c r="F42" s="15"/>
      <c r="G42" s="15"/>
      <c r="H42" s="15"/>
      <c r="I42" s="177"/>
      <c r="J42" s="176"/>
      <c r="K42" s="27"/>
      <c r="L42" s="27"/>
      <c r="M42" s="2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32"/>
      <c r="AB42" s="32"/>
    </row>
    <row r="43" spans="1:28" s="11" customFormat="1" ht="12" x14ac:dyDescent="0.2">
      <c r="A43" s="18"/>
      <c r="B43" s="18"/>
      <c r="C43" s="18"/>
      <c r="D43" s="19"/>
      <c r="E43" s="18"/>
      <c r="F43" s="18"/>
      <c r="G43" s="15"/>
      <c r="H43" s="15"/>
      <c r="I43" s="177"/>
      <c r="J43" s="176"/>
      <c r="K43" s="27"/>
      <c r="L43" s="27"/>
      <c r="M43" s="27"/>
      <c r="N43" s="17"/>
      <c r="O43" s="17"/>
      <c r="P43" s="17"/>
      <c r="Q43" s="48"/>
      <c r="AA43" s="32"/>
      <c r="AB43" s="32"/>
    </row>
    <row r="44" spans="1:28" s="11" customFormat="1" ht="12" x14ac:dyDescent="0.2">
      <c r="A44" s="18"/>
      <c r="B44" s="18"/>
      <c r="C44" s="18"/>
      <c r="D44" s="19"/>
      <c r="E44" s="18"/>
      <c r="F44" s="18"/>
      <c r="G44" s="15"/>
      <c r="H44" s="15"/>
      <c r="I44" s="17"/>
      <c r="J44" s="28"/>
      <c r="K44" s="27"/>
      <c r="L44" s="27"/>
      <c r="M44" s="27"/>
      <c r="N44" s="17"/>
      <c r="O44" s="17"/>
      <c r="P44" s="17"/>
      <c r="Q44" s="17"/>
      <c r="AA44" s="32"/>
      <c r="AB44" s="32"/>
    </row>
    <row r="45" spans="1:28" s="11" customFormat="1" ht="12" x14ac:dyDescent="0.2">
      <c r="A45" s="18"/>
      <c r="B45" s="18"/>
      <c r="C45" s="18"/>
      <c r="D45" s="19"/>
      <c r="E45" s="18"/>
      <c r="F45" s="18"/>
      <c r="G45" s="15"/>
      <c r="H45" s="15"/>
      <c r="I45" s="17"/>
      <c r="J45" s="28"/>
      <c r="K45" s="27"/>
      <c r="L45" s="27"/>
      <c r="M45" s="27"/>
      <c r="N45" s="17"/>
      <c r="O45" s="17"/>
      <c r="P45" s="17"/>
      <c r="Q45" s="17"/>
      <c r="AA45" s="32"/>
      <c r="AB45" s="32"/>
    </row>
    <row r="46" spans="1:28" s="11" customFormat="1" ht="12" x14ac:dyDescent="0.2">
      <c r="A46" s="18"/>
      <c r="B46" s="18"/>
      <c r="C46" s="18"/>
      <c r="D46" s="19"/>
      <c r="E46" s="18"/>
      <c r="F46" s="18"/>
      <c r="G46" s="15"/>
      <c r="H46" s="15"/>
      <c r="I46" s="17"/>
      <c r="J46" s="28"/>
      <c r="K46" s="28"/>
      <c r="L46" s="28"/>
      <c r="M46" s="28"/>
      <c r="N46" s="28"/>
      <c r="O46" s="28"/>
      <c r="P46" s="28"/>
      <c r="Q46" s="28"/>
      <c r="R46" s="28"/>
      <c r="AA46" s="32"/>
      <c r="AB46" s="32"/>
    </row>
    <row r="47" spans="1:28" s="11" customFormat="1" ht="12" x14ac:dyDescent="0.2">
      <c r="A47" s="18"/>
      <c r="B47" s="18"/>
      <c r="C47" s="18"/>
      <c r="D47" s="19"/>
      <c r="E47" s="18"/>
      <c r="F47" s="18"/>
      <c r="G47" s="15"/>
      <c r="H47" s="15"/>
      <c r="I47" s="17"/>
      <c r="J47" s="28"/>
      <c r="K47" s="27"/>
      <c r="L47" s="27"/>
      <c r="M47" s="27"/>
      <c r="N47" s="17"/>
      <c r="O47" s="17"/>
      <c r="P47" s="17"/>
      <c r="Q47" s="17"/>
      <c r="AA47" s="32"/>
      <c r="AB47" s="32"/>
    </row>
    <row r="48" spans="1:28" s="11" customFormat="1" ht="12" x14ac:dyDescent="0.2">
      <c r="A48" s="18"/>
      <c r="B48" s="18"/>
      <c r="C48" s="18"/>
      <c r="D48" s="19"/>
      <c r="E48" s="18"/>
      <c r="F48" s="18"/>
      <c r="G48" s="15"/>
      <c r="H48" s="15"/>
      <c r="I48" s="17"/>
      <c r="J48" s="28"/>
      <c r="K48" s="27"/>
      <c r="L48" s="27"/>
      <c r="M48" s="27"/>
      <c r="N48" s="17"/>
      <c r="O48" s="17"/>
      <c r="P48" s="17"/>
      <c r="Q48" s="17"/>
      <c r="AA48" s="32"/>
      <c r="AB48" s="32"/>
    </row>
    <row r="49" spans="1:28" s="11" customFormat="1" ht="12" x14ac:dyDescent="0.2">
      <c r="A49" s="18"/>
      <c r="B49" s="18"/>
      <c r="C49" s="18"/>
      <c r="D49" s="19"/>
      <c r="E49" s="18"/>
      <c r="F49" s="18"/>
      <c r="G49" s="15"/>
      <c r="H49" s="15"/>
      <c r="I49" s="17"/>
      <c r="J49" s="28"/>
      <c r="K49" s="27"/>
      <c r="L49" s="27"/>
      <c r="M49" s="27"/>
      <c r="N49" s="17"/>
      <c r="O49" s="17"/>
      <c r="P49" s="17"/>
      <c r="Q49" s="17"/>
      <c r="AA49" s="32"/>
      <c r="AB49" s="32"/>
    </row>
    <row r="50" spans="1:28" s="11" customFormat="1" ht="12" x14ac:dyDescent="0.2">
      <c r="A50" s="18"/>
      <c r="B50" s="18"/>
      <c r="C50" s="18"/>
      <c r="D50" s="19"/>
      <c r="E50" s="18"/>
      <c r="F50" s="18"/>
      <c r="G50" s="15"/>
      <c r="H50" s="15"/>
      <c r="I50" s="17"/>
      <c r="J50" s="28"/>
      <c r="K50" s="27"/>
      <c r="L50" s="27"/>
      <c r="M50" s="27"/>
      <c r="N50" s="17"/>
      <c r="O50" s="17"/>
      <c r="P50" s="17"/>
      <c r="Q50" s="17"/>
      <c r="AA50" s="32"/>
      <c r="AB50" s="32"/>
    </row>
    <row r="51" spans="1:28" s="11" customFormat="1" ht="12" x14ac:dyDescent="0.2">
      <c r="A51" s="18"/>
      <c r="B51" s="18"/>
      <c r="C51" s="18"/>
      <c r="D51" s="19"/>
      <c r="E51" s="18"/>
      <c r="F51" s="18"/>
      <c r="G51" s="15"/>
      <c r="H51" s="15"/>
      <c r="I51" s="17"/>
      <c r="J51" s="28"/>
      <c r="K51" s="27"/>
      <c r="L51" s="27"/>
      <c r="M51" s="27"/>
      <c r="N51" s="17"/>
      <c r="O51" s="17"/>
      <c r="P51" s="17"/>
      <c r="Q51" s="17"/>
      <c r="AA51" s="32"/>
      <c r="AB51" s="32"/>
    </row>
    <row r="52" spans="1:28" s="11" customFormat="1" ht="12" x14ac:dyDescent="0.2">
      <c r="A52" s="18"/>
      <c r="B52" s="18"/>
      <c r="C52" s="18"/>
      <c r="D52" s="19"/>
      <c r="E52" s="18"/>
      <c r="F52" s="18"/>
      <c r="G52" s="15"/>
      <c r="H52" s="15"/>
      <c r="I52" s="17"/>
      <c r="J52" s="28"/>
      <c r="K52" s="27"/>
      <c r="L52" s="27"/>
      <c r="M52" s="27"/>
      <c r="N52" s="17"/>
      <c r="O52" s="17"/>
      <c r="P52" s="17"/>
      <c r="Q52" s="17"/>
      <c r="AA52" s="32"/>
      <c r="AB52" s="32"/>
    </row>
    <row r="53" spans="1:28" s="11" customFormat="1" ht="12" x14ac:dyDescent="0.2">
      <c r="A53" s="18"/>
      <c r="B53" s="18"/>
      <c r="C53" s="18"/>
      <c r="D53" s="19"/>
      <c r="E53" s="18"/>
      <c r="F53" s="18"/>
      <c r="G53" s="15"/>
      <c r="H53" s="15"/>
      <c r="I53" s="17"/>
      <c r="J53" s="28"/>
      <c r="K53" s="27"/>
      <c r="L53" s="27"/>
      <c r="M53" s="27"/>
      <c r="N53" s="17"/>
      <c r="O53" s="17"/>
      <c r="P53" s="17"/>
      <c r="Q53" s="17"/>
      <c r="AA53" s="32"/>
      <c r="AB53" s="32"/>
    </row>
    <row r="54" spans="1:28" s="11" customFormat="1" ht="12" x14ac:dyDescent="0.2">
      <c r="A54" s="18"/>
      <c r="B54" s="18"/>
      <c r="C54" s="18"/>
      <c r="D54" s="19"/>
      <c r="E54" s="18"/>
      <c r="F54" s="18"/>
      <c r="G54" s="15"/>
      <c r="H54" s="15"/>
      <c r="I54" s="17"/>
      <c r="J54" s="28"/>
      <c r="K54" s="27"/>
      <c r="L54" s="27"/>
      <c r="M54" s="27"/>
      <c r="N54" s="17"/>
      <c r="O54" s="17"/>
      <c r="P54" s="17"/>
      <c r="Q54" s="17"/>
      <c r="AA54" s="32"/>
      <c r="AB54" s="32"/>
    </row>
    <row r="55" spans="1:28" s="11" customFormat="1" ht="12" x14ac:dyDescent="0.2">
      <c r="A55" s="18"/>
      <c r="B55" s="18"/>
      <c r="C55" s="18"/>
      <c r="D55" s="19"/>
      <c r="E55" s="18"/>
      <c r="F55" s="18"/>
      <c r="G55" s="15"/>
      <c r="H55" s="15"/>
      <c r="I55" s="17"/>
      <c r="J55" s="28"/>
      <c r="K55" s="27"/>
      <c r="L55" s="27"/>
      <c r="M55" s="27"/>
      <c r="N55" s="17"/>
      <c r="O55" s="17"/>
      <c r="P55" s="17"/>
      <c r="Q55" s="17"/>
      <c r="AA55" s="32"/>
      <c r="AB55" s="32"/>
    </row>
    <row r="56" spans="1:28" s="11" customFormat="1" ht="12" x14ac:dyDescent="0.2">
      <c r="A56" s="18"/>
      <c r="B56" s="18"/>
      <c r="C56" s="18"/>
      <c r="D56" s="19"/>
      <c r="E56" s="18"/>
      <c r="F56" s="18"/>
      <c r="G56" s="15"/>
      <c r="H56" s="15"/>
      <c r="I56" s="17"/>
      <c r="J56" s="28"/>
      <c r="K56" s="27"/>
      <c r="L56" s="27"/>
      <c r="M56" s="27"/>
      <c r="N56" s="17"/>
      <c r="O56" s="17"/>
      <c r="P56" s="17"/>
      <c r="Q56" s="17"/>
      <c r="AA56" s="32"/>
      <c r="AB56" s="32"/>
    </row>
    <row r="57" spans="1:28" s="11" customFormat="1" ht="12" x14ac:dyDescent="0.2">
      <c r="A57" s="18"/>
      <c r="B57" s="18"/>
      <c r="C57" s="18"/>
      <c r="D57" s="19"/>
      <c r="E57" s="18"/>
      <c r="F57" s="18"/>
      <c r="G57" s="15"/>
      <c r="H57" s="15"/>
      <c r="I57" s="17"/>
      <c r="J57" s="28"/>
      <c r="K57" s="27"/>
      <c r="L57" s="27"/>
      <c r="M57" s="27"/>
      <c r="N57" s="17"/>
      <c r="O57" s="17"/>
      <c r="P57" s="17"/>
      <c r="Q57" s="17"/>
      <c r="AA57" s="32"/>
      <c r="AB57" s="32"/>
    </row>
    <row r="58" spans="1:28" s="11" customFormat="1" ht="12" x14ac:dyDescent="0.2">
      <c r="A58" s="18"/>
      <c r="B58" s="18"/>
      <c r="C58" s="18"/>
      <c r="D58" s="19"/>
      <c r="E58" s="18"/>
      <c r="F58" s="18"/>
      <c r="G58" s="15"/>
      <c r="H58" s="15"/>
      <c r="I58" s="17"/>
      <c r="J58" s="28"/>
      <c r="K58" s="27"/>
      <c r="L58" s="27"/>
      <c r="M58" s="27"/>
      <c r="N58" s="17"/>
      <c r="O58" s="17"/>
      <c r="P58" s="17"/>
      <c r="Q58" s="17"/>
      <c r="AA58" s="32"/>
      <c r="AB58" s="32"/>
    </row>
    <row r="59" spans="1:28" s="11" customFormat="1" ht="12" x14ac:dyDescent="0.2">
      <c r="A59" s="18"/>
      <c r="B59" s="18"/>
      <c r="C59" s="18"/>
      <c r="D59" s="19"/>
      <c r="E59" s="18"/>
      <c r="F59" s="18"/>
      <c r="G59" s="15"/>
      <c r="H59" s="15"/>
      <c r="I59" s="17"/>
      <c r="J59" s="28"/>
      <c r="K59" s="27"/>
      <c r="L59" s="27"/>
      <c r="M59" s="27"/>
      <c r="N59" s="17"/>
      <c r="O59" s="17"/>
      <c r="P59" s="17"/>
      <c r="Q59" s="17"/>
      <c r="AA59" s="32"/>
      <c r="AB59" s="32"/>
    </row>
    <row r="60" spans="1:28" s="11" customFormat="1" ht="12" x14ac:dyDescent="0.2">
      <c r="A60" s="18"/>
      <c r="B60" s="18"/>
      <c r="C60" s="18"/>
      <c r="D60" s="19"/>
      <c r="E60" s="18"/>
      <c r="F60" s="18"/>
      <c r="G60" s="15"/>
      <c r="H60" s="15"/>
      <c r="I60" s="17"/>
      <c r="J60" s="28"/>
      <c r="K60" s="27"/>
      <c r="L60" s="27"/>
      <c r="M60" s="27"/>
      <c r="N60" s="17"/>
      <c r="O60" s="17"/>
      <c r="P60" s="17"/>
      <c r="Q60" s="17"/>
      <c r="AA60" s="32"/>
      <c r="AB60" s="32"/>
    </row>
    <row r="61" spans="1:28" s="11" customFormat="1" ht="12" x14ac:dyDescent="0.2">
      <c r="A61" s="18"/>
      <c r="B61" s="18"/>
      <c r="C61" s="18"/>
      <c r="D61" s="19"/>
      <c r="E61" s="18"/>
      <c r="F61" s="18"/>
      <c r="G61" s="15"/>
      <c r="H61" s="15"/>
      <c r="I61" s="17"/>
      <c r="J61" s="28"/>
      <c r="K61" s="27"/>
      <c r="L61" s="27"/>
      <c r="M61" s="27"/>
      <c r="N61" s="17"/>
      <c r="O61" s="17"/>
      <c r="P61" s="17"/>
      <c r="Q61" s="17"/>
      <c r="AA61" s="32"/>
      <c r="AB61" s="32"/>
    </row>
    <row r="62" spans="1:28" s="11" customFormat="1" ht="12" x14ac:dyDescent="0.2">
      <c r="A62" s="18"/>
      <c r="B62" s="18"/>
      <c r="C62" s="18"/>
      <c r="D62" s="19"/>
      <c r="E62" s="18"/>
      <c r="F62" s="18"/>
      <c r="G62" s="15"/>
      <c r="H62" s="15"/>
      <c r="I62" s="17"/>
      <c r="J62" s="28"/>
      <c r="K62" s="27"/>
      <c r="L62" s="27"/>
      <c r="M62" s="27"/>
      <c r="N62" s="17"/>
      <c r="O62" s="17"/>
      <c r="P62" s="17"/>
      <c r="Q62" s="17"/>
      <c r="AA62" s="32"/>
      <c r="AB62" s="32"/>
    </row>
    <row r="63" spans="1:28" s="11" customFormat="1" ht="12" x14ac:dyDescent="0.2">
      <c r="A63" s="18"/>
      <c r="B63" s="18"/>
      <c r="C63" s="18"/>
      <c r="D63" s="19"/>
      <c r="E63" s="18"/>
      <c r="F63" s="18"/>
      <c r="G63" s="15"/>
      <c r="H63" s="15"/>
      <c r="I63" s="17"/>
      <c r="J63" s="28"/>
      <c r="K63" s="27"/>
      <c r="L63" s="27"/>
      <c r="M63" s="27"/>
      <c r="N63" s="17"/>
      <c r="O63" s="17"/>
      <c r="P63" s="17"/>
      <c r="Q63" s="17"/>
      <c r="AA63" s="32"/>
      <c r="AB63" s="32"/>
    </row>
    <row r="64" spans="1:28" s="11" customFormat="1" ht="12" x14ac:dyDescent="0.2">
      <c r="A64" s="18"/>
      <c r="B64" s="18"/>
      <c r="C64" s="18"/>
      <c r="D64" s="19"/>
      <c r="E64" s="18"/>
      <c r="F64" s="18"/>
      <c r="G64" s="15"/>
      <c r="H64" s="15"/>
      <c r="I64" s="17"/>
      <c r="J64" s="28"/>
      <c r="K64" s="27"/>
      <c r="L64" s="27"/>
      <c r="M64" s="27"/>
      <c r="N64" s="17"/>
      <c r="O64" s="17"/>
      <c r="P64" s="17"/>
      <c r="Q64" s="17"/>
      <c r="AA64" s="32"/>
      <c r="AB64" s="32"/>
    </row>
    <row r="65" spans="1:28" s="11" customFormat="1" ht="12" x14ac:dyDescent="0.2">
      <c r="A65" s="18"/>
      <c r="B65" s="18"/>
      <c r="C65" s="18"/>
      <c r="D65" s="19"/>
      <c r="E65" s="18"/>
      <c r="F65" s="18"/>
      <c r="G65" s="15"/>
      <c r="H65" s="15"/>
      <c r="I65" s="17"/>
      <c r="J65" s="28"/>
      <c r="K65" s="27"/>
      <c r="L65" s="27"/>
      <c r="M65" s="27"/>
      <c r="N65" s="17"/>
      <c r="O65" s="17"/>
      <c r="P65" s="17"/>
      <c r="Q65" s="17"/>
      <c r="AA65" s="32"/>
      <c r="AB65" s="32"/>
    </row>
    <row r="66" spans="1:28" s="11" customFormat="1" ht="12" x14ac:dyDescent="0.2">
      <c r="A66" s="18"/>
      <c r="B66" s="18"/>
      <c r="C66" s="18"/>
      <c r="D66" s="19"/>
      <c r="E66" s="18"/>
      <c r="F66" s="18"/>
      <c r="G66" s="15"/>
      <c r="H66" s="15"/>
      <c r="I66" s="17"/>
      <c r="J66" s="28"/>
      <c r="K66" s="27"/>
      <c r="L66" s="27"/>
      <c r="M66" s="27"/>
      <c r="N66" s="17"/>
      <c r="O66" s="17"/>
      <c r="P66" s="17"/>
      <c r="Q66" s="17"/>
      <c r="AA66" s="32"/>
      <c r="AB66" s="32"/>
    </row>
    <row r="67" spans="1:28" s="11" customFormat="1" ht="12" x14ac:dyDescent="0.2">
      <c r="A67" s="18"/>
      <c r="B67" s="18"/>
      <c r="C67" s="18"/>
      <c r="D67" s="19"/>
      <c r="E67" s="18"/>
      <c r="F67" s="18"/>
      <c r="G67" s="15"/>
      <c r="H67" s="15"/>
      <c r="I67" s="17"/>
      <c r="J67" s="28"/>
      <c r="K67" s="27"/>
      <c r="L67" s="27"/>
      <c r="M67" s="27"/>
      <c r="N67" s="17"/>
      <c r="O67" s="17"/>
      <c r="P67" s="17"/>
      <c r="Q67" s="17"/>
      <c r="AA67" s="32"/>
      <c r="AB67" s="32"/>
    </row>
    <row r="68" spans="1:28" s="11" customFormat="1" ht="12" x14ac:dyDescent="0.2">
      <c r="A68" s="18"/>
      <c r="B68" s="18"/>
      <c r="C68" s="18"/>
      <c r="D68" s="19"/>
      <c r="E68" s="18"/>
      <c r="F68" s="18"/>
      <c r="G68" s="15"/>
      <c r="H68" s="15"/>
      <c r="I68" s="17"/>
      <c r="J68" s="28"/>
      <c r="K68" s="27"/>
      <c r="L68" s="27"/>
      <c r="M68" s="27"/>
      <c r="N68" s="17"/>
      <c r="O68" s="17"/>
      <c r="P68" s="17"/>
      <c r="Q68" s="17"/>
      <c r="AA68" s="32"/>
      <c r="AB68" s="32"/>
    </row>
    <row r="69" spans="1:28" s="11" customFormat="1" ht="12" x14ac:dyDescent="0.2">
      <c r="A69" s="18"/>
      <c r="B69" s="18"/>
      <c r="C69" s="18"/>
      <c r="D69" s="19"/>
      <c r="E69" s="18"/>
      <c r="F69" s="18"/>
      <c r="G69" s="15"/>
      <c r="H69" s="15"/>
      <c r="I69" s="17"/>
      <c r="J69" s="28"/>
      <c r="K69" s="27"/>
      <c r="L69" s="27"/>
      <c r="M69" s="27"/>
      <c r="N69" s="17"/>
      <c r="O69" s="17"/>
      <c r="P69" s="17"/>
      <c r="Q69" s="17"/>
      <c r="AA69" s="32"/>
      <c r="AB69" s="32"/>
    </row>
    <row r="70" spans="1:28" s="11" customFormat="1" ht="12" x14ac:dyDescent="0.2">
      <c r="A70" s="18"/>
      <c r="B70" s="18"/>
      <c r="C70" s="18"/>
      <c r="D70" s="19"/>
      <c r="E70" s="18"/>
      <c r="F70" s="18"/>
      <c r="G70" s="15"/>
      <c r="H70" s="15"/>
      <c r="I70" s="17"/>
      <c r="J70" s="28"/>
      <c r="K70" s="27"/>
      <c r="L70" s="27"/>
      <c r="M70" s="27"/>
      <c r="N70" s="17"/>
      <c r="O70" s="17"/>
      <c r="P70" s="17"/>
      <c r="Q70" s="17"/>
      <c r="AA70" s="32"/>
      <c r="AB70" s="32"/>
    </row>
    <row r="71" spans="1:28" s="11" customFormat="1" ht="12" x14ac:dyDescent="0.2">
      <c r="A71" s="18"/>
      <c r="B71" s="18"/>
      <c r="C71" s="18"/>
      <c r="D71" s="19"/>
      <c r="E71" s="18"/>
      <c r="F71" s="18"/>
      <c r="G71" s="15"/>
      <c r="H71" s="15"/>
      <c r="I71" s="17"/>
      <c r="J71" s="28"/>
      <c r="K71" s="27"/>
      <c r="L71" s="27"/>
      <c r="M71" s="27"/>
      <c r="N71" s="17"/>
      <c r="O71" s="17"/>
      <c r="P71" s="17"/>
      <c r="Q71" s="17"/>
      <c r="AA71" s="32"/>
      <c r="AB71" s="32"/>
    </row>
    <row r="72" spans="1:28" s="11" customFormat="1" ht="12" x14ac:dyDescent="0.2">
      <c r="A72" s="18"/>
      <c r="B72" s="18"/>
      <c r="C72" s="18"/>
      <c r="D72" s="19"/>
      <c r="E72" s="18"/>
      <c r="F72" s="18"/>
      <c r="G72" s="15"/>
      <c r="H72" s="15"/>
      <c r="I72" s="17"/>
      <c r="J72" s="28"/>
      <c r="K72" s="27"/>
      <c r="L72" s="27"/>
      <c r="M72" s="27"/>
      <c r="N72" s="17"/>
      <c r="O72" s="17"/>
      <c r="P72" s="17"/>
      <c r="Q72" s="17"/>
      <c r="AA72" s="32"/>
      <c r="AB72" s="32"/>
    </row>
    <row r="73" spans="1:28" s="11" customFormat="1" ht="12" x14ac:dyDescent="0.2">
      <c r="A73" s="18"/>
      <c r="B73" s="18"/>
      <c r="C73" s="18"/>
      <c r="D73" s="19"/>
      <c r="E73" s="18"/>
      <c r="F73" s="18"/>
      <c r="G73" s="15"/>
      <c r="H73" s="15"/>
      <c r="I73" s="17"/>
      <c r="J73" s="28"/>
      <c r="K73" s="27"/>
      <c r="L73" s="27"/>
      <c r="M73" s="27"/>
      <c r="N73" s="17"/>
      <c r="O73" s="17"/>
      <c r="P73" s="17"/>
      <c r="Q73" s="17"/>
      <c r="AA73" s="32"/>
      <c r="AB73" s="32"/>
    </row>
    <row r="74" spans="1:28" s="11" customFormat="1" ht="12" x14ac:dyDescent="0.2">
      <c r="A74" s="18"/>
      <c r="B74" s="18"/>
      <c r="C74" s="18"/>
      <c r="D74" s="19"/>
      <c r="E74" s="18"/>
      <c r="F74" s="18"/>
      <c r="G74" s="15"/>
      <c r="H74" s="15"/>
      <c r="I74" s="17"/>
      <c r="J74" s="28"/>
      <c r="K74" s="27"/>
      <c r="L74" s="27"/>
      <c r="M74" s="27"/>
      <c r="N74" s="17"/>
      <c r="O74" s="17"/>
      <c r="P74" s="17"/>
      <c r="Q74" s="17"/>
      <c r="AA74" s="32"/>
      <c r="AB74" s="32"/>
    </row>
    <row r="75" spans="1:28" s="11" customFormat="1" ht="12" x14ac:dyDescent="0.2">
      <c r="A75" s="18"/>
      <c r="B75" s="18"/>
      <c r="C75" s="18"/>
      <c r="D75" s="19"/>
      <c r="E75" s="18"/>
      <c r="F75" s="18"/>
      <c r="G75" s="15"/>
      <c r="H75" s="15"/>
      <c r="I75" s="17"/>
      <c r="J75" s="28"/>
      <c r="K75" s="27"/>
      <c r="L75" s="27"/>
      <c r="M75" s="27"/>
      <c r="N75" s="17"/>
      <c r="O75" s="17"/>
      <c r="P75" s="17"/>
      <c r="Q75" s="17"/>
      <c r="AA75" s="32"/>
      <c r="AB75" s="32"/>
    </row>
    <row r="76" spans="1:28" s="11" customFormat="1" ht="12" x14ac:dyDescent="0.2">
      <c r="A76" s="18"/>
      <c r="B76" s="18"/>
      <c r="C76" s="18"/>
      <c r="D76" s="19"/>
      <c r="E76" s="18"/>
      <c r="F76" s="18"/>
      <c r="G76" s="15"/>
      <c r="H76" s="15"/>
      <c r="I76" s="17"/>
      <c r="J76" s="28"/>
      <c r="K76" s="27"/>
      <c r="L76" s="27"/>
      <c r="M76" s="27"/>
      <c r="N76" s="17"/>
      <c r="O76" s="17"/>
      <c r="P76" s="17"/>
      <c r="Q76" s="17"/>
      <c r="AA76" s="32"/>
      <c r="AB76" s="32"/>
    </row>
    <row r="77" spans="1:28" s="11" customFormat="1" ht="12" x14ac:dyDescent="0.2">
      <c r="A77" s="18"/>
      <c r="B77" s="18"/>
      <c r="C77" s="18"/>
      <c r="D77" s="19"/>
      <c r="E77" s="18"/>
      <c r="F77" s="18"/>
      <c r="G77" s="15"/>
      <c r="H77" s="15"/>
      <c r="I77" s="17"/>
      <c r="J77" s="28"/>
      <c r="K77" s="27"/>
      <c r="L77" s="27"/>
      <c r="M77" s="27"/>
      <c r="N77" s="17"/>
      <c r="O77" s="17"/>
      <c r="P77" s="17"/>
      <c r="Q77" s="17"/>
      <c r="AA77" s="32"/>
      <c r="AB77" s="32"/>
    </row>
    <row r="78" spans="1:28" s="11" customFormat="1" ht="12" x14ac:dyDescent="0.2">
      <c r="A78" s="18"/>
      <c r="B78" s="18"/>
      <c r="C78" s="18"/>
      <c r="D78" s="19"/>
      <c r="E78" s="18"/>
      <c r="F78" s="18"/>
      <c r="G78" s="15"/>
      <c r="H78" s="15"/>
      <c r="I78" s="17"/>
      <c r="J78" s="28"/>
      <c r="K78" s="27"/>
      <c r="L78" s="27"/>
      <c r="M78" s="27"/>
      <c r="N78" s="17"/>
      <c r="O78" s="17"/>
      <c r="P78" s="17"/>
      <c r="Q78" s="17"/>
      <c r="AA78" s="32"/>
      <c r="AB78" s="32"/>
    </row>
    <row r="79" spans="1:28" s="11" customFormat="1" ht="12" x14ac:dyDescent="0.2">
      <c r="A79" s="18"/>
      <c r="B79" s="18"/>
      <c r="C79" s="18"/>
      <c r="D79" s="19"/>
      <c r="E79" s="18"/>
      <c r="F79" s="18"/>
      <c r="G79" s="15"/>
      <c r="H79" s="15"/>
      <c r="I79" s="17"/>
      <c r="J79" s="28"/>
      <c r="K79" s="27"/>
      <c r="L79" s="27"/>
      <c r="M79" s="27"/>
      <c r="N79" s="17"/>
      <c r="O79" s="17"/>
      <c r="P79" s="17"/>
      <c r="Q79" s="17"/>
      <c r="AA79" s="32"/>
      <c r="AB79" s="32"/>
    </row>
    <row r="80" spans="1:28" s="11" customFormat="1" ht="12" x14ac:dyDescent="0.2">
      <c r="A80" s="18"/>
      <c r="B80" s="18"/>
      <c r="C80" s="18"/>
      <c r="D80" s="19"/>
      <c r="E80" s="18"/>
      <c r="F80" s="18"/>
      <c r="G80" s="15"/>
      <c r="H80" s="15"/>
      <c r="I80" s="17"/>
      <c r="J80" s="28"/>
      <c r="K80" s="27"/>
      <c r="L80" s="27"/>
      <c r="M80" s="27"/>
      <c r="N80" s="17"/>
      <c r="O80" s="17"/>
      <c r="P80" s="17"/>
      <c r="Q80" s="17"/>
      <c r="AA80" s="32"/>
      <c r="AB80" s="32"/>
    </row>
    <row r="81" spans="1:28" s="11" customFormat="1" ht="12" x14ac:dyDescent="0.2">
      <c r="A81" s="18"/>
      <c r="B81" s="18"/>
      <c r="C81" s="18"/>
      <c r="D81" s="19"/>
      <c r="E81" s="18"/>
      <c r="F81" s="18"/>
      <c r="G81" s="15"/>
      <c r="H81" s="15"/>
      <c r="I81" s="17"/>
      <c r="J81" s="28"/>
      <c r="K81" s="27"/>
      <c r="L81" s="27"/>
      <c r="M81" s="27"/>
      <c r="N81" s="17"/>
      <c r="O81" s="17"/>
      <c r="P81" s="17"/>
      <c r="Q81" s="17"/>
      <c r="AA81" s="32"/>
      <c r="AB81" s="32"/>
    </row>
    <row r="82" spans="1:28" s="11" customFormat="1" ht="12" x14ac:dyDescent="0.2">
      <c r="A82" s="18"/>
      <c r="B82" s="18"/>
      <c r="C82" s="18"/>
      <c r="D82" s="19"/>
      <c r="E82" s="18"/>
      <c r="F82" s="18"/>
      <c r="G82" s="15"/>
      <c r="H82" s="15"/>
      <c r="I82" s="17"/>
      <c r="J82" s="28"/>
      <c r="K82" s="27"/>
      <c r="L82" s="27"/>
      <c r="M82" s="27"/>
      <c r="N82" s="17"/>
      <c r="O82" s="17"/>
      <c r="P82" s="17"/>
      <c r="Q82" s="17"/>
      <c r="AA82" s="32"/>
      <c r="AB82" s="32"/>
    </row>
    <row r="83" spans="1:28" s="11" customFormat="1" ht="12" x14ac:dyDescent="0.2">
      <c r="A83" s="18"/>
      <c r="B83" s="18"/>
      <c r="C83" s="18"/>
      <c r="D83" s="19"/>
      <c r="E83" s="18"/>
      <c r="F83" s="18"/>
      <c r="G83" s="15"/>
      <c r="H83" s="15"/>
      <c r="I83" s="17"/>
      <c r="J83" s="28"/>
      <c r="K83" s="27"/>
      <c r="L83" s="27"/>
      <c r="M83" s="27"/>
      <c r="N83" s="17"/>
      <c r="O83" s="17"/>
      <c r="P83" s="17"/>
      <c r="Q83" s="17"/>
      <c r="AA83" s="32"/>
      <c r="AB83" s="32"/>
    </row>
    <row r="84" spans="1:28" s="11" customFormat="1" ht="12" x14ac:dyDescent="0.2">
      <c r="A84" s="18"/>
      <c r="B84" s="18"/>
      <c r="C84" s="18"/>
      <c r="D84" s="19"/>
      <c r="E84" s="18"/>
      <c r="F84" s="18"/>
      <c r="G84" s="15"/>
      <c r="H84" s="15"/>
      <c r="I84" s="17"/>
      <c r="J84" s="28"/>
      <c r="K84" s="27"/>
      <c r="L84" s="27"/>
      <c r="M84" s="27"/>
      <c r="N84" s="17"/>
      <c r="O84" s="17"/>
      <c r="P84" s="17"/>
      <c r="Q84" s="17"/>
      <c r="AA84" s="32"/>
      <c r="AB84" s="32"/>
    </row>
    <row r="85" spans="1:28" s="11" customFormat="1" ht="12" x14ac:dyDescent="0.2">
      <c r="A85" s="18"/>
      <c r="B85" s="18"/>
      <c r="C85" s="18"/>
      <c r="D85" s="19"/>
      <c r="E85" s="18"/>
      <c r="F85" s="18"/>
      <c r="G85" s="15"/>
      <c r="H85" s="15"/>
      <c r="I85" s="17"/>
      <c r="J85" s="28"/>
      <c r="K85" s="27"/>
      <c r="L85" s="27"/>
      <c r="M85" s="27"/>
      <c r="N85" s="17"/>
      <c r="O85" s="17"/>
      <c r="P85" s="17"/>
      <c r="Q85" s="17"/>
      <c r="AA85" s="32"/>
      <c r="AB85" s="32"/>
    </row>
    <row r="86" spans="1:28" s="11" customFormat="1" ht="12" x14ac:dyDescent="0.2">
      <c r="A86" s="18"/>
      <c r="B86" s="18"/>
      <c r="C86" s="18"/>
      <c r="D86" s="19"/>
      <c r="E86" s="18"/>
      <c r="F86" s="18"/>
      <c r="G86" s="15"/>
      <c r="H86" s="15"/>
      <c r="I86" s="17"/>
      <c r="J86" s="28"/>
      <c r="K86" s="27"/>
      <c r="L86" s="27"/>
      <c r="M86" s="27"/>
      <c r="N86" s="17"/>
      <c r="O86" s="17"/>
      <c r="P86" s="17"/>
      <c r="Q86" s="17"/>
      <c r="AA86" s="32"/>
      <c r="AB86" s="32"/>
    </row>
    <row r="87" spans="1:28" s="11" customFormat="1" ht="12" x14ac:dyDescent="0.2">
      <c r="A87" s="18"/>
      <c r="B87" s="18"/>
      <c r="C87" s="18"/>
      <c r="D87" s="19"/>
      <c r="E87" s="18"/>
      <c r="F87" s="18"/>
      <c r="G87" s="15"/>
      <c r="H87" s="15"/>
      <c r="I87" s="17"/>
      <c r="J87" s="28"/>
      <c r="K87" s="27"/>
      <c r="L87" s="27"/>
      <c r="M87" s="27"/>
      <c r="N87" s="17"/>
      <c r="O87" s="17"/>
      <c r="P87" s="17"/>
      <c r="Q87" s="17"/>
      <c r="AA87" s="32"/>
      <c r="AB87" s="32"/>
    </row>
  </sheetData>
  <mergeCells count="17">
    <mergeCell ref="N9:N10"/>
    <mergeCell ref="O9:Z9"/>
    <mergeCell ref="I4:L4"/>
    <mergeCell ref="I5:L5"/>
    <mergeCell ref="A9:A10"/>
    <mergeCell ref="B9:B10"/>
    <mergeCell ref="C9:C10"/>
    <mergeCell ref="D9:D10"/>
    <mergeCell ref="E9:E10"/>
    <mergeCell ref="F9:F10"/>
    <mergeCell ref="G9:G10"/>
    <mergeCell ref="H9:H10"/>
    <mergeCell ref="A36:H36"/>
    <mergeCell ref="I9:I10"/>
    <mergeCell ref="J9:J10"/>
    <mergeCell ref="K9:L9"/>
    <mergeCell ref="M9:M10"/>
  </mergeCells>
  <pageMargins left="0.62992125984251968" right="0.19" top="0.39370078740157483" bottom="0.39370078740157483" header="0" footer="0"/>
  <pageSetup paperSize="5" scale="57" orientation="landscape" r:id="rId1"/>
  <headerFooter alignWithMargins="0">
    <oddFooter>&amp;C&amp;P&amp;R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C84"/>
  <sheetViews>
    <sheetView showGridLines="0" view="pageBreakPreview" topLeftCell="G4" zoomScaleNormal="75" zoomScaleSheetLayoutView="100" workbookViewId="0">
      <pane xSplit="3" ySplit="7" topLeftCell="J11" activePane="bottomRight" state="frozen"/>
      <selection activeCell="G4" sqref="G4"/>
      <selection pane="topRight" activeCell="J4" sqref="J4"/>
      <selection pane="bottomLeft" activeCell="G11" sqref="G11"/>
      <selection pane="bottomRight" activeCell="X22" sqref="X22"/>
    </sheetView>
  </sheetViews>
  <sheetFormatPr baseColWidth="10" defaultColWidth="11.42578125" defaultRowHeight="12.75" x14ac:dyDescent="0.2"/>
  <cols>
    <col min="1" max="1" width="4" style="1" customWidth="1"/>
    <col min="2" max="2" width="4.42578125" style="1" customWidth="1"/>
    <col min="3" max="3" width="4.5703125" style="1" customWidth="1"/>
    <col min="4" max="4" width="6.5703125" style="7" customWidth="1"/>
    <col min="5" max="5" width="6.28515625" style="1" customWidth="1"/>
    <col min="6" max="6" width="6.140625" style="1" customWidth="1"/>
    <col min="7" max="7" width="6.42578125" style="15" customWidth="1"/>
    <col min="8" max="8" width="3.7109375" style="15" customWidth="1"/>
    <col min="9" max="9" width="38.42578125" style="17" customWidth="1"/>
    <col min="10" max="10" width="15.5703125" style="28" customWidth="1"/>
    <col min="11" max="11" width="8.7109375" style="27" bestFit="1" customWidth="1"/>
    <col min="12" max="12" width="9.7109375" style="27" bestFit="1" customWidth="1"/>
    <col min="13" max="13" width="15" style="27" customWidth="1"/>
    <col min="14" max="14" width="16" style="27" customWidth="1"/>
    <col min="15" max="15" width="14" style="17" customWidth="1"/>
    <col min="16" max="18" width="10" style="17" customWidth="1"/>
    <col min="19" max="19" width="10" style="4" customWidth="1"/>
    <col min="20" max="20" width="15" style="4" bestFit="1" customWidth="1"/>
    <col min="21" max="21" width="8.5703125" style="4" customWidth="1"/>
    <col min="22" max="24" width="12.5703125" style="4" customWidth="1"/>
    <col min="25" max="27" width="9.7109375" style="4" customWidth="1"/>
    <col min="28" max="29" width="11.42578125" style="74" customWidth="1"/>
    <col min="30" max="16384" width="11.42578125" style="4"/>
  </cols>
  <sheetData>
    <row r="1" spans="1:29" ht="25.5" x14ac:dyDescent="0.35">
      <c r="D1" s="3"/>
      <c r="H1" s="6" t="s">
        <v>210</v>
      </c>
      <c r="AA1" s="5"/>
    </row>
    <row r="2" spans="1:29" ht="23.25" x14ac:dyDescent="0.35">
      <c r="H2" s="2" t="s">
        <v>20</v>
      </c>
      <c r="N2" s="36"/>
      <c r="O2" s="35"/>
      <c r="P2" s="34"/>
      <c r="Q2" s="34"/>
      <c r="R2" s="34"/>
      <c r="S2" s="6"/>
      <c r="T2" s="6"/>
      <c r="U2" s="6"/>
      <c r="V2" s="6"/>
      <c r="W2" s="6"/>
      <c r="X2" s="6"/>
      <c r="Y2" s="6"/>
      <c r="Z2" s="6"/>
      <c r="AA2" s="5"/>
    </row>
    <row r="3" spans="1:29" ht="25.5" x14ac:dyDescent="0.35">
      <c r="C3" s="2"/>
      <c r="D3" s="3"/>
      <c r="I3" s="37"/>
      <c r="J3" s="38"/>
      <c r="K3" s="39"/>
      <c r="L3" s="39"/>
      <c r="M3" s="39"/>
      <c r="N3" s="36"/>
      <c r="O3" s="35"/>
      <c r="P3" s="34"/>
      <c r="Q3" s="34"/>
      <c r="R3" s="34"/>
      <c r="S3" s="6"/>
      <c r="T3" s="6"/>
      <c r="U3" s="6"/>
      <c r="V3" s="6"/>
      <c r="W3" s="6"/>
      <c r="X3" s="6"/>
      <c r="Y3" s="6"/>
      <c r="Z3" s="6"/>
      <c r="AA3" s="5"/>
    </row>
    <row r="4" spans="1:29" s="63" customFormat="1" ht="23.25" customHeight="1" x14ac:dyDescent="0.2">
      <c r="A4" s="55"/>
      <c r="B4" s="55"/>
      <c r="C4" s="56"/>
      <c r="D4" s="57" t="s">
        <v>21</v>
      </c>
      <c r="E4" s="55"/>
      <c r="F4" s="55"/>
      <c r="G4" s="58"/>
      <c r="H4" s="58"/>
      <c r="I4" s="481" t="s">
        <v>44</v>
      </c>
      <c r="J4" s="481"/>
      <c r="K4" s="481"/>
      <c r="L4" s="481"/>
      <c r="M4" s="257"/>
      <c r="N4" s="67"/>
      <c r="O4" s="59"/>
      <c r="P4" s="60"/>
      <c r="Q4" s="93" t="s">
        <v>100</v>
      </c>
      <c r="R4" s="93"/>
      <c r="S4" s="94"/>
      <c r="T4" s="142" t="str">
        <f>+'01.Recurso Estatal'!T4</f>
        <v>TERCER</v>
      </c>
      <c r="U4" s="61"/>
      <c r="V4" s="61"/>
      <c r="W4" s="61"/>
      <c r="X4" s="61"/>
      <c r="Y4" s="61"/>
      <c r="Z4" s="61"/>
      <c r="AA4" s="62"/>
      <c r="AB4" s="77"/>
      <c r="AC4" s="77"/>
    </row>
    <row r="5" spans="1:29" s="63" customFormat="1" ht="20.25" customHeight="1" x14ac:dyDescent="0.2">
      <c r="A5" s="55"/>
      <c r="B5" s="55"/>
      <c r="C5" s="55"/>
      <c r="D5" s="126"/>
      <c r="E5" s="127"/>
      <c r="F5" s="127"/>
      <c r="G5" s="127"/>
      <c r="H5" s="127"/>
      <c r="I5" s="482"/>
      <c r="J5" s="482"/>
      <c r="K5" s="482"/>
      <c r="L5" s="482"/>
      <c r="M5" s="258"/>
      <c r="N5" s="128"/>
      <c r="O5" s="77"/>
      <c r="P5" s="104"/>
      <c r="Q5" s="104"/>
      <c r="R5" s="104"/>
      <c r="S5" s="108"/>
      <c r="T5" s="104"/>
      <c r="U5" s="104"/>
      <c r="V5" s="104"/>
      <c r="W5" s="104"/>
      <c r="X5" s="104"/>
      <c r="Y5" s="104"/>
      <c r="Z5" s="104"/>
      <c r="AA5" s="106"/>
      <c r="AB5" s="78"/>
      <c r="AC5" s="77"/>
    </row>
    <row r="6" spans="1:29" s="63" customFormat="1" ht="15.75" x14ac:dyDescent="0.2">
      <c r="A6" s="55"/>
      <c r="B6" s="55"/>
      <c r="C6" s="55"/>
      <c r="D6" s="107" t="s">
        <v>23</v>
      </c>
      <c r="E6" s="55"/>
      <c r="F6" s="55"/>
      <c r="G6" s="55"/>
      <c r="H6" s="55"/>
      <c r="I6" s="77"/>
      <c r="J6" s="129" t="s">
        <v>41</v>
      </c>
      <c r="K6" s="130"/>
      <c r="L6" s="130"/>
      <c r="M6" s="130"/>
      <c r="N6" s="130"/>
      <c r="O6" s="77" t="s">
        <v>51</v>
      </c>
      <c r="P6" s="104"/>
      <c r="Q6" s="104"/>
      <c r="R6" s="104" t="s">
        <v>146</v>
      </c>
      <c r="S6" s="104"/>
      <c r="T6" s="104"/>
      <c r="U6" s="104"/>
      <c r="V6" s="104"/>
      <c r="W6" s="104"/>
      <c r="X6" s="104"/>
      <c r="Y6" s="104"/>
      <c r="Z6" s="104"/>
      <c r="AA6" s="106"/>
      <c r="AB6" s="78"/>
      <c r="AC6" s="77"/>
    </row>
    <row r="7" spans="1:29" ht="15.75" x14ac:dyDescent="0.2">
      <c r="G7" s="1"/>
      <c r="H7" s="1"/>
      <c r="I7" s="101"/>
      <c r="J7" s="131"/>
      <c r="K7" s="132"/>
      <c r="L7" s="132"/>
      <c r="M7" s="132"/>
      <c r="N7" s="132"/>
      <c r="O7" s="101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100"/>
      <c r="AB7" s="79"/>
    </row>
    <row r="8" spans="1:29" x14ac:dyDescent="0.2">
      <c r="A8" s="8"/>
      <c r="B8" s="8"/>
      <c r="C8" s="8"/>
      <c r="D8" s="9"/>
      <c r="E8" s="8"/>
      <c r="F8" s="8"/>
      <c r="G8" s="8"/>
      <c r="H8" s="8"/>
      <c r="I8" s="10"/>
      <c r="J8" s="133"/>
      <c r="K8" s="134"/>
      <c r="L8" s="134"/>
      <c r="M8" s="134"/>
      <c r="N8" s="134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9" s="88" customFormat="1" ht="15" customHeight="1" x14ac:dyDescent="0.2">
      <c r="A9" s="483" t="s">
        <v>11</v>
      </c>
      <c r="B9" s="483" t="s">
        <v>12</v>
      </c>
      <c r="C9" s="483" t="s">
        <v>13</v>
      </c>
      <c r="D9" s="484" t="s">
        <v>14</v>
      </c>
      <c r="E9" s="483" t="s">
        <v>24</v>
      </c>
      <c r="F9" s="483" t="s">
        <v>15</v>
      </c>
      <c r="G9" s="483" t="s">
        <v>0</v>
      </c>
      <c r="H9" s="483" t="s">
        <v>25</v>
      </c>
      <c r="I9" s="477" t="s">
        <v>1</v>
      </c>
      <c r="J9" s="478" t="s">
        <v>26</v>
      </c>
      <c r="K9" s="480" t="s">
        <v>27</v>
      </c>
      <c r="L9" s="480"/>
      <c r="M9" s="256"/>
      <c r="N9" s="478" t="s">
        <v>16</v>
      </c>
      <c r="O9" s="479" t="s">
        <v>28</v>
      </c>
      <c r="P9" s="477" t="s">
        <v>29</v>
      </c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87"/>
      <c r="AC9" s="87"/>
    </row>
    <row r="10" spans="1:29" s="89" customFormat="1" ht="40.9" customHeight="1" x14ac:dyDescent="0.2">
      <c r="A10" s="483"/>
      <c r="B10" s="483"/>
      <c r="C10" s="483"/>
      <c r="D10" s="484"/>
      <c r="E10" s="483"/>
      <c r="F10" s="483"/>
      <c r="G10" s="483"/>
      <c r="H10" s="483"/>
      <c r="I10" s="477"/>
      <c r="J10" s="478"/>
      <c r="K10" s="172" t="s">
        <v>30</v>
      </c>
      <c r="L10" s="172" t="s">
        <v>31</v>
      </c>
      <c r="M10" s="255" t="s">
        <v>192</v>
      </c>
      <c r="N10" s="478"/>
      <c r="O10" s="479"/>
      <c r="P10" s="171" t="s">
        <v>8</v>
      </c>
      <c r="Q10" s="171" t="s">
        <v>9</v>
      </c>
      <c r="R10" s="171" t="s">
        <v>10</v>
      </c>
      <c r="S10" s="171" t="s">
        <v>32</v>
      </c>
      <c r="T10" s="171" t="s">
        <v>33</v>
      </c>
      <c r="U10" s="171" t="s">
        <v>34</v>
      </c>
      <c r="V10" s="171" t="s">
        <v>35</v>
      </c>
      <c r="W10" s="171" t="s">
        <v>36</v>
      </c>
      <c r="X10" s="171" t="s">
        <v>37</v>
      </c>
      <c r="Y10" s="171" t="s">
        <v>38</v>
      </c>
      <c r="Z10" s="171" t="s">
        <v>39</v>
      </c>
      <c r="AA10" s="171" t="s">
        <v>40</v>
      </c>
      <c r="AB10" s="86"/>
      <c r="AC10" s="86"/>
    </row>
    <row r="11" spans="1:29" s="17" customFormat="1" x14ac:dyDescent="0.2">
      <c r="A11" s="21"/>
      <c r="B11" s="21"/>
      <c r="C11" s="21"/>
      <c r="D11" s="21"/>
      <c r="E11" s="21"/>
      <c r="F11" s="21"/>
      <c r="G11" s="72"/>
      <c r="H11" s="42"/>
      <c r="I11" s="97"/>
      <c r="J11" s="120"/>
      <c r="K11" s="120"/>
      <c r="L11" s="120"/>
      <c r="M11" s="120">
        <f>+N11-O11</f>
        <v>0</v>
      </c>
      <c r="N11" s="119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82"/>
      <c r="AC11" s="82"/>
    </row>
    <row r="12" spans="1:29" s="12" customFormat="1" x14ac:dyDescent="0.2">
      <c r="A12" s="22"/>
      <c r="B12" s="22"/>
      <c r="C12" s="22"/>
      <c r="D12" s="33"/>
      <c r="E12" s="22"/>
      <c r="F12" s="22"/>
      <c r="G12" s="22"/>
      <c r="H12" s="22"/>
      <c r="I12" s="92" t="s">
        <v>2</v>
      </c>
      <c r="J12" s="96">
        <f t="shared" ref="J12:AA12" si="0">SUM(J11:J11)</f>
        <v>0</v>
      </c>
      <c r="K12" s="96">
        <f t="shared" si="0"/>
        <v>0</v>
      </c>
      <c r="L12" s="96">
        <f t="shared" si="0"/>
        <v>0</v>
      </c>
      <c r="M12" s="96">
        <f t="shared" si="0"/>
        <v>0</v>
      </c>
      <c r="N12" s="96">
        <f>SUM(N11:N11)</f>
        <v>0</v>
      </c>
      <c r="O12" s="96">
        <f t="shared" si="0"/>
        <v>0</v>
      </c>
      <c r="P12" s="96">
        <f t="shared" si="0"/>
        <v>0</v>
      </c>
      <c r="Q12" s="96">
        <f t="shared" si="0"/>
        <v>0</v>
      </c>
      <c r="R12" s="96">
        <f t="shared" si="0"/>
        <v>0</v>
      </c>
      <c r="S12" s="96">
        <f t="shared" si="0"/>
        <v>0</v>
      </c>
      <c r="T12" s="96">
        <f t="shared" si="0"/>
        <v>0</v>
      </c>
      <c r="U12" s="96">
        <f t="shared" si="0"/>
        <v>0</v>
      </c>
      <c r="V12" s="96">
        <f t="shared" si="0"/>
        <v>0</v>
      </c>
      <c r="W12" s="96">
        <f t="shared" si="0"/>
        <v>0</v>
      </c>
      <c r="X12" s="96">
        <f t="shared" si="0"/>
        <v>0</v>
      </c>
      <c r="Y12" s="96">
        <f t="shared" si="0"/>
        <v>0</v>
      </c>
      <c r="Z12" s="96">
        <f t="shared" si="0"/>
        <v>0</v>
      </c>
      <c r="AA12" s="96">
        <f t="shared" si="0"/>
        <v>0</v>
      </c>
      <c r="AB12" s="23"/>
      <c r="AC12" s="23"/>
    </row>
    <row r="13" spans="1:29" s="17" customFormat="1" x14ac:dyDescent="0.2">
      <c r="A13" s="21"/>
      <c r="B13" s="21"/>
      <c r="C13" s="21"/>
      <c r="D13" s="21"/>
      <c r="E13" s="21"/>
      <c r="F13" s="21"/>
      <c r="G13" s="72"/>
      <c r="H13" s="42"/>
      <c r="I13" s="97"/>
      <c r="J13" s="120"/>
      <c r="K13" s="120"/>
      <c r="L13" s="120"/>
      <c r="M13" s="120">
        <f>+N13-O13</f>
        <v>0</v>
      </c>
      <c r="N13" s="119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83"/>
      <c r="AC13" s="82"/>
    </row>
    <row r="14" spans="1:29" s="53" customFormat="1" x14ac:dyDescent="0.2">
      <c r="A14" s="136"/>
      <c r="B14" s="136"/>
      <c r="C14" s="136"/>
      <c r="D14" s="136"/>
      <c r="E14" s="136"/>
      <c r="F14" s="136"/>
      <c r="G14" s="173"/>
      <c r="H14" s="173"/>
      <c r="I14" s="73" t="s">
        <v>3</v>
      </c>
      <c r="J14" s="137">
        <f t="shared" ref="J14:AA14" si="1">SUM(J13:J13)</f>
        <v>0</v>
      </c>
      <c r="K14" s="137">
        <f t="shared" si="1"/>
        <v>0</v>
      </c>
      <c r="L14" s="137">
        <f t="shared" si="1"/>
        <v>0</v>
      </c>
      <c r="M14" s="137">
        <f t="shared" si="1"/>
        <v>0</v>
      </c>
      <c r="N14" s="137">
        <f t="shared" si="1"/>
        <v>0</v>
      </c>
      <c r="O14" s="137">
        <f t="shared" si="1"/>
        <v>0</v>
      </c>
      <c r="P14" s="137">
        <f t="shared" si="1"/>
        <v>0</v>
      </c>
      <c r="Q14" s="137">
        <f t="shared" si="1"/>
        <v>0</v>
      </c>
      <c r="R14" s="137">
        <f t="shared" si="1"/>
        <v>0</v>
      </c>
      <c r="S14" s="137">
        <f t="shared" si="1"/>
        <v>0</v>
      </c>
      <c r="T14" s="137">
        <f t="shared" si="1"/>
        <v>0</v>
      </c>
      <c r="U14" s="137">
        <f t="shared" si="1"/>
        <v>0</v>
      </c>
      <c r="V14" s="137">
        <f t="shared" si="1"/>
        <v>0</v>
      </c>
      <c r="W14" s="137">
        <f t="shared" si="1"/>
        <v>0</v>
      </c>
      <c r="X14" s="137">
        <f t="shared" si="1"/>
        <v>0</v>
      </c>
      <c r="Y14" s="137">
        <f t="shared" si="1"/>
        <v>0</v>
      </c>
      <c r="Z14" s="137">
        <f t="shared" si="1"/>
        <v>0</v>
      </c>
      <c r="AA14" s="137">
        <f t="shared" si="1"/>
        <v>0</v>
      </c>
      <c r="AB14" s="83"/>
      <c r="AC14" s="84"/>
    </row>
    <row r="15" spans="1:29" s="53" customFormat="1" x14ac:dyDescent="0.2">
      <c r="A15" s="136"/>
      <c r="B15" s="136"/>
      <c r="C15" s="136"/>
      <c r="D15" s="136"/>
      <c r="E15" s="136"/>
      <c r="F15" s="136"/>
      <c r="G15" s="183"/>
      <c r="H15" s="183"/>
      <c r="I15" s="73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83"/>
      <c r="AC15" s="84"/>
    </row>
    <row r="16" spans="1:29" s="17" customFormat="1" x14ac:dyDescent="0.2">
      <c r="A16" s="21" t="s">
        <v>17</v>
      </c>
      <c r="B16" s="21" t="s">
        <v>18</v>
      </c>
      <c r="C16" s="21" t="s">
        <v>19</v>
      </c>
      <c r="D16" s="21" t="s">
        <v>42</v>
      </c>
      <c r="E16" s="21" t="s">
        <v>43</v>
      </c>
      <c r="F16" s="21" t="s">
        <v>41</v>
      </c>
      <c r="G16" s="72">
        <v>3511</v>
      </c>
      <c r="H16" s="42">
        <v>0</v>
      </c>
      <c r="I16" s="150" t="s">
        <v>460</v>
      </c>
      <c r="J16" s="120">
        <v>143454.39999999999</v>
      </c>
      <c r="K16" s="120"/>
      <c r="L16" s="120"/>
      <c r="M16" s="120">
        <f t="shared" ref="M16:M19" si="2">+N16-O16</f>
        <v>143454.39999999999</v>
      </c>
      <c r="N16" s="118">
        <f>J16+L16-K16</f>
        <v>143454.39999999999</v>
      </c>
      <c r="O16" s="118">
        <f>SUM(P16:AA16)</f>
        <v>0</v>
      </c>
      <c r="P16" s="118"/>
      <c r="Q16" s="118"/>
      <c r="R16" s="118"/>
      <c r="S16" s="118"/>
      <c r="T16" s="118"/>
      <c r="U16" s="118"/>
      <c r="V16" s="118"/>
      <c r="W16" s="178"/>
      <c r="X16" s="178"/>
      <c r="Y16" s="118"/>
      <c r="Z16" s="125"/>
      <c r="AA16" s="118"/>
      <c r="AB16" s="83"/>
      <c r="AC16" s="82"/>
    </row>
    <row r="17" spans="1:29" s="17" customFormat="1" x14ac:dyDescent="0.2">
      <c r="A17" s="21"/>
      <c r="B17" s="21"/>
      <c r="C17" s="21"/>
      <c r="D17" s="21"/>
      <c r="E17" s="21"/>
      <c r="F17" s="21"/>
      <c r="G17" s="72">
        <v>3342</v>
      </c>
      <c r="H17" s="42">
        <v>0</v>
      </c>
      <c r="I17" s="150" t="s">
        <v>82</v>
      </c>
      <c r="J17" s="120">
        <f>24545.6+150000</f>
        <v>174545.6</v>
      </c>
      <c r="K17" s="120"/>
      <c r="L17" s="120"/>
      <c r="M17" s="120">
        <f>+N17-O17</f>
        <v>999.82999999998719</v>
      </c>
      <c r="N17" s="118">
        <f>J17+L17-K17</f>
        <v>174545.6</v>
      </c>
      <c r="O17" s="118">
        <f>SUM(P17:AA17)</f>
        <v>173545.77000000002</v>
      </c>
      <c r="P17" s="118"/>
      <c r="Q17" s="118"/>
      <c r="R17" s="118"/>
      <c r="S17" s="118"/>
      <c r="T17" s="118"/>
      <c r="U17" s="118"/>
      <c r="V17" s="118"/>
      <c r="W17" s="178">
        <f>12500+12500+12500.16+12500.01+12500+12064+12481.6+12500</f>
        <v>99545.770000000019</v>
      </c>
      <c r="X17" s="178">
        <f>12500+12500+12500+12500+12000+12000</f>
        <v>74000</v>
      </c>
      <c r="Y17" s="118"/>
      <c r="Z17" s="125"/>
      <c r="AA17" s="118"/>
      <c r="AB17" s="83"/>
      <c r="AC17" s="82"/>
    </row>
    <row r="18" spans="1:29" s="17" customFormat="1" x14ac:dyDescent="0.2">
      <c r="A18" s="21" t="s">
        <v>17</v>
      </c>
      <c r="B18" s="21" t="s">
        <v>18</v>
      </c>
      <c r="C18" s="21" t="s">
        <v>19</v>
      </c>
      <c r="D18" s="21" t="s">
        <v>42</v>
      </c>
      <c r="E18" s="21" t="s">
        <v>43</v>
      </c>
      <c r="F18" s="21" t="s">
        <v>41</v>
      </c>
      <c r="G18" s="72">
        <v>3841</v>
      </c>
      <c r="H18" s="42">
        <v>0</v>
      </c>
      <c r="I18" s="150" t="s">
        <v>219</v>
      </c>
      <c r="J18" s="120">
        <f>1300000+545000</f>
        <v>1845000</v>
      </c>
      <c r="K18" s="120"/>
      <c r="L18" s="120"/>
      <c r="M18" s="120">
        <f>+N18-O18</f>
        <v>150162.30000000005</v>
      </c>
      <c r="N18" s="178">
        <f>J18+L18-K18</f>
        <v>1845000</v>
      </c>
      <c r="O18" s="118">
        <f>SUM(P18:AA18)</f>
        <v>1694837.7</v>
      </c>
      <c r="P18" s="118"/>
      <c r="Q18" s="118"/>
      <c r="R18" s="118"/>
      <c r="S18" s="118"/>
      <c r="T18" s="178">
        <f>1194837.7+160000</f>
        <v>1354837.7</v>
      </c>
      <c r="U18" s="118"/>
      <c r="V18" s="118"/>
      <c r="W18" s="178">
        <f>55000+135000+150000</f>
        <v>340000</v>
      </c>
      <c r="X18" s="178"/>
      <c r="Y18" s="118"/>
      <c r="Z18" s="118"/>
      <c r="AA18" s="118"/>
      <c r="AB18" s="83"/>
      <c r="AC18" s="82"/>
    </row>
    <row r="19" spans="1:29" s="17" customFormat="1" x14ac:dyDescent="0.2">
      <c r="A19" s="21"/>
      <c r="B19" s="21"/>
      <c r="C19" s="21"/>
      <c r="D19" s="21"/>
      <c r="E19" s="21"/>
      <c r="F19" s="21"/>
      <c r="G19" s="72">
        <v>3921</v>
      </c>
      <c r="H19" s="42">
        <v>0</v>
      </c>
      <c r="I19" s="150" t="s">
        <v>70</v>
      </c>
      <c r="J19" s="120">
        <v>125000</v>
      </c>
      <c r="K19" s="120"/>
      <c r="L19" s="120"/>
      <c r="M19" s="120">
        <f t="shared" si="2"/>
        <v>75427.44</v>
      </c>
      <c r="N19" s="118">
        <f t="shared" ref="N19" si="3">J19+L19-K19</f>
        <v>125000</v>
      </c>
      <c r="O19" s="118">
        <f>SUM(P19:AA19)</f>
        <v>49572.56</v>
      </c>
      <c r="P19" s="118"/>
      <c r="Q19" s="118"/>
      <c r="R19" s="118"/>
      <c r="S19" s="118"/>
      <c r="T19" s="118"/>
      <c r="U19" s="118"/>
      <c r="V19" s="118"/>
      <c r="W19" s="178">
        <f>5670+15899.87</f>
        <v>21569.870000000003</v>
      </c>
      <c r="X19" s="178">
        <f>3780+13628.46+2271.41+3780+4542.82</f>
        <v>28002.69</v>
      </c>
      <c r="Y19" s="118"/>
      <c r="Z19" s="118"/>
      <c r="AA19" s="118"/>
      <c r="AB19" s="83"/>
      <c r="AC19" s="82"/>
    </row>
    <row r="20" spans="1:29" x14ac:dyDescent="0.2">
      <c r="A20" s="22"/>
      <c r="B20" s="22"/>
      <c r="C20" s="22"/>
      <c r="D20" s="33"/>
      <c r="E20" s="22"/>
      <c r="F20" s="22"/>
      <c r="G20" s="22"/>
      <c r="H20" s="22"/>
      <c r="I20" s="92" t="s">
        <v>4</v>
      </c>
      <c r="J20" s="96">
        <f>SUM(J16:J19)</f>
        <v>2288000</v>
      </c>
      <c r="K20" s="96">
        <f t="shared" ref="K20:AA20" si="4">SUM(K16:K19)</f>
        <v>0</v>
      </c>
      <c r="L20" s="96">
        <f t="shared" si="4"/>
        <v>0</v>
      </c>
      <c r="M20" s="96">
        <f t="shared" si="4"/>
        <v>370043.97000000003</v>
      </c>
      <c r="N20" s="96">
        <f t="shared" si="4"/>
        <v>2288000</v>
      </c>
      <c r="O20" s="96">
        <f t="shared" si="4"/>
        <v>1917956.03</v>
      </c>
      <c r="P20" s="96">
        <f t="shared" si="4"/>
        <v>0</v>
      </c>
      <c r="Q20" s="96">
        <f t="shared" si="4"/>
        <v>0</v>
      </c>
      <c r="R20" s="96">
        <f t="shared" si="4"/>
        <v>0</v>
      </c>
      <c r="S20" s="96">
        <f t="shared" si="4"/>
        <v>0</v>
      </c>
      <c r="T20" s="96">
        <f t="shared" si="4"/>
        <v>1354837.7</v>
      </c>
      <c r="U20" s="96">
        <f t="shared" si="4"/>
        <v>0</v>
      </c>
      <c r="V20" s="96">
        <f t="shared" si="4"/>
        <v>0</v>
      </c>
      <c r="W20" s="96">
        <f t="shared" si="4"/>
        <v>461115.64</v>
      </c>
      <c r="X20" s="96">
        <f t="shared" si="4"/>
        <v>102002.69</v>
      </c>
      <c r="Y20" s="96">
        <f t="shared" si="4"/>
        <v>0</v>
      </c>
      <c r="Z20" s="96">
        <f t="shared" si="4"/>
        <v>0</v>
      </c>
      <c r="AA20" s="96">
        <f t="shared" si="4"/>
        <v>0</v>
      </c>
      <c r="AB20" s="83"/>
    </row>
    <row r="21" spans="1:29" s="17" customFormat="1" x14ac:dyDescent="0.2">
      <c r="A21" s="21"/>
      <c r="B21" s="21"/>
      <c r="C21" s="21"/>
      <c r="D21" s="21"/>
      <c r="E21" s="21"/>
      <c r="F21" s="21"/>
      <c r="G21" s="72">
        <v>4432</v>
      </c>
      <c r="H21" s="42">
        <v>0</v>
      </c>
      <c r="I21" s="97" t="s">
        <v>99</v>
      </c>
      <c r="J21" s="120">
        <v>380000</v>
      </c>
      <c r="K21" s="120"/>
      <c r="L21" s="120">
        <v>0</v>
      </c>
      <c r="M21" s="120">
        <f>+N21-O21</f>
        <v>110000</v>
      </c>
      <c r="N21" s="119">
        <f>J21+L21-K21</f>
        <v>380000</v>
      </c>
      <c r="O21" s="118">
        <f>SUM(P21:AA21)</f>
        <v>270000</v>
      </c>
      <c r="P21" s="118"/>
      <c r="Q21" s="118"/>
      <c r="R21" s="118"/>
      <c r="S21" s="118"/>
      <c r="T21" s="118"/>
      <c r="U21" s="118"/>
      <c r="V21" s="118">
        <v>170000</v>
      </c>
      <c r="W21" s="178">
        <v>100000</v>
      </c>
      <c r="X21" s="118"/>
      <c r="Y21" s="118"/>
      <c r="Z21" s="118"/>
      <c r="AA21" s="118"/>
      <c r="AB21" s="83"/>
      <c r="AC21" s="82"/>
    </row>
    <row r="22" spans="1:29" s="12" customFormat="1" x14ac:dyDescent="0.2">
      <c r="A22" s="22"/>
      <c r="B22" s="22"/>
      <c r="C22" s="22"/>
      <c r="D22" s="33"/>
      <c r="E22" s="22"/>
      <c r="F22" s="22"/>
      <c r="G22" s="22"/>
      <c r="H22" s="22"/>
      <c r="I22" s="92" t="s">
        <v>5</v>
      </c>
      <c r="J22" s="96">
        <f t="shared" ref="J22:O22" si="5">SUM(J21)</f>
        <v>380000</v>
      </c>
      <c r="K22" s="96">
        <f t="shared" si="5"/>
        <v>0</v>
      </c>
      <c r="L22" s="96">
        <f t="shared" si="5"/>
        <v>0</v>
      </c>
      <c r="M22" s="96">
        <f t="shared" si="5"/>
        <v>110000</v>
      </c>
      <c r="N22" s="96">
        <f t="shared" si="5"/>
        <v>380000</v>
      </c>
      <c r="O22" s="96">
        <f t="shared" si="5"/>
        <v>270000</v>
      </c>
      <c r="P22" s="96">
        <f>SUM(P21)</f>
        <v>0</v>
      </c>
      <c r="Q22" s="96">
        <f t="shared" ref="Q22:AA22" si="6">SUM(Q21)</f>
        <v>0</v>
      </c>
      <c r="R22" s="96">
        <f t="shared" si="6"/>
        <v>0</v>
      </c>
      <c r="S22" s="96">
        <f t="shared" si="6"/>
        <v>0</v>
      </c>
      <c r="T22" s="96">
        <f t="shared" si="6"/>
        <v>0</v>
      </c>
      <c r="U22" s="96">
        <f t="shared" si="6"/>
        <v>0</v>
      </c>
      <c r="V22" s="96">
        <f t="shared" si="6"/>
        <v>170000</v>
      </c>
      <c r="W22" s="96">
        <f t="shared" si="6"/>
        <v>100000</v>
      </c>
      <c r="X22" s="96">
        <f t="shared" si="6"/>
        <v>0</v>
      </c>
      <c r="Y22" s="96">
        <f t="shared" si="6"/>
        <v>0</v>
      </c>
      <c r="Z22" s="96">
        <f t="shared" si="6"/>
        <v>0</v>
      </c>
      <c r="AA22" s="96">
        <f t="shared" si="6"/>
        <v>0</v>
      </c>
      <c r="AB22" s="83"/>
      <c r="AC22" s="23"/>
    </row>
    <row r="23" spans="1:29" s="17" customFormat="1" x14ac:dyDescent="0.2">
      <c r="A23" s="21"/>
      <c r="B23" s="21"/>
      <c r="C23" s="21"/>
      <c r="D23" s="21"/>
      <c r="E23" s="21"/>
      <c r="F23" s="21"/>
      <c r="G23" s="72"/>
      <c r="H23" s="42"/>
      <c r="I23" s="97"/>
      <c r="J23" s="120"/>
      <c r="K23" s="120"/>
      <c r="L23" s="120"/>
      <c r="M23" s="120"/>
      <c r="N23" s="119"/>
      <c r="O23" s="118">
        <f>SUM(P23:AA23)</f>
        <v>0</v>
      </c>
      <c r="P23" s="118"/>
      <c r="Q23" s="118"/>
      <c r="R23" s="118"/>
      <c r="S23" s="118"/>
      <c r="T23" s="118"/>
      <c r="U23" s="118"/>
      <c r="V23" s="125"/>
      <c r="W23" s="118"/>
      <c r="X23" s="118"/>
      <c r="Y23" s="118"/>
      <c r="Z23" s="118"/>
      <c r="AA23" s="118">
        <v>0</v>
      </c>
      <c r="AB23" s="83"/>
      <c r="AC23" s="82"/>
    </row>
    <row r="24" spans="1:29" s="12" customFormat="1" x14ac:dyDescent="0.2">
      <c r="A24" s="22"/>
      <c r="B24" s="22"/>
      <c r="C24" s="22"/>
      <c r="D24" s="33"/>
      <c r="E24" s="22"/>
      <c r="F24" s="22"/>
      <c r="G24" s="22"/>
      <c r="H24" s="22"/>
      <c r="I24" s="92" t="s">
        <v>6</v>
      </c>
      <c r="J24" s="96">
        <f>SUM(J23:J23)</f>
        <v>0</v>
      </c>
      <c r="K24" s="96">
        <f t="shared" ref="K24:Z24" si="7">SUM(K23:K23)</f>
        <v>0</v>
      </c>
      <c r="L24" s="96">
        <f t="shared" si="7"/>
        <v>0</v>
      </c>
      <c r="M24" s="96"/>
      <c r="N24" s="96">
        <f>SUM(N23:N23)</f>
        <v>0</v>
      </c>
      <c r="O24" s="96">
        <f>SUM(O23:O23)</f>
        <v>0</v>
      </c>
      <c r="P24" s="96">
        <f t="shared" si="7"/>
        <v>0</v>
      </c>
      <c r="Q24" s="96">
        <f t="shared" si="7"/>
        <v>0</v>
      </c>
      <c r="R24" s="96">
        <f t="shared" si="7"/>
        <v>0</v>
      </c>
      <c r="S24" s="96">
        <f t="shared" si="7"/>
        <v>0</v>
      </c>
      <c r="T24" s="96">
        <f t="shared" si="7"/>
        <v>0</v>
      </c>
      <c r="U24" s="96">
        <f t="shared" si="7"/>
        <v>0</v>
      </c>
      <c r="V24" s="96">
        <f t="shared" si="7"/>
        <v>0</v>
      </c>
      <c r="W24" s="96">
        <f t="shared" si="7"/>
        <v>0</v>
      </c>
      <c r="X24" s="96">
        <f t="shared" si="7"/>
        <v>0</v>
      </c>
      <c r="Y24" s="96">
        <f t="shared" si="7"/>
        <v>0</v>
      </c>
      <c r="Z24" s="96">
        <f t="shared" si="7"/>
        <v>0</v>
      </c>
      <c r="AA24" s="96">
        <f>SUM(AA23:AA23)</f>
        <v>0</v>
      </c>
      <c r="AB24" s="23"/>
      <c r="AC24" s="23"/>
    </row>
    <row r="25" spans="1:29" x14ac:dyDescent="0.2">
      <c r="G25" s="1"/>
      <c r="H25" s="1"/>
      <c r="I25" s="4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</row>
    <row r="26" spans="1:29" s="14" customFormat="1" ht="17.25" customHeight="1" x14ac:dyDescent="0.2">
      <c r="A26" s="505"/>
      <c r="B26" s="506"/>
      <c r="C26" s="506"/>
      <c r="D26" s="506"/>
      <c r="E26" s="506"/>
      <c r="F26" s="506"/>
      <c r="G26" s="506"/>
      <c r="H26" s="507"/>
      <c r="I26" s="156" t="s">
        <v>7</v>
      </c>
      <c r="J26" s="157">
        <f t="shared" ref="J26:AA26" si="8">SUM(J12,J14,J20,J22,J24)</f>
        <v>2668000</v>
      </c>
      <c r="K26" s="157">
        <f t="shared" si="8"/>
        <v>0</v>
      </c>
      <c r="L26" s="157">
        <f t="shared" si="8"/>
        <v>0</v>
      </c>
      <c r="M26" s="157">
        <f t="shared" si="8"/>
        <v>480043.97000000003</v>
      </c>
      <c r="N26" s="157">
        <f t="shared" si="8"/>
        <v>2668000</v>
      </c>
      <c r="O26" s="157">
        <f t="shared" si="8"/>
        <v>2187956.0300000003</v>
      </c>
      <c r="P26" s="157">
        <f t="shared" si="8"/>
        <v>0</v>
      </c>
      <c r="Q26" s="157">
        <f t="shared" si="8"/>
        <v>0</v>
      </c>
      <c r="R26" s="157">
        <f t="shared" si="8"/>
        <v>0</v>
      </c>
      <c r="S26" s="157">
        <f t="shared" si="8"/>
        <v>0</v>
      </c>
      <c r="T26" s="157">
        <f t="shared" si="8"/>
        <v>1354837.7</v>
      </c>
      <c r="U26" s="157">
        <f t="shared" si="8"/>
        <v>0</v>
      </c>
      <c r="V26" s="157">
        <f t="shared" si="8"/>
        <v>170000</v>
      </c>
      <c r="W26" s="157">
        <f t="shared" si="8"/>
        <v>561115.64</v>
      </c>
      <c r="X26" s="157">
        <f t="shared" si="8"/>
        <v>102002.69</v>
      </c>
      <c r="Y26" s="157">
        <f t="shared" si="8"/>
        <v>0</v>
      </c>
      <c r="Z26" s="157">
        <f t="shared" si="8"/>
        <v>0</v>
      </c>
      <c r="AA26" s="157">
        <f t="shared" si="8"/>
        <v>0</v>
      </c>
      <c r="AB26" s="85"/>
      <c r="AC26" s="85"/>
    </row>
    <row r="27" spans="1:29" s="11" customFormat="1" ht="12" x14ac:dyDescent="0.2">
      <c r="A27" s="15"/>
      <c r="B27" s="15"/>
      <c r="C27" s="15"/>
      <c r="D27" s="16"/>
      <c r="E27" s="15"/>
      <c r="F27" s="15"/>
      <c r="G27" s="15"/>
      <c r="H27" s="15"/>
      <c r="I27" s="17"/>
      <c r="J27" s="46"/>
      <c r="K27" s="28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1:29" s="11" customFormat="1" ht="12" x14ac:dyDescent="0.2">
      <c r="A28" s="18"/>
      <c r="B28" s="18"/>
      <c r="C28" s="18"/>
      <c r="D28" s="19"/>
      <c r="E28" s="18"/>
      <c r="F28" s="18"/>
      <c r="G28" s="15"/>
      <c r="H28" s="15"/>
      <c r="I28" s="17"/>
      <c r="J28" s="30"/>
      <c r="K28" s="17"/>
      <c r="L28" s="17"/>
      <c r="M28" s="17"/>
      <c r="N28" s="53"/>
      <c r="O28" s="165"/>
      <c r="P28" s="165"/>
      <c r="Q28" s="17"/>
      <c r="R28" s="17"/>
      <c r="Z28" s="53"/>
    </row>
    <row r="29" spans="1:29" s="11" customFormat="1" ht="12" x14ac:dyDescent="0.2">
      <c r="A29" s="18"/>
      <c r="B29" s="18"/>
      <c r="C29" s="18"/>
      <c r="D29" s="19"/>
      <c r="E29" s="18"/>
      <c r="F29" s="18"/>
      <c r="G29" s="15"/>
      <c r="H29" s="15"/>
      <c r="I29" s="165" t="s">
        <v>181</v>
      </c>
      <c r="J29" s="167">
        <f>SUM(J30:J39)</f>
        <v>2123000</v>
      </c>
      <c r="K29" s="166"/>
      <c r="L29" s="464" t="s">
        <v>445</v>
      </c>
      <c r="M29" s="464"/>
      <c r="N29" s="463">
        <f>SUM(N30:N39)</f>
        <v>545000</v>
      </c>
      <c r="O29" s="510" t="s">
        <v>451</v>
      </c>
      <c r="P29" s="509">
        <f>+J29+N29</f>
        <v>2668000</v>
      </c>
      <c r="Q29" s="509"/>
      <c r="R29" s="17"/>
      <c r="S29" s="75"/>
      <c r="T29" s="49"/>
    </row>
    <row r="30" spans="1:29" s="11" customFormat="1" ht="12" x14ac:dyDescent="0.2">
      <c r="A30" s="18"/>
      <c r="B30" s="18"/>
      <c r="C30" s="18"/>
      <c r="D30" s="19"/>
      <c r="E30" s="18"/>
      <c r="F30" s="18"/>
      <c r="G30" s="15"/>
      <c r="H30" s="15"/>
      <c r="I30" s="17" t="s">
        <v>143</v>
      </c>
      <c r="J30" s="30">
        <v>1300000</v>
      </c>
      <c r="K30" s="17"/>
      <c r="L30" s="17" t="s">
        <v>446</v>
      </c>
      <c r="M30" s="17"/>
      <c r="N30" s="48">
        <v>160000</v>
      </c>
      <c r="O30" s="510"/>
      <c r="P30" s="17"/>
      <c r="Q30" s="17"/>
      <c r="R30" s="27"/>
    </row>
    <row r="31" spans="1:29" s="11" customFormat="1" ht="12" hidden="1" customHeight="1" x14ac:dyDescent="0.2">
      <c r="A31" s="18"/>
      <c r="B31" s="18"/>
      <c r="C31" s="18"/>
      <c r="D31" s="19"/>
      <c r="E31" s="18"/>
      <c r="F31" s="18"/>
      <c r="G31" s="15"/>
      <c r="H31" s="15"/>
      <c r="I31" s="17" t="s">
        <v>144</v>
      </c>
      <c r="J31" s="30"/>
      <c r="K31" s="17"/>
      <c r="L31" s="17"/>
      <c r="M31" s="17"/>
      <c r="N31" s="48"/>
      <c r="O31" s="510"/>
      <c r="P31" s="17"/>
      <c r="Q31" s="17"/>
      <c r="R31" s="17"/>
    </row>
    <row r="32" spans="1:29" s="11" customFormat="1" ht="12" hidden="1" customHeight="1" x14ac:dyDescent="0.2">
      <c r="A32" s="18"/>
      <c r="B32" s="18"/>
      <c r="C32" s="18"/>
      <c r="D32" s="19"/>
      <c r="E32" s="18"/>
      <c r="F32" s="18"/>
      <c r="G32" s="15"/>
      <c r="H32" s="15"/>
      <c r="I32" s="17" t="s">
        <v>180</v>
      </c>
      <c r="J32" s="30"/>
      <c r="K32" s="17"/>
      <c r="L32" s="17"/>
      <c r="M32" s="17"/>
      <c r="N32" s="48"/>
      <c r="O32" s="510"/>
      <c r="P32" s="17"/>
      <c r="Q32" s="17"/>
      <c r="R32" s="17"/>
    </row>
    <row r="33" spans="1:29" s="11" customFormat="1" ht="12" hidden="1" customHeight="1" x14ac:dyDescent="0.2">
      <c r="A33" s="18"/>
      <c r="B33" s="18"/>
      <c r="C33" s="18"/>
      <c r="D33" s="19"/>
      <c r="E33" s="18"/>
      <c r="F33" s="18"/>
      <c r="G33" s="15"/>
      <c r="H33" s="15"/>
      <c r="I33" s="17" t="s">
        <v>196</v>
      </c>
      <c r="J33" s="30"/>
      <c r="K33" s="17"/>
      <c r="L33" s="17"/>
      <c r="M33" s="17"/>
      <c r="N33" s="48"/>
      <c r="O33" s="510"/>
      <c r="P33" s="17"/>
      <c r="Q33" s="17"/>
      <c r="R33" s="17"/>
    </row>
    <row r="34" spans="1:29" s="11" customFormat="1" ht="12" hidden="1" customHeight="1" x14ac:dyDescent="0.2">
      <c r="A34" s="18"/>
      <c r="B34" s="18"/>
      <c r="C34" s="18"/>
      <c r="D34" s="19"/>
      <c r="E34" s="18"/>
      <c r="F34" s="18"/>
      <c r="G34" s="15"/>
      <c r="H34" s="15"/>
      <c r="I34" s="17" t="s">
        <v>195</v>
      </c>
      <c r="J34" s="30"/>
      <c r="K34" s="17"/>
      <c r="L34" s="17"/>
      <c r="M34" s="17"/>
      <c r="N34" s="48"/>
      <c r="O34" s="510"/>
      <c r="P34" s="17"/>
      <c r="Q34" s="17"/>
      <c r="R34" s="17"/>
    </row>
    <row r="35" spans="1:29" s="11" customFormat="1" ht="12" hidden="1" customHeight="1" x14ac:dyDescent="0.2">
      <c r="A35" s="18"/>
      <c r="B35" s="18"/>
      <c r="C35" s="18"/>
      <c r="D35" s="19"/>
      <c r="E35" s="18"/>
      <c r="F35" s="18"/>
      <c r="G35" s="15"/>
      <c r="H35" s="15"/>
      <c r="I35" s="17" t="s">
        <v>194</v>
      </c>
      <c r="J35" s="30"/>
      <c r="K35" s="17"/>
      <c r="L35" s="17"/>
      <c r="M35" s="17"/>
      <c r="N35" s="48"/>
      <c r="O35" s="510"/>
      <c r="P35" s="17"/>
      <c r="Q35" s="17"/>
      <c r="R35" s="17"/>
    </row>
    <row r="36" spans="1:29" s="11" customFormat="1" ht="12" x14ac:dyDescent="0.2">
      <c r="A36" s="18"/>
      <c r="B36" s="18"/>
      <c r="C36" s="18"/>
      <c r="D36" s="19"/>
      <c r="E36" s="18"/>
      <c r="F36" s="18"/>
      <c r="G36" s="15"/>
      <c r="H36" s="15"/>
      <c r="I36" s="17" t="s">
        <v>224</v>
      </c>
      <c r="J36" s="30">
        <v>168000</v>
      </c>
      <c r="K36" s="17"/>
      <c r="L36" s="17" t="s">
        <v>447</v>
      </c>
      <c r="M36" s="17"/>
      <c r="N36" s="48">
        <v>55000</v>
      </c>
      <c r="O36" s="510"/>
      <c r="P36" s="17"/>
      <c r="Q36" s="17"/>
      <c r="R36" s="17"/>
    </row>
    <row r="37" spans="1:29" s="11" customFormat="1" ht="12" x14ac:dyDescent="0.2">
      <c r="A37" s="18"/>
      <c r="B37" s="18"/>
      <c r="C37" s="18"/>
      <c r="D37" s="19"/>
      <c r="E37" s="18"/>
      <c r="F37" s="18"/>
      <c r="G37" s="15"/>
      <c r="H37" s="15"/>
      <c r="I37" s="17" t="s">
        <v>178</v>
      </c>
      <c r="J37" s="30">
        <v>380000</v>
      </c>
      <c r="K37" s="17"/>
      <c r="L37" s="17" t="s">
        <v>448</v>
      </c>
      <c r="M37" s="17"/>
      <c r="N37" s="48">
        <v>135000</v>
      </c>
      <c r="O37" s="17"/>
      <c r="P37" s="17"/>
      <c r="Q37" s="17"/>
      <c r="R37" s="17"/>
    </row>
    <row r="38" spans="1:29" s="11" customFormat="1" ht="12" x14ac:dyDescent="0.2">
      <c r="A38" s="18"/>
      <c r="B38" s="18"/>
      <c r="C38" s="18"/>
      <c r="D38" s="19"/>
      <c r="E38" s="18"/>
      <c r="F38" s="18"/>
      <c r="G38" s="15"/>
      <c r="H38" s="15"/>
      <c r="I38" s="17" t="s">
        <v>176</v>
      </c>
      <c r="J38" s="30">
        <v>150000</v>
      </c>
      <c r="K38" s="17"/>
      <c r="L38" s="17" t="s">
        <v>449</v>
      </c>
      <c r="M38" s="17"/>
      <c r="N38" s="48">
        <v>150000</v>
      </c>
      <c r="O38" s="17"/>
      <c r="P38" s="17"/>
      <c r="Q38" s="17"/>
      <c r="R38" s="17"/>
    </row>
    <row r="39" spans="1:29" s="11" customFormat="1" ht="12" x14ac:dyDescent="0.2">
      <c r="A39" s="18"/>
      <c r="B39" s="18"/>
      <c r="C39" s="18"/>
      <c r="D39" s="19"/>
      <c r="E39" s="18"/>
      <c r="F39" s="18"/>
      <c r="G39" s="15"/>
      <c r="H39" s="15"/>
      <c r="I39" s="17" t="s">
        <v>177</v>
      </c>
      <c r="J39" s="30">
        <v>125000</v>
      </c>
      <c r="K39" s="17"/>
      <c r="L39" s="17" t="s">
        <v>450</v>
      </c>
      <c r="M39" s="17"/>
      <c r="N39" s="48">
        <v>45000</v>
      </c>
      <c r="O39" s="17"/>
      <c r="P39" s="17"/>
      <c r="Q39" s="17"/>
      <c r="R39" s="17"/>
    </row>
    <row r="40" spans="1:29" s="11" customFormat="1" ht="12" x14ac:dyDescent="0.2">
      <c r="A40" s="18"/>
      <c r="B40" s="18"/>
      <c r="C40" s="18"/>
      <c r="D40" s="19"/>
      <c r="E40" s="18"/>
      <c r="F40" s="18"/>
      <c r="G40" s="15"/>
      <c r="H40" s="15"/>
      <c r="I40" s="17"/>
      <c r="J40" s="30"/>
      <c r="K40" s="17"/>
      <c r="L40" s="17"/>
      <c r="M40" s="17"/>
      <c r="N40" s="17"/>
      <c r="O40" s="17"/>
      <c r="P40" s="17"/>
      <c r="Q40" s="17"/>
      <c r="R40" s="17"/>
    </row>
    <row r="41" spans="1:29" s="11" customFormat="1" ht="12" x14ac:dyDescent="0.2">
      <c r="A41" s="18"/>
      <c r="B41" s="18"/>
      <c r="C41" s="18"/>
      <c r="D41" s="19"/>
      <c r="E41" s="18"/>
      <c r="F41" s="18"/>
      <c r="G41" s="15"/>
      <c r="H41" s="15"/>
      <c r="I41" s="17"/>
      <c r="J41" s="30"/>
      <c r="K41" s="17"/>
      <c r="L41" s="17"/>
      <c r="M41" s="17"/>
      <c r="N41" s="17"/>
      <c r="O41" s="17"/>
      <c r="P41" s="17"/>
      <c r="Q41" s="17"/>
      <c r="R41" s="17"/>
    </row>
    <row r="42" spans="1:29" s="11" customFormat="1" ht="12" x14ac:dyDescent="0.2">
      <c r="A42" s="18"/>
      <c r="B42" s="18"/>
      <c r="C42" s="18"/>
      <c r="D42" s="19"/>
      <c r="E42" s="18"/>
      <c r="F42" s="18"/>
      <c r="G42" s="15"/>
      <c r="H42" s="15"/>
      <c r="I42" s="17"/>
      <c r="J42" s="28"/>
      <c r="K42" s="27"/>
      <c r="L42" s="27"/>
      <c r="M42" s="27"/>
      <c r="N42" s="27"/>
      <c r="O42" s="17"/>
      <c r="P42" s="17"/>
      <c r="Q42" s="17"/>
      <c r="R42" s="17"/>
      <c r="AB42" s="32"/>
      <c r="AC42" s="32"/>
    </row>
    <row r="43" spans="1:29" s="11" customFormat="1" ht="12" x14ac:dyDescent="0.2">
      <c r="A43" s="18"/>
      <c r="B43" s="18"/>
      <c r="C43" s="18"/>
      <c r="D43" s="19"/>
      <c r="E43" s="18"/>
      <c r="F43" s="18"/>
      <c r="G43" s="15"/>
      <c r="H43" s="15"/>
      <c r="I43" s="17"/>
      <c r="J43" s="28"/>
      <c r="K43" s="28"/>
      <c r="L43" s="28"/>
      <c r="M43" s="28"/>
      <c r="N43" s="28"/>
      <c r="O43" s="28"/>
      <c r="P43" s="28"/>
      <c r="Q43" s="28"/>
      <c r="R43" s="28"/>
      <c r="S43" s="28"/>
      <c r="AB43" s="32"/>
      <c r="AC43" s="32"/>
    </row>
    <row r="44" spans="1:29" s="11" customFormat="1" ht="12" x14ac:dyDescent="0.2">
      <c r="A44" s="18"/>
      <c r="B44" s="18"/>
      <c r="C44" s="18"/>
      <c r="D44" s="19"/>
      <c r="E44" s="18"/>
      <c r="F44" s="18"/>
      <c r="G44" s="15"/>
      <c r="H44" s="15"/>
      <c r="I44" s="17"/>
      <c r="J44" s="28"/>
      <c r="K44" s="27"/>
      <c r="L44" s="27"/>
      <c r="M44" s="27"/>
      <c r="N44" s="27"/>
      <c r="O44" s="17"/>
      <c r="P44" s="17"/>
      <c r="Q44" s="17"/>
      <c r="R44" s="17"/>
      <c r="AB44" s="32"/>
      <c r="AC44" s="32"/>
    </row>
    <row r="45" spans="1:29" s="11" customFormat="1" ht="12" x14ac:dyDescent="0.2">
      <c r="A45" s="18"/>
      <c r="B45" s="18"/>
      <c r="C45" s="18"/>
      <c r="D45" s="19"/>
      <c r="E45" s="18"/>
      <c r="F45" s="18"/>
      <c r="G45" s="15"/>
      <c r="H45" s="15"/>
      <c r="I45" s="17"/>
      <c r="J45" s="28"/>
      <c r="K45" s="27"/>
      <c r="L45" s="27"/>
      <c r="M45" s="27"/>
      <c r="N45" s="27"/>
      <c r="O45" s="17"/>
      <c r="P45" s="17"/>
      <c r="Q45" s="17"/>
      <c r="R45" s="17"/>
      <c r="AB45" s="32"/>
      <c r="AC45" s="32"/>
    </row>
    <row r="46" spans="1:29" s="11" customFormat="1" ht="12" x14ac:dyDescent="0.2">
      <c r="A46" s="18"/>
      <c r="B46" s="18"/>
      <c r="C46" s="18"/>
      <c r="D46" s="19"/>
      <c r="E46" s="18"/>
      <c r="F46" s="18"/>
      <c r="G46" s="15"/>
      <c r="H46" s="15"/>
      <c r="I46" s="17"/>
      <c r="J46" s="28"/>
      <c r="K46" s="27"/>
      <c r="L46" s="27"/>
      <c r="M46" s="27"/>
      <c r="N46" s="27"/>
      <c r="O46" s="17"/>
      <c r="P46" s="17"/>
      <c r="Q46" s="17"/>
      <c r="R46" s="17"/>
      <c r="AB46" s="32"/>
      <c r="AC46" s="32"/>
    </row>
    <row r="47" spans="1:29" s="11" customFormat="1" ht="12" x14ac:dyDescent="0.2">
      <c r="A47" s="18"/>
      <c r="B47" s="18"/>
      <c r="C47" s="18"/>
      <c r="D47" s="19"/>
      <c r="E47" s="18"/>
      <c r="F47" s="18"/>
      <c r="G47" s="15"/>
      <c r="H47" s="15"/>
      <c r="I47" s="17"/>
      <c r="J47" s="28"/>
      <c r="K47" s="27"/>
      <c r="L47" s="27"/>
      <c r="M47" s="27"/>
      <c r="N47" s="27"/>
      <c r="O47" s="17"/>
      <c r="P47" s="17"/>
      <c r="Q47" s="17"/>
      <c r="R47" s="17"/>
      <c r="AB47" s="32"/>
      <c r="AC47" s="32"/>
    </row>
    <row r="48" spans="1:29" s="11" customFormat="1" ht="12" x14ac:dyDescent="0.2">
      <c r="A48" s="18"/>
      <c r="B48" s="18"/>
      <c r="C48" s="18"/>
      <c r="D48" s="19"/>
      <c r="E48" s="18"/>
      <c r="F48" s="18"/>
      <c r="G48" s="15"/>
      <c r="H48" s="15"/>
      <c r="I48" s="17"/>
      <c r="J48" s="28"/>
      <c r="K48" s="27"/>
      <c r="L48" s="27"/>
      <c r="M48" s="27"/>
      <c r="N48" s="27"/>
      <c r="O48" s="17"/>
      <c r="P48" s="17"/>
      <c r="Q48" s="17"/>
      <c r="R48" s="17"/>
      <c r="AB48" s="32"/>
      <c r="AC48" s="32"/>
    </row>
    <row r="49" spans="1:29" s="11" customFormat="1" ht="12" x14ac:dyDescent="0.2">
      <c r="A49" s="18"/>
      <c r="B49" s="18"/>
      <c r="C49" s="18"/>
      <c r="D49" s="19"/>
      <c r="E49" s="18"/>
      <c r="F49" s="18"/>
      <c r="G49" s="15"/>
      <c r="H49" s="15"/>
      <c r="I49" s="17"/>
      <c r="J49" s="28"/>
      <c r="K49" s="27"/>
      <c r="L49" s="27"/>
      <c r="M49" s="27"/>
      <c r="N49" s="27"/>
      <c r="O49" s="17"/>
      <c r="P49" s="17"/>
      <c r="Q49" s="17"/>
      <c r="R49" s="17"/>
      <c r="AB49" s="32"/>
      <c r="AC49" s="32"/>
    </row>
    <row r="50" spans="1:29" s="11" customFormat="1" ht="12" x14ac:dyDescent="0.2">
      <c r="A50" s="18"/>
      <c r="B50" s="18"/>
      <c r="C50" s="18"/>
      <c r="D50" s="19"/>
      <c r="E50" s="18"/>
      <c r="F50" s="18"/>
      <c r="G50" s="15"/>
      <c r="H50" s="15"/>
      <c r="I50" s="17"/>
      <c r="J50" s="28"/>
      <c r="K50" s="27"/>
      <c r="L50" s="27"/>
      <c r="M50" s="27"/>
      <c r="N50" s="27"/>
      <c r="O50" s="17"/>
      <c r="P50" s="17"/>
      <c r="Q50" s="17"/>
      <c r="R50" s="17"/>
      <c r="AB50" s="32"/>
      <c r="AC50" s="32"/>
    </row>
    <row r="51" spans="1:29" s="11" customFormat="1" ht="12" x14ac:dyDescent="0.2">
      <c r="A51" s="18"/>
      <c r="B51" s="18"/>
      <c r="C51" s="18"/>
      <c r="D51" s="19"/>
      <c r="E51" s="18"/>
      <c r="F51" s="18"/>
      <c r="G51" s="15"/>
      <c r="H51" s="15"/>
      <c r="I51" s="17"/>
      <c r="J51" s="28"/>
      <c r="K51" s="27"/>
      <c r="L51" s="27"/>
      <c r="M51" s="27"/>
      <c r="N51" s="27"/>
      <c r="O51" s="17"/>
      <c r="P51" s="17"/>
      <c r="Q51" s="17"/>
      <c r="R51" s="17"/>
      <c r="AB51" s="32"/>
      <c r="AC51" s="32"/>
    </row>
    <row r="52" spans="1:29" s="11" customFormat="1" ht="12" x14ac:dyDescent="0.2">
      <c r="A52" s="18"/>
      <c r="B52" s="18"/>
      <c r="C52" s="18"/>
      <c r="D52" s="19"/>
      <c r="E52" s="18"/>
      <c r="F52" s="18"/>
      <c r="G52" s="15"/>
      <c r="H52" s="15"/>
      <c r="I52" s="17"/>
      <c r="J52" s="28"/>
      <c r="K52" s="27"/>
      <c r="L52" s="27"/>
      <c r="M52" s="27"/>
      <c r="N52" s="27"/>
      <c r="O52" s="17"/>
      <c r="P52" s="17"/>
      <c r="Q52" s="17"/>
      <c r="R52" s="17"/>
      <c r="AB52" s="32"/>
      <c r="AC52" s="32"/>
    </row>
    <row r="53" spans="1:29" s="11" customFormat="1" ht="12" x14ac:dyDescent="0.2">
      <c r="A53" s="18"/>
      <c r="B53" s="18"/>
      <c r="C53" s="18"/>
      <c r="D53" s="19"/>
      <c r="E53" s="18"/>
      <c r="F53" s="18"/>
      <c r="G53" s="15"/>
      <c r="H53" s="15"/>
      <c r="I53" s="17"/>
      <c r="J53" s="28"/>
      <c r="K53" s="27"/>
      <c r="L53" s="27"/>
      <c r="M53" s="27"/>
      <c r="N53" s="27"/>
      <c r="O53" s="17"/>
      <c r="P53" s="17"/>
      <c r="Q53" s="17"/>
      <c r="R53" s="17"/>
      <c r="AB53" s="32"/>
      <c r="AC53" s="32"/>
    </row>
    <row r="54" spans="1:29" s="11" customFormat="1" ht="12" x14ac:dyDescent="0.2">
      <c r="A54" s="18"/>
      <c r="B54" s="18"/>
      <c r="C54" s="18"/>
      <c r="D54" s="19"/>
      <c r="E54" s="18"/>
      <c r="F54" s="18"/>
      <c r="G54" s="15"/>
      <c r="H54" s="15"/>
      <c r="I54" s="17"/>
      <c r="J54" s="28"/>
      <c r="K54" s="27"/>
      <c r="L54" s="27"/>
      <c r="M54" s="27"/>
      <c r="N54" s="27"/>
      <c r="O54" s="17"/>
      <c r="P54" s="17"/>
      <c r="Q54" s="17"/>
      <c r="R54" s="17"/>
      <c r="AB54" s="32"/>
      <c r="AC54" s="32"/>
    </row>
    <row r="55" spans="1:29" s="11" customFormat="1" ht="12" x14ac:dyDescent="0.2">
      <c r="A55" s="18"/>
      <c r="B55" s="18"/>
      <c r="C55" s="18"/>
      <c r="D55" s="19"/>
      <c r="E55" s="18"/>
      <c r="F55" s="18"/>
      <c r="G55" s="15"/>
      <c r="H55" s="15"/>
      <c r="I55" s="17"/>
      <c r="J55" s="28"/>
      <c r="K55" s="27"/>
      <c r="L55" s="27"/>
      <c r="M55" s="27"/>
      <c r="N55" s="27"/>
      <c r="O55" s="17"/>
      <c r="P55" s="17"/>
      <c r="Q55" s="17"/>
      <c r="R55" s="17"/>
      <c r="AB55" s="32"/>
      <c r="AC55" s="32"/>
    </row>
    <row r="56" spans="1:29" s="11" customFormat="1" ht="12" x14ac:dyDescent="0.2">
      <c r="A56" s="18"/>
      <c r="B56" s="18"/>
      <c r="C56" s="18"/>
      <c r="D56" s="19"/>
      <c r="E56" s="18"/>
      <c r="F56" s="18"/>
      <c r="G56" s="15"/>
      <c r="H56" s="15"/>
      <c r="I56" s="17"/>
      <c r="J56" s="28"/>
      <c r="K56" s="27"/>
      <c r="L56" s="27"/>
      <c r="M56" s="27"/>
      <c r="N56" s="27"/>
      <c r="O56" s="17"/>
      <c r="P56" s="17"/>
      <c r="Q56" s="17"/>
      <c r="R56" s="17"/>
      <c r="AB56" s="32"/>
      <c r="AC56" s="32"/>
    </row>
    <row r="57" spans="1:29" s="11" customFormat="1" ht="12" x14ac:dyDescent="0.2">
      <c r="A57" s="18"/>
      <c r="B57" s="18"/>
      <c r="C57" s="18"/>
      <c r="D57" s="19"/>
      <c r="E57" s="18"/>
      <c r="F57" s="18"/>
      <c r="G57" s="15"/>
      <c r="H57" s="15"/>
      <c r="I57" s="17"/>
      <c r="J57" s="28"/>
      <c r="K57" s="27"/>
      <c r="L57" s="27"/>
      <c r="M57" s="27"/>
      <c r="N57" s="27"/>
      <c r="O57" s="17"/>
      <c r="P57" s="17"/>
      <c r="Q57" s="17"/>
      <c r="R57" s="17"/>
      <c r="AB57" s="32"/>
      <c r="AC57" s="32"/>
    </row>
    <row r="58" spans="1:29" s="11" customFormat="1" ht="12" x14ac:dyDescent="0.2">
      <c r="A58" s="18"/>
      <c r="B58" s="18"/>
      <c r="C58" s="18"/>
      <c r="D58" s="19"/>
      <c r="E58" s="18"/>
      <c r="F58" s="18"/>
      <c r="G58" s="15"/>
      <c r="H58" s="15"/>
      <c r="I58" s="17"/>
      <c r="J58" s="28"/>
      <c r="K58" s="27"/>
      <c r="L58" s="27"/>
      <c r="M58" s="27"/>
      <c r="N58" s="27"/>
      <c r="O58" s="17"/>
      <c r="P58" s="17"/>
      <c r="Q58" s="17"/>
      <c r="R58" s="17"/>
      <c r="AB58" s="32"/>
      <c r="AC58" s="32"/>
    </row>
    <row r="59" spans="1:29" s="11" customFormat="1" ht="12" x14ac:dyDescent="0.2">
      <c r="A59" s="18"/>
      <c r="B59" s="18"/>
      <c r="C59" s="18"/>
      <c r="D59" s="19"/>
      <c r="E59" s="18"/>
      <c r="F59" s="18"/>
      <c r="G59" s="15"/>
      <c r="H59" s="15"/>
      <c r="I59" s="17"/>
      <c r="J59" s="28"/>
      <c r="K59" s="27"/>
      <c r="L59" s="27"/>
      <c r="M59" s="27"/>
      <c r="N59" s="27"/>
      <c r="O59" s="17"/>
      <c r="P59" s="17"/>
      <c r="Q59" s="17"/>
      <c r="R59" s="17"/>
      <c r="AB59" s="32"/>
      <c r="AC59" s="32"/>
    </row>
    <row r="60" spans="1:29" s="11" customFormat="1" ht="12" x14ac:dyDescent="0.2">
      <c r="A60" s="18"/>
      <c r="B60" s="18"/>
      <c r="C60" s="18"/>
      <c r="D60" s="19"/>
      <c r="E60" s="18"/>
      <c r="F60" s="18"/>
      <c r="G60" s="15"/>
      <c r="H60" s="15"/>
      <c r="I60" s="17"/>
      <c r="J60" s="28"/>
      <c r="K60" s="27"/>
      <c r="L60" s="27"/>
      <c r="M60" s="27"/>
      <c r="N60" s="27"/>
      <c r="O60" s="17"/>
      <c r="P60" s="17"/>
      <c r="Q60" s="17"/>
      <c r="R60" s="17"/>
      <c r="AB60" s="32"/>
      <c r="AC60" s="32"/>
    </row>
    <row r="61" spans="1:29" s="11" customFormat="1" ht="12" x14ac:dyDescent="0.2">
      <c r="A61" s="18"/>
      <c r="B61" s="18"/>
      <c r="C61" s="18"/>
      <c r="D61" s="19"/>
      <c r="E61" s="18"/>
      <c r="F61" s="18"/>
      <c r="G61" s="15"/>
      <c r="H61" s="15"/>
      <c r="I61" s="17"/>
      <c r="J61" s="28"/>
      <c r="K61" s="27"/>
      <c r="L61" s="27"/>
      <c r="M61" s="27"/>
      <c r="N61" s="27"/>
      <c r="O61" s="17"/>
      <c r="P61" s="17"/>
      <c r="Q61" s="17"/>
      <c r="R61" s="17"/>
      <c r="AB61" s="32"/>
      <c r="AC61" s="32"/>
    </row>
    <row r="62" spans="1:29" s="11" customFormat="1" ht="12" x14ac:dyDescent="0.2">
      <c r="A62" s="18"/>
      <c r="B62" s="18"/>
      <c r="C62" s="18"/>
      <c r="D62" s="19"/>
      <c r="E62" s="18"/>
      <c r="F62" s="18"/>
      <c r="G62" s="15"/>
      <c r="H62" s="15"/>
      <c r="I62" s="17"/>
      <c r="J62" s="28"/>
      <c r="K62" s="27"/>
      <c r="L62" s="27"/>
      <c r="M62" s="27"/>
      <c r="N62" s="27"/>
      <c r="O62" s="17"/>
      <c r="P62" s="17"/>
      <c r="Q62" s="17"/>
      <c r="R62" s="17"/>
      <c r="AB62" s="32"/>
      <c r="AC62" s="32"/>
    </row>
    <row r="63" spans="1:29" s="11" customFormat="1" ht="12" x14ac:dyDescent="0.2">
      <c r="A63" s="18"/>
      <c r="B63" s="18"/>
      <c r="C63" s="18"/>
      <c r="D63" s="19"/>
      <c r="E63" s="18"/>
      <c r="F63" s="18"/>
      <c r="G63" s="15"/>
      <c r="H63" s="15"/>
      <c r="I63" s="17"/>
      <c r="J63" s="28"/>
      <c r="K63" s="27"/>
      <c r="L63" s="27"/>
      <c r="M63" s="27"/>
      <c r="N63" s="27"/>
      <c r="O63" s="17"/>
      <c r="P63" s="17"/>
      <c r="Q63" s="17"/>
      <c r="R63" s="17"/>
      <c r="AB63" s="32"/>
      <c r="AC63" s="32"/>
    </row>
    <row r="64" spans="1:29" s="11" customFormat="1" ht="12" x14ac:dyDescent="0.2">
      <c r="A64" s="18"/>
      <c r="B64" s="18"/>
      <c r="C64" s="18"/>
      <c r="D64" s="19"/>
      <c r="E64" s="18"/>
      <c r="F64" s="18"/>
      <c r="G64" s="15"/>
      <c r="H64" s="15"/>
      <c r="I64" s="17"/>
      <c r="J64" s="28"/>
      <c r="K64" s="27"/>
      <c r="L64" s="27"/>
      <c r="M64" s="27"/>
      <c r="N64" s="27"/>
      <c r="O64" s="17"/>
      <c r="P64" s="17"/>
      <c r="Q64" s="17"/>
      <c r="R64" s="17"/>
      <c r="AB64" s="32"/>
      <c r="AC64" s="32"/>
    </row>
    <row r="65" spans="1:29" s="11" customFormat="1" ht="12" x14ac:dyDescent="0.2">
      <c r="A65" s="18"/>
      <c r="B65" s="18"/>
      <c r="C65" s="18"/>
      <c r="D65" s="19"/>
      <c r="E65" s="18"/>
      <c r="F65" s="18"/>
      <c r="G65" s="15"/>
      <c r="H65" s="15"/>
      <c r="I65" s="17"/>
      <c r="J65" s="28"/>
      <c r="K65" s="27"/>
      <c r="L65" s="27"/>
      <c r="M65" s="27"/>
      <c r="N65" s="27"/>
      <c r="O65" s="17"/>
      <c r="P65" s="17"/>
      <c r="Q65" s="17"/>
      <c r="R65" s="17"/>
      <c r="AB65" s="32"/>
      <c r="AC65" s="32"/>
    </row>
    <row r="66" spans="1:29" s="11" customFormat="1" ht="12" x14ac:dyDescent="0.2">
      <c r="A66" s="18"/>
      <c r="B66" s="18"/>
      <c r="C66" s="18"/>
      <c r="D66" s="19"/>
      <c r="E66" s="18"/>
      <c r="F66" s="18"/>
      <c r="G66" s="15"/>
      <c r="H66" s="15"/>
      <c r="I66" s="17"/>
      <c r="J66" s="28"/>
      <c r="K66" s="27"/>
      <c r="L66" s="27"/>
      <c r="M66" s="27"/>
      <c r="N66" s="27"/>
      <c r="O66" s="17"/>
      <c r="P66" s="17"/>
      <c r="Q66" s="17"/>
      <c r="R66" s="17"/>
      <c r="AB66" s="32"/>
      <c r="AC66" s="32"/>
    </row>
    <row r="67" spans="1:29" s="11" customFormat="1" ht="12" x14ac:dyDescent="0.2">
      <c r="A67" s="18"/>
      <c r="B67" s="18"/>
      <c r="C67" s="18"/>
      <c r="D67" s="19"/>
      <c r="E67" s="18"/>
      <c r="F67" s="18"/>
      <c r="G67" s="15"/>
      <c r="H67" s="15"/>
      <c r="I67" s="17"/>
      <c r="J67" s="28"/>
      <c r="K67" s="27"/>
      <c r="L67" s="27"/>
      <c r="M67" s="27"/>
      <c r="N67" s="27"/>
      <c r="O67" s="17"/>
      <c r="P67" s="17"/>
      <c r="Q67" s="17"/>
      <c r="R67" s="17"/>
      <c r="AB67" s="32"/>
      <c r="AC67" s="32"/>
    </row>
    <row r="68" spans="1:29" s="11" customFormat="1" ht="12" x14ac:dyDescent="0.2">
      <c r="A68" s="18"/>
      <c r="B68" s="18"/>
      <c r="C68" s="18"/>
      <c r="D68" s="19"/>
      <c r="E68" s="18"/>
      <c r="F68" s="18"/>
      <c r="G68" s="15"/>
      <c r="H68" s="15"/>
      <c r="I68" s="17"/>
      <c r="J68" s="28"/>
      <c r="K68" s="27"/>
      <c r="L68" s="27"/>
      <c r="M68" s="27"/>
      <c r="N68" s="27"/>
      <c r="O68" s="17"/>
      <c r="P68" s="17"/>
      <c r="Q68" s="17"/>
      <c r="R68" s="17"/>
      <c r="AB68" s="32"/>
      <c r="AC68" s="32"/>
    </row>
    <row r="69" spans="1:29" s="11" customFormat="1" ht="12" x14ac:dyDescent="0.2">
      <c r="A69" s="18"/>
      <c r="B69" s="18"/>
      <c r="C69" s="18"/>
      <c r="D69" s="19"/>
      <c r="E69" s="18"/>
      <c r="F69" s="18"/>
      <c r="G69" s="15"/>
      <c r="H69" s="15"/>
      <c r="I69" s="17"/>
      <c r="J69" s="28"/>
      <c r="K69" s="27"/>
      <c r="L69" s="27"/>
      <c r="M69" s="27"/>
      <c r="N69" s="27"/>
      <c r="O69" s="17"/>
      <c r="P69" s="17"/>
      <c r="Q69" s="17"/>
      <c r="R69" s="17"/>
      <c r="AB69" s="32"/>
      <c r="AC69" s="32"/>
    </row>
    <row r="70" spans="1:29" s="11" customFormat="1" ht="12" x14ac:dyDescent="0.2">
      <c r="A70" s="18"/>
      <c r="B70" s="18"/>
      <c r="C70" s="18"/>
      <c r="D70" s="19"/>
      <c r="E70" s="18"/>
      <c r="F70" s="18"/>
      <c r="G70" s="15"/>
      <c r="H70" s="15"/>
      <c r="I70" s="17"/>
      <c r="J70" s="28"/>
      <c r="K70" s="27"/>
      <c r="L70" s="27"/>
      <c r="M70" s="27"/>
      <c r="N70" s="27"/>
      <c r="O70" s="17"/>
      <c r="P70" s="17"/>
      <c r="Q70" s="17"/>
      <c r="R70" s="17"/>
      <c r="AB70" s="32"/>
      <c r="AC70" s="32"/>
    </row>
    <row r="71" spans="1:29" s="11" customFormat="1" ht="12" x14ac:dyDescent="0.2">
      <c r="A71" s="18"/>
      <c r="B71" s="18"/>
      <c r="C71" s="18"/>
      <c r="D71" s="19"/>
      <c r="E71" s="18"/>
      <c r="F71" s="18"/>
      <c r="G71" s="15"/>
      <c r="H71" s="15"/>
      <c r="I71" s="17"/>
      <c r="J71" s="28"/>
      <c r="K71" s="27"/>
      <c r="L71" s="27"/>
      <c r="M71" s="27"/>
      <c r="N71" s="27"/>
      <c r="O71" s="17"/>
      <c r="P71" s="17"/>
      <c r="Q71" s="17"/>
      <c r="R71" s="17"/>
      <c r="AB71" s="32"/>
      <c r="AC71" s="32"/>
    </row>
    <row r="72" spans="1:29" s="11" customFormat="1" ht="12" x14ac:dyDescent="0.2">
      <c r="A72" s="18"/>
      <c r="B72" s="18"/>
      <c r="C72" s="18"/>
      <c r="D72" s="19"/>
      <c r="E72" s="18"/>
      <c r="F72" s="18"/>
      <c r="G72" s="15"/>
      <c r="H72" s="15"/>
      <c r="I72" s="17"/>
      <c r="J72" s="28"/>
      <c r="K72" s="27"/>
      <c r="L72" s="27"/>
      <c r="M72" s="27"/>
      <c r="N72" s="27"/>
      <c r="O72" s="17"/>
      <c r="P72" s="17"/>
      <c r="Q72" s="17"/>
      <c r="R72" s="17"/>
      <c r="AB72" s="32"/>
      <c r="AC72" s="32"/>
    </row>
    <row r="73" spans="1:29" s="11" customFormat="1" ht="12" x14ac:dyDescent="0.2">
      <c r="A73" s="18"/>
      <c r="B73" s="18"/>
      <c r="C73" s="18"/>
      <c r="D73" s="19"/>
      <c r="E73" s="18"/>
      <c r="F73" s="18"/>
      <c r="G73" s="15"/>
      <c r="H73" s="15"/>
      <c r="I73" s="17"/>
      <c r="J73" s="28"/>
      <c r="K73" s="27"/>
      <c r="L73" s="27"/>
      <c r="M73" s="27"/>
      <c r="N73" s="27"/>
      <c r="O73" s="17"/>
      <c r="P73" s="17"/>
      <c r="Q73" s="17"/>
      <c r="R73" s="17"/>
      <c r="AB73" s="32"/>
      <c r="AC73" s="32"/>
    </row>
    <row r="74" spans="1:29" s="11" customFormat="1" ht="12" x14ac:dyDescent="0.2">
      <c r="A74" s="18"/>
      <c r="B74" s="18"/>
      <c r="C74" s="18"/>
      <c r="D74" s="19"/>
      <c r="E74" s="18"/>
      <c r="F74" s="18"/>
      <c r="G74" s="15"/>
      <c r="H74" s="15"/>
      <c r="I74" s="17"/>
      <c r="J74" s="28"/>
      <c r="K74" s="27"/>
      <c r="L74" s="27"/>
      <c r="M74" s="27"/>
      <c r="N74" s="27"/>
      <c r="O74" s="17"/>
      <c r="P74" s="17"/>
      <c r="Q74" s="17"/>
      <c r="R74" s="17"/>
      <c r="AB74" s="32"/>
      <c r="AC74" s="32"/>
    </row>
    <row r="75" spans="1:29" s="11" customFormat="1" ht="12" x14ac:dyDescent="0.2">
      <c r="A75" s="18"/>
      <c r="B75" s="18"/>
      <c r="C75" s="18"/>
      <c r="D75" s="19"/>
      <c r="E75" s="18"/>
      <c r="F75" s="18"/>
      <c r="G75" s="15"/>
      <c r="H75" s="15"/>
      <c r="I75" s="17"/>
      <c r="J75" s="28"/>
      <c r="K75" s="27"/>
      <c r="L75" s="27"/>
      <c r="M75" s="27"/>
      <c r="N75" s="27"/>
      <c r="O75" s="17"/>
      <c r="P75" s="17"/>
      <c r="Q75" s="17"/>
      <c r="R75" s="17"/>
      <c r="AB75" s="32"/>
      <c r="AC75" s="32"/>
    </row>
    <row r="76" spans="1:29" s="11" customFormat="1" ht="12" x14ac:dyDescent="0.2">
      <c r="A76" s="18"/>
      <c r="B76" s="18"/>
      <c r="C76" s="18"/>
      <c r="D76" s="19"/>
      <c r="E76" s="18"/>
      <c r="F76" s="18"/>
      <c r="G76" s="15"/>
      <c r="H76" s="15"/>
      <c r="I76" s="17"/>
      <c r="J76" s="28"/>
      <c r="K76" s="27"/>
      <c r="L76" s="27"/>
      <c r="M76" s="27"/>
      <c r="N76" s="27"/>
      <c r="O76" s="17"/>
      <c r="P76" s="17"/>
      <c r="Q76" s="17"/>
      <c r="R76" s="17"/>
      <c r="AB76" s="32"/>
      <c r="AC76" s="32"/>
    </row>
    <row r="77" spans="1:29" s="11" customFormat="1" ht="12" x14ac:dyDescent="0.2">
      <c r="A77" s="18"/>
      <c r="B77" s="18"/>
      <c r="C77" s="18"/>
      <c r="D77" s="19"/>
      <c r="E77" s="18"/>
      <c r="F77" s="18"/>
      <c r="G77" s="15"/>
      <c r="H77" s="15"/>
      <c r="I77" s="17"/>
      <c r="J77" s="28"/>
      <c r="K77" s="27"/>
      <c r="L77" s="27"/>
      <c r="M77" s="27"/>
      <c r="N77" s="27"/>
      <c r="O77" s="17"/>
      <c r="P77" s="17"/>
      <c r="Q77" s="17"/>
      <c r="R77" s="17"/>
      <c r="AB77" s="32"/>
      <c r="AC77" s="32"/>
    </row>
    <row r="78" spans="1:29" s="11" customFormat="1" ht="12" x14ac:dyDescent="0.2">
      <c r="A78" s="18"/>
      <c r="B78" s="18"/>
      <c r="C78" s="18"/>
      <c r="D78" s="19"/>
      <c r="E78" s="18"/>
      <c r="F78" s="18"/>
      <c r="G78" s="15"/>
      <c r="H78" s="15"/>
      <c r="I78" s="17"/>
      <c r="J78" s="28"/>
      <c r="K78" s="27"/>
      <c r="L78" s="27"/>
      <c r="M78" s="27"/>
      <c r="N78" s="27"/>
      <c r="O78" s="17"/>
      <c r="P78" s="17"/>
      <c r="Q78" s="17"/>
      <c r="R78" s="17"/>
      <c r="AB78" s="32"/>
      <c r="AC78" s="32"/>
    </row>
    <row r="79" spans="1:29" s="11" customFormat="1" ht="12" x14ac:dyDescent="0.2">
      <c r="A79" s="18"/>
      <c r="B79" s="18"/>
      <c r="C79" s="18"/>
      <c r="D79" s="19"/>
      <c r="E79" s="18"/>
      <c r="F79" s="18"/>
      <c r="G79" s="15"/>
      <c r="H79" s="15"/>
      <c r="I79" s="17"/>
      <c r="J79" s="28"/>
      <c r="K79" s="27"/>
      <c r="L79" s="27"/>
      <c r="M79" s="27"/>
      <c r="N79" s="27"/>
      <c r="O79" s="17"/>
      <c r="P79" s="17"/>
      <c r="Q79" s="17"/>
      <c r="R79" s="17"/>
      <c r="AB79" s="32"/>
      <c r="AC79" s="32"/>
    </row>
    <row r="80" spans="1:29" s="11" customFormat="1" ht="12" x14ac:dyDescent="0.2">
      <c r="A80" s="18"/>
      <c r="B80" s="18"/>
      <c r="C80" s="18"/>
      <c r="D80" s="19"/>
      <c r="E80" s="18"/>
      <c r="F80" s="18"/>
      <c r="G80" s="15"/>
      <c r="H80" s="15"/>
      <c r="I80" s="17"/>
      <c r="J80" s="28"/>
      <c r="K80" s="27"/>
      <c r="L80" s="27"/>
      <c r="M80" s="27"/>
      <c r="N80" s="27"/>
      <c r="O80" s="17"/>
      <c r="P80" s="17"/>
      <c r="Q80" s="17"/>
      <c r="R80" s="17"/>
      <c r="AB80" s="32"/>
      <c r="AC80" s="32"/>
    </row>
    <row r="81" spans="1:29" s="11" customFormat="1" ht="12" x14ac:dyDescent="0.2">
      <c r="A81" s="18"/>
      <c r="B81" s="18"/>
      <c r="C81" s="18"/>
      <c r="D81" s="19"/>
      <c r="E81" s="18"/>
      <c r="F81" s="18"/>
      <c r="G81" s="15"/>
      <c r="H81" s="15"/>
      <c r="I81" s="17"/>
      <c r="J81" s="28"/>
      <c r="K81" s="27"/>
      <c r="L81" s="27"/>
      <c r="M81" s="27"/>
      <c r="N81" s="27"/>
      <c r="O81" s="17"/>
      <c r="P81" s="17"/>
      <c r="Q81" s="17"/>
      <c r="R81" s="17"/>
      <c r="AB81" s="32"/>
      <c r="AC81" s="32"/>
    </row>
    <row r="82" spans="1:29" s="11" customFormat="1" ht="12" x14ac:dyDescent="0.2">
      <c r="A82" s="18"/>
      <c r="B82" s="18"/>
      <c r="C82" s="18"/>
      <c r="D82" s="19"/>
      <c r="E82" s="18"/>
      <c r="F82" s="18"/>
      <c r="G82" s="15"/>
      <c r="H82" s="15"/>
      <c r="I82" s="17"/>
      <c r="J82" s="28"/>
      <c r="K82" s="27"/>
      <c r="L82" s="27"/>
      <c r="M82" s="27"/>
      <c r="N82" s="27"/>
      <c r="O82" s="17"/>
      <c r="P82" s="17"/>
      <c r="Q82" s="17"/>
      <c r="R82" s="17"/>
      <c r="AB82" s="32"/>
      <c r="AC82" s="32"/>
    </row>
    <row r="83" spans="1:29" s="11" customFormat="1" ht="12" x14ac:dyDescent="0.2">
      <c r="A83" s="18"/>
      <c r="B83" s="18"/>
      <c r="C83" s="18"/>
      <c r="D83" s="19"/>
      <c r="E83" s="18"/>
      <c r="F83" s="18"/>
      <c r="G83" s="15"/>
      <c r="H83" s="15"/>
      <c r="I83" s="17"/>
      <c r="J83" s="28"/>
      <c r="K83" s="27"/>
      <c r="L83" s="27"/>
      <c r="M83" s="27"/>
      <c r="N83" s="27"/>
      <c r="O83" s="17"/>
      <c r="P83" s="17"/>
      <c r="Q83" s="17"/>
      <c r="R83" s="17"/>
      <c r="AB83" s="32"/>
      <c r="AC83" s="32"/>
    </row>
    <row r="84" spans="1:29" s="11" customFormat="1" ht="12" x14ac:dyDescent="0.2">
      <c r="A84" s="18"/>
      <c r="B84" s="18"/>
      <c r="C84" s="18"/>
      <c r="D84" s="19"/>
      <c r="E84" s="18"/>
      <c r="F84" s="18"/>
      <c r="G84" s="15"/>
      <c r="H84" s="15"/>
      <c r="I84" s="17"/>
      <c r="J84" s="28"/>
      <c r="K84" s="27"/>
      <c r="L84" s="27"/>
      <c r="M84" s="27"/>
      <c r="N84" s="27"/>
      <c r="O84" s="17"/>
      <c r="P84" s="17"/>
      <c r="Q84" s="17"/>
      <c r="R84" s="17"/>
      <c r="AB84" s="32"/>
      <c r="AC84" s="32"/>
    </row>
  </sheetData>
  <sortState ref="G15:J16">
    <sortCondition ref="G15"/>
  </sortState>
  <mergeCells count="19">
    <mergeCell ref="P29:Q29"/>
    <mergeCell ref="O29:O36"/>
    <mergeCell ref="O9:O10"/>
    <mergeCell ref="P9:AA9"/>
    <mergeCell ref="I4:L4"/>
    <mergeCell ref="I5:L5"/>
    <mergeCell ref="J9:J10"/>
    <mergeCell ref="K9:L9"/>
    <mergeCell ref="N9:N10"/>
    <mergeCell ref="F9:F10"/>
    <mergeCell ref="G9:G10"/>
    <mergeCell ref="H9:H10"/>
    <mergeCell ref="A26:H26"/>
    <mergeCell ref="I9:I10"/>
    <mergeCell ref="A9:A10"/>
    <mergeCell ref="B9:B10"/>
    <mergeCell ref="C9:C10"/>
    <mergeCell ref="D9:D10"/>
    <mergeCell ref="E9:E10"/>
  </mergeCells>
  <pageMargins left="0.62992125984251968" right="0.19685039370078741" top="0.39370078740157483" bottom="0.39370078740157483" header="0" footer="0"/>
  <pageSetup paperSize="5" scale="55" orientation="landscape" r:id="rId1"/>
  <headerFooter alignWithMargins="0">
    <oddFooter>&amp;C&amp;P&amp;R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B73"/>
  <sheetViews>
    <sheetView showGridLines="0" view="pageBreakPreview" zoomScale="70" zoomScaleNormal="75" zoomScaleSheetLayoutView="70" workbookViewId="0">
      <selection activeCell="I28" sqref="I28:M33"/>
    </sheetView>
  </sheetViews>
  <sheetFormatPr baseColWidth="10" defaultColWidth="11.42578125" defaultRowHeight="12.75" x14ac:dyDescent="0.2"/>
  <cols>
    <col min="1" max="1" width="4" style="1" customWidth="1"/>
    <col min="2" max="2" width="4.42578125" style="1" customWidth="1"/>
    <col min="3" max="3" width="4.5703125" style="1" customWidth="1"/>
    <col min="4" max="4" width="5.28515625" style="7" customWidth="1"/>
    <col min="5" max="5" width="5.42578125" style="1" customWidth="1"/>
    <col min="6" max="6" width="6.140625" style="1" customWidth="1"/>
    <col min="7" max="7" width="6.28515625" style="15" customWidth="1"/>
    <col min="8" max="8" width="3.7109375" style="15" customWidth="1"/>
    <col min="9" max="9" width="42.85546875" style="17" bestFit="1" customWidth="1"/>
    <col min="10" max="10" width="15.5703125" style="28" customWidth="1"/>
    <col min="11" max="12" width="12.85546875" style="27" customWidth="1"/>
    <col min="13" max="13" width="16" style="27" customWidth="1"/>
    <col min="14" max="14" width="14.7109375" style="17" customWidth="1"/>
    <col min="15" max="15" width="11.7109375" style="17" bestFit="1" customWidth="1"/>
    <col min="16" max="16" width="11.140625" style="17" customWidth="1"/>
    <col min="17" max="17" width="10" style="17" customWidth="1"/>
    <col min="18" max="18" width="9.7109375" style="4" customWidth="1"/>
    <col min="19" max="19" width="11.85546875" style="4" bestFit="1" customWidth="1"/>
    <col min="20" max="20" width="14.5703125" style="4" customWidth="1"/>
    <col min="21" max="21" width="12.85546875" style="4" customWidth="1"/>
    <col min="22" max="22" width="14.28515625" style="4" customWidth="1"/>
    <col min="23" max="23" width="14.140625" style="4" customWidth="1"/>
    <col min="24" max="24" width="14.28515625" style="4" customWidth="1"/>
    <col min="25" max="25" width="12.7109375" style="4" customWidth="1"/>
    <col min="26" max="26" width="14.140625" style="4" customWidth="1"/>
    <col min="27" max="28" width="11.42578125" style="74" customWidth="1"/>
    <col min="29" max="16384" width="11.42578125" style="4"/>
  </cols>
  <sheetData>
    <row r="1" spans="1:28" ht="25.5" x14ac:dyDescent="0.35">
      <c r="D1" s="3"/>
      <c r="H1" s="6" t="s">
        <v>153</v>
      </c>
      <c r="Z1" s="5"/>
    </row>
    <row r="2" spans="1:28" ht="23.25" x14ac:dyDescent="0.35">
      <c r="H2" s="2" t="s">
        <v>20</v>
      </c>
      <c r="M2" s="36"/>
      <c r="N2" s="35"/>
      <c r="O2" s="34"/>
      <c r="P2" s="34"/>
      <c r="Q2" s="34"/>
      <c r="R2" s="6"/>
      <c r="S2" s="6"/>
      <c r="T2" s="6"/>
      <c r="U2" s="6"/>
      <c r="V2" s="6"/>
      <c r="W2" s="6"/>
      <c r="X2" s="6"/>
      <c r="Y2" s="6"/>
      <c r="Z2" s="5"/>
    </row>
    <row r="3" spans="1:28" ht="25.5" x14ac:dyDescent="0.35">
      <c r="C3" s="2"/>
      <c r="D3" s="3"/>
      <c r="I3" s="37"/>
      <c r="J3" s="38"/>
      <c r="K3" s="39"/>
      <c r="L3" s="39"/>
      <c r="M3" s="36"/>
      <c r="N3" s="35"/>
      <c r="O3" s="34"/>
      <c r="P3" s="34"/>
      <c r="Q3" s="34"/>
      <c r="R3" s="6"/>
      <c r="S3" s="6"/>
      <c r="T3" s="6"/>
      <c r="U3" s="6"/>
      <c r="V3" s="6"/>
      <c r="W3" s="6"/>
      <c r="X3" s="6"/>
      <c r="Y3" s="6"/>
      <c r="Z3" s="5"/>
    </row>
    <row r="4" spans="1:28" s="63" customFormat="1" ht="23.25" customHeight="1" x14ac:dyDescent="0.2">
      <c r="A4" s="55"/>
      <c r="B4" s="55"/>
      <c r="C4" s="56"/>
      <c r="D4" s="57" t="s">
        <v>21</v>
      </c>
      <c r="E4" s="55"/>
      <c r="F4" s="55"/>
      <c r="G4" s="58"/>
      <c r="H4" s="58"/>
      <c r="I4" s="511" t="s">
        <v>44</v>
      </c>
      <c r="J4" s="511"/>
      <c r="K4" s="511"/>
      <c r="L4" s="511"/>
      <c r="M4" s="67"/>
      <c r="N4" s="59"/>
      <c r="O4" s="60"/>
      <c r="P4" s="93" t="s">
        <v>100</v>
      </c>
      <c r="Q4" s="93"/>
      <c r="R4" s="94"/>
      <c r="S4" s="142" t="str">
        <f>+'01.Recurso Estatal'!T4</f>
        <v>TERCER</v>
      </c>
      <c r="T4" s="61"/>
      <c r="U4" s="61"/>
      <c r="V4" s="61"/>
      <c r="W4" s="61"/>
      <c r="X4" s="61"/>
      <c r="Y4" s="61"/>
      <c r="Z4" s="62"/>
      <c r="AA4" s="77"/>
      <c r="AB4" s="77"/>
    </row>
    <row r="5" spans="1:28" s="63" customFormat="1" ht="20.25" customHeight="1" x14ac:dyDescent="0.2">
      <c r="A5" s="55"/>
      <c r="B5" s="55"/>
      <c r="C5" s="55"/>
      <c r="D5" s="126"/>
      <c r="E5" s="127"/>
      <c r="F5" s="127"/>
      <c r="G5" s="127"/>
      <c r="H5" s="127"/>
      <c r="I5" s="482"/>
      <c r="J5" s="482"/>
      <c r="K5" s="482"/>
      <c r="L5" s="482"/>
      <c r="M5" s="128"/>
      <c r="N5" s="77"/>
      <c r="O5" s="104"/>
      <c r="P5" s="104"/>
      <c r="Q5" s="104"/>
      <c r="R5" s="108"/>
      <c r="S5" s="104"/>
      <c r="T5" s="104"/>
      <c r="U5" s="104"/>
      <c r="V5" s="104"/>
      <c r="W5" s="104"/>
      <c r="X5" s="104"/>
      <c r="Y5" s="104"/>
      <c r="Z5" s="106"/>
      <c r="AA5" s="78"/>
      <c r="AB5" s="77"/>
    </row>
    <row r="6" spans="1:28" s="63" customFormat="1" ht="15.75" x14ac:dyDescent="0.2">
      <c r="A6" s="55"/>
      <c r="B6" s="55"/>
      <c r="C6" s="55"/>
      <c r="D6" s="64" t="s">
        <v>23</v>
      </c>
      <c r="E6" s="55"/>
      <c r="F6" s="55"/>
      <c r="G6" s="55"/>
      <c r="H6" s="55"/>
      <c r="I6" s="77"/>
      <c r="J6" s="129" t="s">
        <v>41</v>
      </c>
      <c r="K6" s="130"/>
      <c r="L6" s="130"/>
      <c r="M6" s="130"/>
      <c r="N6" s="216" t="s">
        <v>51</v>
      </c>
      <c r="O6" s="104"/>
      <c r="P6" s="104"/>
      <c r="Q6" s="104" t="s">
        <v>148</v>
      </c>
      <c r="R6" s="104"/>
      <c r="S6" s="104"/>
      <c r="T6" s="104"/>
      <c r="U6" s="104"/>
      <c r="V6" s="104"/>
      <c r="W6" s="104"/>
      <c r="X6" s="104"/>
      <c r="Y6" s="104"/>
      <c r="Z6" s="106"/>
      <c r="AA6" s="78"/>
      <c r="AB6" s="77"/>
    </row>
    <row r="7" spans="1:28" ht="15.75" x14ac:dyDescent="0.2">
      <c r="G7" s="1"/>
      <c r="H7" s="1"/>
      <c r="I7" s="101"/>
      <c r="J7" s="131"/>
      <c r="K7" s="132"/>
      <c r="L7" s="132"/>
      <c r="M7" s="132"/>
      <c r="N7" s="101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100"/>
      <c r="AA7" s="79"/>
    </row>
    <row r="8" spans="1:28" x14ac:dyDescent="0.2">
      <c r="A8" s="8"/>
      <c r="B8" s="8"/>
      <c r="C8" s="8"/>
      <c r="D8" s="9"/>
      <c r="E8" s="8"/>
      <c r="F8" s="8"/>
      <c r="G8" s="8"/>
      <c r="H8" s="8"/>
      <c r="I8" s="10"/>
      <c r="J8" s="133"/>
      <c r="K8" s="134"/>
      <c r="L8" s="134"/>
      <c r="M8" s="134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8" s="88" customFormat="1" ht="15" customHeight="1" x14ac:dyDescent="0.2">
      <c r="A9" s="483" t="s">
        <v>11</v>
      </c>
      <c r="B9" s="483" t="s">
        <v>12</v>
      </c>
      <c r="C9" s="483" t="s">
        <v>13</v>
      </c>
      <c r="D9" s="484" t="s">
        <v>14</v>
      </c>
      <c r="E9" s="483" t="s">
        <v>24</v>
      </c>
      <c r="F9" s="483" t="s">
        <v>15</v>
      </c>
      <c r="G9" s="483" t="s">
        <v>0</v>
      </c>
      <c r="H9" s="483" t="s">
        <v>25</v>
      </c>
      <c r="I9" s="477" t="s">
        <v>1</v>
      </c>
      <c r="J9" s="478" t="s">
        <v>26</v>
      </c>
      <c r="K9" s="480" t="s">
        <v>27</v>
      </c>
      <c r="L9" s="480"/>
      <c r="M9" s="478" t="s">
        <v>16</v>
      </c>
      <c r="N9" s="479" t="s">
        <v>28</v>
      </c>
      <c r="O9" s="477" t="s">
        <v>29</v>
      </c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87"/>
      <c r="AB9" s="87"/>
    </row>
    <row r="10" spans="1:28" s="89" customFormat="1" ht="40.9" customHeight="1" x14ac:dyDescent="0.2">
      <c r="A10" s="483"/>
      <c r="B10" s="483"/>
      <c r="C10" s="483"/>
      <c r="D10" s="484"/>
      <c r="E10" s="483"/>
      <c r="F10" s="483"/>
      <c r="G10" s="483"/>
      <c r="H10" s="483"/>
      <c r="I10" s="477"/>
      <c r="J10" s="478"/>
      <c r="K10" s="169" t="s">
        <v>30</v>
      </c>
      <c r="L10" s="169" t="s">
        <v>31</v>
      </c>
      <c r="M10" s="478"/>
      <c r="N10" s="479"/>
      <c r="O10" s="168" t="s">
        <v>8</v>
      </c>
      <c r="P10" s="168" t="s">
        <v>9</v>
      </c>
      <c r="Q10" s="168" t="s">
        <v>10</v>
      </c>
      <c r="R10" s="168" t="s">
        <v>32</v>
      </c>
      <c r="S10" s="168" t="s">
        <v>33</v>
      </c>
      <c r="T10" s="168" t="s">
        <v>34</v>
      </c>
      <c r="U10" s="168" t="s">
        <v>35</v>
      </c>
      <c r="V10" s="168" t="s">
        <v>36</v>
      </c>
      <c r="W10" s="168" t="s">
        <v>37</v>
      </c>
      <c r="X10" s="168" t="s">
        <v>38</v>
      </c>
      <c r="Y10" s="168" t="s">
        <v>39</v>
      </c>
      <c r="Z10" s="168" t="s">
        <v>40</v>
      </c>
      <c r="AA10" s="86"/>
      <c r="AB10" s="86"/>
    </row>
    <row r="11" spans="1:28" s="17" customFormat="1" x14ac:dyDescent="0.2">
      <c r="A11" s="21"/>
      <c r="B11" s="21"/>
      <c r="C11" s="21"/>
      <c r="D11" s="21"/>
      <c r="E11" s="21"/>
      <c r="F11" s="21"/>
      <c r="G11" s="72"/>
      <c r="H11" s="42"/>
      <c r="I11" s="97"/>
      <c r="J11" s="120"/>
      <c r="K11" s="120"/>
      <c r="L11" s="120"/>
      <c r="M11" s="119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82"/>
      <c r="AB11" s="82"/>
    </row>
    <row r="12" spans="1:28" s="12" customFormat="1" x14ac:dyDescent="0.2">
      <c r="A12" s="22"/>
      <c r="B12" s="22"/>
      <c r="C12" s="22"/>
      <c r="D12" s="33"/>
      <c r="E12" s="22"/>
      <c r="F12" s="22"/>
      <c r="G12" s="22"/>
      <c r="H12" s="22"/>
      <c r="I12" s="92" t="s">
        <v>2</v>
      </c>
      <c r="J12" s="96">
        <f t="shared" ref="J12:Z12" si="0">SUM(J11:J11)</f>
        <v>0</v>
      </c>
      <c r="K12" s="96">
        <f t="shared" si="0"/>
        <v>0</v>
      </c>
      <c r="L12" s="96">
        <f t="shared" si="0"/>
        <v>0</v>
      </c>
      <c r="M12" s="96">
        <f>SUM(M11)</f>
        <v>0</v>
      </c>
      <c r="N12" s="96">
        <f t="shared" si="0"/>
        <v>0</v>
      </c>
      <c r="O12" s="96">
        <f t="shared" si="0"/>
        <v>0</v>
      </c>
      <c r="P12" s="96">
        <f t="shared" si="0"/>
        <v>0</v>
      </c>
      <c r="Q12" s="96">
        <f t="shared" si="0"/>
        <v>0</v>
      </c>
      <c r="R12" s="96">
        <f t="shared" si="0"/>
        <v>0</v>
      </c>
      <c r="S12" s="96">
        <f t="shared" si="0"/>
        <v>0</v>
      </c>
      <c r="T12" s="96">
        <f t="shared" si="0"/>
        <v>0</v>
      </c>
      <c r="U12" s="96">
        <f t="shared" si="0"/>
        <v>0</v>
      </c>
      <c r="V12" s="96">
        <f t="shared" si="0"/>
        <v>0</v>
      </c>
      <c r="W12" s="96">
        <f t="shared" si="0"/>
        <v>0</v>
      </c>
      <c r="X12" s="96">
        <f t="shared" si="0"/>
        <v>0</v>
      </c>
      <c r="Y12" s="96">
        <f t="shared" si="0"/>
        <v>0</v>
      </c>
      <c r="Z12" s="96">
        <f t="shared" si="0"/>
        <v>0</v>
      </c>
      <c r="AA12" s="23"/>
      <c r="AB12" s="23"/>
    </row>
    <row r="13" spans="1:28" s="17" customFormat="1" ht="14.25" x14ac:dyDescent="0.2">
      <c r="A13" s="21" t="s">
        <v>17</v>
      </c>
      <c r="B13" s="21" t="s">
        <v>18</v>
      </c>
      <c r="C13" s="21" t="s">
        <v>19</v>
      </c>
      <c r="D13" s="21" t="s">
        <v>42</v>
      </c>
      <c r="E13" s="21" t="s">
        <v>43</v>
      </c>
      <c r="F13" s="21" t="s">
        <v>41</v>
      </c>
      <c r="G13" s="72">
        <v>2391</v>
      </c>
      <c r="H13" s="42">
        <v>0</v>
      </c>
      <c r="I13" s="209" t="s">
        <v>61</v>
      </c>
      <c r="J13" s="182"/>
      <c r="K13" s="120"/>
      <c r="L13" s="120"/>
      <c r="M13" s="119">
        <f>J13+L13-K13</f>
        <v>0</v>
      </c>
      <c r="N13" s="118">
        <f t="shared" ref="N13:N14" si="1">SUM(O13:Z13)</f>
        <v>0</v>
      </c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>
        <v>0</v>
      </c>
      <c r="Z13" s="118"/>
      <c r="AA13" s="83"/>
      <c r="AB13" s="82"/>
    </row>
    <row r="14" spans="1:28" s="17" customFormat="1" ht="14.25" x14ac:dyDescent="0.2">
      <c r="A14" s="21" t="s">
        <v>17</v>
      </c>
      <c r="B14" s="21" t="s">
        <v>18</v>
      </c>
      <c r="C14" s="21" t="s">
        <v>19</v>
      </c>
      <c r="D14" s="21" t="s">
        <v>42</v>
      </c>
      <c r="E14" s="21" t="s">
        <v>43</v>
      </c>
      <c r="F14" s="21" t="s">
        <v>41</v>
      </c>
      <c r="G14" s="72">
        <v>2491</v>
      </c>
      <c r="H14" s="42">
        <v>0</v>
      </c>
      <c r="I14" s="209" t="s">
        <v>77</v>
      </c>
      <c r="J14" s="182"/>
      <c r="K14" s="120"/>
      <c r="L14" s="120"/>
      <c r="M14" s="119">
        <f>J14+L14-K14</f>
        <v>0</v>
      </c>
      <c r="N14" s="118">
        <f t="shared" si="1"/>
        <v>0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83"/>
      <c r="AB14" s="82"/>
    </row>
    <row r="15" spans="1:28" s="53" customFormat="1" ht="15" x14ac:dyDescent="0.25">
      <c r="A15" s="136"/>
      <c r="B15" s="136"/>
      <c r="C15" s="136"/>
      <c r="D15" s="136"/>
      <c r="E15" s="136"/>
      <c r="F15" s="136"/>
      <c r="G15" s="170"/>
      <c r="H15" s="170"/>
      <c r="I15" s="211" t="s">
        <v>3</v>
      </c>
      <c r="J15" s="137">
        <f>SUM(J13:J14)</f>
        <v>0</v>
      </c>
      <c r="K15" s="137">
        <f t="shared" ref="K15:Y15" si="2">SUM(K13:K13)</f>
        <v>0</v>
      </c>
      <c r="L15" s="137">
        <f>SUM(L13:L14)</f>
        <v>0</v>
      </c>
      <c r="M15" s="137">
        <f>SUM(M13:M14)</f>
        <v>0</v>
      </c>
      <c r="N15" s="137">
        <f>SUM(N13:N14)</f>
        <v>0</v>
      </c>
      <c r="O15" s="137">
        <f t="shared" si="2"/>
        <v>0</v>
      </c>
      <c r="P15" s="137">
        <f t="shared" si="2"/>
        <v>0</v>
      </c>
      <c r="Q15" s="137">
        <f t="shared" si="2"/>
        <v>0</v>
      </c>
      <c r="R15" s="137">
        <f t="shared" si="2"/>
        <v>0</v>
      </c>
      <c r="S15" s="137">
        <f t="shared" si="2"/>
        <v>0</v>
      </c>
      <c r="T15" s="137">
        <f t="shared" si="2"/>
        <v>0</v>
      </c>
      <c r="U15" s="137">
        <f>SUM(U13:U14)</f>
        <v>0</v>
      </c>
      <c r="V15" s="137">
        <f t="shared" si="2"/>
        <v>0</v>
      </c>
      <c r="W15" s="137">
        <f t="shared" si="2"/>
        <v>0</v>
      </c>
      <c r="X15" s="137">
        <f t="shared" si="2"/>
        <v>0</v>
      </c>
      <c r="Y15" s="137">
        <f t="shared" si="2"/>
        <v>0</v>
      </c>
      <c r="Z15" s="137">
        <f t="shared" ref="Z15" si="3">SUM(Z13:Z13)</f>
        <v>0</v>
      </c>
      <c r="AA15" s="83"/>
      <c r="AB15" s="84"/>
    </row>
    <row r="16" spans="1:28" s="17" customFormat="1" ht="14.25" x14ac:dyDescent="0.2">
      <c r="A16" s="21" t="s">
        <v>17</v>
      </c>
      <c r="B16" s="21" t="s">
        <v>18</v>
      </c>
      <c r="C16" s="21" t="s">
        <v>19</v>
      </c>
      <c r="D16" s="21" t="s">
        <v>42</v>
      </c>
      <c r="E16" s="21" t="s">
        <v>43</v>
      </c>
      <c r="F16" s="21" t="s">
        <v>41</v>
      </c>
      <c r="G16" s="72">
        <v>3342</v>
      </c>
      <c r="H16" s="42">
        <v>0</v>
      </c>
      <c r="I16" s="209" t="s">
        <v>82</v>
      </c>
      <c r="J16" s="120"/>
      <c r="K16" s="120"/>
      <c r="L16" s="120"/>
      <c r="M16" s="119">
        <f>J16+L16-K16</f>
        <v>0</v>
      </c>
      <c r="N16" s="118">
        <f t="shared" ref="N16:N19" si="4">SUM(O16:Z16)</f>
        <v>0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>
        <v>0</v>
      </c>
      <c r="Z16" s="118"/>
      <c r="AA16" s="83"/>
      <c r="AB16" s="82"/>
    </row>
    <row r="17" spans="1:28" s="17" customFormat="1" ht="14.25" x14ac:dyDescent="0.2">
      <c r="A17" s="21" t="s">
        <v>17</v>
      </c>
      <c r="B17" s="21" t="s">
        <v>18</v>
      </c>
      <c r="C17" s="21" t="s">
        <v>19</v>
      </c>
      <c r="D17" s="21" t="s">
        <v>42</v>
      </c>
      <c r="E17" s="21" t="s">
        <v>43</v>
      </c>
      <c r="F17" s="21" t="s">
        <v>41</v>
      </c>
      <c r="G17" s="72">
        <v>3751</v>
      </c>
      <c r="H17" s="42">
        <v>0</v>
      </c>
      <c r="I17" s="209" t="s">
        <v>197</v>
      </c>
      <c r="J17" s="120"/>
      <c r="K17" s="120"/>
      <c r="L17" s="120"/>
      <c r="M17" s="119">
        <f>J17+L17-K17</f>
        <v>0</v>
      </c>
      <c r="N17" s="118">
        <f>SUM(O17:Z17)</f>
        <v>0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83"/>
      <c r="AB17" s="82"/>
    </row>
    <row r="18" spans="1:28" ht="15" x14ac:dyDescent="0.25">
      <c r="A18" s="22"/>
      <c r="B18" s="22"/>
      <c r="C18" s="22"/>
      <c r="D18" s="33"/>
      <c r="E18" s="22"/>
      <c r="F18" s="22"/>
      <c r="G18" s="22"/>
      <c r="H18" s="22"/>
      <c r="I18" s="210" t="s">
        <v>4</v>
      </c>
      <c r="J18" s="96">
        <f>SUM(J16:J17)</f>
        <v>0</v>
      </c>
      <c r="K18" s="96">
        <f t="shared" ref="K18:L18" si="5">SUM(K16:K16)</f>
        <v>0</v>
      </c>
      <c r="L18" s="96">
        <f t="shared" si="5"/>
        <v>0</v>
      </c>
      <c r="M18" s="96">
        <f>SUM(M16:M17)</f>
        <v>0</v>
      </c>
      <c r="N18" s="96">
        <f>SUM(N16:N17)</f>
        <v>0</v>
      </c>
      <c r="O18" s="96">
        <f>SUM(O16:O17)</f>
        <v>0</v>
      </c>
      <c r="P18" s="96">
        <f t="shared" ref="P18:Z18" si="6">SUM(P16:P17)</f>
        <v>0</v>
      </c>
      <c r="Q18" s="96">
        <f t="shared" si="6"/>
        <v>0</v>
      </c>
      <c r="R18" s="96">
        <f t="shared" si="6"/>
        <v>0</v>
      </c>
      <c r="S18" s="96">
        <f t="shared" si="6"/>
        <v>0</v>
      </c>
      <c r="T18" s="96">
        <f t="shared" si="6"/>
        <v>0</v>
      </c>
      <c r="U18" s="96">
        <f t="shared" si="6"/>
        <v>0</v>
      </c>
      <c r="V18" s="96">
        <f t="shared" si="6"/>
        <v>0</v>
      </c>
      <c r="W18" s="96">
        <f t="shared" si="6"/>
        <v>0</v>
      </c>
      <c r="X18" s="96">
        <f t="shared" si="6"/>
        <v>0</v>
      </c>
      <c r="Y18" s="96">
        <f t="shared" si="6"/>
        <v>0</v>
      </c>
      <c r="Z18" s="96">
        <f t="shared" si="6"/>
        <v>0</v>
      </c>
      <c r="AA18" s="83"/>
    </row>
    <row r="19" spans="1:28" s="17" customFormat="1" ht="14.25" x14ac:dyDescent="0.2">
      <c r="A19" s="21" t="s">
        <v>17</v>
      </c>
      <c r="B19" s="21" t="s">
        <v>18</v>
      </c>
      <c r="C19" s="21" t="s">
        <v>19</v>
      </c>
      <c r="D19" s="21" t="s">
        <v>42</v>
      </c>
      <c r="E19" s="21" t="s">
        <v>43</v>
      </c>
      <c r="F19" s="21" t="s">
        <v>41</v>
      </c>
      <c r="G19" s="72">
        <v>4432</v>
      </c>
      <c r="H19" s="42">
        <v>0</v>
      </c>
      <c r="I19" s="209" t="s">
        <v>99</v>
      </c>
      <c r="J19" s="120">
        <v>235600</v>
      </c>
      <c r="K19" s="120"/>
      <c r="L19" s="120"/>
      <c r="M19" s="119">
        <f>J19-K19+L19</f>
        <v>235600</v>
      </c>
      <c r="N19" s="118">
        <f t="shared" si="4"/>
        <v>127078</v>
      </c>
      <c r="O19" s="118"/>
      <c r="P19" s="118"/>
      <c r="Q19" s="118"/>
      <c r="R19" s="118"/>
      <c r="S19" s="118"/>
      <c r="T19" s="118"/>
      <c r="U19" s="125"/>
      <c r="V19" s="118"/>
      <c r="W19" s="118">
        <v>127078</v>
      </c>
      <c r="X19" s="118"/>
      <c r="Y19" s="118"/>
      <c r="Z19" s="118"/>
      <c r="AA19" s="83"/>
      <c r="AB19" s="82"/>
    </row>
    <row r="20" spans="1:28" s="12" customFormat="1" x14ac:dyDescent="0.2">
      <c r="A20" s="22"/>
      <c r="B20" s="22"/>
      <c r="C20" s="22"/>
      <c r="D20" s="33"/>
      <c r="E20" s="22"/>
      <c r="F20" s="22"/>
      <c r="G20" s="22"/>
      <c r="H20" s="22"/>
      <c r="I20" s="92" t="s">
        <v>5</v>
      </c>
      <c r="J20" s="96">
        <f>SUM(J19)</f>
        <v>235600</v>
      </c>
      <c r="K20" s="96">
        <f>SUM(K19)</f>
        <v>0</v>
      </c>
      <c r="L20" s="96">
        <f>SUM(L19)</f>
        <v>0</v>
      </c>
      <c r="M20" s="96">
        <f>SUM(M19)</f>
        <v>235600</v>
      </c>
      <c r="N20" s="96">
        <f>SUM(N19:N19)</f>
        <v>127078</v>
      </c>
      <c r="O20" s="96">
        <f>SUM(O19)</f>
        <v>0</v>
      </c>
      <c r="P20" s="96">
        <f t="shared" ref="P20:V20" si="7">SUM(P19)</f>
        <v>0</v>
      </c>
      <c r="Q20" s="96">
        <f t="shared" si="7"/>
        <v>0</v>
      </c>
      <c r="R20" s="96">
        <f t="shared" si="7"/>
        <v>0</v>
      </c>
      <c r="S20" s="96">
        <f t="shared" si="7"/>
        <v>0</v>
      </c>
      <c r="T20" s="96">
        <f t="shared" si="7"/>
        <v>0</v>
      </c>
      <c r="U20" s="96">
        <f t="shared" si="7"/>
        <v>0</v>
      </c>
      <c r="V20" s="96">
        <f t="shared" si="7"/>
        <v>0</v>
      </c>
      <c r="W20" s="96">
        <f>SUM(W19)</f>
        <v>127078</v>
      </c>
      <c r="X20" s="96">
        <f t="shared" ref="X20:Y20" si="8">SUM(X19)</f>
        <v>0</v>
      </c>
      <c r="Y20" s="96">
        <f t="shared" si="8"/>
        <v>0</v>
      </c>
      <c r="Z20" s="96">
        <f t="shared" ref="Z20" si="9">SUM(Z19)</f>
        <v>0</v>
      </c>
      <c r="AA20" s="83"/>
      <c r="AB20" s="23"/>
    </row>
    <row r="21" spans="1:28" s="17" customFormat="1" x14ac:dyDescent="0.2">
      <c r="A21" s="21"/>
      <c r="B21" s="21"/>
      <c r="C21" s="21"/>
      <c r="D21" s="21"/>
      <c r="E21" s="21"/>
      <c r="F21" s="21"/>
      <c r="G21" s="72"/>
      <c r="H21" s="42"/>
      <c r="I21" s="97"/>
      <c r="J21" s="120"/>
      <c r="K21" s="120"/>
      <c r="L21" s="120"/>
      <c r="M21" s="119"/>
      <c r="N21" s="118"/>
      <c r="O21" s="118"/>
      <c r="P21" s="118"/>
      <c r="Q21" s="118"/>
      <c r="R21" s="118"/>
      <c r="S21" s="118"/>
      <c r="T21" s="118"/>
      <c r="U21" s="125"/>
      <c r="V21" s="118"/>
      <c r="W21" s="118"/>
      <c r="X21" s="118"/>
      <c r="Y21" s="118"/>
      <c r="Z21" s="118"/>
      <c r="AA21" s="83"/>
      <c r="AB21" s="82"/>
    </row>
    <row r="22" spans="1:28" s="12" customFormat="1" x14ac:dyDescent="0.2">
      <c r="A22" s="22"/>
      <c r="B22" s="22"/>
      <c r="C22" s="22"/>
      <c r="D22" s="33"/>
      <c r="E22" s="22"/>
      <c r="F22" s="22"/>
      <c r="G22" s="22"/>
      <c r="H22" s="22"/>
      <c r="I22" s="92" t="s">
        <v>6</v>
      </c>
      <c r="J22" s="96">
        <f t="shared" ref="J22:Z22" si="10">SUM(J21:J21)</f>
        <v>0</v>
      </c>
      <c r="K22" s="96">
        <f t="shared" si="10"/>
        <v>0</v>
      </c>
      <c r="L22" s="96">
        <f t="shared" si="10"/>
        <v>0</v>
      </c>
      <c r="M22" s="96">
        <f t="shared" si="10"/>
        <v>0</v>
      </c>
      <c r="N22" s="96">
        <f t="shared" si="10"/>
        <v>0</v>
      </c>
      <c r="O22" s="96">
        <f t="shared" si="10"/>
        <v>0</v>
      </c>
      <c r="P22" s="96">
        <f t="shared" si="10"/>
        <v>0</v>
      </c>
      <c r="Q22" s="96">
        <f t="shared" si="10"/>
        <v>0</v>
      </c>
      <c r="R22" s="96">
        <f t="shared" si="10"/>
        <v>0</v>
      </c>
      <c r="S22" s="96">
        <f t="shared" si="10"/>
        <v>0</v>
      </c>
      <c r="T22" s="96">
        <f t="shared" si="10"/>
        <v>0</v>
      </c>
      <c r="U22" s="96">
        <f t="shared" si="10"/>
        <v>0</v>
      </c>
      <c r="V22" s="96">
        <f t="shared" si="10"/>
        <v>0</v>
      </c>
      <c r="W22" s="96">
        <f t="shared" si="10"/>
        <v>0</v>
      </c>
      <c r="X22" s="96">
        <f t="shared" si="10"/>
        <v>0</v>
      </c>
      <c r="Y22" s="96">
        <f t="shared" si="10"/>
        <v>0</v>
      </c>
      <c r="Z22" s="96">
        <f t="shared" si="10"/>
        <v>0</v>
      </c>
      <c r="AA22" s="23"/>
      <c r="AB22" s="23"/>
    </row>
    <row r="23" spans="1:28" x14ac:dyDescent="0.2">
      <c r="G23" s="1"/>
      <c r="H23" s="1"/>
      <c r="I23" s="4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8" s="14" customFormat="1" ht="17.25" customHeight="1" x14ac:dyDescent="0.2">
      <c r="A24" s="505"/>
      <c r="B24" s="506"/>
      <c r="C24" s="506"/>
      <c r="D24" s="506"/>
      <c r="E24" s="506"/>
      <c r="F24" s="506"/>
      <c r="G24" s="506"/>
      <c r="H24" s="507"/>
      <c r="I24" s="156" t="s">
        <v>7</v>
      </c>
      <c r="J24" s="157">
        <f t="shared" ref="J24:Z24" si="11">SUM(J12,J15,J18,J20,J22)</f>
        <v>235600</v>
      </c>
      <c r="K24" s="157">
        <f>SUM(K12,K15,K18,K20,K22)</f>
        <v>0</v>
      </c>
      <c r="L24" s="157">
        <f>SUM(L12,L15,L18,L20,L22)</f>
        <v>0</v>
      </c>
      <c r="M24" s="157">
        <f>SUM(M12,M15,M18,M20,M22)</f>
        <v>235600</v>
      </c>
      <c r="N24" s="157">
        <f>SUM(N12,N15,N18,N20,N22)</f>
        <v>127078</v>
      </c>
      <c r="O24" s="157">
        <f t="shared" si="11"/>
        <v>0</v>
      </c>
      <c r="P24" s="157">
        <f t="shared" si="11"/>
        <v>0</v>
      </c>
      <c r="Q24" s="157">
        <f t="shared" si="11"/>
        <v>0</v>
      </c>
      <c r="R24" s="157">
        <f t="shared" si="11"/>
        <v>0</v>
      </c>
      <c r="S24" s="157">
        <f t="shared" si="11"/>
        <v>0</v>
      </c>
      <c r="T24" s="157">
        <f t="shared" si="11"/>
        <v>0</v>
      </c>
      <c r="U24" s="157">
        <f t="shared" si="11"/>
        <v>0</v>
      </c>
      <c r="V24" s="157">
        <f t="shared" si="11"/>
        <v>0</v>
      </c>
      <c r="W24" s="157">
        <f t="shared" si="11"/>
        <v>127078</v>
      </c>
      <c r="X24" s="157">
        <f t="shared" si="11"/>
        <v>0</v>
      </c>
      <c r="Y24" s="157">
        <f t="shared" si="11"/>
        <v>0</v>
      </c>
      <c r="Z24" s="157">
        <f t="shared" si="11"/>
        <v>0</v>
      </c>
      <c r="AA24" s="85"/>
      <c r="AB24" s="85"/>
    </row>
    <row r="25" spans="1:28" s="11" customFormat="1" ht="12" x14ac:dyDescent="0.2">
      <c r="A25" s="15"/>
      <c r="B25" s="15"/>
      <c r="C25" s="15"/>
      <c r="D25" s="16"/>
      <c r="E25" s="15"/>
      <c r="F25" s="15"/>
      <c r="G25" s="15"/>
      <c r="H25" s="15"/>
      <c r="I25" s="17"/>
      <c r="J25" s="28"/>
      <c r="K25" s="27"/>
      <c r="L25" s="27"/>
      <c r="M25" s="2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32"/>
      <c r="AB25" s="32"/>
    </row>
    <row r="26" spans="1:28" s="11" customFormat="1" ht="12" x14ac:dyDescent="0.2">
      <c r="A26" s="18"/>
      <c r="B26" s="18"/>
      <c r="C26" s="18"/>
      <c r="D26" s="19"/>
      <c r="E26" s="18"/>
      <c r="F26" s="18"/>
      <c r="G26" s="15"/>
      <c r="H26" s="15"/>
      <c r="I26" s="17"/>
      <c r="J26" s="28"/>
      <c r="K26" s="27"/>
      <c r="L26" s="27"/>
      <c r="M26" s="27"/>
      <c r="N26" s="17"/>
      <c r="O26" s="17"/>
      <c r="P26" s="17"/>
      <c r="Q26" s="48"/>
      <c r="AA26" s="32"/>
      <c r="AB26" s="32"/>
    </row>
    <row r="27" spans="1:28" s="11" customFormat="1" ht="12" x14ac:dyDescent="0.2">
      <c r="A27" s="18"/>
      <c r="B27" s="18"/>
      <c r="C27" s="18"/>
      <c r="D27" s="19"/>
      <c r="E27" s="18"/>
      <c r="F27" s="18"/>
      <c r="G27" s="15"/>
      <c r="H27" s="15"/>
      <c r="I27" s="17"/>
      <c r="J27" s="28"/>
      <c r="K27" s="27"/>
      <c r="L27" s="27"/>
      <c r="M27" s="27"/>
      <c r="N27" s="17"/>
      <c r="O27" s="17"/>
      <c r="P27" s="17"/>
      <c r="Q27" s="17"/>
      <c r="AA27" s="32"/>
      <c r="AB27" s="32"/>
    </row>
    <row r="28" spans="1:28" s="11" customFormat="1" ht="12" x14ac:dyDescent="0.2">
      <c r="A28" s="18"/>
      <c r="B28" s="18"/>
      <c r="C28" s="18"/>
      <c r="D28" s="19"/>
      <c r="E28" s="18"/>
      <c r="F28" s="18"/>
      <c r="G28" s="15"/>
      <c r="H28" s="15"/>
      <c r="I28" s="17"/>
      <c r="J28" s="28" t="s">
        <v>473</v>
      </c>
      <c r="K28" s="27" t="s">
        <v>474</v>
      </c>
      <c r="L28" s="27" t="s">
        <v>475</v>
      </c>
      <c r="M28" s="27"/>
      <c r="N28" s="17"/>
      <c r="O28" s="17"/>
      <c r="P28" s="17"/>
      <c r="Q28" s="17"/>
      <c r="AA28" s="32"/>
      <c r="AB28" s="32"/>
    </row>
    <row r="29" spans="1:28" s="11" customFormat="1" ht="17.25" customHeight="1" x14ac:dyDescent="0.2">
      <c r="A29" s="18"/>
      <c r="B29" s="18"/>
      <c r="C29" s="18"/>
      <c r="D29" s="19"/>
      <c r="E29" s="18"/>
      <c r="F29" s="18"/>
      <c r="G29" s="15"/>
      <c r="H29" s="15"/>
      <c r="I29" s="201" t="s">
        <v>172</v>
      </c>
      <c r="J29" s="187">
        <f>SUM(J30:J34)</f>
        <v>235600</v>
      </c>
      <c r="K29" s="187">
        <f t="shared" ref="K29:L29" si="12">SUM(K30:K34)</f>
        <v>127100</v>
      </c>
      <c r="L29" s="187">
        <f t="shared" si="12"/>
        <v>108500</v>
      </c>
      <c r="M29" s="28"/>
      <c r="N29" s="28"/>
      <c r="O29" s="28"/>
      <c r="P29" s="28"/>
      <c r="Q29" s="28"/>
      <c r="R29" s="28"/>
      <c r="AA29" s="32"/>
      <c r="AB29" s="32"/>
    </row>
    <row r="30" spans="1:28" s="11" customFormat="1" ht="25.5" x14ac:dyDescent="0.2">
      <c r="A30" s="18"/>
      <c r="B30" s="18"/>
      <c r="C30" s="18"/>
      <c r="D30" s="19"/>
      <c r="E30" s="18"/>
      <c r="F30"/>
      <c r="G30"/>
      <c r="H30"/>
      <c r="I30" s="200" t="s">
        <v>470</v>
      </c>
      <c r="J30" s="187">
        <v>98800</v>
      </c>
      <c r="K30" s="28">
        <v>53300</v>
      </c>
      <c r="L30" s="28">
        <v>45500</v>
      </c>
      <c r="M30" s="28"/>
      <c r="N30" s="28"/>
      <c r="O30" s="28"/>
      <c r="P30" s="28"/>
      <c r="Q30" s="28"/>
      <c r="R30" s="28"/>
      <c r="AA30" s="32"/>
      <c r="AB30" s="32"/>
    </row>
    <row r="31" spans="1:28" s="11" customFormat="1" ht="25.5" x14ac:dyDescent="0.2">
      <c r="A31" s="18"/>
      <c r="B31" s="18"/>
      <c r="C31" s="18"/>
      <c r="D31" s="19"/>
      <c r="E31" s="18"/>
      <c r="F31"/>
      <c r="G31"/>
      <c r="H31"/>
      <c r="I31" s="200" t="s">
        <v>471</v>
      </c>
      <c r="J31" s="187">
        <v>60800</v>
      </c>
      <c r="K31" s="28">
        <v>32800</v>
      </c>
      <c r="L31" s="28">
        <v>28000</v>
      </c>
      <c r="M31" s="28"/>
      <c r="N31" s="28"/>
      <c r="O31" s="28"/>
      <c r="P31" s="28"/>
      <c r="Q31" s="28"/>
      <c r="R31" s="28"/>
      <c r="AA31" s="32"/>
      <c r="AB31" s="32"/>
    </row>
    <row r="32" spans="1:28" s="11" customFormat="1" ht="25.5" x14ac:dyDescent="0.2">
      <c r="A32" s="18"/>
      <c r="B32" s="18"/>
      <c r="C32" s="18"/>
      <c r="D32" s="19"/>
      <c r="E32" s="18"/>
      <c r="F32"/>
      <c r="G32"/>
      <c r="H32"/>
      <c r="I32" s="200" t="s">
        <v>472</v>
      </c>
      <c r="J32" s="187">
        <v>76000</v>
      </c>
      <c r="K32" s="28">
        <v>41000</v>
      </c>
      <c r="L32" s="28">
        <v>35000</v>
      </c>
      <c r="M32" s="28"/>
      <c r="N32" s="28"/>
      <c r="O32" s="28"/>
      <c r="P32" s="28"/>
      <c r="Q32" s="28"/>
      <c r="R32" s="28"/>
      <c r="AA32" s="32"/>
      <c r="AB32" s="32"/>
    </row>
    <row r="33" spans="1:28" s="11" customFormat="1" x14ac:dyDescent="0.2">
      <c r="A33" s="18"/>
      <c r="B33" s="18"/>
      <c r="C33" s="18"/>
      <c r="D33" s="19"/>
      <c r="E33" s="18"/>
      <c r="F33" s="18"/>
      <c r="G33" s="15"/>
      <c r="H33" s="15"/>
      <c r="I33" s="200"/>
      <c r="J33" s="188"/>
      <c r="K33" s="28"/>
      <c r="L33" s="28"/>
      <c r="M33" s="28"/>
      <c r="N33" s="28"/>
      <c r="O33" s="28"/>
      <c r="P33" s="28"/>
      <c r="Q33" s="28"/>
      <c r="R33" s="28"/>
      <c r="AA33" s="32"/>
      <c r="AB33" s="32"/>
    </row>
    <row r="34" spans="1:28" s="11" customFormat="1" ht="12" x14ac:dyDescent="0.2">
      <c r="A34" s="18"/>
      <c r="B34" s="18"/>
      <c r="C34" s="18"/>
      <c r="D34" s="19"/>
      <c r="E34" s="18"/>
      <c r="F34" s="18"/>
      <c r="G34" s="15"/>
      <c r="H34" s="15"/>
      <c r="I34" s="17"/>
      <c r="J34" s="28"/>
      <c r="K34" s="27"/>
      <c r="L34" s="27"/>
      <c r="M34" s="27"/>
      <c r="N34" s="17"/>
      <c r="O34" s="17"/>
      <c r="P34" s="17"/>
      <c r="Q34" s="17"/>
      <c r="AA34" s="32"/>
      <c r="AB34" s="32"/>
    </row>
    <row r="35" spans="1:28" s="11" customFormat="1" ht="12" x14ac:dyDescent="0.2">
      <c r="A35" s="18"/>
      <c r="B35" s="18"/>
      <c r="C35" s="18"/>
      <c r="D35" s="19"/>
      <c r="E35" s="18"/>
      <c r="F35" s="18"/>
      <c r="G35" s="15"/>
      <c r="H35" s="15"/>
      <c r="I35" s="17"/>
      <c r="J35" s="28"/>
      <c r="K35" s="27"/>
      <c r="L35" s="27"/>
      <c r="M35" s="27"/>
      <c r="N35" s="17"/>
      <c r="O35" s="17"/>
      <c r="P35" s="17"/>
      <c r="Q35" s="17"/>
      <c r="AA35" s="32"/>
      <c r="AB35" s="32"/>
    </row>
    <row r="36" spans="1:28" s="11" customFormat="1" ht="12" x14ac:dyDescent="0.2">
      <c r="A36" s="18"/>
      <c r="B36" s="18"/>
      <c r="C36" s="18"/>
      <c r="D36" s="19"/>
      <c r="E36" s="18"/>
      <c r="F36" s="18"/>
      <c r="G36" s="15"/>
      <c r="H36" s="15"/>
      <c r="I36" s="17"/>
      <c r="J36" s="28"/>
      <c r="K36" s="27"/>
      <c r="L36" s="27"/>
      <c r="M36" s="27"/>
      <c r="N36" s="17"/>
      <c r="O36" s="17"/>
      <c r="P36" s="17"/>
      <c r="Q36" s="17"/>
      <c r="AA36" s="32"/>
      <c r="AB36" s="32"/>
    </row>
    <row r="37" spans="1:28" s="11" customFormat="1" ht="12" x14ac:dyDescent="0.2">
      <c r="A37" s="18"/>
      <c r="B37" s="18"/>
      <c r="C37" s="18"/>
      <c r="D37" s="19"/>
      <c r="E37" s="18"/>
      <c r="F37" s="18"/>
      <c r="G37" s="15"/>
      <c r="H37" s="15"/>
      <c r="I37" s="17"/>
      <c r="J37" s="28"/>
      <c r="K37" s="27"/>
      <c r="L37" s="27"/>
      <c r="M37" s="27"/>
      <c r="N37" s="17"/>
      <c r="O37" s="17"/>
      <c r="P37" s="17"/>
      <c r="Q37" s="17"/>
      <c r="AA37" s="32"/>
      <c r="AB37" s="32"/>
    </row>
    <row r="38" spans="1:28" s="11" customFormat="1" ht="12" x14ac:dyDescent="0.2">
      <c r="A38" s="18"/>
      <c r="B38" s="18"/>
      <c r="C38" s="18"/>
      <c r="D38" s="19"/>
      <c r="E38" s="18"/>
      <c r="F38" s="18"/>
      <c r="G38" s="15"/>
      <c r="H38" s="15"/>
      <c r="I38" s="17"/>
      <c r="J38" s="28"/>
      <c r="K38" s="27"/>
      <c r="L38" s="27"/>
      <c r="M38" s="27"/>
      <c r="N38" s="17"/>
      <c r="O38" s="17"/>
      <c r="P38" s="17"/>
      <c r="Q38" s="17"/>
      <c r="AA38" s="32"/>
      <c r="AB38" s="32"/>
    </row>
    <row r="39" spans="1:28" s="11" customFormat="1" ht="12" x14ac:dyDescent="0.2">
      <c r="A39" s="18"/>
      <c r="B39" s="18"/>
      <c r="C39" s="18"/>
      <c r="D39" s="19"/>
      <c r="E39" s="18"/>
      <c r="F39" s="18"/>
      <c r="G39" s="15"/>
      <c r="H39" s="15"/>
      <c r="I39" s="17"/>
      <c r="J39" s="28"/>
      <c r="K39" s="27"/>
      <c r="L39" s="27"/>
      <c r="M39" s="27"/>
      <c r="N39" s="17"/>
      <c r="O39" s="17"/>
      <c r="P39" s="17"/>
      <c r="Q39" s="17"/>
      <c r="AA39" s="32"/>
      <c r="AB39" s="32"/>
    </row>
    <row r="40" spans="1:28" s="11" customFormat="1" ht="12" x14ac:dyDescent="0.2">
      <c r="A40" s="18"/>
      <c r="B40" s="18"/>
      <c r="C40" s="18"/>
      <c r="D40" s="19"/>
      <c r="E40" s="18"/>
      <c r="F40" s="18"/>
      <c r="G40" s="15"/>
      <c r="H40" s="15"/>
      <c r="I40" s="17"/>
      <c r="J40" s="28"/>
      <c r="K40" s="27"/>
      <c r="L40" s="27"/>
      <c r="M40" s="27"/>
      <c r="N40" s="17"/>
      <c r="O40" s="17"/>
      <c r="P40" s="17"/>
      <c r="Q40" s="17"/>
      <c r="AA40" s="32"/>
      <c r="AB40" s="32"/>
    </row>
    <row r="41" spans="1:28" s="11" customFormat="1" ht="12" x14ac:dyDescent="0.2">
      <c r="A41" s="18"/>
      <c r="B41" s="18"/>
      <c r="C41" s="18"/>
      <c r="D41" s="19"/>
      <c r="E41" s="18"/>
      <c r="F41" s="18"/>
      <c r="G41" s="15"/>
      <c r="H41" s="15"/>
      <c r="I41" s="17"/>
      <c r="J41" s="28"/>
      <c r="K41" s="27"/>
      <c r="L41" s="27"/>
      <c r="M41" s="27"/>
      <c r="N41" s="17"/>
      <c r="O41" s="17"/>
      <c r="P41" s="17"/>
      <c r="Q41" s="17"/>
      <c r="AA41" s="32"/>
      <c r="AB41" s="32"/>
    </row>
    <row r="42" spans="1:28" s="11" customFormat="1" ht="12" x14ac:dyDescent="0.2">
      <c r="A42" s="18"/>
      <c r="B42" s="18"/>
      <c r="C42" s="18"/>
      <c r="D42" s="19"/>
      <c r="E42" s="18"/>
      <c r="F42" s="18"/>
      <c r="G42" s="15"/>
      <c r="H42" s="15"/>
      <c r="I42" s="17"/>
      <c r="J42" s="28"/>
      <c r="K42" s="27"/>
      <c r="L42" s="27"/>
      <c r="M42" s="27"/>
      <c r="N42" s="17"/>
      <c r="O42" s="17"/>
      <c r="P42" s="17"/>
      <c r="Q42" s="17"/>
      <c r="AA42" s="32"/>
      <c r="AB42" s="32"/>
    </row>
    <row r="43" spans="1:28" s="11" customFormat="1" ht="12" x14ac:dyDescent="0.2">
      <c r="A43" s="18"/>
      <c r="B43" s="18"/>
      <c r="C43" s="18"/>
      <c r="D43" s="19"/>
      <c r="E43" s="18"/>
      <c r="F43" s="18"/>
      <c r="G43" s="15"/>
      <c r="H43" s="15"/>
      <c r="I43" s="17"/>
      <c r="J43" s="28"/>
      <c r="K43" s="27"/>
      <c r="L43" s="27"/>
      <c r="M43" s="27"/>
      <c r="N43" s="17"/>
      <c r="O43" s="17"/>
      <c r="P43" s="17"/>
      <c r="Q43" s="17"/>
      <c r="AA43" s="32"/>
      <c r="AB43" s="32"/>
    </row>
    <row r="44" spans="1:28" s="11" customFormat="1" ht="12" x14ac:dyDescent="0.2">
      <c r="A44" s="18"/>
      <c r="B44" s="18"/>
      <c r="C44" s="18"/>
      <c r="D44" s="19"/>
      <c r="E44" s="18"/>
      <c r="F44" s="18"/>
      <c r="G44" s="15"/>
      <c r="H44" s="15"/>
      <c r="I44" s="17"/>
      <c r="J44" s="28"/>
      <c r="K44" s="27"/>
      <c r="L44" s="27"/>
      <c r="M44" s="27"/>
      <c r="N44" s="17"/>
      <c r="O44" s="17"/>
      <c r="P44" s="17"/>
      <c r="Q44" s="17"/>
      <c r="AA44" s="32"/>
      <c r="AB44" s="32"/>
    </row>
    <row r="45" spans="1:28" s="11" customFormat="1" ht="12" x14ac:dyDescent="0.2">
      <c r="A45" s="18"/>
      <c r="B45" s="18"/>
      <c r="C45" s="18"/>
      <c r="D45" s="19"/>
      <c r="E45" s="18"/>
      <c r="F45" s="18"/>
      <c r="G45" s="15"/>
      <c r="H45" s="15"/>
      <c r="I45" s="17"/>
      <c r="J45" s="28"/>
      <c r="K45" s="27"/>
      <c r="L45" s="27"/>
      <c r="M45" s="27"/>
      <c r="N45" s="17"/>
      <c r="O45" s="17"/>
      <c r="P45" s="17"/>
      <c r="Q45" s="17"/>
      <c r="AA45" s="32"/>
      <c r="AB45" s="32"/>
    </row>
    <row r="46" spans="1:28" s="11" customFormat="1" ht="12" x14ac:dyDescent="0.2">
      <c r="A46" s="18"/>
      <c r="B46" s="18"/>
      <c r="C46" s="18"/>
      <c r="D46" s="19"/>
      <c r="E46" s="18"/>
      <c r="F46" s="18"/>
      <c r="G46" s="15"/>
      <c r="H46" s="15"/>
      <c r="I46" s="17"/>
      <c r="J46" s="28"/>
      <c r="K46" s="27"/>
      <c r="L46" s="27"/>
      <c r="M46" s="27"/>
      <c r="N46" s="17"/>
      <c r="O46" s="17"/>
      <c r="P46" s="17"/>
      <c r="Q46" s="17"/>
      <c r="AA46" s="32"/>
      <c r="AB46" s="32"/>
    </row>
    <row r="47" spans="1:28" s="11" customFormat="1" ht="12" x14ac:dyDescent="0.2">
      <c r="A47" s="18"/>
      <c r="B47" s="18"/>
      <c r="C47" s="18"/>
      <c r="D47" s="19"/>
      <c r="E47" s="18"/>
      <c r="F47" s="18"/>
      <c r="G47" s="15"/>
      <c r="H47" s="15"/>
      <c r="I47" s="17"/>
      <c r="J47" s="28"/>
      <c r="K47" s="27"/>
      <c r="L47" s="27"/>
      <c r="M47" s="27"/>
      <c r="N47" s="17"/>
      <c r="O47" s="17"/>
      <c r="P47" s="17"/>
      <c r="Q47" s="17"/>
      <c r="AA47" s="32"/>
      <c r="AB47" s="32"/>
    </row>
    <row r="48" spans="1:28" s="11" customFormat="1" ht="12" x14ac:dyDescent="0.2">
      <c r="A48" s="18"/>
      <c r="B48" s="18"/>
      <c r="C48" s="18"/>
      <c r="D48" s="19"/>
      <c r="E48" s="18"/>
      <c r="F48" s="18"/>
      <c r="G48" s="15"/>
      <c r="H48" s="15"/>
      <c r="I48" s="17"/>
      <c r="J48" s="28"/>
      <c r="K48" s="27"/>
      <c r="L48" s="27"/>
      <c r="M48" s="27"/>
      <c r="N48" s="17"/>
      <c r="O48" s="17"/>
      <c r="P48" s="17"/>
      <c r="Q48" s="17"/>
      <c r="AA48" s="32"/>
      <c r="AB48" s="32"/>
    </row>
    <row r="49" spans="1:28" s="11" customFormat="1" ht="12" x14ac:dyDescent="0.2">
      <c r="A49" s="18"/>
      <c r="B49" s="18"/>
      <c r="C49" s="18"/>
      <c r="D49" s="19"/>
      <c r="E49" s="18"/>
      <c r="F49" s="18"/>
      <c r="G49" s="15"/>
      <c r="H49" s="15"/>
      <c r="I49" s="17"/>
      <c r="J49" s="28"/>
      <c r="K49" s="27"/>
      <c r="L49" s="27"/>
      <c r="M49" s="27"/>
      <c r="N49" s="17"/>
      <c r="O49" s="17"/>
      <c r="P49" s="17"/>
      <c r="Q49" s="17"/>
      <c r="AA49" s="32"/>
      <c r="AB49" s="32"/>
    </row>
    <row r="50" spans="1:28" s="11" customFormat="1" ht="12" x14ac:dyDescent="0.2">
      <c r="A50" s="18"/>
      <c r="B50" s="18"/>
      <c r="C50" s="18"/>
      <c r="D50" s="19"/>
      <c r="E50" s="18"/>
      <c r="F50" s="18"/>
      <c r="G50" s="15"/>
      <c r="H50" s="15"/>
      <c r="I50" s="17"/>
      <c r="J50" s="28"/>
      <c r="K50" s="27"/>
      <c r="L50" s="27"/>
      <c r="M50" s="27"/>
      <c r="N50" s="17"/>
      <c r="O50" s="17"/>
      <c r="P50" s="17"/>
      <c r="Q50" s="17"/>
      <c r="AA50" s="32"/>
      <c r="AB50" s="32"/>
    </row>
    <row r="51" spans="1:28" s="11" customFormat="1" ht="12" x14ac:dyDescent="0.2">
      <c r="A51" s="18"/>
      <c r="B51" s="18"/>
      <c r="C51" s="18"/>
      <c r="D51" s="19"/>
      <c r="E51" s="18"/>
      <c r="F51" s="18"/>
      <c r="G51" s="15"/>
      <c r="H51" s="15"/>
      <c r="I51" s="17"/>
      <c r="J51" s="28"/>
      <c r="K51" s="27"/>
      <c r="L51" s="27"/>
      <c r="M51" s="27"/>
      <c r="N51" s="17"/>
      <c r="O51" s="17"/>
      <c r="P51" s="17"/>
      <c r="Q51" s="17"/>
      <c r="AA51" s="32"/>
      <c r="AB51" s="32"/>
    </row>
    <row r="52" spans="1:28" s="11" customFormat="1" ht="12" x14ac:dyDescent="0.2">
      <c r="A52" s="18"/>
      <c r="B52" s="18"/>
      <c r="C52" s="18"/>
      <c r="D52" s="19"/>
      <c r="E52" s="18"/>
      <c r="F52" s="18"/>
      <c r="G52" s="15"/>
      <c r="H52" s="15"/>
      <c r="I52" s="17"/>
      <c r="J52" s="28"/>
      <c r="K52" s="27"/>
      <c r="L52" s="27"/>
      <c r="M52" s="27"/>
      <c r="N52" s="17"/>
      <c r="O52" s="17"/>
      <c r="P52" s="17"/>
      <c r="Q52" s="17"/>
      <c r="AA52" s="32"/>
      <c r="AB52" s="32"/>
    </row>
    <row r="53" spans="1:28" s="11" customFormat="1" ht="12" x14ac:dyDescent="0.2">
      <c r="A53" s="18"/>
      <c r="B53" s="18"/>
      <c r="C53" s="18"/>
      <c r="D53" s="19"/>
      <c r="E53" s="18"/>
      <c r="F53" s="18"/>
      <c r="G53" s="15"/>
      <c r="H53" s="15"/>
      <c r="I53" s="17"/>
      <c r="J53" s="28"/>
      <c r="K53" s="27"/>
      <c r="L53" s="27"/>
      <c r="M53" s="27"/>
      <c r="N53" s="17"/>
      <c r="O53" s="17"/>
      <c r="P53" s="17"/>
      <c r="Q53" s="17"/>
      <c r="AA53" s="32"/>
      <c r="AB53" s="32"/>
    </row>
    <row r="54" spans="1:28" s="11" customFormat="1" ht="12" x14ac:dyDescent="0.2">
      <c r="A54" s="18"/>
      <c r="B54" s="18"/>
      <c r="C54" s="18"/>
      <c r="D54" s="19"/>
      <c r="E54" s="18"/>
      <c r="F54" s="18"/>
      <c r="G54" s="15"/>
      <c r="H54" s="15"/>
      <c r="I54" s="17"/>
      <c r="J54" s="28"/>
      <c r="K54" s="27"/>
      <c r="L54" s="27"/>
      <c r="M54" s="27"/>
      <c r="N54" s="17"/>
      <c r="O54" s="17"/>
      <c r="P54" s="17"/>
      <c r="Q54" s="17"/>
      <c r="AA54" s="32"/>
      <c r="AB54" s="32"/>
    </row>
    <row r="55" spans="1:28" s="11" customFormat="1" ht="12" x14ac:dyDescent="0.2">
      <c r="A55" s="18"/>
      <c r="B55" s="18"/>
      <c r="C55" s="18"/>
      <c r="D55" s="19"/>
      <c r="E55" s="18"/>
      <c r="F55" s="18"/>
      <c r="G55" s="15"/>
      <c r="H55" s="15"/>
      <c r="I55" s="17"/>
      <c r="J55" s="28"/>
      <c r="K55" s="27"/>
      <c r="L55" s="27"/>
      <c r="M55" s="27"/>
      <c r="N55" s="17"/>
      <c r="O55" s="17"/>
      <c r="P55" s="17"/>
      <c r="Q55" s="17"/>
      <c r="AA55" s="32"/>
      <c r="AB55" s="32"/>
    </row>
    <row r="56" spans="1:28" s="11" customFormat="1" ht="12" x14ac:dyDescent="0.2">
      <c r="A56" s="18"/>
      <c r="B56" s="18"/>
      <c r="C56" s="18"/>
      <c r="D56" s="19"/>
      <c r="E56" s="18"/>
      <c r="F56" s="18"/>
      <c r="G56" s="15"/>
      <c r="H56" s="15"/>
      <c r="I56" s="17"/>
      <c r="J56" s="28"/>
      <c r="K56" s="27"/>
      <c r="L56" s="27"/>
      <c r="M56" s="27"/>
      <c r="N56" s="17"/>
      <c r="O56" s="17"/>
      <c r="P56" s="17"/>
      <c r="Q56" s="17"/>
      <c r="AA56" s="32"/>
      <c r="AB56" s="32"/>
    </row>
    <row r="57" spans="1:28" s="11" customFormat="1" ht="12" x14ac:dyDescent="0.2">
      <c r="A57" s="18"/>
      <c r="B57" s="18"/>
      <c r="C57" s="18"/>
      <c r="D57" s="19"/>
      <c r="E57" s="18"/>
      <c r="F57" s="18"/>
      <c r="G57" s="15"/>
      <c r="H57" s="15"/>
      <c r="I57" s="17"/>
      <c r="J57" s="28"/>
      <c r="K57" s="27"/>
      <c r="L57" s="27"/>
      <c r="M57" s="27"/>
      <c r="N57" s="17"/>
      <c r="O57" s="17"/>
      <c r="P57" s="17"/>
      <c r="Q57" s="17"/>
      <c r="AA57" s="32"/>
      <c r="AB57" s="32"/>
    </row>
    <row r="58" spans="1:28" s="11" customFormat="1" ht="12" x14ac:dyDescent="0.2">
      <c r="A58" s="18"/>
      <c r="B58" s="18"/>
      <c r="C58" s="18"/>
      <c r="D58" s="19"/>
      <c r="E58" s="18"/>
      <c r="F58" s="18"/>
      <c r="G58" s="15"/>
      <c r="H58" s="15"/>
      <c r="I58" s="17"/>
      <c r="J58" s="28"/>
      <c r="K58" s="27"/>
      <c r="L58" s="27"/>
      <c r="M58" s="27"/>
      <c r="N58" s="17"/>
      <c r="O58" s="17"/>
      <c r="P58" s="17"/>
      <c r="Q58" s="17"/>
      <c r="AA58" s="32"/>
      <c r="AB58" s="32"/>
    </row>
    <row r="59" spans="1:28" s="11" customFormat="1" ht="12" x14ac:dyDescent="0.2">
      <c r="A59" s="18"/>
      <c r="B59" s="18"/>
      <c r="C59" s="18"/>
      <c r="D59" s="19"/>
      <c r="E59" s="18"/>
      <c r="F59" s="18"/>
      <c r="G59" s="15"/>
      <c r="H59" s="15"/>
      <c r="I59" s="17"/>
      <c r="J59" s="28"/>
      <c r="K59" s="27"/>
      <c r="L59" s="27"/>
      <c r="M59" s="27"/>
      <c r="N59" s="17"/>
      <c r="O59" s="17"/>
      <c r="P59" s="17"/>
      <c r="Q59" s="17"/>
      <c r="AA59" s="32"/>
      <c r="AB59" s="32"/>
    </row>
    <row r="60" spans="1:28" s="11" customFormat="1" ht="12" x14ac:dyDescent="0.2">
      <c r="A60" s="18"/>
      <c r="B60" s="18"/>
      <c r="C60" s="18"/>
      <c r="D60" s="19"/>
      <c r="E60" s="18"/>
      <c r="F60" s="18"/>
      <c r="G60" s="15"/>
      <c r="H60" s="15"/>
      <c r="I60" s="17"/>
      <c r="J60" s="28"/>
      <c r="K60" s="27"/>
      <c r="L60" s="27"/>
      <c r="M60" s="27"/>
      <c r="N60" s="17"/>
      <c r="O60" s="17"/>
      <c r="P60" s="17"/>
      <c r="Q60" s="17"/>
      <c r="AA60" s="32"/>
      <c r="AB60" s="32"/>
    </row>
    <row r="61" spans="1:28" s="11" customFormat="1" ht="12" x14ac:dyDescent="0.2">
      <c r="A61" s="18"/>
      <c r="B61" s="18"/>
      <c r="C61" s="18"/>
      <c r="D61" s="19"/>
      <c r="E61" s="18"/>
      <c r="F61" s="18"/>
      <c r="G61" s="15"/>
      <c r="H61" s="15"/>
      <c r="I61" s="17"/>
      <c r="J61" s="28"/>
      <c r="K61" s="27"/>
      <c r="L61" s="27"/>
      <c r="M61" s="27"/>
      <c r="N61" s="17"/>
      <c r="O61" s="17"/>
      <c r="P61" s="17"/>
      <c r="Q61" s="17"/>
      <c r="AA61" s="32"/>
      <c r="AB61" s="32"/>
    </row>
    <row r="62" spans="1:28" s="11" customFormat="1" ht="12" x14ac:dyDescent="0.2">
      <c r="A62" s="18"/>
      <c r="B62" s="18"/>
      <c r="C62" s="18"/>
      <c r="D62" s="19"/>
      <c r="E62" s="18"/>
      <c r="F62" s="18"/>
      <c r="G62" s="15"/>
      <c r="H62" s="15"/>
      <c r="I62" s="17"/>
      <c r="J62" s="28"/>
      <c r="K62" s="27"/>
      <c r="L62" s="27"/>
      <c r="M62" s="27"/>
      <c r="N62" s="17"/>
      <c r="O62" s="17"/>
      <c r="P62" s="17"/>
      <c r="Q62" s="17"/>
      <c r="AA62" s="32"/>
      <c r="AB62" s="32"/>
    </row>
    <row r="63" spans="1:28" s="11" customFormat="1" ht="12" x14ac:dyDescent="0.2">
      <c r="A63" s="18"/>
      <c r="B63" s="18"/>
      <c r="C63" s="18"/>
      <c r="D63" s="19"/>
      <c r="E63" s="18"/>
      <c r="F63" s="18"/>
      <c r="G63" s="15"/>
      <c r="H63" s="15"/>
      <c r="I63" s="17"/>
      <c r="J63" s="28"/>
      <c r="K63" s="27"/>
      <c r="L63" s="27"/>
      <c r="M63" s="27"/>
      <c r="N63" s="17"/>
      <c r="O63" s="17"/>
      <c r="P63" s="17"/>
      <c r="Q63" s="17"/>
      <c r="AA63" s="32"/>
      <c r="AB63" s="32"/>
    </row>
    <row r="64" spans="1:28" s="11" customFormat="1" ht="12" x14ac:dyDescent="0.2">
      <c r="A64" s="18"/>
      <c r="B64" s="18"/>
      <c r="C64" s="18"/>
      <c r="D64" s="19"/>
      <c r="E64" s="18"/>
      <c r="F64" s="18"/>
      <c r="G64" s="15"/>
      <c r="H64" s="15"/>
      <c r="I64" s="17"/>
      <c r="J64" s="28"/>
      <c r="K64" s="27"/>
      <c r="L64" s="27"/>
      <c r="M64" s="27"/>
      <c r="N64" s="17"/>
      <c r="O64" s="17"/>
      <c r="P64" s="17"/>
      <c r="Q64" s="17"/>
      <c r="AA64" s="32"/>
      <c r="AB64" s="32"/>
    </row>
    <row r="65" spans="1:28" s="11" customFormat="1" ht="12" x14ac:dyDescent="0.2">
      <c r="A65" s="18"/>
      <c r="B65" s="18"/>
      <c r="C65" s="18"/>
      <c r="D65" s="19"/>
      <c r="E65" s="18"/>
      <c r="F65" s="18"/>
      <c r="G65" s="15"/>
      <c r="H65" s="15"/>
      <c r="I65" s="17"/>
      <c r="J65" s="28"/>
      <c r="K65" s="27"/>
      <c r="L65" s="27"/>
      <c r="M65" s="27"/>
      <c r="N65" s="17"/>
      <c r="O65" s="17"/>
      <c r="P65" s="17"/>
      <c r="Q65" s="17"/>
      <c r="AA65" s="32"/>
      <c r="AB65" s="32"/>
    </row>
    <row r="66" spans="1:28" s="11" customFormat="1" ht="12" x14ac:dyDescent="0.2">
      <c r="A66" s="18"/>
      <c r="B66" s="18"/>
      <c r="C66" s="18"/>
      <c r="D66" s="19"/>
      <c r="E66" s="18"/>
      <c r="F66" s="18"/>
      <c r="G66" s="15"/>
      <c r="H66" s="15"/>
      <c r="I66" s="17"/>
      <c r="J66" s="28"/>
      <c r="K66" s="27"/>
      <c r="L66" s="27"/>
      <c r="M66" s="27"/>
      <c r="N66" s="17"/>
      <c r="O66" s="17"/>
      <c r="P66" s="17"/>
      <c r="Q66" s="17"/>
      <c r="AA66" s="32"/>
      <c r="AB66" s="32"/>
    </row>
    <row r="67" spans="1:28" s="11" customFormat="1" ht="12" x14ac:dyDescent="0.2">
      <c r="A67" s="18"/>
      <c r="B67" s="18"/>
      <c r="C67" s="18"/>
      <c r="D67" s="19"/>
      <c r="E67" s="18"/>
      <c r="F67" s="18"/>
      <c r="G67" s="15"/>
      <c r="H67" s="15"/>
      <c r="I67" s="17"/>
      <c r="J67" s="28"/>
      <c r="K67" s="27"/>
      <c r="L67" s="27"/>
      <c r="M67" s="27"/>
      <c r="N67" s="17"/>
      <c r="O67" s="17"/>
      <c r="P67" s="17"/>
      <c r="Q67" s="17"/>
      <c r="AA67" s="32"/>
      <c r="AB67" s="32"/>
    </row>
    <row r="68" spans="1:28" s="11" customFormat="1" ht="12" x14ac:dyDescent="0.2">
      <c r="A68" s="18"/>
      <c r="B68" s="18"/>
      <c r="C68" s="18"/>
      <c r="D68" s="19"/>
      <c r="E68" s="18"/>
      <c r="F68" s="18"/>
      <c r="G68" s="15"/>
      <c r="H68" s="15"/>
      <c r="I68" s="17"/>
      <c r="J68" s="28"/>
      <c r="K68" s="27"/>
      <c r="L68" s="27"/>
      <c r="M68" s="27"/>
      <c r="N68" s="17"/>
      <c r="O68" s="17"/>
      <c r="P68" s="17"/>
      <c r="Q68" s="17"/>
      <c r="AA68" s="32"/>
      <c r="AB68" s="32"/>
    </row>
    <row r="69" spans="1:28" s="11" customFormat="1" ht="12" x14ac:dyDescent="0.2">
      <c r="A69" s="18"/>
      <c r="B69" s="18"/>
      <c r="C69" s="18"/>
      <c r="D69" s="19"/>
      <c r="E69" s="18"/>
      <c r="F69" s="18"/>
      <c r="G69" s="15"/>
      <c r="H69" s="15"/>
      <c r="I69" s="17"/>
      <c r="J69" s="28"/>
      <c r="K69" s="27"/>
      <c r="L69" s="27"/>
      <c r="M69" s="27"/>
      <c r="N69" s="17"/>
      <c r="O69" s="17"/>
      <c r="P69" s="17"/>
      <c r="Q69" s="17"/>
      <c r="AA69" s="32"/>
      <c r="AB69" s="32"/>
    </row>
    <row r="70" spans="1:28" s="11" customFormat="1" ht="12" x14ac:dyDescent="0.2">
      <c r="A70" s="18"/>
      <c r="B70" s="18"/>
      <c r="C70" s="18"/>
      <c r="D70" s="19"/>
      <c r="E70" s="18"/>
      <c r="F70" s="18"/>
      <c r="G70" s="15"/>
      <c r="H70" s="15"/>
      <c r="I70" s="17"/>
      <c r="J70" s="28"/>
      <c r="K70" s="27"/>
      <c r="L70" s="27"/>
      <c r="M70" s="27"/>
      <c r="N70" s="17"/>
      <c r="O70" s="17"/>
      <c r="P70" s="17"/>
      <c r="Q70" s="17"/>
      <c r="AA70" s="32"/>
      <c r="AB70" s="32"/>
    </row>
    <row r="71" spans="1:28" s="11" customFormat="1" ht="12" x14ac:dyDescent="0.2">
      <c r="A71" s="18"/>
      <c r="B71" s="18"/>
      <c r="C71" s="18"/>
      <c r="D71" s="19"/>
      <c r="E71" s="18"/>
      <c r="F71" s="18"/>
      <c r="G71" s="15"/>
      <c r="H71" s="15"/>
      <c r="I71" s="17"/>
      <c r="J71" s="28"/>
      <c r="K71" s="27"/>
      <c r="L71" s="27"/>
      <c r="M71" s="27"/>
      <c r="N71" s="17"/>
      <c r="O71" s="17"/>
      <c r="P71" s="17"/>
      <c r="Q71" s="17"/>
      <c r="AA71" s="32"/>
      <c r="AB71" s="32"/>
    </row>
    <row r="72" spans="1:28" s="11" customFormat="1" ht="12" x14ac:dyDescent="0.2">
      <c r="A72" s="18"/>
      <c r="B72" s="18"/>
      <c r="C72" s="18"/>
      <c r="D72" s="19"/>
      <c r="E72" s="18"/>
      <c r="F72" s="18"/>
      <c r="G72" s="15"/>
      <c r="H72" s="15"/>
      <c r="I72" s="17"/>
      <c r="J72" s="28"/>
      <c r="K72" s="27"/>
      <c r="L72" s="27"/>
      <c r="M72" s="27"/>
      <c r="N72" s="17"/>
      <c r="O72" s="17"/>
      <c r="P72" s="17"/>
      <c r="Q72" s="17"/>
      <c r="AA72" s="32"/>
      <c r="AB72" s="32"/>
    </row>
    <row r="73" spans="1:28" s="11" customFormat="1" ht="12" x14ac:dyDescent="0.2">
      <c r="A73" s="18"/>
      <c r="B73" s="18"/>
      <c r="C73" s="18"/>
      <c r="D73" s="19"/>
      <c r="E73" s="18"/>
      <c r="F73" s="18"/>
      <c r="G73" s="15"/>
      <c r="H73" s="15"/>
      <c r="I73" s="17"/>
      <c r="J73" s="28"/>
      <c r="K73" s="27"/>
      <c r="L73" s="27"/>
      <c r="M73" s="27"/>
      <c r="N73" s="17"/>
      <c r="O73" s="17"/>
      <c r="P73" s="17"/>
      <c r="Q73" s="17"/>
      <c r="AA73" s="32"/>
      <c r="AB73" s="32"/>
    </row>
  </sheetData>
  <mergeCells count="17">
    <mergeCell ref="D9:D10"/>
    <mergeCell ref="E9:E10"/>
    <mergeCell ref="N9:N10"/>
    <mergeCell ref="O9:Z9"/>
    <mergeCell ref="A24:H24"/>
    <mergeCell ref="M9:M10"/>
    <mergeCell ref="A9:A10"/>
    <mergeCell ref="B9:B10"/>
    <mergeCell ref="C9:C10"/>
    <mergeCell ref="I4:L4"/>
    <mergeCell ref="I5:L5"/>
    <mergeCell ref="F9:F10"/>
    <mergeCell ref="G9:G10"/>
    <mergeCell ref="H9:H10"/>
    <mergeCell ref="I9:I10"/>
    <mergeCell ref="J9:J10"/>
    <mergeCell ref="K9:L9"/>
  </mergeCells>
  <pageMargins left="0.62992125984251968" right="0.19" top="0.39370078740157483" bottom="0.39370078740157483" header="0" footer="0"/>
  <pageSetup paperSize="5" scale="55" orientation="landscape" r:id="rId1"/>
  <headerFooter alignWithMargins="0">
    <oddFooter>&amp;C&amp;P&amp;R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 enableFormatConditionsCalculation="0">
    <tabColor indexed="40"/>
  </sheetPr>
  <dimension ref="A2:AA99"/>
  <sheetViews>
    <sheetView showGridLines="0" view="pageBreakPreview" topLeftCell="G10" zoomScale="90" zoomScaleNormal="100" zoomScaleSheetLayoutView="90" workbookViewId="0">
      <pane xSplit="3" ySplit="4" topLeftCell="J14" activePane="bottomRight" state="frozen"/>
      <selection activeCell="G10" sqref="G10"/>
      <selection pane="topRight" activeCell="J10" sqref="J10"/>
      <selection pane="bottomLeft" activeCell="G14" sqref="G14"/>
      <selection pane="bottomRight" activeCell="O65" sqref="O65:Z65"/>
    </sheetView>
  </sheetViews>
  <sheetFormatPr baseColWidth="10" defaultColWidth="11.42578125" defaultRowHeight="12.75" x14ac:dyDescent="0.2"/>
  <cols>
    <col min="1" max="1" width="4" style="1" customWidth="1"/>
    <col min="2" max="2" width="4.42578125" style="1" customWidth="1"/>
    <col min="3" max="3" width="4.5703125" style="1" customWidth="1"/>
    <col min="4" max="4" width="6.5703125" style="7" customWidth="1"/>
    <col min="5" max="5" width="6.28515625" style="1" customWidth="1"/>
    <col min="6" max="6" width="6.140625" style="1" customWidth="1"/>
    <col min="7" max="7" width="7.28515625" style="1" customWidth="1"/>
    <col min="8" max="8" width="4.7109375" style="1" customWidth="1"/>
    <col min="9" max="9" width="40.42578125" style="4" customWidth="1"/>
    <col min="10" max="10" width="14" style="4" bestFit="1" customWidth="1"/>
    <col min="11" max="12" width="12.85546875" style="4" customWidth="1"/>
    <col min="13" max="13" width="18.85546875" style="4" customWidth="1"/>
    <col min="14" max="14" width="13.7109375" style="4" customWidth="1"/>
    <col min="15" max="15" width="12.5703125" style="4" customWidth="1"/>
    <col min="16" max="16" width="13.28515625" style="4" customWidth="1"/>
    <col min="17" max="17" width="13.42578125" style="4" customWidth="1"/>
    <col min="18" max="26" width="13.28515625" style="4" customWidth="1"/>
    <col min="27" max="27" width="6.28515625" style="4" customWidth="1"/>
    <col min="28" max="16384" width="11.42578125" style="4"/>
  </cols>
  <sheetData>
    <row r="2" spans="1:27" x14ac:dyDescent="0.2">
      <c r="D2" s="99"/>
      <c r="G2" s="101" t="s">
        <v>20</v>
      </c>
      <c r="M2" s="101"/>
      <c r="N2" s="101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100"/>
      <c r="AA2" s="100"/>
    </row>
    <row r="3" spans="1:27" x14ac:dyDescent="0.2">
      <c r="C3" s="101"/>
      <c r="D3" s="99"/>
      <c r="I3" s="102"/>
      <c r="J3" s="102"/>
      <c r="K3" s="102"/>
      <c r="L3" s="102"/>
      <c r="M3" s="101"/>
      <c r="N3" s="101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100"/>
      <c r="AA3" s="100"/>
    </row>
    <row r="4" spans="1:27" x14ac:dyDescent="0.2">
      <c r="C4" s="101"/>
      <c r="D4" s="99"/>
      <c r="I4" s="102"/>
      <c r="J4" s="102"/>
      <c r="K4" s="102"/>
      <c r="L4" s="102"/>
      <c r="M4" s="101"/>
      <c r="N4" s="101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100"/>
      <c r="AA4" s="100"/>
    </row>
    <row r="5" spans="1:27" x14ac:dyDescent="0.2">
      <c r="C5" s="101"/>
      <c r="D5" s="99"/>
      <c r="G5" s="103" t="s">
        <v>21</v>
      </c>
      <c r="I5" s="102"/>
      <c r="J5" s="145" t="s">
        <v>44</v>
      </c>
      <c r="K5" s="145"/>
      <c r="L5" s="145"/>
      <c r="M5" s="145"/>
      <c r="N5" s="101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100"/>
      <c r="AA5" s="100"/>
    </row>
    <row r="6" spans="1:27" ht="15" x14ac:dyDescent="0.25">
      <c r="C6" s="101"/>
      <c r="D6" s="99"/>
      <c r="G6" s="217" t="s">
        <v>22</v>
      </c>
      <c r="H6" s="226"/>
      <c r="I6" s="227"/>
      <c r="J6" s="512"/>
      <c r="K6" s="512"/>
      <c r="L6" s="512"/>
      <c r="M6" s="512"/>
      <c r="N6" s="228"/>
      <c r="O6" s="229"/>
      <c r="P6" s="229"/>
      <c r="Q6" s="229"/>
      <c r="R6" s="229"/>
      <c r="S6" s="229"/>
      <c r="T6" s="229"/>
      <c r="U6" s="229"/>
      <c r="V6" s="229"/>
      <c r="W6" s="229"/>
      <c r="X6" s="98"/>
      <c r="Y6" s="98"/>
      <c r="Z6" s="100"/>
      <c r="AA6" s="100"/>
    </row>
    <row r="7" spans="1:27" s="63" customFormat="1" ht="23.25" customHeight="1" x14ac:dyDescent="0.2">
      <c r="A7" s="55"/>
      <c r="B7" s="55"/>
      <c r="C7" s="77"/>
      <c r="E7" s="55"/>
      <c r="F7" s="55"/>
      <c r="G7" s="217" t="s">
        <v>23</v>
      </c>
      <c r="H7" s="230"/>
      <c r="I7" s="231"/>
      <c r="J7" s="232"/>
      <c r="K7" s="233" t="s">
        <v>41</v>
      </c>
      <c r="L7" s="232"/>
      <c r="M7" s="232"/>
      <c r="N7" s="231"/>
      <c r="O7" s="234"/>
      <c r="P7" s="235" t="s">
        <v>100</v>
      </c>
      <c r="Q7" s="235"/>
      <c r="R7" s="235"/>
      <c r="S7" s="236" t="str">
        <f>+'01.Recurso Estatal'!T4</f>
        <v>TERCER</v>
      </c>
      <c r="T7" s="234"/>
      <c r="U7" s="234"/>
      <c r="V7" s="234"/>
      <c r="W7" s="234"/>
      <c r="X7" s="104"/>
      <c r="Y7" s="104"/>
      <c r="Z7" s="106"/>
      <c r="AA7" s="106"/>
    </row>
    <row r="8" spans="1:27" s="63" customFormat="1" ht="20.25" customHeight="1" x14ac:dyDescent="0.2">
      <c r="A8" s="55"/>
      <c r="B8" s="55"/>
      <c r="C8" s="55"/>
      <c r="E8" s="55"/>
      <c r="F8" s="55"/>
      <c r="G8" s="230"/>
      <c r="H8" s="230"/>
      <c r="I8" s="231"/>
      <c r="J8" s="231"/>
      <c r="K8" s="231"/>
      <c r="L8" s="231"/>
      <c r="M8" s="231"/>
      <c r="N8" s="232"/>
      <c r="O8" s="234"/>
      <c r="P8" s="234"/>
      <c r="Q8" s="234"/>
      <c r="R8" s="237"/>
      <c r="S8" s="234"/>
      <c r="T8" s="234"/>
      <c r="U8" s="234"/>
      <c r="V8" s="234"/>
      <c r="W8" s="234"/>
      <c r="X8" s="104"/>
      <c r="Y8" s="104"/>
      <c r="Z8" s="106"/>
      <c r="AA8" s="106"/>
    </row>
    <row r="9" spans="1:27" s="63" customFormat="1" ht="15" x14ac:dyDescent="0.2">
      <c r="A9" s="55"/>
      <c r="B9" s="55"/>
      <c r="C9" s="55"/>
      <c r="E9" s="55"/>
      <c r="F9" s="55"/>
      <c r="G9" s="230"/>
      <c r="H9" s="230"/>
      <c r="I9" s="231"/>
      <c r="J9" s="231"/>
      <c r="K9" s="231"/>
      <c r="L9" s="231"/>
      <c r="M9" s="232"/>
      <c r="N9" s="232" t="s">
        <v>51</v>
      </c>
      <c r="O9" s="234"/>
      <c r="P9" s="234"/>
      <c r="Q9" s="234"/>
      <c r="R9" s="234"/>
      <c r="S9" s="234" t="s">
        <v>401</v>
      </c>
      <c r="T9" s="234"/>
      <c r="U9" s="234"/>
      <c r="V9" s="234"/>
      <c r="W9" s="234"/>
      <c r="X9" s="104"/>
      <c r="Y9" s="104"/>
      <c r="Z9" s="106"/>
      <c r="AA9" s="106"/>
    </row>
    <row r="10" spans="1:27" ht="15" x14ac:dyDescent="0.25">
      <c r="G10" s="226"/>
      <c r="H10" s="226"/>
      <c r="I10" s="228"/>
      <c r="J10" s="228"/>
      <c r="K10" s="228"/>
      <c r="L10" s="228"/>
      <c r="M10" s="228"/>
      <c r="N10" s="228"/>
      <c r="O10" s="229"/>
      <c r="P10" s="229"/>
      <c r="Q10" s="229"/>
      <c r="R10" s="229"/>
      <c r="S10" s="229"/>
      <c r="T10" s="229"/>
      <c r="U10" s="229"/>
      <c r="V10" s="229"/>
      <c r="W10" s="229"/>
      <c r="X10" s="98"/>
      <c r="Y10" s="98"/>
      <c r="Z10" s="100"/>
      <c r="AA10" s="100"/>
    </row>
    <row r="11" spans="1:27" ht="15" x14ac:dyDescent="0.2">
      <c r="A11" s="8"/>
      <c r="B11" s="8"/>
      <c r="C11" s="8"/>
      <c r="D11" s="9"/>
      <c r="E11" s="8"/>
      <c r="F11" s="8"/>
      <c r="G11" s="238"/>
      <c r="H11" s="238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</row>
    <row r="12" spans="1:27" s="80" customFormat="1" ht="15" customHeight="1" x14ac:dyDescent="0.2">
      <c r="A12" s="488" t="s">
        <v>11</v>
      </c>
      <c r="B12" s="488" t="s">
        <v>12</v>
      </c>
      <c r="C12" s="488" t="s">
        <v>13</v>
      </c>
      <c r="D12" s="498" t="s">
        <v>14</v>
      </c>
      <c r="E12" s="488" t="s">
        <v>24</v>
      </c>
      <c r="F12" s="488" t="s">
        <v>15</v>
      </c>
      <c r="G12" s="488" t="s">
        <v>0</v>
      </c>
      <c r="H12" s="488" t="s">
        <v>25</v>
      </c>
      <c r="I12" s="477" t="s">
        <v>1</v>
      </c>
      <c r="J12" s="479" t="s">
        <v>26</v>
      </c>
      <c r="K12" s="503" t="s">
        <v>27</v>
      </c>
      <c r="L12" s="504"/>
      <c r="M12" s="479" t="s">
        <v>16</v>
      </c>
      <c r="N12" s="479" t="s">
        <v>28</v>
      </c>
      <c r="O12" s="477" t="s">
        <v>29</v>
      </c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06"/>
    </row>
    <row r="13" spans="1:27" s="81" customFormat="1" ht="35.25" customHeight="1" x14ac:dyDescent="0.2">
      <c r="A13" s="489"/>
      <c r="B13" s="489"/>
      <c r="C13" s="489"/>
      <c r="D13" s="499"/>
      <c r="E13" s="489"/>
      <c r="F13" s="489"/>
      <c r="G13" s="489"/>
      <c r="H13" s="489"/>
      <c r="I13" s="477"/>
      <c r="J13" s="479"/>
      <c r="K13" s="109" t="s">
        <v>30</v>
      </c>
      <c r="L13" s="109" t="s">
        <v>31</v>
      </c>
      <c r="M13" s="479"/>
      <c r="N13" s="479"/>
      <c r="O13" s="90" t="s">
        <v>8</v>
      </c>
      <c r="P13" s="90" t="s">
        <v>9</v>
      </c>
      <c r="Q13" s="90" t="s">
        <v>10</v>
      </c>
      <c r="R13" s="90" t="s">
        <v>32</v>
      </c>
      <c r="S13" s="90" t="s">
        <v>33</v>
      </c>
      <c r="T13" s="90" t="s">
        <v>34</v>
      </c>
      <c r="U13" s="90" t="s">
        <v>35</v>
      </c>
      <c r="V13" s="90" t="s">
        <v>36</v>
      </c>
      <c r="W13" s="90" t="s">
        <v>37</v>
      </c>
      <c r="X13" s="90" t="s">
        <v>38</v>
      </c>
      <c r="Y13" s="90" t="s">
        <v>39</v>
      </c>
      <c r="Z13" s="90" t="s">
        <v>40</v>
      </c>
      <c r="AA13" s="406"/>
    </row>
    <row r="14" spans="1:27" s="17" customFormat="1" x14ac:dyDescent="0.2">
      <c r="A14" s="21" t="s">
        <v>17</v>
      </c>
      <c r="B14" s="21" t="s">
        <v>18</v>
      </c>
      <c r="C14" s="21" t="s">
        <v>19</v>
      </c>
      <c r="D14" s="21" t="s">
        <v>42</v>
      </c>
      <c r="E14" s="21" t="s">
        <v>43</v>
      </c>
      <c r="F14" s="21" t="s">
        <v>41</v>
      </c>
      <c r="G14" s="111">
        <v>1131</v>
      </c>
      <c r="H14" s="42">
        <v>0</v>
      </c>
      <c r="I14" s="97" t="s">
        <v>56</v>
      </c>
      <c r="J14" s="139">
        <f>+'01.Recurso Estatal'!J11+'02. ingresos propios'!J11</f>
        <v>8689940.4000000004</v>
      </c>
      <c r="K14" s="139">
        <f>+'01.Recurso Estatal'!K11+'02. ingresos propios'!K11+Remanentes!K11</f>
        <v>0</v>
      </c>
      <c r="L14" s="139">
        <f>+'01.Recurso Estatal'!L11+'02. ingresos propios'!L11+Remanentes!L11</f>
        <v>301192.14</v>
      </c>
      <c r="M14" s="139">
        <f>+J14-K14+L14</f>
        <v>8991132.540000001</v>
      </c>
      <c r="N14" s="113">
        <f>SUM(O14:Z14)</f>
        <v>6657915.459999999</v>
      </c>
      <c r="O14" s="139">
        <f>+'01.Recurso Estatal'!P11+'02. ingresos propios'!O11</f>
        <v>722850.45</v>
      </c>
      <c r="P14" s="139">
        <f>+'01.Recurso Estatal'!Q11+'02. ingresos propios'!P11</f>
        <v>711050.1</v>
      </c>
      <c r="Q14" s="139">
        <f>+'01.Recurso Estatal'!R11+'02. ingresos propios'!Q11</f>
        <v>716877.17999999993</v>
      </c>
      <c r="R14" s="139">
        <f>+'01.Recurso Estatal'!S11+'02. ingresos propios'!R11</f>
        <v>788871.55</v>
      </c>
      <c r="S14" s="139">
        <f>+'01.Recurso Estatal'!T11+'02. ingresos propios'!S11</f>
        <v>737948.25</v>
      </c>
      <c r="T14" s="139">
        <f>+'01.Recurso Estatal'!U11+'02. ingresos propios'!T11</f>
        <v>767850.39</v>
      </c>
      <c r="U14" s="139">
        <f>+'01.Recurso Estatal'!V11+'02. ingresos propios'!U11</f>
        <v>739237.38</v>
      </c>
      <c r="V14" s="139">
        <f>+'01.Recurso Estatal'!W11+'02. ingresos propios'!V11</f>
        <v>733992.78</v>
      </c>
      <c r="W14" s="139">
        <f>+'01.Recurso Estatal'!X11+'02. ingresos propios'!W11</f>
        <v>739237.38</v>
      </c>
      <c r="X14" s="139">
        <f>+'01.Recurso Estatal'!Y11+'02. ingresos propios'!X11</f>
        <v>0</v>
      </c>
      <c r="Y14" s="139">
        <f>+'01.Recurso Estatal'!Z11+'02. ingresos propios'!Y11</f>
        <v>0</v>
      </c>
      <c r="Z14" s="139">
        <f>+'01.Recurso Estatal'!AA11+'02. ingresos propios'!Z11</f>
        <v>0</v>
      </c>
      <c r="AA14" s="407"/>
    </row>
    <row r="15" spans="1:27" s="17" customFormat="1" x14ac:dyDescent="0.2">
      <c r="A15" s="21" t="s">
        <v>17</v>
      </c>
      <c r="B15" s="21" t="s">
        <v>18</v>
      </c>
      <c r="C15" s="21" t="s">
        <v>19</v>
      </c>
      <c r="D15" s="21" t="s">
        <v>42</v>
      </c>
      <c r="E15" s="21" t="s">
        <v>43</v>
      </c>
      <c r="F15" s="21" t="s">
        <v>41</v>
      </c>
      <c r="G15" s="111">
        <v>1321</v>
      </c>
      <c r="H15" s="42">
        <v>0</v>
      </c>
      <c r="I15" s="97" t="s">
        <v>57</v>
      </c>
      <c r="J15" s="139">
        <f>+'01.Recurso Estatal'!J12+'02. ingresos propios'!J12</f>
        <v>120693.62</v>
      </c>
      <c r="K15" s="139">
        <f>+'01.Recurso Estatal'!K12+'02. ingresos propios'!K12+Remanentes!K12</f>
        <v>0</v>
      </c>
      <c r="L15" s="139">
        <f>+'01.Recurso Estatal'!L12+'02. ingresos propios'!L12+Remanentes!L12</f>
        <v>4183.22</v>
      </c>
      <c r="M15" s="139">
        <f t="shared" ref="M15:M26" si="0">+J15-K15+L15</f>
        <v>124876.84</v>
      </c>
      <c r="N15" s="113">
        <f t="shared" ref="N15:N25" si="1">SUM(O15:Z15)</f>
        <v>122881.34</v>
      </c>
      <c r="O15" s="139">
        <f>+'01.Recurso Estatal'!P12+'02. ingresos propios'!O12+Remanentes!O12</f>
        <v>826.2</v>
      </c>
      <c r="P15" s="139">
        <f>+'01.Recurso Estatal'!Q12+'02. ingresos propios'!P12+Remanentes!P12</f>
        <v>0</v>
      </c>
      <c r="Q15" s="139">
        <f>+'01.Recurso Estatal'!R12+'02. ingresos propios'!Q12+Remanentes!Q12</f>
        <v>3787.5</v>
      </c>
      <c r="R15" s="139">
        <f>+'01.Recurso Estatal'!S12+'02. ingresos propios'!R12+Remanentes!R12</f>
        <v>0</v>
      </c>
      <c r="S15" s="139">
        <f>+'01.Recurso Estatal'!T12+'02. ingresos propios'!S12+Remanentes!S12</f>
        <v>0</v>
      </c>
      <c r="T15" s="139">
        <f>+'01.Recurso Estatal'!U12+'02. ingresos propios'!T12+Remanentes!T12</f>
        <v>1544.1</v>
      </c>
      <c r="U15" s="139">
        <f>+'01.Recurso Estatal'!V12+'02. ingresos propios'!U12+Remanentes!U12</f>
        <v>0</v>
      </c>
      <c r="V15" s="139">
        <f>+'01.Recurso Estatal'!W12+'02. ingresos propios'!V12+Remanentes!V12</f>
        <v>116474.20999999999</v>
      </c>
      <c r="W15" s="139">
        <f>+'01.Recurso Estatal'!X12+'02. ingresos propios'!W12+Remanentes!W12</f>
        <v>249.33</v>
      </c>
      <c r="X15" s="139">
        <f>+'01.Recurso Estatal'!Y12+'02. ingresos propios'!X12+Remanentes!X12</f>
        <v>0</v>
      </c>
      <c r="Y15" s="139">
        <f>+'01.Recurso Estatal'!Z12+'02. ingresos propios'!Y12+Remanentes!Y12</f>
        <v>0</v>
      </c>
      <c r="Z15" s="139">
        <f>+'01.Recurso Estatal'!AA12+'02. ingresos propios'!Z12+Remanentes!Z12</f>
        <v>0</v>
      </c>
      <c r="AA15" s="407"/>
    </row>
    <row r="16" spans="1:27" s="17" customFormat="1" x14ac:dyDescent="0.2">
      <c r="A16" s="21" t="s">
        <v>17</v>
      </c>
      <c r="B16" s="21" t="s">
        <v>18</v>
      </c>
      <c r="C16" s="21" t="s">
        <v>19</v>
      </c>
      <c r="D16" s="21" t="s">
        <v>42</v>
      </c>
      <c r="E16" s="21" t="s">
        <v>43</v>
      </c>
      <c r="F16" s="21" t="s">
        <v>41</v>
      </c>
      <c r="G16" s="111">
        <v>1322</v>
      </c>
      <c r="H16" s="42">
        <v>0</v>
      </c>
      <c r="I16" s="97" t="s">
        <v>58</v>
      </c>
      <c r="J16" s="139">
        <f>+'01.Recurso Estatal'!J13+'02. ingresos propios'!J13</f>
        <v>1206936.17</v>
      </c>
      <c r="K16" s="139">
        <f>+'01.Recurso Estatal'!K13+'02. ingresos propios'!K13+Remanentes!K13</f>
        <v>0</v>
      </c>
      <c r="L16" s="139">
        <f>+'01.Recurso Estatal'!L13+'02. ingresos propios'!L13+Remanentes!L13</f>
        <v>41832.239999999998</v>
      </c>
      <c r="M16" s="139">
        <f t="shared" si="0"/>
        <v>1248768.4099999999</v>
      </c>
      <c r="N16" s="113">
        <f t="shared" si="1"/>
        <v>586826.71</v>
      </c>
      <c r="O16" s="139">
        <f>+'01.Recurso Estatal'!P13+'02. ingresos propios'!O13+Remanentes!O13</f>
        <v>898.05</v>
      </c>
      <c r="P16" s="139">
        <f>+'01.Recurso Estatal'!Q13+'02. ingresos propios'!P13+Remanentes!P13</f>
        <v>0</v>
      </c>
      <c r="Q16" s="139">
        <f>+'01.Recurso Estatal'!R13+'02. ingresos propios'!Q13+Remanentes!Q13</f>
        <v>582110.85</v>
      </c>
      <c r="R16" s="139">
        <f>+'01.Recurso Estatal'!S13+'02. ingresos propios'!R13+Remanentes!R13</f>
        <v>0</v>
      </c>
      <c r="S16" s="139">
        <f>+'01.Recurso Estatal'!T13+'02. ingresos propios'!S13+Remanentes!S13</f>
        <v>0</v>
      </c>
      <c r="T16" s="139">
        <f>+'01.Recurso Estatal'!U13+'02. ingresos propios'!T13+Remanentes!T13</f>
        <v>-2228.36</v>
      </c>
      <c r="U16" s="139">
        <f>+'01.Recurso Estatal'!V13+'02. ingresos propios'!U13+Remanentes!U13</f>
        <v>0</v>
      </c>
      <c r="V16" s="139">
        <f>+'01.Recurso Estatal'!W13+'02. ingresos propios'!V13+Remanentes!V13</f>
        <v>-898.05</v>
      </c>
      <c r="W16" s="139">
        <f>+'01.Recurso Estatal'!X13+'02. ingresos propios'!W13+Remanentes!W13</f>
        <v>6944.22</v>
      </c>
      <c r="X16" s="139">
        <f>+'01.Recurso Estatal'!Y13+'02. ingresos propios'!X13+Remanentes!X13</f>
        <v>0</v>
      </c>
      <c r="Y16" s="139">
        <f>+'01.Recurso Estatal'!Z13+'02. ingresos propios'!Y13+Remanentes!Y13</f>
        <v>0</v>
      </c>
      <c r="Z16" s="139">
        <f>+'01.Recurso Estatal'!AA13+'02. ingresos propios'!Z13+Remanentes!Z13</f>
        <v>0</v>
      </c>
      <c r="AA16" s="407"/>
    </row>
    <row r="17" spans="1:27" s="17" customFormat="1" x14ac:dyDescent="0.2">
      <c r="A17" s="21" t="s">
        <v>17</v>
      </c>
      <c r="B17" s="21" t="s">
        <v>18</v>
      </c>
      <c r="C17" s="21" t="s">
        <v>19</v>
      </c>
      <c r="D17" s="21" t="s">
        <v>42</v>
      </c>
      <c r="E17" s="21" t="s">
        <v>43</v>
      </c>
      <c r="F17" s="21" t="s">
        <v>41</v>
      </c>
      <c r="G17" s="72">
        <v>1411</v>
      </c>
      <c r="H17" s="42">
        <v>0</v>
      </c>
      <c r="I17" s="97" t="s">
        <v>113</v>
      </c>
      <c r="J17" s="139">
        <f>+'01.Recurso Estatal'!J14+'02. ingresos propios'!J14</f>
        <v>489042.83999999997</v>
      </c>
      <c r="K17" s="139">
        <f>+'01.Recurso Estatal'!K14</f>
        <v>0</v>
      </c>
      <c r="L17" s="139">
        <f>+'01.Recurso Estatal'!L14</f>
        <v>0</v>
      </c>
      <c r="M17" s="139">
        <f t="shared" si="0"/>
        <v>489042.83999999997</v>
      </c>
      <c r="N17" s="113">
        <f t="shared" si="1"/>
        <v>367632.54</v>
      </c>
      <c r="O17" s="139">
        <f>+'01.Recurso Estatal'!P14</f>
        <v>40383.050000000003</v>
      </c>
      <c r="P17" s="139">
        <f>+'01.Recurso Estatal'!Q14</f>
        <v>37353.57</v>
      </c>
      <c r="Q17" s="139">
        <f>+'01.Recurso Estatal'!R14</f>
        <v>41355.19</v>
      </c>
      <c r="R17" s="139">
        <f>+'01.Recurso Estatal'!S14</f>
        <v>40432.5</v>
      </c>
      <c r="S17" s="139">
        <f>+'01.Recurso Estatal'!T14</f>
        <v>42279.06</v>
      </c>
      <c r="T17" s="139">
        <f>+'01.Recurso Estatal'!U14</f>
        <v>40713.019999999997</v>
      </c>
      <c r="U17" s="139">
        <f>+'01.Recurso Estatal'!V14</f>
        <v>42158.67</v>
      </c>
      <c r="V17" s="139">
        <f>+'01.Recurso Estatal'!W14</f>
        <v>42158.67</v>
      </c>
      <c r="W17" s="139">
        <f>+'01.Recurso Estatal'!X14</f>
        <v>40798.81</v>
      </c>
      <c r="X17" s="139">
        <f>+'01.Recurso Estatal'!Y14</f>
        <v>0</v>
      </c>
      <c r="Y17" s="139">
        <f>+'01.Recurso Estatal'!Z14</f>
        <v>0</v>
      </c>
      <c r="Z17" s="139">
        <f>+'01.Recurso Estatal'!AA14</f>
        <v>0</v>
      </c>
      <c r="AA17" s="407"/>
    </row>
    <row r="18" spans="1:27" s="17" customFormat="1" x14ac:dyDescent="0.2">
      <c r="A18" s="21" t="s">
        <v>17</v>
      </c>
      <c r="B18" s="21" t="s">
        <v>18</v>
      </c>
      <c r="C18" s="21" t="s">
        <v>19</v>
      </c>
      <c r="D18" s="21" t="s">
        <v>42</v>
      </c>
      <c r="E18" s="21" t="s">
        <v>43</v>
      </c>
      <c r="F18" s="21" t="s">
        <v>41</v>
      </c>
      <c r="G18" s="111">
        <v>1421</v>
      </c>
      <c r="H18" s="42">
        <v>0</v>
      </c>
      <c r="I18" s="97" t="s">
        <v>105</v>
      </c>
      <c r="J18" s="139">
        <f>+'01.Recurso Estatal'!J15+'02. ingresos propios'!J15</f>
        <v>260698.21</v>
      </c>
      <c r="K18" s="139">
        <f>+'01.Recurso Estatal'!K15+'02. ingresos propios'!K14+Remanentes!K15</f>
        <v>0</v>
      </c>
      <c r="L18" s="139">
        <f>+'01.Recurso Estatal'!L15+'02. ingresos propios'!L14+Remanentes!L15</f>
        <v>12505.130000000001</v>
      </c>
      <c r="M18" s="139">
        <f t="shared" si="0"/>
        <v>273203.33999999997</v>
      </c>
      <c r="N18" s="139">
        <f t="shared" si="1"/>
        <v>196051.56</v>
      </c>
      <c r="O18" s="139">
        <f>+'01.Recurso Estatal'!P15+'02. ingresos propios'!O14</f>
        <v>21163.29</v>
      </c>
      <c r="P18" s="139">
        <f>+'01.Recurso Estatal'!Q15+'02. ingresos propios'!P14</f>
        <v>20966.62</v>
      </c>
      <c r="Q18" s="139">
        <f>+'01.Recurso Estatal'!R15+'02. ingresos propios'!Q14</f>
        <v>20966.62</v>
      </c>
      <c r="R18" s="139">
        <f>+'01.Recurso Estatal'!S15+'02. ingresos propios'!R14</f>
        <v>23156.6</v>
      </c>
      <c r="S18" s="139">
        <f>+'01.Recurso Estatal'!T15+'02. ingresos propios'!S14</f>
        <v>21757.07</v>
      </c>
      <c r="T18" s="139">
        <f>+'01.Recurso Estatal'!U15+'02. ingresos propios'!T14</f>
        <v>22654.140000000003</v>
      </c>
      <c r="U18" s="139">
        <f>+'01.Recurso Estatal'!V15+'02. ingresos propios'!U14</f>
        <v>21795.74</v>
      </c>
      <c r="V18" s="139">
        <f>+'01.Recurso Estatal'!W15+'02. ingresos propios'!V14</f>
        <v>21795.74</v>
      </c>
      <c r="W18" s="139">
        <f>+'01.Recurso Estatal'!X15+'02. ingresos propios'!W14</f>
        <v>21795.74</v>
      </c>
      <c r="X18" s="139">
        <f>+'01.Recurso Estatal'!Y15+'02. ingresos propios'!X14</f>
        <v>0</v>
      </c>
      <c r="Y18" s="139">
        <f>+'01.Recurso Estatal'!Z15+'02. ingresos propios'!Y14</f>
        <v>0</v>
      </c>
      <c r="Z18" s="139">
        <f>+'01.Recurso Estatal'!AA15+'02. ingresos propios'!Z14</f>
        <v>0</v>
      </c>
      <c r="AA18" s="407"/>
    </row>
    <row r="19" spans="1:27" s="17" customFormat="1" x14ac:dyDescent="0.2">
      <c r="A19" s="21" t="s">
        <v>17</v>
      </c>
      <c r="B19" s="21" t="s">
        <v>18</v>
      </c>
      <c r="C19" s="21" t="s">
        <v>19</v>
      </c>
      <c r="D19" s="21" t="s">
        <v>42</v>
      </c>
      <c r="E19" s="21" t="s">
        <v>43</v>
      </c>
      <c r="F19" s="21" t="s">
        <v>41</v>
      </c>
      <c r="G19" s="111">
        <v>1431</v>
      </c>
      <c r="H19" s="42">
        <v>0</v>
      </c>
      <c r="I19" s="97" t="s">
        <v>59</v>
      </c>
      <c r="J19" s="139">
        <f>+'01.Recurso Estatal'!J16+'02. ingresos propios'!J16</f>
        <v>1520739.57</v>
      </c>
      <c r="K19" s="139">
        <f>+'01.Recurso Estatal'!K16+'02. ingresos propios'!K15+Remanentes!K16</f>
        <v>0</v>
      </c>
      <c r="L19" s="139">
        <f>+'01.Recurso Estatal'!L16+'02. ingresos propios'!L15+Remanentes!L16</f>
        <v>59476.01</v>
      </c>
      <c r="M19" s="139">
        <f t="shared" si="0"/>
        <v>1580215.58</v>
      </c>
      <c r="N19" s="139">
        <f t="shared" si="1"/>
        <v>1143636.6199999999</v>
      </c>
      <c r="O19" s="139">
        <f>+'01.Recurso Estatal'!P16+'02. ingresos propios'!O15</f>
        <v>123452.9</v>
      </c>
      <c r="P19" s="139">
        <f>+'01.Recurso Estatal'!Q16+'02. ingresos propios'!P15</f>
        <v>122305.64</v>
      </c>
      <c r="Q19" s="139">
        <f>+'01.Recurso Estatal'!R16+'02. ingresos propios'!Q15</f>
        <v>122305.64</v>
      </c>
      <c r="R19" s="139">
        <f>+'01.Recurso Estatal'!S16+'02. ingresos propios'!R15</f>
        <v>135080.53</v>
      </c>
      <c r="S19" s="139">
        <f>+'01.Recurso Estatal'!T16+'02. ingresos propios'!S15</f>
        <v>126916.48000000001</v>
      </c>
      <c r="T19" s="139">
        <f>+'01.Recurso Estatal'!U16+'02. ingresos propios'!T15</f>
        <v>132149.37000000002</v>
      </c>
      <c r="U19" s="139">
        <f>+'01.Recurso Estatal'!V16+'02. ingresos propios'!U15</f>
        <v>127142.02</v>
      </c>
      <c r="V19" s="139">
        <f>+'01.Recurso Estatal'!W16+'02. ingresos propios'!V15</f>
        <v>127142.02</v>
      </c>
      <c r="W19" s="139">
        <f>+'01.Recurso Estatal'!X16+'02. ingresos propios'!W15</f>
        <v>127142.02</v>
      </c>
      <c r="X19" s="139">
        <f>+'01.Recurso Estatal'!Y16+'02. ingresos propios'!X15</f>
        <v>0</v>
      </c>
      <c r="Y19" s="139">
        <f>+'01.Recurso Estatal'!Z16+'02. ingresos propios'!Y15</f>
        <v>0</v>
      </c>
      <c r="Z19" s="139">
        <f>+'01.Recurso Estatal'!AA16+'02. ingresos propios'!Z15</f>
        <v>0</v>
      </c>
      <c r="AA19" s="407"/>
    </row>
    <row r="20" spans="1:27" s="17" customFormat="1" x14ac:dyDescent="0.2">
      <c r="A20" s="21" t="s">
        <v>17</v>
      </c>
      <c r="B20" s="21" t="s">
        <v>18</v>
      </c>
      <c r="C20" s="21" t="s">
        <v>19</v>
      </c>
      <c r="D20" s="21" t="s">
        <v>42</v>
      </c>
      <c r="E20" s="21" t="s">
        <v>43</v>
      </c>
      <c r="F20" s="21" t="s">
        <v>41</v>
      </c>
      <c r="G20" s="110">
        <v>1521</v>
      </c>
      <c r="H20" s="42">
        <v>0</v>
      </c>
      <c r="I20" s="97" t="s">
        <v>103</v>
      </c>
      <c r="J20" s="139">
        <f>+'02. ingresos propios'!J18</f>
        <v>150000</v>
      </c>
      <c r="K20" s="140">
        <f>+'02. ingresos propios'!K18</f>
        <v>0</v>
      </c>
      <c r="L20" s="140">
        <f>+'02. ingresos propios'!L18</f>
        <v>0</v>
      </c>
      <c r="M20" s="139">
        <f t="shared" si="0"/>
        <v>150000</v>
      </c>
      <c r="N20" s="139">
        <f t="shared" si="1"/>
        <v>0</v>
      </c>
      <c r="O20" s="140">
        <f>+'02. ingresos propios'!O17</f>
        <v>0</v>
      </c>
      <c r="P20" s="140">
        <f>+'02. ingresos propios'!P17</f>
        <v>0</v>
      </c>
      <c r="Q20" s="140">
        <f>+'02. ingresos propios'!Q17</f>
        <v>0</v>
      </c>
      <c r="R20" s="140">
        <f>+'02. ingresos propios'!R17</f>
        <v>0</v>
      </c>
      <c r="S20" s="140">
        <f>+'02. ingresos propios'!S17</f>
        <v>0</v>
      </c>
      <c r="T20" s="140">
        <f>+'02. ingresos propios'!T17</f>
        <v>0</v>
      </c>
      <c r="U20" s="140">
        <f>+'02. ingresos propios'!U17</f>
        <v>0</v>
      </c>
      <c r="V20" s="140">
        <f>+'02. ingresos propios'!V17</f>
        <v>0</v>
      </c>
      <c r="W20" s="140">
        <f>+'02. ingresos propios'!W17</f>
        <v>0</v>
      </c>
      <c r="X20" s="140">
        <f>+'02. ingresos propios'!X17</f>
        <v>0</v>
      </c>
      <c r="Y20" s="140">
        <f>+'02. ingresos propios'!Y17</f>
        <v>0</v>
      </c>
      <c r="Z20" s="140">
        <f>+'02. ingresos propios'!Z17</f>
        <v>0</v>
      </c>
      <c r="AA20" s="408"/>
    </row>
    <row r="21" spans="1:27" s="17" customFormat="1" x14ac:dyDescent="0.2">
      <c r="A21" s="21" t="s">
        <v>17</v>
      </c>
      <c r="B21" s="21" t="s">
        <v>18</v>
      </c>
      <c r="C21" s="21" t="s">
        <v>19</v>
      </c>
      <c r="D21" s="21" t="s">
        <v>42</v>
      </c>
      <c r="E21" s="21" t="s">
        <v>43</v>
      </c>
      <c r="F21" s="21" t="s">
        <v>41</v>
      </c>
      <c r="G21" s="72">
        <f>'01.Recurso Estatal'!G17</f>
        <v>1432</v>
      </c>
      <c r="H21" s="42">
        <v>0</v>
      </c>
      <c r="I21" s="150" t="s">
        <v>173</v>
      </c>
      <c r="J21" s="139">
        <f>+'01.Recurso Estatal'!J17+'02. ingresos propios'!J17</f>
        <v>173798.81</v>
      </c>
      <c r="K21" s="139">
        <f>+'01.Recurso Estatal'!K17+'02. ingresos propios'!K17+Remanentes!K17</f>
        <v>0</v>
      </c>
      <c r="L21" s="139">
        <f>+'01.Recurso Estatal'!L17+'02. ingresos propios'!L17+Remanentes!L17</f>
        <v>6023.84</v>
      </c>
      <c r="M21" s="139">
        <f t="shared" si="0"/>
        <v>179822.65</v>
      </c>
      <c r="N21" s="139">
        <f t="shared" si="1"/>
        <v>130701.50100000002</v>
      </c>
      <c r="O21" s="139">
        <f>+'01.Recurso Estatal'!P17+'02. ingresos propios'!O16</f>
        <v>14108.92</v>
      </c>
      <c r="P21" s="139">
        <f>+'01.Recurso Estatal'!Q17+'02. ingresos propios'!P16</f>
        <v>13977.8</v>
      </c>
      <c r="Q21" s="139">
        <f>+'01.Recurso Estatal'!R17+'02. ingresos propios'!Q16</f>
        <v>13977.8</v>
      </c>
      <c r="R21" s="139">
        <f>+'01.Recurso Estatal'!S17+'02. ingresos propios'!R16</f>
        <v>15437.79</v>
      </c>
      <c r="S21" s="139">
        <f>+'01.Recurso Estatal'!T17+'02. ingresos propios'!S16</f>
        <v>14504.530999999999</v>
      </c>
      <c r="T21" s="139">
        <f>+'01.Recurso Estatal'!U17+'02. ingresos propios'!T16</f>
        <v>15102.86</v>
      </c>
      <c r="U21" s="139">
        <f>+'01.Recurso Estatal'!V17+'02. ingresos propios'!U16</f>
        <v>14530.6</v>
      </c>
      <c r="V21" s="139">
        <f>+'01.Recurso Estatal'!W17+'02. ingresos propios'!V16</f>
        <v>14530.6</v>
      </c>
      <c r="W21" s="139">
        <f>+'01.Recurso Estatal'!X17+'02. ingresos propios'!W16</f>
        <v>14530.6</v>
      </c>
      <c r="X21" s="139">
        <f>+'01.Recurso Estatal'!Y17+'02. ingresos propios'!X16</f>
        <v>0</v>
      </c>
      <c r="Y21" s="139">
        <f>+'01.Recurso Estatal'!Z17+'02. ingresos propios'!Y16</f>
        <v>0</v>
      </c>
      <c r="Z21" s="139">
        <f>+'01.Recurso Estatal'!AA17+'02. ingresos propios'!Z16</f>
        <v>0</v>
      </c>
      <c r="AA21" s="407"/>
    </row>
    <row r="22" spans="1:27" s="17" customFormat="1" x14ac:dyDescent="0.2">
      <c r="A22" s="21" t="s">
        <v>17</v>
      </c>
      <c r="B22" s="21" t="s">
        <v>18</v>
      </c>
      <c r="C22" s="21" t="s">
        <v>19</v>
      </c>
      <c r="D22" s="21" t="s">
        <v>42</v>
      </c>
      <c r="E22" s="21" t="s">
        <v>43</v>
      </c>
      <c r="F22" s="21" t="s">
        <v>41</v>
      </c>
      <c r="G22" s="72">
        <v>1611</v>
      </c>
      <c r="H22" s="42">
        <v>0</v>
      </c>
      <c r="I22" s="158" t="s">
        <v>123</v>
      </c>
      <c r="J22" s="139">
        <f>+'01.Recurso Estatal'!J18+'02. ingresos propios'!J19+Remanentes!J18</f>
        <v>439429.34</v>
      </c>
      <c r="K22" s="139">
        <f>+'01.Recurso Estatal'!K18+'02. ingresos propios'!K19+Remanentes!K18</f>
        <v>437762.25</v>
      </c>
      <c r="L22" s="139">
        <f>+'01.Recurso Estatal'!L18+'02. ingresos propios'!L19+Remanentes!L18</f>
        <v>0</v>
      </c>
      <c r="M22" s="139">
        <f t="shared" si="0"/>
        <v>1667.0900000000256</v>
      </c>
      <c r="N22" s="139">
        <f t="shared" si="1"/>
        <v>0</v>
      </c>
      <c r="O22" s="139">
        <f>+'01.Recurso Estatal'!P18+'02. ingresos propios'!O18</f>
        <v>0</v>
      </c>
      <c r="P22" s="139">
        <f>+'01.Recurso Estatal'!Q18+'02. ingresos propios'!P18</f>
        <v>0</v>
      </c>
      <c r="Q22" s="139">
        <f>+'01.Recurso Estatal'!R18+'02. ingresos propios'!Q18</f>
        <v>0</v>
      </c>
      <c r="R22" s="139">
        <f>+'01.Recurso Estatal'!S18+'02. ingresos propios'!R18</f>
        <v>0</v>
      </c>
      <c r="S22" s="139">
        <f>+'01.Recurso Estatal'!T18+'02. ingresos propios'!S18</f>
        <v>0</v>
      </c>
      <c r="T22" s="139">
        <f>+'01.Recurso Estatal'!U18+'02. ingresos propios'!T18</f>
        <v>0</v>
      </c>
      <c r="U22" s="139">
        <f>+'01.Recurso Estatal'!V18+'02. ingresos propios'!U18</f>
        <v>0</v>
      </c>
      <c r="V22" s="139">
        <f>+'01.Recurso Estatal'!W18+'02. ingresos propios'!V18</f>
        <v>0</v>
      </c>
      <c r="W22" s="139">
        <f>+'01.Recurso Estatal'!X18+'02. ingresos propios'!W18</f>
        <v>0</v>
      </c>
      <c r="X22" s="139">
        <f>+'01.Recurso Estatal'!Y18+'02. ingresos propios'!X18</f>
        <v>0</v>
      </c>
      <c r="Y22" s="139">
        <f>+'01.Recurso Estatal'!Z18+'02. ingresos propios'!Y18</f>
        <v>0</v>
      </c>
      <c r="Z22" s="139">
        <f>+'01.Recurso Estatal'!AA18+'02. ingresos propios'!Z18</f>
        <v>0</v>
      </c>
      <c r="AA22" s="407"/>
    </row>
    <row r="23" spans="1:27" s="17" customFormat="1" x14ac:dyDescent="0.2">
      <c r="A23" s="21"/>
      <c r="B23" s="21"/>
      <c r="C23" s="21"/>
      <c r="D23" s="21"/>
      <c r="E23" s="21"/>
      <c r="F23" s="21"/>
      <c r="G23" s="72">
        <v>1612</v>
      </c>
      <c r="H23" s="42">
        <v>0</v>
      </c>
      <c r="I23" s="158" t="s">
        <v>154</v>
      </c>
      <c r="J23" s="139">
        <f>+'01.Recurso Estatal'!J19+'02. ingresos propios'!J20</f>
        <v>235962.91999999998</v>
      </c>
      <c r="K23" s="139">
        <f>+'01.Recurso Estatal'!K19+'02. ingresos propios'!K20+Remanentes!K19</f>
        <v>0</v>
      </c>
      <c r="L23" s="139">
        <f>+'01.Recurso Estatal'!L19+'02. ingresos propios'!L20+Remanentes!L19</f>
        <v>0</v>
      </c>
      <c r="M23" s="139">
        <f t="shared" si="0"/>
        <v>235962.91999999998</v>
      </c>
      <c r="N23" s="139">
        <f t="shared" si="1"/>
        <v>104774.01</v>
      </c>
      <c r="O23" s="139">
        <f>+'01.Recurso Estatal'!P19+'02. ingresos propios'!O19</f>
        <v>0</v>
      </c>
      <c r="P23" s="139">
        <f>+'01.Recurso Estatal'!Q19+'02. ingresos propios'!P19</f>
        <v>0</v>
      </c>
      <c r="Q23" s="139">
        <f>+'01.Recurso Estatal'!R19+'02. ingresos propios'!Q19</f>
        <v>104774.01</v>
      </c>
      <c r="R23" s="139">
        <f>+'01.Recurso Estatal'!S19+'02. ingresos propios'!R19</f>
        <v>0</v>
      </c>
      <c r="S23" s="139">
        <f>+'01.Recurso Estatal'!T19+'02. ingresos propios'!S19</f>
        <v>0</v>
      </c>
      <c r="T23" s="139">
        <f>+'01.Recurso Estatal'!U19+'02. ingresos propios'!T19</f>
        <v>0</v>
      </c>
      <c r="U23" s="139">
        <f>+'01.Recurso Estatal'!V19+'02. ingresos propios'!U19</f>
        <v>0</v>
      </c>
      <c r="V23" s="139">
        <f>+'01.Recurso Estatal'!W19+'02. ingresos propios'!V19</f>
        <v>0</v>
      </c>
      <c r="W23" s="139">
        <f>+'01.Recurso Estatal'!X19+'02. ingresos propios'!W19</f>
        <v>0</v>
      </c>
      <c r="X23" s="139">
        <f>+'01.Recurso Estatal'!Y19+'02. ingresos propios'!X19</f>
        <v>0</v>
      </c>
      <c r="Y23" s="139">
        <f>+'01.Recurso Estatal'!Z19+'02. ingresos propios'!Y19</f>
        <v>0</v>
      </c>
      <c r="Z23" s="139">
        <f>+'01.Recurso Estatal'!AA19+'02. ingresos propios'!Z19</f>
        <v>0</v>
      </c>
      <c r="AA23" s="407"/>
    </row>
    <row r="24" spans="1:27" s="17" customFormat="1" x14ac:dyDescent="0.2">
      <c r="A24" s="21" t="s">
        <v>17</v>
      </c>
      <c r="B24" s="21" t="s">
        <v>18</v>
      </c>
      <c r="C24" s="21" t="s">
        <v>19</v>
      </c>
      <c r="D24" s="21" t="s">
        <v>42</v>
      </c>
      <c r="E24" s="21" t="s">
        <v>43</v>
      </c>
      <c r="F24" s="31" t="s">
        <v>41</v>
      </c>
      <c r="G24" s="72">
        <v>1712</v>
      </c>
      <c r="H24" s="42">
        <v>0</v>
      </c>
      <c r="I24" s="97" t="s">
        <v>124</v>
      </c>
      <c r="J24" s="139">
        <f>+'01.Recurso Estatal'!J20+'02. ingresos propios'!J21</f>
        <v>403660.92</v>
      </c>
      <c r="K24" s="139">
        <f>+'01.Recurso Estatal'!K20+'02. ingresos propios'!K20</f>
        <v>0</v>
      </c>
      <c r="L24" s="139">
        <f>+'01.Recurso Estatal'!L20+'02. ingresos propios'!L20</f>
        <v>0</v>
      </c>
      <c r="M24" s="139">
        <f t="shared" si="0"/>
        <v>403660.92</v>
      </c>
      <c r="N24" s="139">
        <f t="shared" si="1"/>
        <v>298338.97000000003</v>
      </c>
      <c r="O24" s="139">
        <f>+'01.Recurso Estatal'!P20+'02. ingresos propios'!O20</f>
        <v>33360.800000000003</v>
      </c>
      <c r="P24" s="139">
        <f>+'01.Recurso Estatal'!Q20+'02. ingresos propios'!P20</f>
        <v>33083.18</v>
      </c>
      <c r="Q24" s="139">
        <f>+'01.Recurso Estatal'!R20+'02. ingresos propios'!Q20</f>
        <v>33083.18</v>
      </c>
      <c r="R24" s="139">
        <f>+'01.Recurso Estatal'!S20+'02. ingresos propios'!R20</f>
        <v>33194.22</v>
      </c>
      <c r="S24" s="139">
        <f>+'01.Recurso Estatal'!T20+'02. ingresos propios'!S20</f>
        <v>33368.07</v>
      </c>
      <c r="T24" s="139">
        <f>+'01.Recurso Estatal'!U20+'02. ingresos propios'!T20</f>
        <v>33062.379999999997</v>
      </c>
      <c r="U24" s="139">
        <f>+'01.Recurso Estatal'!V20+'02. ingresos propios'!U20</f>
        <v>33062.379999999997</v>
      </c>
      <c r="V24" s="139">
        <f>+'01.Recurso Estatal'!W20+'02. ingresos propios'!V20</f>
        <v>33062.379999999997</v>
      </c>
      <c r="W24" s="139">
        <f>+'01.Recurso Estatal'!X20+'02. ingresos propios'!W20</f>
        <v>33062.379999999997</v>
      </c>
      <c r="X24" s="139">
        <f>+'01.Recurso Estatal'!Y20+'02. ingresos propios'!X20</f>
        <v>0</v>
      </c>
      <c r="Y24" s="139">
        <f>+'01.Recurso Estatal'!Z20+'02. ingresos propios'!Y20</f>
        <v>0</v>
      </c>
      <c r="Z24" s="139">
        <f>+'01.Recurso Estatal'!AA20+'02. ingresos propios'!Z20</f>
        <v>0</v>
      </c>
      <c r="AA24" s="407"/>
    </row>
    <row r="25" spans="1:27" s="11" customFormat="1" x14ac:dyDescent="0.2">
      <c r="A25" s="31" t="s">
        <v>17</v>
      </c>
      <c r="B25" s="31" t="s">
        <v>18</v>
      </c>
      <c r="C25" s="31" t="s">
        <v>19</v>
      </c>
      <c r="D25" s="31" t="s">
        <v>42</v>
      </c>
      <c r="E25" s="31" t="s">
        <v>43</v>
      </c>
      <c r="F25" s="112" t="s">
        <v>41</v>
      </c>
      <c r="G25" s="72">
        <v>1713</v>
      </c>
      <c r="H25" s="42">
        <v>0</v>
      </c>
      <c r="I25" s="97" t="s">
        <v>125</v>
      </c>
      <c r="J25" s="139">
        <f>+'01.Recurso Estatal'!J21+'02. ingresos propios'!J22</f>
        <v>212600.28</v>
      </c>
      <c r="K25" s="139">
        <f>+'01.Recurso Estatal'!K21+'02. ingresos propios'!K21</f>
        <v>0</v>
      </c>
      <c r="L25" s="139">
        <f>+'01.Recurso Estatal'!L21+'02. ingresos propios'!L21</f>
        <v>0</v>
      </c>
      <c r="M25" s="139">
        <f t="shared" si="0"/>
        <v>212600.28</v>
      </c>
      <c r="N25" s="139">
        <f t="shared" si="1"/>
        <v>157397.6</v>
      </c>
      <c r="O25" s="139">
        <f>+'01.Recurso Estatal'!P21+'02. ingresos propios'!O21</f>
        <v>17588.03</v>
      </c>
      <c r="P25" s="139">
        <f>+'01.Recurso Estatal'!Q21+'02. ingresos propios'!P21</f>
        <v>17459.36</v>
      </c>
      <c r="Q25" s="139">
        <f>+'01.Recurso Estatal'!R21+'02. ingresos propios'!Q21</f>
        <v>17459.36</v>
      </c>
      <c r="R25" s="139">
        <f>+'01.Recurso Estatal'!S21+'02. ingresos propios'!R21</f>
        <v>17510.82</v>
      </c>
      <c r="S25" s="139">
        <f>+'01.Recurso Estatal'!T21+'02. ingresos propios'!S21</f>
        <v>17634.11</v>
      </c>
      <c r="T25" s="139">
        <f>+'01.Recurso Estatal'!U21+'02. ingresos propios'!T21</f>
        <v>17436.48</v>
      </c>
      <c r="U25" s="139">
        <f>+'01.Recurso Estatal'!V21+'02. ingresos propios'!U21</f>
        <v>17436.48</v>
      </c>
      <c r="V25" s="139">
        <f>+'01.Recurso Estatal'!W21+'02. ingresos propios'!V21</f>
        <v>17436.48</v>
      </c>
      <c r="W25" s="139">
        <f>+'01.Recurso Estatal'!X21+'02. ingresos propios'!W21</f>
        <v>17436.48</v>
      </c>
      <c r="X25" s="139">
        <f>+'01.Recurso Estatal'!Y21+'02. ingresos propios'!X21</f>
        <v>0</v>
      </c>
      <c r="Y25" s="139">
        <f>+'01.Recurso Estatal'!Z21+'02. ingresos propios'!Y21</f>
        <v>0</v>
      </c>
      <c r="Z25" s="139">
        <f>+'01.Recurso Estatal'!AA21+'02. ingresos propios'!Z21</f>
        <v>0</v>
      </c>
      <c r="AA25" s="407"/>
    </row>
    <row r="26" spans="1:27" s="17" customFormat="1" x14ac:dyDescent="0.2">
      <c r="A26" s="21" t="s">
        <v>17</v>
      </c>
      <c r="B26" s="21" t="s">
        <v>18</v>
      </c>
      <c r="C26" s="21" t="s">
        <v>19</v>
      </c>
      <c r="D26" s="21" t="s">
        <v>42</v>
      </c>
      <c r="E26" s="21" t="s">
        <v>43</v>
      </c>
      <c r="F26" s="21" t="s">
        <v>41</v>
      </c>
      <c r="G26" s="72">
        <v>1715</v>
      </c>
      <c r="H26" s="42">
        <v>0</v>
      </c>
      <c r="I26" s="97" t="s">
        <v>137</v>
      </c>
      <c r="J26" s="139">
        <f>+'01.Recurso Estatal'!J22+'02. ingresos propios'!J23</f>
        <v>335160.5</v>
      </c>
      <c r="K26" s="139">
        <f>+'01.Recurso Estatal'!K22+'02. ingresos propios'!K23+Remanentes!K20</f>
        <v>0</v>
      </c>
      <c r="L26" s="139">
        <f>+'01.Recurso Estatal'!L22+'02. ingresos propios'!L23+Remanentes!L20</f>
        <v>12549.67</v>
      </c>
      <c r="M26" s="139">
        <f t="shared" si="0"/>
        <v>347710.17</v>
      </c>
      <c r="N26" s="139">
        <f>SUM(O26:Z26)</f>
        <v>329100.77</v>
      </c>
      <c r="O26" s="139">
        <f>+'01.Recurso Estatal'!P22+'02. ingresos propios'!O23+Remanentes!O20</f>
        <v>0</v>
      </c>
      <c r="P26" s="139">
        <f>+'01.Recurso Estatal'!Q22+'02. ingresos propios'!P23+Remanentes!P20</f>
        <v>0</v>
      </c>
      <c r="Q26" s="139">
        <f>+'01.Recurso Estatal'!R22+'02. ingresos propios'!Q23+Remanentes!Q20</f>
        <v>0</v>
      </c>
      <c r="R26" s="139">
        <f>+'01.Recurso Estatal'!S22+'02. ingresos propios'!R23+Remanentes!R20</f>
        <v>0</v>
      </c>
      <c r="S26" s="139">
        <f>+'01.Recurso Estatal'!T22+'02. ingresos propios'!S23+Remanentes!S20</f>
        <v>0</v>
      </c>
      <c r="T26" s="139">
        <f>+'01.Recurso Estatal'!U22+'02. ingresos propios'!T23+Remanentes!T20</f>
        <v>0</v>
      </c>
      <c r="U26" s="139">
        <f>+'01.Recurso Estatal'!V22+'02. ingresos propios'!U23+Remanentes!U20</f>
        <v>0</v>
      </c>
      <c r="V26" s="139">
        <f>+'01.Recurso Estatal'!W22+'02. ingresos propios'!V23+Remanentes!V20</f>
        <v>0</v>
      </c>
      <c r="W26" s="139">
        <f>+'01.Recurso Estatal'!X22+'02. ingresos propios'!W23+Remanentes!W20</f>
        <v>329100.77</v>
      </c>
      <c r="X26" s="139">
        <f>+'01.Recurso Estatal'!Y22+'02. ingresos propios'!X23</f>
        <v>0</v>
      </c>
      <c r="Y26" s="139">
        <f>+'01.Recurso Estatal'!Z22+'02. ingresos propios'!Y23</f>
        <v>0</v>
      </c>
      <c r="Z26" s="139">
        <f>+'01.Recurso Estatal'!AA22+'02. ingresos propios'!Z23</f>
        <v>0</v>
      </c>
      <c r="AA26" s="407"/>
    </row>
    <row r="27" spans="1:27" s="25" customFormat="1" x14ac:dyDescent="0.2">
      <c r="A27" s="22"/>
      <c r="B27" s="22"/>
      <c r="C27" s="22"/>
      <c r="D27" s="33"/>
      <c r="E27" s="22"/>
      <c r="F27" s="22"/>
      <c r="G27" s="22"/>
      <c r="H27" s="22"/>
      <c r="I27" s="92" t="s">
        <v>2</v>
      </c>
      <c r="J27" s="73">
        <f>SUM(J14:J26)</f>
        <v>14238663.58</v>
      </c>
      <c r="K27" s="73">
        <f t="shared" ref="K27:Z27" si="2">SUM(K14:K26)</f>
        <v>437762.25</v>
      </c>
      <c r="L27" s="73">
        <f t="shared" si="2"/>
        <v>437762.25</v>
      </c>
      <c r="M27" s="73">
        <f t="shared" ref="M27:T27" si="3">SUM(M14:M26)</f>
        <v>14238663.58</v>
      </c>
      <c r="N27" s="241">
        <f>SUM(N14:N26)</f>
        <v>10095257.080999998</v>
      </c>
      <c r="O27" s="73">
        <f t="shared" si="3"/>
        <v>974631.69000000018</v>
      </c>
      <c r="P27" s="73">
        <f t="shared" si="3"/>
        <v>956196.27</v>
      </c>
      <c r="Q27" s="73">
        <f t="shared" si="3"/>
        <v>1656697.3299999998</v>
      </c>
      <c r="R27" s="73">
        <f t="shared" si="3"/>
        <v>1053684.01</v>
      </c>
      <c r="S27" s="73">
        <f t="shared" si="3"/>
        <v>994407.57099999988</v>
      </c>
      <c r="T27" s="73">
        <f t="shared" si="3"/>
        <v>1028284.38</v>
      </c>
      <c r="U27" s="73">
        <f t="shared" si="2"/>
        <v>995363.27</v>
      </c>
      <c r="V27" s="73">
        <f t="shared" si="2"/>
        <v>1105694.8299999998</v>
      </c>
      <c r="W27" s="73">
        <f t="shared" si="2"/>
        <v>1330297.73</v>
      </c>
      <c r="X27" s="73">
        <f t="shared" si="2"/>
        <v>0</v>
      </c>
      <c r="Y27" s="73">
        <f t="shared" si="2"/>
        <v>0</v>
      </c>
      <c r="Z27" s="73">
        <f t="shared" si="2"/>
        <v>0</v>
      </c>
      <c r="AA27" s="409"/>
    </row>
    <row r="28" spans="1:27" s="11" customFormat="1" x14ac:dyDescent="0.2">
      <c r="A28" s="21" t="s">
        <v>17</v>
      </c>
      <c r="B28" s="21" t="s">
        <v>18</v>
      </c>
      <c r="C28" s="21" t="s">
        <v>19</v>
      </c>
      <c r="D28" s="21" t="s">
        <v>42</v>
      </c>
      <c r="E28" s="21" t="s">
        <v>43</v>
      </c>
      <c r="F28" s="21" t="s">
        <v>41</v>
      </c>
      <c r="G28" s="72">
        <v>2111</v>
      </c>
      <c r="H28" s="42">
        <v>0</v>
      </c>
      <c r="I28" s="97" t="s">
        <v>73</v>
      </c>
      <c r="J28" s="139">
        <f>+'01.Recurso Estatal'!J24</f>
        <v>60000</v>
      </c>
      <c r="K28" s="139">
        <f>+'01.Recurso Estatal'!K24</f>
        <v>0</v>
      </c>
      <c r="L28" s="139">
        <f>+'01.Recurso Estatal'!L24</f>
        <v>0</v>
      </c>
      <c r="M28" s="139">
        <f>+J28-K28+L28</f>
        <v>60000</v>
      </c>
      <c r="N28" s="139">
        <f>SUM(O28:Z28)</f>
        <v>52841.780000000006</v>
      </c>
      <c r="O28" s="139">
        <f>+'01.Recurso Estatal'!P24</f>
        <v>904.8</v>
      </c>
      <c r="P28" s="139">
        <f>+'01.Recurso Estatal'!Q24</f>
        <v>0</v>
      </c>
      <c r="Q28" s="139">
        <f>+'01.Recurso Estatal'!R24</f>
        <v>6038.8</v>
      </c>
      <c r="R28" s="139">
        <f>+'01.Recurso Estatal'!S24</f>
        <v>292.49</v>
      </c>
      <c r="S28" s="139">
        <f>+'01.Recurso Estatal'!T24</f>
        <v>200</v>
      </c>
      <c r="T28" s="139">
        <f>+'01.Recurso Estatal'!U24</f>
        <v>114</v>
      </c>
      <c r="U28" s="139">
        <f>+'01.Recurso Estatal'!V24</f>
        <v>37849.57</v>
      </c>
      <c r="V28" s="139">
        <f>+'01.Recurso Estatal'!W24</f>
        <v>7337.72</v>
      </c>
      <c r="W28" s="139">
        <f>+'01.Recurso Estatal'!X24</f>
        <v>104.4</v>
      </c>
      <c r="X28" s="139">
        <f>+'01.Recurso Estatal'!Y24</f>
        <v>0</v>
      </c>
      <c r="Y28" s="139">
        <f>+'01.Recurso Estatal'!Z24</f>
        <v>0</v>
      </c>
      <c r="Z28" s="139">
        <f>+'01.Recurso Estatal'!AA24</f>
        <v>0</v>
      </c>
      <c r="AA28" s="407"/>
    </row>
    <row r="29" spans="1:27" s="11" customFormat="1" x14ac:dyDescent="0.2">
      <c r="A29" s="21" t="s">
        <v>17</v>
      </c>
      <c r="B29" s="21" t="s">
        <v>18</v>
      </c>
      <c r="C29" s="21" t="s">
        <v>19</v>
      </c>
      <c r="D29" s="21" t="s">
        <v>42</v>
      </c>
      <c r="E29" s="21" t="s">
        <v>43</v>
      </c>
      <c r="F29" s="21" t="s">
        <v>41</v>
      </c>
      <c r="G29" s="72">
        <v>2121</v>
      </c>
      <c r="H29" s="42">
        <v>0</v>
      </c>
      <c r="I29" s="97" t="s">
        <v>106</v>
      </c>
      <c r="J29" s="139">
        <f>'01.Recurso Estatal'!J25</f>
        <v>60000</v>
      </c>
      <c r="K29" s="139">
        <f>'01.Recurso Estatal'!K25</f>
        <v>0</v>
      </c>
      <c r="L29" s="139">
        <f>'01.Recurso Estatal'!L25</f>
        <v>0</v>
      </c>
      <c r="M29" s="139">
        <f t="shared" ref="M29:M47" si="4">+J29-K29+L29</f>
        <v>60000</v>
      </c>
      <c r="N29" s="139">
        <f t="shared" ref="N29:N46" si="5">SUM(O29:Z29)</f>
        <v>46941.53</v>
      </c>
      <c r="O29" s="139">
        <f>'01.Recurso Estatal'!P25</f>
        <v>0</v>
      </c>
      <c r="P29" s="139">
        <f>'01.Recurso Estatal'!Q25</f>
        <v>0</v>
      </c>
      <c r="Q29" s="139">
        <f>'01.Recurso Estatal'!R25</f>
        <v>0</v>
      </c>
      <c r="R29" s="139">
        <f>'01.Recurso Estatal'!S25</f>
        <v>0</v>
      </c>
      <c r="S29" s="139">
        <f>'01.Recurso Estatal'!T25</f>
        <v>0</v>
      </c>
      <c r="T29" s="139">
        <f>'01.Recurso Estatal'!U25</f>
        <v>35770.92</v>
      </c>
      <c r="U29" s="139">
        <f>'01.Recurso Estatal'!V25</f>
        <v>0</v>
      </c>
      <c r="V29" s="139">
        <f>'01.Recurso Estatal'!W25</f>
        <v>11170.61</v>
      </c>
      <c r="W29" s="139">
        <f>'01.Recurso Estatal'!X25</f>
        <v>0</v>
      </c>
      <c r="X29" s="139">
        <f>'01.Recurso Estatal'!Y25</f>
        <v>0</v>
      </c>
      <c r="Y29" s="139">
        <f>'01.Recurso Estatal'!Z25</f>
        <v>0</v>
      </c>
      <c r="Z29" s="139">
        <f>'01.Recurso Estatal'!AA25</f>
        <v>0</v>
      </c>
      <c r="AA29" s="407"/>
    </row>
    <row r="30" spans="1:27" s="11" customFormat="1" x14ac:dyDescent="0.2">
      <c r="A30" s="21" t="s">
        <v>17</v>
      </c>
      <c r="B30" s="21" t="s">
        <v>18</v>
      </c>
      <c r="C30" s="21" t="s">
        <v>19</v>
      </c>
      <c r="D30" s="21" t="s">
        <v>42</v>
      </c>
      <c r="E30" s="21" t="s">
        <v>43</v>
      </c>
      <c r="F30" s="21" t="s">
        <v>41</v>
      </c>
      <c r="G30" s="72">
        <v>2141</v>
      </c>
      <c r="H30" s="42">
        <v>0</v>
      </c>
      <c r="I30" s="97" t="s">
        <v>74</v>
      </c>
      <c r="J30" s="139">
        <f>'01.Recurso Estatal'!J26</f>
        <v>10000</v>
      </c>
      <c r="K30" s="139">
        <f>'01.Recurso Estatal'!K26</f>
        <v>0</v>
      </c>
      <c r="L30" s="139">
        <f>'01.Recurso Estatal'!L26</f>
        <v>0</v>
      </c>
      <c r="M30" s="139">
        <f t="shared" si="4"/>
        <v>10000</v>
      </c>
      <c r="N30" s="139">
        <f t="shared" si="5"/>
        <v>331</v>
      </c>
      <c r="O30" s="139">
        <f>'01.Recurso Estatal'!P26</f>
        <v>0</v>
      </c>
      <c r="P30" s="139">
        <f>'01.Recurso Estatal'!Q26</f>
        <v>0</v>
      </c>
      <c r="Q30" s="139">
        <f>'01.Recurso Estatal'!R26</f>
        <v>331</v>
      </c>
      <c r="R30" s="139">
        <f>'01.Recurso Estatal'!S26</f>
        <v>0</v>
      </c>
      <c r="S30" s="139">
        <f>'01.Recurso Estatal'!T26</f>
        <v>0</v>
      </c>
      <c r="T30" s="139">
        <f>'01.Recurso Estatal'!U26</f>
        <v>0</v>
      </c>
      <c r="U30" s="139">
        <f>'01.Recurso Estatal'!V26</f>
        <v>0</v>
      </c>
      <c r="V30" s="139">
        <f>'01.Recurso Estatal'!W26</f>
        <v>0</v>
      </c>
      <c r="W30" s="139">
        <f>'01.Recurso Estatal'!X26</f>
        <v>0</v>
      </c>
      <c r="X30" s="139">
        <f>'01.Recurso Estatal'!Y26</f>
        <v>0</v>
      </c>
      <c r="Y30" s="139">
        <f>'01.Recurso Estatal'!Z26</f>
        <v>0</v>
      </c>
      <c r="Z30" s="139">
        <f>'01.Recurso Estatal'!AA26</f>
        <v>0</v>
      </c>
      <c r="AA30" s="407"/>
    </row>
    <row r="31" spans="1:27" s="11" customFormat="1" x14ac:dyDescent="0.2">
      <c r="A31" s="21" t="s">
        <v>17</v>
      </c>
      <c r="B31" s="21" t="s">
        <v>18</v>
      </c>
      <c r="C31" s="21" t="s">
        <v>19</v>
      </c>
      <c r="D31" s="21" t="s">
        <v>42</v>
      </c>
      <c r="E31" s="21" t="s">
        <v>43</v>
      </c>
      <c r="F31" s="21" t="s">
        <v>41</v>
      </c>
      <c r="G31" s="72">
        <v>2161</v>
      </c>
      <c r="H31" s="42">
        <v>0</v>
      </c>
      <c r="I31" s="97" t="s">
        <v>55</v>
      </c>
      <c r="J31" s="139">
        <f>'01.Recurso Estatal'!J27</f>
        <v>40000</v>
      </c>
      <c r="K31" s="139">
        <f>'01.Recurso Estatal'!K27</f>
        <v>0</v>
      </c>
      <c r="L31" s="139">
        <f>'01.Recurso Estatal'!L27</f>
        <v>0</v>
      </c>
      <c r="M31" s="139">
        <f t="shared" si="4"/>
        <v>40000</v>
      </c>
      <c r="N31" s="139">
        <f t="shared" si="5"/>
        <v>36010.15</v>
      </c>
      <c r="O31" s="139">
        <f>'01.Recurso Estatal'!P27</f>
        <v>0</v>
      </c>
      <c r="P31" s="139">
        <f>'01.Recurso Estatal'!Q27</f>
        <v>0</v>
      </c>
      <c r="Q31" s="139">
        <f>'01.Recurso Estatal'!R27</f>
        <v>5664.72</v>
      </c>
      <c r="R31" s="139">
        <f>'01.Recurso Estatal'!S27</f>
        <v>0</v>
      </c>
      <c r="S31" s="139">
        <f>'01.Recurso Estatal'!T27</f>
        <v>0</v>
      </c>
      <c r="T31" s="139">
        <f>'01.Recurso Estatal'!U27</f>
        <v>0</v>
      </c>
      <c r="U31" s="139">
        <f>'01.Recurso Estatal'!V27</f>
        <v>0</v>
      </c>
      <c r="V31" s="139">
        <f>'01.Recurso Estatal'!W27</f>
        <v>0</v>
      </c>
      <c r="W31" s="139">
        <f>'01.Recurso Estatal'!X27</f>
        <v>30345.43</v>
      </c>
      <c r="X31" s="139">
        <f>'01.Recurso Estatal'!Y27</f>
        <v>0</v>
      </c>
      <c r="Y31" s="139">
        <f>'01.Recurso Estatal'!Z27</f>
        <v>0</v>
      </c>
      <c r="Z31" s="139">
        <f>'01.Recurso Estatal'!AA27</f>
        <v>0</v>
      </c>
      <c r="AA31" s="407"/>
    </row>
    <row r="32" spans="1:27" s="11" customFormat="1" x14ac:dyDescent="0.2">
      <c r="A32" s="21" t="s">
        <v>17</v>
      </c>
      <c r="B32" s="21" t="s">
        <v>18</v>
      </c>
      <c r="C32" s="21" t="s">
        <v>19</v>
      </c>
      <c r="D32" s="21" t="s">
        <v>42</v>
      </c>
      <c r="E32" s="21" t="s">
        <v>43</v>
      </c>
      <c r="F32" s="21" t="s">
        <v>41</v>
      </c>
      <c r="G32" s="72">
        <v>2171</v>
      </c>
      <c r="H32" s="42">
        <v>0</v>
      </c>
      <c r="I32" s="97" t="s">
        <v>97</v>
      </c>
      <c r="J32" s="139">
        <f>'01.Recurso Estatal'!J28</f>
        <v>1500</v>
      </c>
      <c r="K32" s="139">
        <f>'01.Recurso Estatal'!K28</f>
        <v>0</v>
      </c>
      <c r="L32" s="139">
        <f>'01.Recurso Estatal'!L28</f>
        <v>0</v>
      </c>
      <c r="M32" s="139">
        <f t="shared" si="4"/>
        <v>1500</v>
      </c>
      <c r="N32" s="139">
        <f t="shared" si="5"/>
        <v>674.42</v>
      </c>
      <c r="O32" s="139">
        <f>'01.Recurso Estatal'!P28</f>
        <v>0</v>
      </c>
      <c r="P32" s="139">
        <f>'01.Recurso Estatal'!Q28</f>
        <v>0</v>
      </c>
      <c r="Q32" s="139">
        <f>'01.Recurso Estatal'!R28</f>
        <v>0</v>
      </c>
      <c r="R32" s="139">
        <f>'01.Recurso Estatal'!S28</f>
        <v>0</v>
      </c>
      <c r="S32" s="139">
        <f>'01.Recurso Estatal'!T28</f>
        <v>0</v>
      </c>
      <c r="T32" s="139">
        <f>'01.Recurso Estatal'!U28</f>
        <v>0</v>
      </c>
      <c r="U32" s="139">
        <f>'01.Recurso Estatal'!V28</f>
        <v>674.42</v>
      </c>
      <c r="V32" s="139">
        <f>'01.Recurso Estatal'!W28</f>
        <v>0</v>
      </c>
      <c r="W32" s="139">
        <f>'01.Recurso Estatal'!X28</f>
        <v>0</v>
      </c>
      <c r="X32" s="139">
        <f>'01.Recurso Estatal'!Y28</f>
        <v>0</v>
      </c>
      <c r="Y32" s="139">
        <f>'01.Recurso Estatal'!Z28</f>
        <v>0</v>
      </c>
      <c r="Z32" s="139">
        <f>'01.Recurso Estatal'!AA28</f>
        <v>0</v>
      </c>
      <c r="AA32" s="407"/>
    </row>
    <row r="33" spans="1:27" s="11" customFormat="1" x14ac:dyDescent="0.2">
      <c r="A33" s="21" t="s">
        <v>17</v>
      </c>
      <c r="B33" s="21" t="s">
        <v>18</v>
      </c>
      <c r="C33" s="21" t="s">
        <v>19</v>
      </c>
      <c r="D33" s="21" t="s">
        <v>42</v>
      </c>
      <c r="E33" s="21" t="s">
        <v>43</v>
      </c>
      <c r="F33" s="21" t="s">
        <v>41</v>
      </c>
      <c r="G33" s="72">
        <v>2214</v>
      </c>
      <c r="H33" s="42">
        <v>0</v>
      </c>
      <c r="I33" s="97" t="s">
        <v>75</v>
      </c>
      <c r="J33" s="139">
        <f>'01.Recurso Estatal'!J29</f>
        <v>36000</v>
      </c>
      <c r="K33" s="139">
        <f>'01.Recurso Estatal'!K29</f>
        <v>0</v>
      </c>
      <c r="L33" s="139">
        <f>'01.Recurso Estatal'!L29</f>
        <v>0</v>
      </c>
      <c r="M33" s="139">
        <f t="shared" si="4"/>
        <v>36000</v>
      </c>
      <c r="N33" s="113">
        <f t="shared" si="5"/>
        <v>25791.449999999997</v>
      </c>
      <c r="O33" s="139">
        <f>'01.Recurso Estatal'!P29</f>
        <v>819</v>
      </c>
      <c r="P33" s="139">
        <f>'01.Recurso Estatal'!Q29</f>
        <v>1689.1</v>
      </c>
      <c r="Q33" s="139">
        <f>'01.Recurso Estatal'!R29</f>
        <v>5690.33</v>
      </c>
      <c r="R33" s="139">
        <f>'01.Recurso Estatal'!S29</f>
        <v>4435.3</v>
      </c>
      <c r="S33" s="139">
        <f>'01.Recurso Estatal'!T29</f>
        <v>1600.39</v>
      </c>
      <c r="T33" s="139">
        <f>'01.Recurso Estatal'!U29</f>
        <v>2462.21</v>
      </c>
      <c r="U33" s="139">
        <f>'01.Recurso Estatal'!V29</f>
        <v>3266.25</v>
      </c>
      <c r="V33" s="139">
        <f>'01.Recurso Estatal'!W29</f>
        <v>4524.87</v>
      </c>
      <c r="W33" s="139">
        <f>'01.Recurso Estatal'!X29</f>
        <v>1304</v>
      </c>
      <c r="X33" s="139">
        <f>'01.Recurso Estatal'!Y29</f>
        <v>0</v>
      </c>
      <c r="Y33" s="139">
        <f>'01.Recurso Estatal'!Z29</f>
        <v>0</v>
      </c>
      <c r="Z33" s="139">
        <f>'01.Recurso Estatal'!AA29</f>
        <v>0</v>
      </c>
      <c r="AA33" s="407"/>
    </row>
    <row r="34" spans="1:27" s="11" customFormat="1" x14ac:dyDescent="0.2">
      <c r="A34" s="21" t="s">
        <v>17</v>
      </c>
      <c r="B34" s="21" t="s">
        <v>18</v>
      </c>
      <c r="C34" s="21" t="s">
        <v>19</v>
      </c>
      <c r="D34" s="21" t="s">
        <v>42</v>
      </c>
      <c r="E34" s="21" t="s">
        <v>43</v>
      </c>
      <c r="F34" s="21" t="s">
        <v>41</v>
      </c>
      <c r="G34" s="72">
        <v>2231</v>
      </c>
      <c r="H34" s="42">
        <v>0</v>
      </c>
      <c r="I34" s="97" t="s">
        <v>107</v>
      </c>
      <c r="J34" s="139">
        <f>'01.Recurso Estatal'!J30</f>
        <v>1500</v>
      </c>
      <c r="K34" s="139">
        <f>'01.Recurso Estatal'!K30</f>
        <v>0</v>
      </c>
      <c r="L34" s="139">
        <f>'01.Recurso Estatal'!L30</f>
        <v>0</v>
      </c>
      <c r="M34" s="139">
        <f t="shared" si="4"/>
        <v>1500</v>
      </c>
      <c r="N34" s="139">
        <f t="shared" si="5"/>
        <v>294.39999999999998</v>
      </c>
      <c r="O34" s="139">
        <f>'01.Recurso Estatal'!P30</f>
        <v>0</v>
      </c>
      <c r="P34" s="139">
        <f>'01.Recurso Estatal'!Q30</f>
        <v>46.4</v>
      </c>
      <c r="Q34" s="139">
        <f>'01.Recurso Estatal'!R30</f>
        <v>0</v>
      </c>
      <c r="R34" s="139">
        <f>'01.Recurso Estatal'!S30</f>
        <v>0</v>
      </c>
      <c r="S34" s="139">
        <f>'01.Recurso Estatal'!T30</f>
        <v>0</v>
      </c>
      <c r="T34" s="139">
        <f>'01.Recurso Estatal'!U30</f>
        <v>0</v>
      </c>
      <c r="U34" s="139">
        <f>'01.Recurso Estatal'!V30</f>
        <v>0</v>
      </c>
      <c r="V34" s="139">
        <f>'01.Recurso Estatal'!W30</f>
        <v>0</v>
      </c>
      <c r="W34" s="139">
        <f>'01.Recurso Estatal'!X30</f>
        <v>248</v>
      </c>
      <c r="X34" s="139">
        <f>'01.Recurso Estatal'!Y30</f>
        <v>0</v>
      </c>
      <c r="Y34" s="139">
        <f>'01.Recurso Estatal'!Z30</f>
        <v>0</v>
      </c>
      <c r="Z34" s="139">
        <f>'01.Recurso Estatal'!AA30</f>
        <v>0</v>
      </c>
      <c r="AA34" s="407"/>
    </row>
    <row r="35" spans="1:27" s="11" customFormat="1" x14ac:dyDescent="0.2">
      <c r="A35" s="21" t="s">
        <v>17</v>
      </c>
      <c r="B35" s="21" t="s">
        <v>18</v>
      </c>
      <c r="C35" s="21" t="s">
        <v>19</v>
      </c>
      <c r="D35" s="21" t="s">
        <v>42</v>
      </c>
      <c r="E35" s="21" t="s">
        <v>43</v>
      </c>
      <c r="F35" s="21" t="s">
        <v>41</v>
      </c>
      <c r="G35" s="72">
        <v>2381</v>
      </c>
      <c r="H35" s="42">
        <v>0</v>
      </c>
      <c r="I35" s="150" t="s">
        <v>101</v>
      </c>
      <c r="J35" s="24">
        <f>'02. ingresos propios'!J25</f>
        <v>500000</v>
      </c>
      <c r="K35" s="24">
        <f>'02. ingresos propios'!K25</f>
        <v>0</v>
      </c>
      <c r="L35" s="24">
        <f>'02. ingresos propios'!L25</f>
        <v>0</v>
      </c>
      <c r="M35" s="139">
        <f t="shared" si="4"/>
        <v>500000</v>
      </c>
      <c r="N35" s="139">
        <f t="shared" si="5"/>
        <v>376342.07</v>
      </c>
      <c r="O35" s="24">
        <f>'02. ingresos propios'!O25</f>
        <v>0</v>
      </c>
      <c r="P35" s="24">
        <f>'02. ingresos propios'!P25</f>
        <v>19640</v>
      </c>
      <c r="Q35" s="24">
        <f>'02. ingresos propios'!Q25</f>
        <v>32630</v>
      </c>
      <c r="R35" s="24">
        <f>'02. ingresos propios'!R25</f>
        <v>25722</v>
      </c>
      <c r="S35" s="24">
        <f>'02. ingresos propios'!S25</f>
        <v>41555</v>
      </c>
      <c r="T35" s="24">
        <f>'02. ingresos propios'!T25</f>
        <v>33902</v>
      </c>
      <c r="U35" s="24">
        <f>'02. ingresos propios'!U25</f>
        <v>44697.4</v>
      </c>
      <c r="V35" s="24">
        <f>'02. ingresos propios'!V25</f>
        <v>53497.67</v>
      </c>
      <c r="W35" s="24">
        <f>'02. ingresos propios'!W25</f>
        <v>124698</v>
      </c>
      <c r="X35" s="24">
        <f>'02. ingresos propios'!X25</f>
        <v>0</v>
      </c>
      <c r="Y35" s="24">
        <f>'02. ingresos propios'!Y25</f>
        <v>0</v>
      </c>
      <c r="Z35" s="24">
        <f>'02. ingresos propios'!Z25</f>
        <v>0</v>
      </c>
      <c r="AA35" s="407"/>
    </row>
    <row r="36" spans="1:27" s="17" customFormat="1" x14ac:dyDescent="0.2">
      <c r="A36" s="21" t="s">
        <v>17</v>
      </c>
      <c r="B36" s="21" t="s">
        <v>18</v>
      </c>
      <c r="C36" s="21" t="s">
        <v>19</v>
      </c>
      <c r="D36" s="21" t="s">
        <v>42</v>
      </c>
      <c r="E36" s="21" t="s">
        <v>43</v>
      </c>
      <c r="F36" s="21" t="s">
        <v>41</v>
      </c>
      <c r="G36" s="72">
        <v>2391</v>
      </c>
      <c r="H36" s="42">
        <v>0</v>
      </c>
      <c r="I36" s="97" t="s">
        <v>61</v>
      </c>
      <c r="J36" s="139">
        <f>'01.Recurso Estatal'!J31+'apoyos fonart'!J13</f>
        <v>15000</v>
      </c>
      <c r="K36" s="139">
        <f>'01.Recurso Estatal'!K31+'apoyos fonart'!K13</f>
        <v>0</v>
      </c>
      <c r="L36" s="139">
        <f>'01.Recurso Estatal'!L31+'apoyos fonart'!L13</f>
        <v>0</v>
      </c>
      <c r="M36" s="139">
        <f t="shared" si="4"/>
        <v>15000</v>
      </c>
      <c r="N36" s="139">
        <f t="shared" si="5"/>
        <v>6165.12</v>
      </c>
      <c r="O36" s="139">
        <f>'01.Recurso Estatal'!P31+'apoyos fonart'!O13</f>
        <v>0</v>
      </c>
      <c r="P36" s="139">
        <f>'01.Recurso Estatal'!Q31+'apoyos fonart'!P13</f>
        <v>0</v>
      </c>
      <c r="Q36" s="139">
        <f>'01.Recurso Estatal'!R31+'apoyos fonart'!Q13</f>
        <v>0</v>
      </c>
      <c r="R36" s="139">
        <f>'01.Recurso Estatal'!S31+'apoyos fonart'!R13</f>
        <v>0</v>
      </c>
      <c r="S36" s="139">
        <f>'01.Recurso Estatal'!T31+'apoyos fonart'!S13</f>
        <v>0</v>
      </c>
      <c r="T36" s="139">
        <f>'01.Recurso Estatal'!U31+'apoyos fonart'!T13</f>
        <v>419.5</v>
      </c>
      <c r="U36" s="139">
        <f>'01.Recurso Estatal'!V31+'apoyos fonart'!U13</f>
        <v>146.54</v>
      </c>
      <c r="V36" s="139">
        <f>'01.Recurso Estatal'!W31+'apoyos fonart'!V13</f>
        <v>174</v>
      </c>
      <c r="W36" s="139">
        <f>'01.Recurso Estatal'!X31+'apoyos fonart'!W13</f>
        <v>5425.08</v>
      </c>
      <c r="X36" s="139">
        <f>'01.Recurso Estatal'!Y31+'apoyos fonart'!X13</f>
        <v>0</v>
      </c>
      <c r="Y36" s="139">
        <f>'01.Recurso Estatal'!Z31+'apoyos fonart'!Y13</f>
        <v>0</v>
      </c>
      <c r="Z36" s="139">
        <f>'01.Recurso Estatal'!AA31+'apoyos fonart'!Z13</f>
        <v>0</v>
      </c>
      <c r="AA36" s="407"/>
    </row>
    <row r="37" spans="1:27" s="11" customFormat="1" x14ac:dyDescent="0.2">
      <c r="A37" s="21" t="s">
        <v>17</v>
      </c>
      <c r="B37" s="21" t="s">
        <v>18</v>
      </c>
      <c r="C37" s="21" t="s">
        <v>19</v>
      </c>
      <c r="D37" s="21" t="s">
        <v>42</v>
      </c>
      <c r="E37" s="21" t="s">
        <v>43</v>
      </c>
      <c r="F37" s="21" t="s">
        <v>41</v>
      </c>
      <c r="G37" s="72">
        <v>2451</v>
      </c>
      <c r="H37" s="42">
        <v>0</v>
      </c>
      <c r="I37" s="97" t="s">
        <v>104</v>
      </c>
      <c r="J37" s="139">
        <f>'01.Recurso Estatal'!J32</f>
        <v>3000</v>
      </c>
      <c r="K37" s="139">
        <f>'01.Recurso Estatal'!K32</f>
        <v>0</v>
      </c>
      <c r="L37" s="139">
        <f>'01.Recurso Estatal'!L32</f>
        <v>0</v>
      </c>
      <c r="M37" s="139">
        <f t="shared" si="4"/>
        <v>3000</v>
      </c>
      <c r="N37" s="139">
        <f t="shared" si="5"/>
        <v>1934.88</v>
      </c>
      <c r="O37" s="139">
        <f>'01.Recurso Estatal'!P32</f>
        <v>0</v>
      </c>
      <c r="P37" s="139">
        <f>'01.Recurso Estatal'!Q32</f>
        <v>0</v>
      </c>
      <c r="Q37" s="139">
        <f>'01.Recurso Estatal'!R32</f>
        <v>0</v>
      </c>
      <c r="R37" s="139">
        <f>'01.Recurso Estatal'!S32</f>
        <v>0</v>
      </c>
      <c r="S37" s="139">
        <f>'01.Recurso Estatal'!T32</f>
        <v>0</v>
      </c>
      <c r="T37" s="139">
        <f>'01.Recurso Estatal'!U32</f>
        <v>0</v>
      </c>
      <c r="U37" s="139">
        <f>'01.Recurso Estatal'!V32</f>
        <v>1934.88</v>
      </c>
      <c r="V37" s="139">
        <f>'01.Recurso Estatal'!W32</f>
        <v>0</v>
      </c>
      <c r="W37" s="139">
        <f>'01.Recurso Estatal'!X32</f>
        <v>0</v>
      </c>
      <c r="X37" s="139">
        <f>'01.Recurso Estatal'!Y32</f>
        <v>0</v>
      </c>
      <c r="Y37" s="139">
        <f>'01.Recurso Estatal'!Z32</f>
        <v>0</v>
      </c>
      <c r="Z37" s="139">
        <f>'01.Recurso Estatal'!AA32</f>
        <v>0</v>
      </c>
      <c r="AA37" s="407"/>
    </row>
    <row r="38" spans="1:27" s="11" customFormat="1" x14ac:dyDescent="0.2">
      <c r="A38" s="21" t="s">
        <v>17</v>
      </c>
      <c r="B38" s="21" t="s">
        <v>18</v>
      </c>
      <c r="C38" s="21" t="s">
        <v>19</v>
      </c>
      <c r="D38" s="21" t="s">
        <v>42</v>
      </c>
      <c r="E38" s="21" t="s">
        <v>43</v>
      </c>
      <c r="F38" s="21" t="s">
        <v>41</v>
      </c>
      <c r="G38" s="72">
        <v>2461</v>
      </c>
      <c r="H38" s="42">
        <v>0</v>
      </c>
      <c r="I38" s="97" t="s">
        <v>76</v>
      </c>
      <c r="J38" s="139">
        <f>'01.Recurso Estatal'!J33</f>
        <v>10000</v>
      </c>
      <c r="K38" s="139">
        <f>'01.Recurso Estatal'!K33</f>
        <v>0</v>
      </c>
      <c r="L38" s="139">
        <f>'01.Recurso Estatal'!L33</f>
        <v>5000</v>
      </c>
      <c r="M38" s="139">
        <f t="shared" si="4"/>
        <v>15000</v>
      </c>
      <c r="N38" s="139">
        <f t="shared" si="5"/>
        <v>11645.35</v>
      </c>
      <c r="O38" s="139">
        <f>'01.Recurso Estatal'!P33</f>
        <v>72</v>
      </c>
      <c r="P38" s="139">
        <f>'01.Recurso Estatal'!Q33</f>
        <v>398.98</v>
      </c>
      <c r="Q38" s="139">
        <f>'01.Recurso Estatal'!R33</f>
        <v>348</v>
      </c>
      <c r="R38" s="139">
        <f>'01.Recurso Estatal'!S33</f>
        <v>0</v>
      </c>
      <c r="S38" s="139">
        <f>'01.Recurso Estatal'!T33</f>
        <v>0</v>
      </c>
      <c r="T38" s="139">
        <f>'01.Recurso Estatal'!U33</f>
        <v>444.96</v>
      </c>
      <c r="U38" s="139">
        <f>'01.Recurso Estatal'!V33</f>
        <v>9216.3799999999992</v>
      </c>
      <c r="V38" s="139">
        <f>'01.Recurso Estatal'!W33</f>
        <v>625.01</v>
      </c>
      <c r="W38" s="139">
        <f>'01.Recurso Estatal'!X33</f>
        <v>540.02</v>
      </c>
      <c r="X38" s="139">
        <f>'01.Recurso Estatal'!Y33</f>
        <v>0</v>
      </c>
      <c r="Y38" s="139">
        <f>'01.Recurso Estatal'!Z33</f>
        <v>0</v>
      </c>
      <c r="Z38" s="139">
        <f>'01.Recurso Estatal'!AA33</f>
        <v>0</v>
      </c>
      <c r="AA38" s="407"/>
    </row>
    <row r="39" spans="1:27" s="25" customFormat="1" x14ac:dyDescent="0.2">
      <c r="A39" s="31" t="s">
        <v>17</v>
      </c>
      <c r="B39" s="31" t="s">
        <v>18</v>
      </c>
      <c r="C39" s="31" t="s">
        <v>19</v>
      </c>
      <c r="D39" s="31" t="s">
        <v>42</v>
      </c>
      <c r="E39" s="31" t="s">
        <v>43</v>
      </c>
      <c r="F39" s="31" t="s">
        <v>41</v>
      </c>
      <c r="G39" s="72">
        <v>2491</v>
      </c>
      <c r="H39" s="42">
        <v>0</v>
      </c>
      <c r="I39" s="97" t="s">
        <v>77</v>
      </c>
      <c r="J39" s="139">
        <f>'01.Recurso Estatal'!J34+'apoyos fonart'!J14</f>
        <v>75000</v>
      </c>
      <c r="K39" s="139">
        <f>'01.Recurso Estatal'!K34</f>
        <v>0</v>
      </c>
      <c r="L39" s="139">
        <f>'01.Recurso Estatal'!L34</f>
        <v>0</v>
      </c>
      <c r="M39" s="139">
        <f t="shared" si="4"/>
        <v>75000</v>
      </c>
      <c r="N39" s="139">
        <f t="shared" si="5"/>
        <v>22787.26</v>
      </c>
      <c r="O39" s="139">
        <f>'01.Recurso Estatal'!P34</f>
        <v>325.99</v>
      </c>
      <c r="P39" s="139">
        <f>'01.Recurso Estatal'!Q34</f>
        <v>380.99</v>
      </c>
      <c r="Q39" s="139">
        <f>'01.Recurso Estatal'!R34</f>
        <v>345.46</v>
      </c>
      <c r="R39" s="139">
        <f>'01.Recurso Estatal'!S34</f>
        <v>11143.93</v>
      </c>
      <c r="S39" s="139">
        <f>'01.Recurso Estatal'!T34</f>
        <v>5922.1299999999992</v>
      </c>
      <c r="T39" s="139">
        <f>'01.Recurso Estatal'!U34</f>
        <v>55.48</v>
      </c>
      <c r="U39" s="139">
        <f>'01.Recurso Estatal'!V34+'apoyos fonart'!U14</f>
        <v>2786.68</v>
      </c>
      <c r="V39" s="139">
        <f>'01.Recurso Estatal'!W34</f>
        <v>1022.6000000000001</v>
      </c>
      <c r="W39" s="139">
        <f>'01.Recurso Estatal'!X34</f>
        <v>804</v>
      </c>
      <c r="X39" s="139">
        <f>'01.Recurso Estatal'!Y34</f>
        <v>0</v>
      </c>
      <c r="Y39" s="139">
        <f>'01.Recurso Estatal'!Z34</f>
        <v>0</v>
      </c>
      <c r="Z39" s="139">
        <f>'01.Recurso Estatal'!AA34</f>
        <v>0</v>
      </c>
      <c r="AA39" s="407"/>
    </row>
    <row r="40" spans="1:27" s="11" customFormat="1" x14ac:dyDescent="0.2">
      <c r="A40" s="31" t="s">
        <v>17</v>
      </c>
      <c r="B40" s="31" t="s">
        <v>18</v>
      </c>
      <c r="C40" s="31" t="s">
        <v>19</v>
      </c>
      <c r="D40" s="31" t="s">
        <v>42</v>
      </c>
      <c r="E40" s="31" t="s">
        <v>43</v>
      </c>
      <c r="F40" s="31" t="s">
        <v>41</v>
      </c>
      <c r="G40" s="72">
        <v>2531</v>
      </c>
      <c r="H40" s="42">
        <v>0</v>
      </c>
      <c r="I40" s="97" t="s">
        <v>108</v>
      </c>
      <c r="J40" s="139">
        <f>'01.Recurso Estatal'!J35</f>
        <v>4000</v>
      </c>
      <c r="K40" s="139">
        <f>'01.Recurso Estatal'!K35</f>
        <v>0</v>
      </c>
      <c r="L40" s="139">
        <f>'01.Recurso Estatal'!L35</f>
        <v>0</v>
      </c>
      <c r="M40" s="139">
        <f t="shared" si="4"/>
        <v>4000</v>
      </c>
      <c r="N40" s="139">
        <f t="shared" si="5"/>
        <v>4071.75</v>
      </c>
      <c r="O40" s="139">
        <f>'01.Recurso Estatal'!P35</f>
        <v>0</v>
      </c>
      <c r="P40" s="139">
        <f>'01.Recurso Estatal'!Q35</f>
        <v>0</v>
      </c>
      <c r="Q40" s="139">
        <f>'01.Recurso Estatal'!R35</f>
        <v>0</v>
      </c>
      <c r="R40" s="139">
        <f>'01.Recurso Estatal'!S35</f>
        <v>0</v>
      </c>
      <c r="S40" s="139">
        <f>'01.Recurso Estatal'!T35</f>
        <v>0</v>
      </c>
      <c r="T40" s="139">
        <f>'01.Recurso Estatal'!U35</f>
        <v>0</v>
      </c>
      <c r="U40" s="139">
        <f>'01.Recurso Estatal'!V35</f>
        <v>3940.35</v>
      </c>
      <c r="V40" s="139">
        <f>'01.Recurso Estatal'!W35</f>
        <v>0</v>
      </c>
      <c r="W40" s="139">
        <f>'01.Recurso Estatal'!X35</f>
        <v>131.4</v>
      </c>
      <c r="X40" s="139">
        <f>'01.Recurso Estatal'!Y35</f>
        <v>0</v>
      </c>
      <c r="Y40" s="139">
        <f>'01.Recurso Estatal'!Z35</f>
        <v>0</v>
      </c>
      <c r="Z40" s="139">
        <f>'01.Recurso Estatal'!AA35</f>
        <v>0</v>
      </c>
      <c r="AA40" s="407"/>
    </row>
    <row r="41" spans="1:27" s="11" customFormat="1" x14ac:dyDescent="0.2">
      <c r="A41" s="21" t="s">
        <v>17</v>
      </c>
      <c r="B41" s="21" t="s">
        <v>18</v>
      </c>
      <c r="C41" s="21" t="s">
        <v>19</v>
      </c>
      <c r="D41" s="21" t="s">
        <v>42</v>
      </c>
      <c r="E41" s="21" t="s">
        <v>43</v>
      </c>
      <c r="F41" s="21" t="s">
        <v>41</v>
      </c>
      <c r="G41" s="72">
        <v>2611</v>
      </c>
      <c r="H41" s="42">
        <v>0</v>
      </c>
      <c r="I41" s="97" t="s">
        <v>62</v>
      </c>
      <c r="J41" s="139">
        <f>'01.Recurso Estatal'!J36+'02. ingresos propios'!J26</f>
        <v>161618</v>
      </c>
      <c r="K41" s="139">
        <f>'01.Recurso Estatal'!K36+'02. ingresos propios'!K26</f>
        <v>0</v>
      </c>
      <c r="L41" s="139">
        <f>'01.Recurso Estatal'!L36+'02. ingresos propios'!L26</f>
        <v>0</v>
      </c>
      <c r="M41" s="139">
        <f t="shared" si="4"/>
        <v>161618</v>
      </c>
      <c r="N41" s="139">
        <f t="shared" si="5"/>
        <v>65894.67</v>
      </c>
      <c r="O41" s="139">
        <f>'01.Recurso Estatal'!P36+'02. ingresos propios'!O26</f>
        <v>2210.09</v>
      </c>
      <c r="P41" s="139">
        <f>'01.Recurso Estatal'!Q36+'02. ingresos propios'!P26</f>
        <v>7788.6200000000008</v>
      </c>
      <c r="Q41" s="139">
        <f>'01.Recurso Estatal'!R36+'02. ingresos propios'!Q26</f>
        <v>8055.3899999999994</v>
      </c>
      <c r="R41" s="139">
        <f>'01.Recurso Estatal'!S36+'02. ingresos propios'!R26</f>
        <v>15307.08</v>
      </c>
      <c r="S41" s="139">
        <f>'01.Recurso Estatal'!T36+'02. ingresos propios'!S26</f>
        <v>4870.2700000000004</v>
      </c>
      <c r="T41" s="139">
        <f>'01.Recurso Estatal'!U36+'02. ingresos propios'!T26</f>
        <v>3812.88</v>
      </c>
      <c r="U41" s="139">
        <f>'01.Recurso Estatal'!V36+'02. ingresos propios'!U26</f>
        <v>6907.37</v>
      </c>
      <c r="V41" s="139">
        <f>'01.Recurso Estatal'!W36+'02. ingresos propios'!V26</f>
        <v>7660.8799999999992</v>
      </c>
      <c r="W41" s="139">
        <f>'01.Recurso Estatal'!X36+'02. ingresos propios'!W26</f>
        <v>9282.09</v>
      </c>
      <c r="X41" s="139">
        <f>'01.Recurso Estatal'!Y36+'02. ingresos propios'!X26</f>
        <v>0</v>
      </c>
      <c r="Y41" s="139">
        <f>'01.Recurso Estatal'!Z36+'02. ingresos propios'!Y26</f>
        <v>0</v>
      </c>
      <c r="Z41" s="139">
        <f>'01.Recurso Estatal'!AA36+'02. ingresos propios'!Z26</f>
        <v>0</v>
      </c>
      <c r="AA41" s="407"/>
    </row>
    <row r="42" spans="1:27" s="11" customFormat="1" x14ac:dyDescent="0.2">
      <c r="A42" s="21" t="s">
        <v>17</v>
      </c>
      <c r="B42" s="21" t="s">
        <v>18</v>
      </c>
      <c r="C42" s="21" t="s">
        <v>19</v>
      </c>
      <c r="D42" s="21" t="s">
        <v>42</v>
      </c>
      <c r="E42" s="21" t="s">
        <v>43</v>
      </c>
      <c r="F42" s="21" t="s">
        <v>41</v>
      </c>
      <c r="G42" s="72">
        <v>2711</v>
      </c>
      <c r="H42" s="42">
        <v>0</v>
      </c>
      <c r="I42" s="97" t="s">
        <v>63</v>
      </c>
      <c r="J42" s="139">
        <f>'01.Recurso Estatal'!J37</f>
        <v>10000</v>
      </c>
      <c r="K42" s="139">
        <f>'01.Recurso Estatal'!K37</f>
        <v>0</v>
      </c>
      <c r="L42" s="139">
        <f>'01.Recurso Estatal'!L37</f>
        <v>0</v>
      </c>
      <c r="M42" s="139">
        <f t="shared" si="4"/>
        <v>10000</v>
      </c>
      <c r="N42" s="139">
        <f t="shared" si="5"/>
        <v>8819.3799999999992</v>
      </c>
      <c r="O42" s="139">
        <f>'01.Recurso Estatal'!P37</f>
        <v>0</v>
      </c>
      <c r="P42" s="139">
        <f>'01.Recurso Estatal'!Q37</f>
        <v>0</v>
      </c>
      <c r="Q42" s="139">
        <f>'01.Recurso Estatal'!R37</f>
        <v>8819.3799999999992</v>
      </c>
      <c r="R42" s="139">
        <f>'01.Recurso Estatal'!S37</f>
        <v>0</v>
      </c>
      <c r="S42" s="139">
        <f>'01.Recurso Estatal'!T37</f>
        <v>0</v>
      </c>
      <c r="T42" s="139">
        <f>'01.Recurso Estatal'!U37</f>
        <v>0</v>
      </c>
      <c r="U42" s="139">
        <f>'01.Recurso Estatal'!V37</f>
        <v>0</v>
      </c>
      <c r="V42" s="139">
        <f>'01.Recurso Estatal'!W37</f>
        <v>0</v>
      </c>
      <c r="W42" s="139">
        <f>'01.Recurso Estatal'!X37</f>
        <v>0</v>
      </c>
      <c r="X42" s="139">
        <f>'01.Recurso Estatal'!Y37</f>
        <v>0</v>
      </c>
      <c r="Y42" s="139">
        <f>'01.Recurso Estatal'!Z37</f>
        <v>0</v>
      </c>
      <c r="Z42" s="139">
        <f>'01.Recurso Estatal'!AA37</f>
        <v>0</v>
      </c>
      <c r="AA42" s="407"/>
    </row>
    <row r="43" spans="1:27" s="11" customFormat="1" x14ac:dyDescent="0.2">
      <c r="A43" s="21" t="s">
        <v>17</v>
      </c>
      <c r="B43" s="21" t="s">
        <v>18</v>
      </c>
      <c r="C43" s="21" t="s">
        <v>19</v>
      </c>
      <c r="D43" s="21" t="s">
        <v>42</v>
      </c>
      <c r="E43" s="21" t="s">
        <v>43</v>
      </c>
      <c r="F43" s="21" t="s">
        <v>41</v>
      </c>
      <c r="G43" s="72">
        <v>2721</v>
      </c>
      <c r="H43" s="42">
        <v>0</v>
      </c>
      <c r="I43" s="97" t="s">
        <v>78</v>
      </c>
      <c r="J43" s="139">
        <f>'01.Recurso Estatal'!J38</f>
        <v>5000</v>
      </c>
      <c r="K43" s="139">
        <f>'01.Recurso Estatal'!K38</f>
        <v>0</v>
      </c>
      <c r="L43" s="139">
        <f>'01.Recurso Estatal'!L38</f>
        <v>0</v>
      </c>
      <c r="M43" s="139">
        <f t="shared" si="4"/>
        <v>5000</v>
      </c>
      <c r="N43" s="139">
        <f t="shared" si="5"/>
        <v>452.4</v>
      </c>
      <c r="O43" s="139">
        <f>'01.Recurso Estatal'!P38</f>
        <v>0</v>
      </c>
      <c r="P43" s="139">
        <f>'01.Recurso Estatal'!Q38</f>
        <v>0</v>
      </c>
      <c r="Q43" s="139">
        <f>'01.Recurso Estatal'!R38</f>
        <v>0</v>
      </c>
      <c r="R43" s="139">
        <f>'01.Recurso Estatal'!S38</f>
        <v>0</v>
      </c>
      <c r="S43" s="139">
        <f>'01.Recurso Estatal'!T38</f>
        <v>0</v>
      </c>
      <c r="T43" s="139">
        <f>'01.Recurso Estatal'!U38</f>
        <v>0</v>
      </c>
      <c r="U43" s="139">
        <f>'01.Recurso Estatal'!V38</f>
        <v>0</v>
      </c>
      <c r="V43" s="139">
        <f>'01.Recurso Estatal'!W38</f>
        <v>0</v>
      </c>
      <c r="W43" s="139">
        <f>'01.Recurso Estatal'!X38</f>
        <v>452.4</v>
      </c>
      <c r="X43" s="139">
        <f>'01.Recurso Estatal'!Y38</f>
        <v>0</v>
      </c>
      <c r="Y43" s="139">
        <f>'01.Recurso Estatal'!Z38</f>
        <v>0</v>
      </c>
      <c r="Z43" s="139">
        <f>'01.Recurso Estatal'!AA38</f>
        <v>0</v>
      </c>
      <c r="AA43" s="407"/>
    </row>
    <row r="44" spans="1:27" s="11" customFormat="1" ht="14.25" x14ac:dyDescent="0.2">
      <c r="A44" s="21"/>
      <c r="B44" s="21"/>
      <c r="C44" s="21"/>
      <c r="D44" s="21"/>
      <c r="E44" s="21"/>
      <c r="F44" s="21"/>
      <c r="G44" s="72">
        <v>2911</v>
      </c>
      <c r="H44" s="42">
        <v>0</v>
      </c>
      <c r="I44" s="214" t="s">
        <v>212</v>
      </c>
      <c r="J44" s="139">
        <v>3000</v>
      </c>
      <c r="K44" s="139"/>
      <c r="L44" s="139"/>
      <c r="M44" s="139">
        <f t="shared" si="4"/>
        <v>3000</v>
      </c>
      <c r="N44" s="139">
        <f t="shared" si="5"/>
        <v>0</v>
      </c>
      <c r="O44" s="139">
        <f>+'01.Recurso Estatal'!P39</f>
        <v>0</v>
      </c>
      <c r="P44" s="139">
        <f>+'01.Recurso Estatal'!Q39</f>
        <v>0</v>
      </c>
      <c r="Q44" s="139">
        <f>+'01.Recurso Estatal'!R39</f>
        <v>0</v>
      </c>
      <c r="R44" s="139">
        <f>+'01.Recurso Estatal'!S39</f>
        <v>0</v>
      </c>
      <c r="S44" s="139">
        <f>+'01.Recurso Estatal'!T39</f>
        <v>0</v>
      </c>
      <c r="T44" s="139">
        <f>+'01.Recurso Estatal'!U39</f>
        <v>0</v>
      </c>
      <c r="U44" s="139">
        <f>+'01.Recurso Estatal'!V39</f>
        <v>0</v>
      </c>
      <c r="V44" s="139">
        <f>+'01.Recurso Estatal'!W39</f>
        <v>0</v>
      </c>
      <c r="W44" s="139">
        <f>+'01.Recurso Estatal'!X39</f>
        <v>0</v>
      </c>
      <c r="X44" s="139">
        <f>+'01.Recurso Estatal'!Y39</f>
        <v>0</v>
      </c>
      <c r="Y44" s="139">
        <f>+'01.Recurso Estatal'!Z39</f>
        <v>0</v>
      </c>
      <c r="Z44" s="139">
        <f>+'01.Recurso Estatal'!AA39</f>
        <v>0</v>
      </c>
      <c r="AA44" s="407"/>
    </row>
    <row r="45" spans="1:27" s="11" customFormat="1" x14ac:dyDescent="0.2">
      <c r="A45" s="21" t="s">
        <v>17</v>
      </c>
      <c r="B45" s="21" t="s">
        <v>18</v>
      </c>
      <c r="C45" s="21" t="s">
        <v>19</v>
      </c>
      <c r="D45" s="21" t="s">
        <v>42</v>
      </c>
      <c r="E45" s="21" t="s">
        <v>43</v>
      </c>
      <c r="F45" s="21" t="s">
        <v>41</v>
      </c>
      <c r="G45" s="72">
        <v>2931</v>
      </c>
      <c r="H45" s="42">
        <v>0</v>
      </c>
      <c r="I45" s="97" t="s">
        <v>114</v>
      </c>
      <c r="J45" s="139">
        <f>+'01.Recurso Estatal'!J40</f>
        <v>20000</v>
      </c>
      <c r="K45" s="139">
        <f>+'01.Recurso Estatal'!K40</f>
        <v>0</v>
      </c>
      <c r="L45" s="139">
        <f>+'01.Recurso Estatal'!L40</f>
        <v>0</v>
      </c>
      <c r="M45" s="139">
        <f>+J45-K45+L45</f>
        <v>20000</v>
      </c>
      <c r="N45" s="139">
        <f t="shared" si="5"/>
        <v>4353.82</v>
      </c>
      <c r="O45" s="139">
        <f>+'01.Recurso Estatal'!P40</f>
        <v>0</v>
      </c>
      <c r="P45" s="139">
        <f>+'01.Recurso Estatal'!Q40</f>
        <v>0</v>
      </c>
      <c r="Q45" s="139">
        <f>+'01.Recurso Estatal'!R40</f>
        <v>448</v>
      </c>
      <c r="R45" s="139">
        <f>+'01.Recurso Estatal'!S40</f>
        <v>112</v>
      </c>
      <c r="S45" s="139">
        <f>+'01.Recurso Estatal'!T40</f>
        <v>0</v>
      </c>
      <c r="T45" s="139">
        <f>+'01.Recurso Estatal'!U40</f>
        <v>0</v>
      </c>
      <c r="U45" s="139">
        <f>+'01.Recurso Estatal'!V40</f>
        <v>2702.48</v>
      </c>
      <c r="V45" s="139">
        <f>+'01.Recurso Estatal'!W40</f>
        <v>1091.3399999999999</v>
      </c>
      <c r="W45" s="139">
        <f>+'01.Recurso Estatal'!X40</f>
        <v>0</v>
      </c>
      <c r="X45" s="139">
        <f>+'01.Recurso Estatal'!Y40</f>
        <v>0</v>
      </c>
      <c r="Y45" s="139">
        <f>+'01.Recurso Estatal'!Z40</f>
        <v>0</v>
      </c>
      <c r="Z45" s="139">
        <f>+'01.Recurso Estatal'!AA40</f>
        <v>0</v>
      </c>
      <c r="AA45" s="407"/>
    </row>
    <row r="46" spans="1:27" s="11" customFormat="1" x14ac:dyDescent="0.2">
      <c r="A46" s="21" t="s">
        <v>17</v>
      </c>
      <c r="B46" s="21" t="s">
        <v>18</v>
      </c>
      <c r="C46" s="21" t="s">
        <v>19</v>
      </c>
      <c r="D46" s="21" t="s">
        <v>42</v>
      </c>
      <c r="E46" s="21" t="s">
        <v>43</v>
      </c>
      <c r="F46" s="21" t="s">
        <v>41</v>
      </c>
      <c r="G46" s="72">
        <v>2941</v>
      </c>
      <c r="H46" s="42">
        <v>0</v>
      </c>
      <c r="I46" s="150" t="s">
        <v>141</v>
      </c>
      <c r="J46" s="139">
        <f>+'01.Recurso Estatal'!J41</f>
        <v>8000</v>
      </c>
      <c r="K46" s="139">
        <f>+'01.Recurso Estatal'!K41</f>
        <v>0</v>
      </c>
      <c r="L46" s="139">
        <f>+'01.Recurso Estatal'!L41</f>
        <v>0</v>
      </c>
      <c r="M46" s="139">
        <f t="shared" si="4"/>
        <v>8000</v>
      </c>
      <c r="N46" s="139">
        <f t="shared" si="5"/>
        <v>1444.6</v>
      </c>
      <c r="O46" s="139">
        <f>+'01.Recurso Estatal'!P41</f>
        <v>169</v>
      </c>
      <c r="P46" s="139">
        <f>+'01.Recurso Estatal'!Q41</f>
        <v>765.6</v>
      </c>
      <c r="Q46" s="139">
        <f>+'01.Recurso Estatal'!R41</f>
        <v>0</v>
      </c>
      <c r="R46" s="139">
        <f>+'01.Recurso Estatal'!S41</f>
        <v>0</v>
      </c>
      <c r="S46" s="139">
        <f>+'01.Recurso Estatal'!T41</f>
        <v>112</v>
      </c>
      <c r="T46" s="139">
        <f>+'01.Recurso Estatal'!U41</f>
        <v>0</v>
      </c>
      <c r="U46" s="139">
        <f>+'01.Recurso Estatal'!V41</f>
        <v>113</v>
      </c>
      <c r="V46" s="139">
        <f>+'01.Recurso Estatal'!W41</f>
        <v>285</v>
      </c>
      <c r="W46" s="139">
        <f>+'01.Recurso Estatal'!X41</f>
        <v>0</v>
      </c>
      <c r="X46" s="139">
        <f>+'01.Recurso Estatal'!Y41</f>
        <v>0</v>
      </c>
      <c r="Y46" s="139">
        <f>+'01.Recurso Estatal'!Z41</f>
        <v>0</v>
      </c>
      <c r="Z46" s="139">
        <f>+'01.Recurso Estatal'!AA41</f>
        <v>0</v>
      </c>
      <c r="AA46" s="407"/>
    </row>
    <row r="47" spans="1:27" s="11" customFormat="1" x14ac:dyDescent="0.2">
      <c r="A47" s="21"/>
      <c r="B47" s="21"/>
      <c r="C47" s="21"/>
      <c r="D47" s="21"/>
      <c r="E47" s="21"/>
      <c r="F47" s="21"/>
      <c r="G47" s="72">
        <v>2961</v>
      </c>
      <c r="H47" s="42">
        <v>0</v>
      </c>
      <c r="I47" s="150" t="s">
        <v>214</v>
      </c>
      <c r="J47" s="139">
        <f>+'01.Recurso Estatal'!J42+Remanentes!J22</f>
        <v>55000</v>
      </c>
      <c r="K47" s="139">
        <f>+'01.Recurso Estatal'!K42+Remanentes!K22</f>
        <v>0</v>
      </c>
      <c r="L47" s="139">
        <f>+'01.Recurso Estatal'!L42+Remanentes!L22</f>
        <v>0</v>
      </c>
      <c r="M47" s="139">
        <f t="shared" si="4"/>
        <v>55000</v>
      </c>
      <c r="N47" s="139">
        <f>SUM(O47:Z47)</f>
        <v>43003.29</v>
      </c>
      <c r="O47" s="139">
        <f>+'01.Recurso Estatal'!P42</f>
        <v>0</v>
      </c>
      <c r="P47" s="139">
        <f>+'01.Recurso Estatal'!Q42</f>
        <v>3350.01</v>
      </c>
      <c r="Q47" s="139">
        <f>+'01.Recurso Estatal'!R42</f>
        <v>0</v>
      </c>
      <c r="R47" s="139">
        <f>+'01.Recurso Estatal'!S42</f>
        <v>740</v>
      </c>
      <c r="S47" s="139">
        <f>+'01.Recurso Estatal'!T42</f>
        <v>0</v>
      </c>
      <c r="T47" s="139">
        <f>+'01.Recurso Estatal'!U42</f>
        <v>0</v>
      </c>
      <c r="U47" s="139">
        <f>+'01.Recurso Estatal'!V42</f>
        <v>9983.27</v>
      </c>
      <c r="V47" s="139">
        <f>+'01.Recurso Estatal'!W42+Remanentes!V22</f>
        <v>60</v>
      </c>
      <c r="W47" s="139">
        <f>+'01.Recurso Estatal'!X42+Remanentes!W22</f>
        <v>28870.010000000002</v>
      </c>
      <c r="X47" s="139">
        <f>+'01.Recurso Estatal'!Y42+Remanentes!X22</f>
        <v>0</v>
      </c>
      <c r="Y47" s="139">
        <f>+'01.Recurso Estatal'!Z42+Remanentes!Y22</f>
        <v>0</v>
      </c>
      <c r="Z47" s="139">
        <f>+'01.Recurso Estatal'!AA42+Remanentes!Z22</f>
        <v>0</v>
      </c>
      <c r="AA47" s="407"/>
    </row>
    <row r="48" spans="1:27" s="11" customFormat="1" x14ac:dyDescent="0.2">
      <c r="A48" s="43"/>
      <c r="B48" s="43"/>
      <c r="C48" s="43"/>
      <c r="D48" s="43"/>
      <c r="E48" s="44"/>
      <c r="F48" s="45"/>
      <c r="G48" s="22"/>
      <c r="H48" s="43"/>
      <c r="I48" s="92" t="s">
        <v>3</v>
      </c>
      <c r="J48" s="73">
        <f>SUM(J28:J47)</f>
        <v>1078618</v>
      </c>
      <c r="K48" s="73">
        <f t="shared" ref="K48:L48" si="6">SUM(K28:K46)</f>
        <v>0</v>
      </c>
      <c r="L48" s="73">
        <f t="shared" si="6"/>
        <v>5000</v>
      </c>
      <c r="M48" s="73">
        <f>SUM(M28:M47)</f>
        <v>1083618</v>
      </c>
      <c r="N48" s="241">
        <f>SUM(N28:N47)</f>
        <v>709799.32000000007</v>
      </c>
      <c r="O48" s="241">
        <f>SUM(O28:O47)</f>
        <v>4500.88</v>
      </c>
      <c r="P48" s="241">
        <f t="shared" ref="P48:Z48" si="7">SUM(P28:P47)</f>
        <v>34059.700000000004</v>
      </c>
      <c r="Q48" s="241">
        <f t="shared" si="7"/>
        <v>68371.08</v>
      </c>
      <c r="R48" s="241">
        <f t="shared" si="7"/>
        <v>57752.800000000003</v>
      </c>
      <c r="S48" s="241">
        <f t="shared" si="7"/>
        <v>54259.789999999994</v>
      </c>
      <c r="T48" s="241">
        <f t="shared" si="7"/>
        <v>76981.950000000012</v>
      </c>
      <c r="U48" s="241">
        <f t="shared" si="7"/>
        <v>124218.59</v>
      </c>
      <c r="V48" s="241">
        <f t="shared" si="7"/>
        <v>87449.7</v>
      </c>
      <c r="W48" s="241">
        <f t="shared" si="7"/>
        <v>202204.83</v>
      </c>
      <c r="X48" s="241">
        <f t="shared" si="7"/>
        <v>0</v>
      </c>
      <c r="Y48" s="241">
        <f t="shared" si="7"/>
        <v>0</v>
      </c>
      <c r="Z48" s="241">
        <f t="shared" si="7"/>
        <v>0</v>
      </c>
      <c r="AA48" s="409"/>
    </row>
    <row r="49" spans="1:27" s="11" customFormat="1" x14ac:dyDescent="0.2">
      <c r="A49" s="21" t="s">
        <v>17</v>
      </c>
      <c r="B49" s="21" t="s">
        <v>18</v>
      </c>
      <c r="C49" s="21" t="s">
        <v>19</v>
      </c>
      <c r="D49" s="21" t="s">
        <v>42</v>
      </c>
      <c r="E49" s="21" t="s">
        <v>43</v>
      </c>
      <c r="F49" s="21" t="s">
        <v>41</v>
      </c>
      <c r="G49" s="72">
        <v>3111</v>
      </c>
      <c r="H49" s="42">
        <v>0</v>
      </c>
      <c r="I49" s="97" t="s">
        <v>79</v>
      </c>
      <c r="J49" s="24">
        <f>'01.Recurso Estatal'!J44</f>
        <v>210000</v>
      </c>
      <c r="K49" s="24">
        <f>'01.Recurso Estatal'!K44</f>
        <v>5000</v>
      </c>
      <c r="L49" s="24">
        <f>'01.Recurso Estatal'!L44</f>
        <v>0</v>
      </c>
      <c r="M49" s="24">
        <f>+J49-K49+L49</f>
        <v>205000</v>
      </c>
      <c r="N49" s="24">
        <f>SUM(O49:Z49)</f>
        <v>186250.2</v>
      </c>
      <c r="O49" s="24">
        <f>'01.Recurso Estatal'!P44</f>
        <v>8758</v>
      </c>
      <c r="P49" s="24">
        <f>'01.Recurso Estatal'!Q44</f>
        <v>13627</v>
      </c>
      <c r="Q49" s="24">
        <f>'01.Recurso Estatal'!R44</f>
        <v>4848</v>
      </c>
      <c r="R49" s="24">
        <f>'01.Recurso Estatal'!S44</f>
        <v>11568</v>
      </c>
      <c r="S49" s="24">
        <f>'01.Recurso Estatal'!T44</f>
        <v>13943.2</v>
      </c>
      <c r="T49" s="24">
        <f>'01.Recurso Estatal'!U44</f>
        <v>64218</v>
      </c>
      <c r="U49" s="24">
        <f>'01.Recurso Estatal'!V44</f>
        <v>9499</v>
      </c>
      <c r="V49" s="24">
        <f>'01.Recurso Estatal'!W44</f>
        <v>47162</v>
      </c>
      <c r="W49" s="24">
        <f>'01.Recurso Estatal'!X44</f>
        <v>12627</v>
      </c>
      <c r="X49" s="24">
        <f>'01.Recurso Estatal'!Y44</f>
        <v>0</v>
      </c>
      <c r="Y49" s="24">
        <f>'01.Recurso Estatal'!Z44</f>
        <v>0</v>
      </c>
      <c r="Z49" s="24"/>
      <c r="AA49" s="407"/>
    </row>
    <row r="50" spans="1:27" s="11" customFormat="1" x14ac:dyDescent="0.2">
      <c r="A50" s="21" t="s">
        <v>17</v>
      </c>
      <c r="B50" s="21" t="s">
        <v>18</v>
      </c>
      <c r="C50" s="21" t="s">
        <v>19</v>
      </c>
      <c r="D50" s="21" t="s">
        <v>42</v>
      </c>
      <c r="E50" s="21" t="s">
        <v>43</v>
      </c>
      <c r="F50" s="21" t="s">
        <v>41</v>
      </c>
      <c r="G50" s="72">
        <v>3131</v>
      </c>
      <c r="H50" s="42">
        <v>0</v>
      </c>
      <c r="I50" s="97" t="s">
        <v>65</v>
      </c>
      <c r="J50" s="24">
        <f>'01.Recurso Estatal'!J45</f>
        <v>20000</v>
      </c>
      <c r="K50" s="24">
        <f>'01.Recurso Estatal'!K45</f>
        <v>0</v>
      </c>
      <c r="L50" s="24">
        <f>'01.Recurso Estatal'!L45</f>
        <v>0</v>
      </c>
      <c r="M50" s="24">
        <f t="shared" ref="M50:M70" si="8">+J50-K50+L50</f>
        <v>20000</v>
      </c>
      <c r="N50" s="24">
        <f t="shared" ref="N50:N78" si="9">SUM(O50:Z50)</f>
        <v>11782</v>
      </c>
      <c r="O50" s="24">
        <f>'01.Recurso Estatal'!P45</f>
        <v>0</v>
      </c>
      <c r="P50" s="24">
        <f>'01.Recurso Estatal'!Q45</f>
        <v>0</v>
      </c>
      <c r="Q50" s="24">
        <f>'01.Recurso Estatal'!R45</f>
        <v>5353</v>
      </c>
      <c r="R50" s="24">
        <f>'01.Recurso Estatal'!S45</f>
        <v>0</v>
      </c>
      <c r="S50" s="24">
        <f>'01.Recurso Estatal'!T45</f>
        <v>0</v>
      </c>
      <c r="T50" s="24">
        <f>'01.Recurso Estatal'!U45</f>
        <v>6429</v>
      </c>
      <c r="U50" s="24">
        <f>'01.Recurso Estatal'!V45</f>
        <v>0</v>
      </c>
      <c r="V50" s="24">
        <f>'01.Recurso Estatal'!W45</f>
        <v>0</v>
      </c>
      <c r="W50" s="24">
        <f>'01.Recurso Estatal'!X45</f>
        <v>0</v>
      </c>
      <c r="X50" s="24">
        <f>'01.Recurso Estatal'!Y45</f>
        <v>0</v>
      </c>
      <c r="Y50" s="24">
        <f>'01.Recurso Estatal'!Z45</f>
        <v>0</v>
      </c>
      <c r="Z50" s="24">
        <f>'01.Recurso Estatal'!AA45</f>
        <v>0</v>
      </c>
      <c r="AA50" s="407"/>
    </row>
    <row r="51" spans="1:27" s="11" customFormat="1" x14ac:dyDescent="0.2">
      <c r="A51" s="21" t="s">
        <v>17</v>
      </c>
      <c r="B51" s="21" t="s">
        <v>18</v>
      </c>
      <c r="C51" s="21" t="s">
        <v>19</v>
      </c>
      <c r="D51" s="21" t="s">
        <v>42</v>
      </c>
      <c r="E51" s="21" t="s">
        <v>43</v>
      </c>
      <c r="F51" s="21" t="s">
        <v>41</v>
      </c>
      <c r="G51" s="72">
        <v>3141</v>
      </c>
      <c r="H51" s="42">
        <v>0</v>
      </c>
      <c r="I51" s="97" t="s">
        <v>80</v>
      </c>
      <c r="J51" s="24">
        <f>'01.Recurso Estatal'!J46</f>
        <v>80000</v>
      </c>
      <c r="K51" s="24">
        <f>'01.Recurso Estatal'!K46</f>
        <v>0</v>
      </c>
      <c r="L51" s="24">
        <f>'01.Recurso Estatal'!L46</f>
        <v>0</v>
      </c>
      <c r="M51" s="24">
        <f t="shared" si="8"/>
        <v>80000</v>
      </c>
      <c r="N51" s="24">
        <f t="shared" si="9"/>
        <v>32515.97</v>
      </c>
      <c r="O51" s="24">
        <f>'01.Recurso Estatal'!P46</f>
        <v>1451</v>
      </c>
      <c r="P51" s="24">
        <f>'01.Recurso Estatal'!Q46</f>
        <v>3247</v>
      </c>
      <c r="Q51" s="24">
        <f>'01.Recurso Estatal'!R46</f>
        <v>3416</v>
      </c>
      <c r="R51" s="24">
        <f>'01.Recurso Estatal'!S46</f>
        <v>3077</v>
      </c>
      <c r="S51" s="24">
        <f>'01.Recurso Estatal'!T46</f>
        <v>3630</v>
      </c>
      <c r="T51" s="24">
        <f>'01.Recurso Estatal'!U46</f>
        <v>3155</v>
      </c>
      <c r="U51" s="24">
        <f>'01.Recurso Estatal'!V46</f>
        <v>3800</v>
      </c>
      <c r="V51" s="24">
        <f>'01.Recurso Estatal'!W46</f>
        <v>5769.29</v>
      </c>
      <c r="W51" s="24">
        <f>'01.Recurso Estatal'!X46</f>
        <v>4970.68</v>
      </c>
      <c r="X51" s="24">
        <f>'01.Recurso Estatal'!Y46</f>
        <v>0</v>
      </c>
      <c r="Y51" s="24">
        <f>'01.Recurso Estatal'!Z46</f>
        <v>0</v>
      </c>
      <c r="Z51" s="24">
        <f>'01.Recurso Estatal'!AA46</f>
        <v>0</v>
      </c>
      <c r="AA51" s="407"/>
    </row>
    <row r="52" spans="1:27" s="11" customFormat="1" x14ac:dyDescent="0.2">
      <c r="A52" s="21" t="s">
        <v>17</v>
      </c>
      <c r="B52" s="21" t="s">
        <v>18</v>
      </c>
      <c r="C52" s="21" t="s">
        <v>19</v>
      </c>
      <c r="D52" s="21" t="s">
        <v>42</v>
      </c>
      <c r="E52" s="21" t="s">
        <v>43</v>
      </c>
      <c r="F52" s="21" t="s">
        <v>41</v>
      </c>
      <c r="G52" s="72">
        <v>3151</v>
      </c>
      <c r="H52" s="42">
        <v>0</v>
      </c>
      <c r="I52" s="97" t="s">
        <v>109</v>
      </c>
      <c r="J52" s="24">
        <f>'01.Recurso Estatal'!J47</f>
        <v>2000</v>
      </c>
      <c r="K52" s="24">
        <f>'01.Recurso Estatal'!K47</f>
        <v>0</v>
      </c>
      <c r="L52" s="24">
        <f>'01.Recurso Estatal'!L47</f>
        <v>0</v>
      </c>
      <c r="M52" s="24">
        <f t="shared" si="8"/>
        <v>2000</v>
      </c>
      <c r="N52" s="24">
        <f t="shared" si="9"/>
        <v>879</v>
      </c>
      <c r="O52" s="24">
        <f>'01.Recurso Estatal'!P47</f>
        <v>0</v>
      </c>
      <c r="P52" s="24">
        <f>'01.Recurso Estatal'!Q47</f>
        <v>0</v>
      </c>
      <c r="Q52" s="24">
        <f>'01.Recurso Estatal'!R47</f>
        <v>100</v>
      </c>
      <c r="R52" s="24">
        <f>'01.Recurso Estatal'!S47</f>
        <v>400</v>
      </c>
      <c r="S52" s="24">
        <f>'01.Recurso Estatal'!T47</f>
        <v>379</v>
      </c>
      <c r="T52" s="24">
        <f>'01.Recurso Estatal'!U47</f>
        <v>0</v>
      </c>
      <c r="U52" s="24">
        <f>'01.Recurso Estatal'!V47</f>
        <v>0</v>
      </c>
      <c r="V52" s="24">
        <f>'01.Recurso Estatal'!W47</f>
        <v>0</v>
      </c>
      <c r="W52" s="24">
        <f>'01.Recurso Estatal'!X47</f>
        <v>0</v>
      </c>
      <c r="X52" s="24">
        <f>'01.Recurso Estatal'!Y47</f>
        <v>0</v>
      </c>
      <c r="Y52" s="24">
        <f>'01.Recurso Estatal'!Z47</f>
        <v>0</v>
      </c>
      <c r="Z52" s="24">
        <f>'01.Recurso Estatal'!AA47</f>
        <v>0</v>
      </c>
      <c r="AA52" s="407"/>
    </row>
    <row r="53" spans="1:27" s="11" customFormat="1" x14ac:dyDescent="0.2">
      <c r="A53" s="21" t="s">
        <v>17</v>
      </c>
      <c r="B53" s="21" t="s">
        <v>18</v>
      </c>
      <c r="C53" s="21" t="s">
        <v>19</v>
      </c>
      <c r="D53" s="21" t="s">
        <v>42</v>
      </c>
      <c r="E53" s="21" t="s">
        <v>43</v>
      </c>
      <c r="F53" s="21" t="s">
        <v>41</v>
      </c>
      <c r="G53" s="72">
        <v>3171</v>
      </c>
      <c r="H53" s="42">
        <v>0</v>
      </c>
      <c r="I53" s="97" t="s">
        <v>98</v>
      </c>
      <c r="J53" s="24">
        <f>'01.Recurso Estatal'!J48</f>
        <v>36000</v>
      </c>
      <c r="K53" s="24">
        <f>'01.Recurso Estatal'!K48</f>
        <v>0</v>
      </c>
      <c r="L53" s="24">
        <f>'01.Recurso Estatal'!L48</f>
        <v>0</v>
      </c>
      <c r="M53" s="24">
        <f t="shared" si="8"/>
        <v>36000</v>
      </c>
      <c r="N53" s="24">
        <f t="shared" si="9"/>
        <v>27846.53</v>
      </c>
      <c r="O53" s="24">
        <f>'01.Recurso Estatal'!P48</f>
        <v>2696</v>
      </c>
      <c r="P53" s="24">
        <f>'01.Recurso Estatal'!Q48</f>
        <v>7916</v>
      </c>
      <c r="Q53" s="24">
        <f>'01.Recurso Estatal'!R48</f>
        <v>2696</v>
      </c>
      <c r="R53" s="24">
        <f>'01.Recurso Estatal'!S48</f>
        <v>2696</v>
      </c>
      <c r="S53" s="24">
        <f>'01.Recurso Estatal'!T48</f>
        <v>2696</v>
      </c>
      <c r="T53" s="24">
        <f>'01.Recurso Estatal'!U48</f>
        <v>1897</v>
      </c>
      <c r="U53" s="24">
        <f>'01.Recurso Estatal'!V48</f>
        <v>2406.5299999999997</v>
      </c>
      <c r="V53" s="24">
        <f>'01.Recurso Estatal'!W48</f>
        <v>2696</v>
      </c>
      <c r="W53" s="24">
        <f>'01.Recurso Estatal'!X48</f>
        <v>2147</v>
      </c>
      <c r="X53" s="24">
        <f>'01.Recurso Estatal'!Y48</f>
        <v>0</v>
      </c>
      <c r="Y53" s="24">
        <f>'01.Recurso Estatal'!Z48</f>
        <v>0</v>
      </c>
      <c r="Z53" s="24">
        <f>'01.Recurso Estatal'!AA48</f>
        <v>0</v>
      </c>
      <c r="AA53" s="407"/>
    </row>
    <row r="54" spans="1:27" s="11" customFormat="1" x14ac:dyDescent="0.2">
      <c r="A54" s="21" t="s">
        <v>17</v>
      </c>
      <c r="B54" s="21" t="s">
        <v>18</v>
      </c>
      <c r="C54" s="21" t="s">
        <v>19</v>
      </c>
      <c r="D54" s="21" t="s">
        <v>42</v>
      </c>
      <c r="E54" s="21" t="s">
        <v>43</v>
      </c>
      <c r="F54" s="21" t="s">
        <v>41</v>
      </c>
      <c r="G54" s="72">
        <v>3181</v>
      </c>
      <c r="H54" s="42">
        <v>0</v>
      </c>
      <c r="I54" s="97" t="s">
        <v>64</v>
      </c>
      <c r="J54" s="24">
        <f>'01.Recurso Estatal'!J49</f>
        <v>14000</v>
      </c>
      <c r="K54" s="24">
        <f>'01.Recurso Estatal'!K49</f>
        <v>0</v>
      </c>
      <c r="L54" s="24">
        <f>'01.Recurso Estatal'!L49</f>
        <v>0</v>
      </c>
      <c r="M54" s="24">
        <f t="shared" si="8"/>
        <v>14000</v>
      </c>
      <c r="N54" s="24">
        <f t="shared" si="9"/>
        <v>5018.1499999999996</v>
      </c>
      <c r="O54" s="24">
        <f>'01.Recurso Estatal'!P49</f>
        <v>478.91</v>
      </c>
      <c r="P54" s="24">
        <f>'01.Recurso Estatal'!Q49</f>
        <v>323.91000000000003</v>
      </c>
      <c r="Q54" s="24">
        <f>'01.Recurso Estatal'!R49</f>
        <v>291</v>
      </c>
      <c r="R54" s="24">
        <f>'01.Recurso Estatal'!S49</f>
        <v>445.86</v>
      </c>
      <c r="S54" s="24">
        <f>'01.Recurso Estatal'!T49</f>
        <v>0</v>
      </c>
      <c r="T54" s="24">
        <f>'01.Recurso Estatal'!U49</f>
        <v>413</v>
      </c>
      <c r="U54" s="24">
        <f>'01.Recurso Estatal'!V49</f>
        <v>1973.08</v>
      </c>
      <c r="V54" s="24">
        <f>'01.Recurso Estatal'!W49</f>
        <v>1092.3899999999999</v>
      </c>
      <c r="W54" s="24">
        <f>'01.Recurso Estatal'!X49</f>
        <v>0</v>
      </c>
      <c r="X54" s="24">
        <f>'01.Recurso Estatal'!Y49</f>
        <v>0</v>
      </c>
      <c r="Y54" s="24">
        <f>'01.Recurso Estatal'!Z49</f>
        <v>0</v>
      </c>
      <c r="Z54" s="24">
        <f>'01.Recurso Estatal'!AA49</f>
        <v>0</v>
      </c>
      <c r="AA54" s="407"/>
    </row>
    <row r="55" spans="1:27" s="11" customFormat="1" x14ac:dyDescent="0.2">
      <c r="A55" s="21" t="s">
        <v>17</v>
      </c>
      <c r="B55" s="21" t="s">
        <v>18</v>
      </c>
      <c r="C55" s="21" t="s">
        <v>19</v>
      </c>
      <c r="D55" s="21" t="s">
        <v>42</v>
      </c>
      <c r="E55" s="21" t="s">
        <v>43</v>
      </c>
      <c r="F55" s="21" t="s">
        <v>41</v>
      </c>
      <c r="G55" s="72">
        <v>3221</v>
      </c>
      <c r="H55" s="42">
        <v>0</v>
      </c>
      <c r="I55" s="97" t="s">
        <v>66</v>
      </c>
      <c r="J55" s="24">
        <f>'01.Recurso Estatal'!J50</f>
        <v>100000</v>
      </c>
      <c r="K55" s="24">
        <f>'01.Recurso Estatal'!K50</f>
        <v>0</v>
      </c>
      <c r="L55" s="24">
        <f>'01.Recurso Estatal'!L50</f>
        <v>0</v>
      </c>
      <c r="M55" s="24">
        <f t="shared" si="8"/>
        <v>100000</v>
      </c>
      <c r="N55" s="24">
        <f t="shared" si="9"/>
        <v>67721.3</v>
      </c>
      <c r="O55" s="24">
        <f>'01.Recurso Estatal'!P50</f>
        <v>6960</v>
      </c>
      <c r="P55" s="24">
        <f>'01.Recurso Estatal'!Q50</f>
        <v>6960</v>
      </c>
      <c r="Q55" s="24">
        <f>'01.Recurso Estatal'!R50</f>
        <v>7615.63</v>
      </c>
      <c r="R55" s="24">
        <f>'01.Recurso Estatal'!S50</f>
        <v>7615.63</v>
      </c>
      <c r="S55" s="24">
        <f>'01.Recurso Estatal'!T50</f>
        <v>7615.63</v>
      </c>
      <c r="T55" s="24">
        <f>'01.Recurso Estatal'!U50</f>
        <v>7615.63</v>
      </c>
      <c r="U55" s="24">
        <f>'01.Recurso Estatal'!V50</f>
        <v>7615.63</v>
      </c>
      <c r="V55" s="24">
        <f>'01.Recurso Estatal'!W50</f>
        <v>7856.52</v>
      </c>
      <c r="W55" s="24">
        <f>'01.Recurso Estatal'!X50</f>
        <v>7866.63</v>
      </c>
      <c r="X55" s="24">
        <f>'01.Recurso Estatal'!Y50</f>
        <v>0</v>
      </c>
      <c r="Y55" s="24">
        <f>'01.Recurso Estatal'!Z50</f>
        <v>0</v>
      </c>
      <c r="Z55" s="24">
        <f>'01.Recurso Estatal'!AA50</f>
        <v>0</v>
      </c>
      <c r="AA55" s="407"/>
    </row>
    <row r="56" spans="1:27" s="11" customFormat="1" x14ac:dyDescent="0.2">
      <c r="A56" s="21" t="s">
        <v>17</v>
      </c>
      <c r="B56" s="21" t="s">
        <v>18</v>
      </c>
      <c r="C56" s="21" t="s">
        <v>19</v>
      </c>
      <c r="D56" s="21" t="s">
        <v>42</v>
      </c>
      <c r="E56" s="21" t="s">
        <v>43</v>
      </c>
      <c r="F56" s="21" t="s">
        <v>41</v>
      </c>
      <c r="G56" s="72">
        <v>3231</v>
      </c>
      <c r="H56" s="42">
        <v>0</v>
      </c>
      <c r="I56" s="97" t="s">
        <v>67</v>
      </c>
      <c r="J56" s="24">
        <f>'01.Recurso Estatal'!J51</f>
        <v>60000</v>
      </c>
      <c r="K56" s="24">
        <f>'01.Recurso Estatal'!K51+'Jalisco Competitivo'!K16</f>
        <v>0</v>
      </c>
      <c r="L56" s="24">
        <f>'01.Recurso Estatal'!L51+'Jalisco Competitivo'!L16</f>
        <v>0</v>
      </c>
      <c r="M56" s="24">
        <f t="shared" si="8"/>
        <v>60000</v>
      </c>
      <c r="N56" s="24">
        <f t="shared" si="9"/>
        <v>36957.4</v>
      </c>
      <c r="O56" s="24">
        <f>'01.Recurso Estatal'!P51</f>
        <v>0</v>
      </c>
      <c r="P56" s="24">
        <f>'01.Recurso Estatal'!Q51</f>
        <v>4083.2</v>
      </c>
      <c r="Q56" s="24">
        <f>'01.Recurso Estatal'!R51</f>
        <v>8166.4</v>
      </c>
      <c r="R56" s="24">
        <f>'01.Recurso Estatal'!S51</f>
        <v>0</v>
      </c>
      <c r="S56" s="24">
        <f>'01.Recurso Estatal'!T51</f>
        <v>4083</v>
      </c>
      <c r="T56" s="24">
        <f>'01.Recurso Estatal'!U51</f>
        <v>4083.2</v>
      </c>
      <c r="U56" s="24">
        <f>'01.Recurso Estatal'!V51</f>
        <v>4083.2</v>
      </c>
      <c r="V56" s="24">
        <f>'01.Recurso Estatal'!W51</f>
        <v>4547.2</v>
      </c>
      <c r="W56" s="24">
        <f>'01.Recurso Estatal'!X51</f>
        <v>7911.2</v>
      </c>
      <c r="X56" s="24">
        <f>'01.Recurso Estatal'!Y51</f>
        <v>0</v>
      </c>
      <c r="Y56" s="24">
        <f>'01.Recurso Estatal'!Z51</f>
        <v>0</v>
      </c>
      <c r="Z56" s="24">
        <f>'01.Recurso Estatal'!AA51+'Jalisco Competitivo'!AA16</f>
        <v>0</v>
      </c>
      <c r="AA56" s="407"/>
    </row>
    <row r="57" spans="1:27" s="11" customFormat="1" x14ac:dyDescent="0.2">
      <c r="A57" s="21" t="s">
        <v>17</v>
      </c>
      <c r="B57" s="21" t="s">
        <v>18</v>
      </c>
      <c r="C57" s="21" t="s">
        <v>19</v>
      </c>
      <c r="D57" s="21" t="s">
        <v>42</v>
      </c>
      <c r="E57" s="21" t="s">
        <v>43</v>
      </c>
      <c r="F57" s="21" t="s">
        <v>41</v>
      </c>
      <c r="G57" s="72">
        <v>3311</v>
      </c>
      <c r="H57" s="42">
        <v>0</v>
      </c>
      <c r="I57" s="97" t="s">
        <v>68</v>
      </c>
      <c r="J57" s="24">
        <f>'01.Recurso Estatal'!J52+Remanentes!J24</f>
        <v>89000</v>
      </c>
      <c r="K57" s="24">
        <f>'01.Recurso Estatal'!K52+Remanentes!K24</f>
        <v>2338</v>
      </c>
      <c r="L57" s="24">
        <f>'01.Recurso Estatal'!L52+Remanentes!L24</f>
        <v>0</v>
      </c>
      <c r="M57" s="24">
        <f t="shared" si="8"/>
        <v>86662</v>
      </c>
      <c r="N57" s="24">
        <f t="shared" si="9"/>
        <v>35786</v>
      </c>
      <c r="O57" s="24">
        <f>'01.Recurso Estatal'!P52+Remanentes!O24</f>
        <v>0</v>
      </c>
      <c r="P57" s="24">
        <f>'01.Recurso Estatal'!Q52+Remanentes!P24</f>
        <v>0</v>
      </c>
      <c r="Q57" s="24">
        <f>'01.Recurso Estatal'!R52+Remanentes!Q24</f>
        <v>0</v>
      </c>
      <c r="R57" s="24">
        <f>'01.Recurso Estatal'!S52+Remanentes!R24</f>
        <v>0</v>
      </c>
      <c r="S57" s="24">
        <f>'01.Recurso Estatal'!T52+Remanentes!S24</f>
        <v>0</v>
      </c>
      <c r="T57" s="24">
        <f>'01.Recurso Estatal'!U52+Remanentes!T24</f>
        <v>35786</v>
      </c>
      <c r="U57" s="24">
        <f>'01.Recurso Estatal'!V52+Remanentes!U24</f>
        <v>0</v>
      </c>
      <c r="V57" s="24">
        <f>'01.Recurso Estatal'!W52+Remanentes!V24</f>
        <v>0</v>
      </c>
      <c r="W57" s="24">
        <f>'01.Recurso Estatal'!X52+Remanentes!W24</f>
        <v>0</v>
      </c>
      <c r="X57" s="24">
        <f>'01.Recurso Estatal'!Y52+Remanentes!X24</f>
        <v>0</v>
      </c>
      <c r="Y57" s="24">
        <f>'01.Recurso Estatal'!Z52+Remanentes!Y24</f>
        <v>0</v>
      </c>
      <c r="Z57" s="24">
        <f>'01.Recurso Estatal'!AA52+Remanentes!Z24</f>
        <v>0</v>
      </c>
      <c r="AA57" s="407"/>
    </row>
    <row r="58" spans="1:27" s="11" customFormat="1" x14ac:dyDescent="0.2">
      <c r="A58" s="21" t="s">
        <v>17</v>
      </c>
      <c r="B58" s="21" t="s">
        <v>18</v>
      </c>
      <c r="C58" s="21" t="s">
        <v>19</v>
      </c>
      <c r="D58" s="21" t="s">
        <v>42</v>
      </c>
      <c r="E58" s="21" t="s">
        <v>43</v>
      </c>
      <c r="F58" s="21" t="s">
        <v>41</v>
      </c>
      <c r="G58" s="72">
        <v>3341</v>
      </c>
      <c r="H58" s="42">
        <v>0</v>
      </c>
      <c r="I58" s="97" t="s">
        <v>81</v>
      </c>
      <c r="J58" s="24">
        <f>'01.Recurso Estatal'!J53</f>
        <v>14000</v>
      </c>
      <c r="K58" s="24">
        <f>'01.Recurso Estatal'!K53</f>
        <v>0</v>
      </c>
      <c r="L58" s="24">
        <f>'01.Recurso Estatal'!L53</f>
        <v>0</v>
      </c>
      <c r="M58" s="24">
        <f t="shared" si="8"/>
        <v>14000</v>
      </c>
      <c r="N58" s="24">
        <f>SUM(O58:Z58)</f>
        <v>6670</v>
      </c>
      <c r="O58" s="24">
        <f>+'01.Recurso Estatal'!P53+'Jalisco Competitivo'!P16+'apoyos fonart'!O16</f>
        <v>0</v>
      </c>
      <c r="P58" s="24">
        <f>+'01.Recurso Estatal'!Q53+'Jalisco Competitivo'!Q16+'apoyos fonart'!P16</f>
        <v>3335</v>
      </c>
      <c r="Q58" s="24">
        <f>+'01.Recurso Estatal'!R53+'Jalisco Competitivo'!R16+'apoyos fonart'!Q16</f>
        <v>0</v>
      </c>
      <c r="R58" s="24">
        <f>+'01.Recurso Estatal'!S53</f>
        <v>0</v>
      </c>
      <c r="S58" s="24">
        <f>+'01.Recurso Estatal'!T53</f>
        <v>0</v>
      </c>
      <c r="T58" s="24">
        <f>+'01.Recurso Estatal'!U53</f>
        <v>0</v>
      </c>
      <c r="U58" s="24">
        <f>'01.Recurso Estatal'!V53</f>
        <v>0</v>
      </c>
      <c r="V58" s="24">
        <f>'01.Recurso Estatal'!W53</f>
        <v>0</v>
      </c>
      <c r="W58" s="24">
        <f>'01.Recurso Estatal'!X53</f>
        <v>3335</v>
      </c>
      <c r="X58" s="24">
        <f>'01.Recurso Estatal'!Y53</f>
        <v>0</v>
      </c>
      <c r="Y58" s="24">
        <f>'01.Recurso Estatal'!Z53</f>
        <v>0</v>
      </c>
      <c r="Z58" s="24">
        <f>'01.Recurso Estatal'!AA53</f>
        <v>0</v>
      </c>
      <c r="AA58" s="407"/>
    </row>
    <row r="59" spans="1:27" s="11" customFormat="1" x14ac:dyDescent="0.2">
      <c r="A59" s="21" t="s">
        <v>17</v>
      </c>
      <c r="B59" s="21" t="s">
        <v>18</v>
      </c>
      <c r="C59" s="21" t="s">
        <v>19</v>
      </c>
      <c r="D59" s="21" t="s">
        <v>42</v>
      </c>
      <c r="E59" s="21" t="s">
        <v>43</v>
      </c>
      <c r="F59" s="21" t="s">
        <v>41</v>
      </c>
      <c r="G59" s="72">
        <v>3342</v>
      </c>
      <c r="H59" s="42">
        <v>0</v>
      </c>
      <c r="I59" s="97" t="s">
        <v>82</v>
      </c>
      <c r="J59" s="24">
        <f>'01.Recurso Estatal'!J54+'Jalisco Competitivo'!J17+'apoyos fonart'!J16+Remanentes!J25</f>
        <v>269545.59999999998</v>
      </c>
      <c r="K59" s="24">
        <f>'01.Recurso Estatal'!K54+'Jalisco Competitivo'!K16+'apoyos fonart'!K16+Remanentes!K25</f>
        <v>0</v>
      </c>
      <c r="L59" s="24">
        <f>'01.Recurso Estatal'!L54+'Jalisco Competitivo'!L16+'apoyos fonart'!L16+Remanentes!L25</f>
        <v>0</v>
      </c>
      <c r="M59" s="24">
        <f t="shared" si="8"/>
        <v>269545.59999999998</v>
      </c>
      <c r="N59" s="24">
        <f t="shared" si="9"/>
        <v>193469.77000000002</v>
      </c>
      <c r="O59" s="24">
        <f>+'01.Recurso Estatal'!P54+'Jalisco Competitivo'!P17+'apoyos fonart'!O16+Remanentes!O25</f>
        <v>0</v>
      </c>
      <c r="P59" s="24">
        <f>+'01.Recurso Estatal'!Q54+'Jalisco Competitivo'!Q17+'apoyos fonart'!P16+Remanentes!P25</f>
        <v>0</v>
      </c>
      <c r="Q59" s="24">
        <f>+'01.Recurso Estatal'!R54+'Jalisco Competitivo'!R17+'apoyos fonart'!Q16+Remanentes!Q25</f>
        <v>7424</v>
      </c>
      <c r="R59" s="24">
        <f>+'01.Recurso Estatal'!S54+'Jalisco Competitivo'!S17+'apoyos fonart'!R16+Remanentes!R25</f>
        <v>0</v>
      </c>
      <c r="S59" s="24">
        <f>+'01.Recurso Estatal'!T54+'Jalisco Competitivo'!T17+'apoyos fonart'!S16+Remanentes!S25</f>
        <v>0</v>
      </c>
      <c r="T59" s="24">
        <f>+'01.Recurso Estatal'!U54+'Jalisco Competitivo'!U17+'apoyos fonart'!T16+Remanentes!T25</f>
        <v>0</v>
      </c>
      <c r="U59" s="24">
        <f>+'01.Recurso Estatal'!V54+'Jalisco Competitivo'!V17+'apoyos fonart'!U16+Remanentes!U25</f>
        <v>0</v>
      </c>
      <c r="V59" s="24">
        <f>+'01.Recurso Estatal'!W54+'Jalisco Competitivo'!W17+'apoyos fonart'!V16+Remanentes!V25</f>
        <v>99545.770000000019</v>
      </c>
      <c r="W59" s="24">
        <f>+'01.Recurso Estatal'!X54+'Jalisco Competitivo'!X17+'apoyos fonart'!W16+Remanentes!W25</f>
        <v>86500</v>
      </c>
      <c r="X59" s="24">
        <f>+'01.Recurso Estatal'!Y54+'Jalisco Competitivo'!Y17+'apoyos fonart'!X16+Remanentes!X25</f>
        <v>0</v>
      </c>
      <c r="Y59" s="24">
        <f>+'01.Recurso Estatal'!Z54+'Jalisco Competitivo'!Z17+'apoyos fonart'!Y16+Remanentes!Y25</f>
        <v>0</v>
      </c>
      <c r="Z59" s="24">
        <f>+'01.Recurso Estatal'!AA54+'Jalisco Competitivo'!AA17+'apoyos fonart'!Z16+Remanentes!Z25</f>
        <v>0</v>
      </c>
      <c r="AA59" s="407"/>
    </row>
    <row r="60" spans="1:27" s="11" customFormat="1" x14ac:dyDescent="0.2">
      <c r="A60" s="21" t="s">
        <v>17</v>
      </c>
      <c r="B60" s="21" t="s">
        <v>18</v>
      </c>
      <c r="C60" s="21" t="s">
        <v>19</v>
      </c>
      <c r="D60" s="21" t="s">
        <v>42</v>
      </c>
      <c r="E60" s="21" t="s">
        <v>43</v>
      </c>
      <c r="F60" s="21" t="s">
        <v>41</v>
      </c>
      <c r="G60" s="72">
        <v>3362</v>
      </c>
      <c r="H60" s="42">
        <v>0</v>
      </c>
      <c r="I60" s="97" t="s">
        <v>83</v>
      </c>
      <c r="J60" s="24">
        <f>'01.Recurso Estatal'!J55</f>
        <v>15000</v>
      </c>
      <c r="K60" s="24">
        <f>'01.Recurso Estatal'!K55</f>
        <v>0</v>
      </c>
      <c r="L60" s="24">
        <f>'01.Recurso Estatal'!L55</f>
        <v>0</v>
      </c>
      <c r="M60" s="24">
        <f t="shared" si="8"/>
        <v>15000</v>
      </c>
      <c r="N60" s="24">
        <f t="shared" si="9"/>
        <v>6688.08</v>
      </c>
      <c r="O60" s="24">
        <f>'01.Recurso Estatal'!P55</f>
        <v>8</v>
      </c>
      <c r="P60" s="24">
        <f>'01.Recurso Estatal'!Q55</f>
        <v>0</v>
      </c>
      <c r="Q60" s="24">
        <f>'01.Recurso Estatal'!R55</f>
        <v>0</v>
      </c>
      <c r="R60" s="24">
        <f>'01.Recurso Estatal'!S55</f>
        <v>0</v>
      </c>
      <c r="S60" s="24">
        <f>'01.Recurso Estatal'!T55</f>
        <v>99.18</v>
      </c>
      <c r="T60" s="24">
        <f>'01.Recurso Estatal'!U55</f>
        <v>160.08000000000001</v>
      </c>
      <c r="U60" s="24">
        <f>'01.Recurso Estatal'!V55</f>
        <v>696.4</v>
      </c>
      <c r="V60" s="24">
        <f>'01.Recurso Estatal'!W55</f>
        <v>2864.21</v>
      </c>
      <c r="W60" s="24">
        <f>'01.Recurso Estatal'!X55</f>
        <v>2860.21</v>
      </c>
      <c r="X60" s="24">
        <f>'01.Recurso Estatal'!Y55</f>
        <v>0</v>
      </c>
      <c r="Y60" s="24">
        <f>'01.Recurso Estatal'!Z55</f>
        <v>0</v>
      </c>
      <c r="Z60" s="24">
        <f>'01.Recurso Estatal'!AA55</f>
        <v>0</v>
      </c>
      <c r="AA60" s="407"/>
    </row>
    <row r="61" spans="1:27" s="11" customFormat="1" x14ac:dyDescent="0.2">
      <c r="A61" s="21" t="s">
        <v>17</v>
      </c>
      <c r="B61" s="21" t="s">
        <v>18</v>
      </c>
      <c r="C61" s="21" t="s">
        <v>19</v>
      </c>
      <c r="D61" s="21" t="s">
        <v>42</v>
      </c>
      <c r="E61" s="21" t="s">
        <v>43</v>
      </c>
      <c r="F61" s="21" t="s">
        <v>41</v>
      </c>
      <c r="G61" s="72">
        <v>3391</v>
      </c>
      <c r="H61" s="42">
        <v>0</v>
      </c>
      <c r="I61" s="150" t="s">
        <v>466</v>
      </c>
      <c r="J61" s="24">
        <f>+Remanentes!J26</f>
        <v>37500</v>
      </c>
      <c r="K61" s="24">
        <f>+Remanentes!K26</f>
        <v>0</v>
      </c>
      <c r="L61" s="24">
        <f>+Remanentes!L26</f>
        <v>0</v>
      </c>
      <c r="M61" s="24">
        <f t="shared" si="8"/>
        <v>37500</v>
      </c>
      <c r="N61" s="24">
        <f>SUM(O61:Z61)</f>
        <v>0</v>
      </c>
      <c r="O61" s="24"/>
      <c r="P61" s="24"/>
      <c r="Q61" s="24"/>
      <c r="R61" s="24"/>
      <c r="S61" s="24"/>
      <c r="T61" s="24"/>
      <c r="U61" s="24"/>
      <c r="V61" s="24">
        <f>+Remanentes!V26</f>
        <v>0</v>
      </c>
      <c r="W61" s="24">
        <f>+Remanentes!W26</f>
        <v>0</v>
      </c>
      <c r="X61" s="24">
        <f>+Remanentes!X26</f>
        <v>0</v>
      </c>
      <c r="Y61" s="24">
        <f>+Remanentes!Y26</f>
        <v>0</v>
      </c>
      <c r="Z61" s="24">
        <f>+Remanentes!Z26</f>
        <v>0</v>
      </c>
      <c r="AA61" s="407"/>
    </row>
    <row r="62" spans="1:27" s="11" customFormat="1" x14ac:dyDescent="0.2">
      <c r="A62" s="21" t="s">
        <v>17</v>
      </c>
      <c r="B62" s="21" t="s">
        <v>18</v>
      </c>
      <c r="C62" s="21" t="s">
        <v>19</v>
      </c>
      <c r="D62" s="21" t="s">
        <v>42</v>
      </c>
      <c r="E62" s="21" t="s">
        <v>43</v>
      </c>
      <c r="F62" s="21" t="s">
        <v>41</v>
      </c>
      <c r="G62" s="72">
        <v>3411</v>
      </c>
      <c r="H62" s="42">
        <v>0</v>
      </c>
      <c r="I62" s="150" t="s">
        <v>94</v>
      </c>
      <c r="J62" s="24">
        <f>+'02. ingresos propios'!J28</f>
        <v>20000</v>
      </c>
      <c r="K62" s="24"/>
      <c r="L62" s="24"/>
      <c r="M62" s="24">
        <f t="shared" si="8"/>
        <v>20000</v>
      </c>
      <c r="N62" s="24">
        <f t="shared" si="9"/>
        <v>7218.6499999999987</v>
      </c>
      <c r="O62" s="24">
        <f>+'02. ingresos propios'!O28</f>
        <v>1223.76</v>
      </c>
      <c r="P62" s="24">
        <f>+'02. ingresos propios'!P28</f>
        <v>628</v>
      </c>
      <c r="Q62" s="24">
        <f>+'02. ingresos propios'!Q28</f>
        <v>582.98</v>
      </c>
      <c r="R62" s="24">
        <f>+'02. ingresos propios'!R28</f>
        <v>523.12</v>
      </c>
      <c r="S62" s="24">
        <f>+'02. ingresos propios'!S28</f>
        <v>609.99</v>
      </c>
      <c r="T62" s="24">
        <f>+'02. ingresos propios'!T28</f>
        <v>594.91</v>
      </c>
      <c r="U62" s="24">
        <f>+'02. ingresos propios'!U28</f>
        <v>1337.07</v>
      </c>
      <c r="V62" s="24">
        <f>+'02. ingresos propios'!V28</f>
        <v>1167.0999999999999</v>
      </c>
      <c r="W62" s="24">
        <f>+'02. ingresos propios'!W28</f>
        <v>551.72</v>
      </c>
      <c r="X62" s="24">
        <f>+'02. ingresos propios'!X28</f>
        <v>0</v>
      </c>
      <c r="Y62" s="24">
        <f>+'02. ingresos propios'!Y28</f>
        <v>0</v>
      </c>
      <c r="Z62" s="24">
        <f>+'02. ingresos propios'!Z28</f>
        <v>0</v>
      </c>
      <c r="AA62" s="407"/>
    </row>
    <row r="63" spans="1:27" s="11" customFormat="1" x14ac:dyDescent="0.2">
      <c r="A63" s="21" t="s">
        <v>17</v>
      </c>
      <c r="B63" s="21" t="s">
        <v>18</v>
      </c>
      <c r="C63" s="21" t="s">
        <v>19</v>
      </c>
      <c r="D63" s="21" t="s">
        <v>42</v>
      </c>
      <c r="E63" s="21" t="s">
        <v>43</v>
      </c>
      <c r="F63" s="21" t="s">
        <v>41</v>
      </c>
      <c r="G63" s="72">
        <v>3451</v>
      </c>
      <c r="H63" s="42">
        <v>0</v>
      </c>
      <c r="I63" s="97" t="s">
        <v>69</v>
      </c>
      <c r="J63" s="24">
        <f>'01.Recurso Estatal'!J56</f>
        <v>230000</v>
      </c>
      <c r="K63" s="24">
        <f>'01.Recurso Estatal'!K56</f>
        <v>0</v>
      </c>
      <c r="L63" s="24">
        <f>'01.Recurso Estatal'!L56</f>
        <v>2338</v>
      </c>
      <c r="M63" s="24">
        <f t="shared" si="8"/>
        <v>232338</v>
      </c>
      <c r="N63" s="24">
        <f>SUM(O63:Z63)</f>
        <v>232337.87</v>
      </c>
      <c r="O63" s="24">
        <f>'01.Recurso Estatal'!P56</f>
        <v>0</v>
      </c>
      <c r="P63" s="24">
        <f>'01.Recurso Estatal'!Q56</f>
        <v>0</v>
      </c>
      <c r="Q63" s="24">
        <f>'01.Recurso Estatal'!R56</f>
        <v>0</v>
      </c>
      <c r="R63" s="24">
        <f>'01.Recurso Estatal'!S56</f>
        <v>232337.87</v>
      </c>
      <c r="S63" s="24">
        <f>'01.Recurso Estatal'!T56</f>
        <v>0</v>
      </c>
      <c r="T63" s="24">
        <f>'01.Recurso Estatal'!U56</f>
        <v>0</v>
      </c>
      <c r="U63" s="24">
        <f>'01.Recurso Estatal'!V56</f>
        <v>0</v>
      </c>
      <c r="V63" s="24">
        <f>'01.Recurso Estatal'!W56</f>
        <v>0</v>
      </c>
      <c r="W63" s="24">
        <f>'01.Recurso Estatal'!X56</f>
        <v>0</v>
      </c>
      <c r="X63" s="24">
        <f>'01.Recurso Estatal'!Y56</f>
        <v>0</v>
      </c>
      <c r="Y63" s="24">
        <f>'01.Recurso Estatal'!Z56</f>
        <v>0</v>
      </c>
      <c r="Z63" s="24">
        <f>'01.Recurso Estatal'!AA56</f>
        <v>0</v>
      </c>
      <c r="AA63" s="407"/>
    </row>
    <row r="64" spans="1:27" s="11" customFormat="1" x14ac:dyDescent="0.2">
      <c r="A64" s="21" t="s">
        <v>17</v>
      </c>
      <c r="B64" s="21" t="s">
        <v>18</v>
      </c>
      <c r="C64" s="21" t="s">
        <v>19</v>
      </c>
      <c r="D64" s="21" t="s">
        <v>42</v>
      </c>
      <c r="E64" s="21" t="s">
        <v>43</v>
      </c>
      <c r="F64" s="21" t="s">
        <v>41</v>
      </c>
      <c r="G64" s="72">
        <v>3481</v>
      </c>
      <c r="H64" s="42">
        <v>0</v>
      </c>
      <c r="I64" s="150" t="s">
        <v>95</v>
      </c>
      <c r="J64" s="24">
        <f>+'02. ingresos propios'!J29</f>
        <v>20000</v>
      </c>
      <c r="K64" s="24">
        <f>+'02. ingresos propios'!K29</f>
        <v>0</v>
      </c>
      <c r="L64" s="24">
        <f>+'02. ingresos propios'!L29</f>
        <v>0</v>
      </c>
      <c r="M64" s="24">
        <f>+J64-K64+L64</f>
        <v>20000</v>
      </c>
      <c r="N64" s="24">
        <f t="shared" si="9"/>
        <v>11805.3</v>
      </c>
      <c r="O64" s="24">
        <f>+'02. ingresos propios'!O29</f>
        <v>1021.82</v>
      </c>
      <c r="P64" s="24">
        <f>+'02. ingresos propios'!P29</f>
        <v>1300.28</v>
      </c>
      <c r="Q64" s="24">
        <f>+'02. ingresos propios'!Q29</f>
        <v>1642.44</v>
      </c>
      <c r="R64" s="24">
        <f>+'02. ingresos propios'!R29</f>
        <v>1706.28</v>
      </c>
      <c r="S64" s="24">
        <f>+'02. ingresos propios'!S29</f>
        <v>1006.48</v>
      </c>
      <c r="T64" s="24">
        <f>+'02. ingresos propios'!T29</f>
        <v>988.84</v>
      </c>
      <c r="U64" s="24">
        <f>+'02. ingresos propios'!U29</f>
        <v>640.08000000000004</v>
      </c>
      <c r="V64" s="24">
        <f>+'02. ingresos propios'!V29</f>
        <v>1576.52</v>
      </c>
      <c r="W64" s="24">
        <f>+'02. ingresos propios'!W29</f>
        <v>1922.56</v>
      </c>
      <c r="X64" s="24">
        <f>+'02. ingresos propios'!X29</f>
        <v>0</v>
      </c>
      <c r="Y64" s="24">
        <f>+'02. ingresos propios'!Y29</f>
        <v>0</v>
      </c>
      <c r="Z64" s="24">
        <f>+'02. ingresos propios'!Z29</f>
        <v>0</v>
      </c>
      <c r="AA64" s="407"/>
    </row>
    <row r="65" spans="1:27" s="17" customFormat="1" x14ac:dyDescent="0.2">
      <c r="A65" s="21" t="s">
        <v>17</v>
      </c>
      <c r="B65" s="21" t="s">
        <v>18</v>
      </c>
      <c r="C65" s="21" t="s">
        <v>19</v>
      </c>
      <c r="D65" s="21" t="s">
        <v>42</v>
      </c>
      <c r="E65" s="21" t="s">
        <v>43</v>
      </c>
      <c r="F65" s="21" t="s">
        <v>41</v>
      </c>
      <c r="G65" s="72">
        <v>3511</v>
      </c>
      <c r="H65" s="42">
        <v>0</v>
      </c>
      <c r="I65" s="97" t="s">
        <v>84</v>
      </c>
      <c r="J65" s="24">
        <f>+'01.Recurso Estatal'!J57+'Jalisco Competitivo'!J16</f>
        <v>193454.4</v>
      </c>
      <c r="K65" s="24">
        <f>'01.Recurso Estatal'!K57</f>
        <v>0</v>
      </c>
      <c r="L65" s="24">
        <f>'01.Recurso Estatal'!L57</f>
        <v>0</v>
      </c>
      <c r="M65" s="24">
        <f t="shared" si="8"/>
        <v>193454.4</v>
      </c>
      <c r="N65" s="24">
        <f t="shared" si="9"/>
        <v>877.6</v>
      </c>
      <c r="O65" s="24">
        <f>+'01.Recurso Estatal'!P57+'Jalisco Competitivo'!P16</f>
        <v>0</v>
      </c>
      <c r="P65" s="24">
        <f>+'01.Recurso Estatal'!Q57+'Jalisco Competitivo'!Q16</f>
        <v>170</v>
      </c>
      <c r="Q65" s="24">
        <f>+'01.Recurso Estatal'!R57+'Jalisco Competitivo'!R16</f>
        <v>0</v>
      </c>
      <c r="R65" s="24">
        <f>+'01.Recurso Estatal'!S57+'Jalisco Competitivo'!S16</f>
        <v>0</v>
      </c>
      <c r="S65" s="24">
        <f>+'01.Recurso Estatal'!T57+'Jalisco Competitivo'!T16</f>
        <v>0</v>
      </c>
      <c r="T65" s="24">
        <f>+'01.Recurso Estatal'!U57+'Jalisco Competitivo'!U16</f>
        <v>116</v>
      </c>
      <c r="U65" s="24">
        <f>+'01.Recurso Estatal'!V57+'Jalisco Competitivo'!V16</f>
        <v>0</v>
      </c>
      <c r="V65" s="24">
        <f>+'01.Recurso Estatal'!W57+'Jalisco Competitivo'!W16</f>
        <v>0</v>
      </c>
      <c r="W65" s="24">
        <f>+'01.Recurso Estatal'!X57+'Jalisco Competitivo'!X16</f>
        <v>591.6</v>
      </c>
      <c r="X65" s="24">
        <f>+'01.Recurso Estatal'!Y57+'Jalisco Competitivo'!Y16</f>
        <v>0</v>
      </c>
      <c r="Y65" s="24">
        <f>+'01.Recurso Estatal'!Z57+'Jalisco Competitivo'!Z16</f>
        <v>0</v>
      </c>
      <c r="Z65" s="24">
        <f>+'01.Recurso Estatal'!AA57+'Jalisco Competitivo'!AA16</f>
        <v>0</v>
      </c>
      <c r="AA65" s="407"/>
    </row>
    <row r="66" spans="1:27" s="11" customFormat="1" x14ac:dyDescent="0.2">
      <c r="A66" s="21" t="s">
        <v>17</v>
      </c>
      <c r="B66" s="21" t="s">
        <v>18</v>
      </c>
      <c r="C66" s="21" t="s">
        <v>19</v>
      </c>
      <c r="D66" s="21" t="s">
        <v>42</v>
      </c>
      <c r="E66" s="21" t="s">
        <v>43</v>
      </c>
      <c r="F66" s="21" t="s">
        <v>41</v>
      </c>
      <c r="G66" s="72">
        <v>3521</v>
      </c>
      <c r="H66" s="42">
        <v>0</v>
      </c>
      <c r="I66" s="97" t="s">
        <v>115</v>
      </c>
      <c r="J66" s="24">
        <f>'01.Recurso Estatal'!J58</f>
        <v>5000</v>
      </c>
      <c r="K66" s="24">
        <f>'01.Recurso Estatal'!K58</f>
        <v>0</v>
      </c>
      <c r="L66" s="24">
        <f>'01.Recurso Estatal'!L58</f>
        <v>0</v>
      </c>
      <c r="M66" s="24">
        <f t="shared" si="8"/>
        <v>5000</v>
      </c>
      <c r="N66" s="24">
        <f t="shared" si="9"/>
        <v>4720.6000000000004</v>
      </c>
      <c r="O66" s="24">
        <f>+'01.Recurso Estatal'!P58</f>
        <v>290</v>
      </c>
      <c r="P66" s="24">
        <f>+'01.Recurso Estatal'!Q58</f>
        <v>0</v>
      </c>
      <c r="Q66" s="24">
        <f>+'01.Recurso Estatal'!R58</f>
        <v>910.6</v>
      </c>
      <c r="R66" s="24">
        <f>+'01.Recurso Estatal'!S58</f>
        <v>0</v>
      </c>
      <c r="S66" s="24">
        <f>+'01.Recurso Estatal'!T58</f>
        <v>2320</v>
      </c>
      <c r="T66" s="24">
        <f>+'01.Recurso Estatal'!U58</f>
        <v>1200</v>
      </c>
      <c r="U66" s="24">
        <f>+'01.Recurso Estatal'!V58</f>
        <v>0</v>
      </c>
      <c r="V66" s="24">
        <f>+'01.Recurso Estatal'!W58</f>
        <v>0</v>
      </c>
      <c r="W66" s="24">
        <f>+'01.Recurso Estatal'!X58</f>
        <v>0</v>
      </c>
      <c r="X66" s="24">
        <f>+'01.Recurso Estatal'!Y58</f>
        <v>0</v>
      </c>
      <c r="Y66" s="24">
        <f>+'01.Recurso Estatal'!Z58</f>
        <v>0</v>
      </c>
      <c r="Z66" s="24">
        <f>+'01.Recurso Estatal'!AA58</f>
        <v>0</v>
      </c>
      <c r="AA66" s="407"/>
    </row>
    <row r="67" spans="1:27" s="17" customFormat="1" x14ac:dyDescent="0.2">
      <c r="A67" s="21" t="s">
        <v>17</v>
      </c>
      <c r="B67" s="21" t="s">
        <v>18</v>
      </c>
      <c r="C67" s="21" t="s">
        <v>19</v>
      </c>
      <c r="D67" s="21" t="s">
        <v>42</v>
      </c>
      <c r="E67" s="21" t="s">
        <v>43</v>
      </c>
      <c r="F67" s="21" t="s">
        <v>41</v>
      </c>
      <c r="G67" s="72">
        <v>3531</v>
      </c>
      <c r="H67" s="42">
        <v>0</v>
      </c>
      <c r="I67" s="97" t="s">
        <v>116</v>
      </c>
      <c r="J67" s="24">
        <f>'01.Recurso Estatal'!J59</f>
        <v>23000</v>
      </c>
      <c r="K67" s="24">
        <f>'01.Recurso Estatal'!K59</f>
        <v>0</v>
      </c>
      <c r="L67" s="24">
        <f>'01.Recurso Estatal'!L59</f>
        <v>0</v>
      </c>
      <c r="M67" s="24">
        <f t="shared" si="8"/>
        <v>23000</v>
      </c>
      <c r="N67" s="24">
        <f t="shared" si="9"/>
        <v>5440.4</v>
      </c>
      <c r="O67" s="24">
        <f>+'01.Recurso Estatal'!P59</f>
        <v>0</v>
      </c>
      <c r="P67" s="24">
        <f>+'01.Recurso Estatal'!Q59</f>
        <v>0</v>
      </c>
      <c r="Q67" s="24">
        <f>+'01.Recurso Estatal'!R59</f>
        <v>0</v>
      </c>
      <c r="R67" s="24">
        <f>+'01.Recurso Estatal'!S59</f>
        <v>0</v>
      </c>
      <c r="S67" s="24">
        <f>+'01.Recurso Estatal'!T59</f>
        <v>580</v>
      </c>
      <c r="T67" s="24">
        <f>+'01.Recurso Estatal'!U59</f>
        <v>0</v>
      </c>
      <c r="U67" s="24">
        <f>+'01.Recurso Estatal'!V59</f>
        <v>1044</v>
      </c>
      <c r="V67" s="24">
        <f>+'01.Recurso Estatal'!W59</f>
        <v>3816.4</v>
      </c>
      <c r="W67" s="24">
        <f>+'01.Recurso Estatal'!X59</f>
        <v>0</v>
      </c>
      <c r="X67" s="24">
        <f>+'01.Recurso Estatal'!Y59</f>
        <v>0</v>
      </c>
      <c r="Y67" s="24">
        <f>+'01.Recurso Estatal'!Z59</f>
        <v>0</v>
      </c>
      <c r="Z67" s="24">
        <f>+'01.Recurso Estatal'!AA59</f>
        <v>0</v>
      </c>
      <c r="AA67" s="407"/>
    </row>
    <row r="68" spans="1:27" s="11" customFormat="1" x14ac:dyDescent="0.2">
      <c r="A68" s="21" t="s">
        <v>17</v>
      </c>
      <c r="B68" s="21" t="s">
        <v>18</v>
      </c>
      <c r="C68" s="21" t="s">
        <v>19</v>
      </c>
      <c r="D68" s="21" t="s">
        <v>42</v>
      </c>
      <c r="E68" s="21" t="s">
        <v>43</v>
      </c>
      <c r="F68" s="21" t="s">
        <v>41</v>
      </c>
      <c r="G68" s="72">
        <v>3551</v>
      </c>
      <c r="H68" s="42">
        <v>0</v>
      </c>
      <c r="I68" s="97" t="s">
        <v>102</v>
      </c>
      <c r="J68" s="24">
        <f>+'01.Recurso Estatal'!J60+Remanentes!J27</f>
        <v>150000</v>
      </c>
      <c r="K68" s="24">
        <f>+'01.Recurso Estatal'!K60+Remanentes!K27</f>
        <v>0</v>
      </c>
      <c r="L68" s="24">
        <f>+'01.Recurso Estatal'!L60+Remanentes!L27</f>
        <v>0</v>
      </c>
      <c r="M68" s="24">
        <f>+J68-K68+L68</f>
        <v>150000</v>
      </c>
      <c r="N68" s="24">
        <f t="shared" si="9"/>
        <v>67534.2</v>
      </c>
      <c r="O68" s="24">
        <f>+'01.Recurso Estatal'!P60+Remanentes!O27</f>
        <v>99.99</v>
      </c>
      <c r="P68" s="24">
        <f>+'01.Recurso Estatal'!Q60+Remanentes!P27</f>
        <v>0</v>
      </c>
      <c r="Q68" s="24">
        <f>+'01.Recurso Estatal'!R60+Remanentes!Q27</f>
        <v>174</v>
      </c>
      <c r="R68" s="24">
        <f>+'01.Recurso Estatal'!S60+Remanentes!R27</f>
        <v>16000.399999999998</v>
      </c>
      <c r="S68" s="24">
        <f>+'01.Recurso Estatal'!T60+Remanentes!S27</f>
        <v>2222</v>
      </c>
      <c r="T68" s="24">
        <f>+'01.Recurso Estatal'!U60+Remanentes!T27</f>
        <v>9499.99</v>
      </c>
      <c r="U68" s="24">
        <f>+'01.Recurso Estatal'!V60+Remanentes!U27</f>
        <v>7083.99</v>
      </c>
      <c r="V68" s="24">
        <f>+'01.Recurso Estatal'!W60+Remanentes!V27</f>
        <v>250</v>
      </c>
      <c r="W68" s="24">
        <f>+'01.Recurso Estatal'!X60+Remanentes!W27</f>
        <v>32203.829999999998</v>
      </c>
      <c r="X68" s="24">
        <f>+'01.Recurso Estatal'!Y60+Remanentes!X27</f>
        <v>0</v>
      </c>
      <c r="Y68" s="24">
        <f>+'01.Recurso Estatal'!Z60+Remanentes!Y27</f>
        <v>0</v>
      </c>
      <c r="Z68" s="24">
        <f>+'01.Recurso Estatal'!AA60+Remanentes!Z27</f>
        <v>0</v>
      </c>
      <c r="AA68" s="407"/>
    </row>
    <row r="69" spans="1:27" s="11" customFormat="1" x14ac:dyDescent="0.2">
      <c r="A69" s="21" t="s">
        <v>17</v>
      </c>
      <c r="B69" s="21" t="s">
        <v>18</v>
      </c>
      <c r="C69" s="21" t="s">
        <v>19</v>
      </c>
      <c r="D69" s="21" t="s">
        <v>42</v>
      </c>
      <c r="E69" s="21" t="s">
        <v>43</v>
      </c>
      <c r="F69" s="21" t="s">
        <v>41</v>
      </c>
      <c r="G69" s="72">
        <v>3571</v>
      </c>
      <c r="H69" s="42">
        <v>0</v>
      </c>
      <c r="I69" s="150" t="s">
        <v>140</v>
      </c>
      <c r="J69" s="24">
        <f>+'02. ingresos propios'!J30</f>
        <v>20000</v>
      </c>
      <c r="K69" s="24">
        <f>+'02. ingresos propios'!K30</f>
        <v>0</v>
      </c>
      <c r="L69" s="24">
        <f>+'02. ingresos propios'!L30</f>
        <v>0</v>
      </c>
      <c r="M69" s="24">
        <f t="shared" si="8"/>
        <v>20000</v>
      </c>
      <c r="N69" s="24">
        <f t="shared" si="9"/>
        <v>0</v>
      </c>
      <c r="O69" s="24">
        <f>+'02. ingresos propios'!O30</f>
        <v>0</v>
      </c>
      <c r="P69" s="24">
        <f>+'02. ingresos propios'!P30</f>
        <v>0</v>
      </c>
      <c r="Q69" s="24">
        <f>+'02. ingresos propios'!Q30</f>
        <v>0</v>
      </c>
      <c r="R69" s="24">
        <f>+'02. ingresos propios'!R30</f>
        <v>0</v>
      </c>
      <c r="S69" s="24">
        <f>+'02. ingresos propios'!S30</f>
        <v>0</v>
      </c>
      <c r="T69" s="24">
        <f>+'02. ingresos propios'!T30</f>
        <v>0</v>
      </c>
      <c r="U69" s="24">
        <f>+'02. ingresos propios'!U30</f>
        <v>0</v>
      </c>
      <c r="V69" s="24">
        <f>+'02. ingresos propios'!V30</f>
        <v>0</v>
      </c>
      <c r="W69" s="24">
        <f>+'02. ingresos propios'!W30</f>
        <v>0</v>
      </c>
      <c r="X69" s="24">
        <f>+'02. ingresos propios'!X30</f>
        <v>0</v>
      </c>
      <c r="Y69" s="24">
        <f>+'02. ingresos propios'!Y30</f>
        <v>0</v>
      </c>
      <c r="Z69" s="24">
        <f>+'02. ingresos propios'!Z30</f>
        <v>0</v>
      </c>
      <c r="AA69" s="407"/>
    </row>
    <row r="70" spans="1:27" s="17" customFormat="1" x14ac:dyDescent="0.2">
      <c r="A70" s="21" t="s">
        <v>17</v>
      </c>
      <c r="B70" s="21" t="s">
        <v>18</v>
      </c>
      <c r="C70" s="21" t="s">
        <v>19</v>
      </c>
      <c r="D70" s="21" t="s">
        <v>42</v>
      </c>
      <c r="E70" s="21" t="s">
        <v>43</v>
      </c>
      <c r="F70" s="21" t="s">
        <v>41</v>
      </c>
      <c r="G70" s="72">
        <v>3591</v>
      </c>
      <c r="H70" s="42">
        <v>0</v>
      </c>
      <c r="I70" s="97" t="s">
        <v>85</v>
      </c>
      <c r="J70" s="24">
        <f>+'01.Recurso Estatal'!J61</f>
        <v>20000</v>
      </c>
      <c r="K70" s="24">
        <f>'01.Recurso Estatal'!K61</f>
        <v>0</v>
      </c>
      <c r="L70" s="24">
        <f>'01.Recurso Estatal'!L61</f>
        <v>0</v>
      </c>
      <c r="M70" s="24">
        <f t="shared" si="8"/>
        <v>20000</v>
      </c>
      <c r="N70" s="24">
        <f t="shared" si="9"/>
        <v>2473.9899999999998</v>
      </c>
      <c r="O70" s="24">
        <f>'01.Recurso Estatal'!P61</f>
        <v>0</v>
      </c>
      <c r="P70" s="24">
        <f>'01.Recurso Estatal'!Q61</f>
        <v>0</v>
      </c>
      <c r="Q70" s="24">
        <f>'01.Recurso Estatal'!R61</f>
        <v>754</v>
      </c>
      <c r="R70" s="24">
        <f>'01.Recurso Estatal'!S61</f>
        <v>0</v>
      </c>
      <c r="S70" s="24">
        <f>'01.Recurso Estatal'!T61</f>
        <v>0</v>
      </c>
      <c r="T70" s="24">
        <f>'01.Recurso Estatal'!U61</f>
        <v>187.99</v>
      </c>
      <c r="U70" s="24">
        <f>'01.Recurso Estatal'!V61</f>
        <v>1392</v>
      </c>
      <c r="V70" s="24">
        <f>'01.Recurso Estatal'!W61</f>
        <v>0</v>
      </c>
      <c r="W70" s="24">
        <f>'01.Recurso Estatal'!X61</f>
        <v>140</v>
      </c>
      <c r="X70" s="24">
        <f>'01.Recurso Estatal'!Y61</f>
        <v>0</v>
      </c>
      <c r="Y70" s="24">
        <f>'01.Recurso Estatal'!Z61</f>
        <v>0</v>
      </c>
      <c r="Z70" s="24">
        <f>'01.Recurso Estatal'!AA61</f>
        <v>0</v>
      </c>
      <c r="AA70" s="407"/>
    </row>
    <row r="71" spans="1:27" s="11" customFormat="1" x14ac:dyDescent="0.2">
      <c r="A71" s="21" t="s">
        <v>17</v>
      </c>
      <c r="B71" s="21" t="s">
        <v>18</v>
      </c>
      <c r="C71" s="21" t="s">
        <v>19</v>
      </c>
      <c r="D71" s="21" t="s">
        <v>42</v>
      </c>
      <c r="E71" s="21" t="s">
        <v>43</v>
      </c>
      <c r="F71" s="21" t="s">
        <v>41</v>
      </c>
      <c r="G71" s="72">
        <v>3611</v>
      </c>
      <c r="H71" s="42">
        <v>0</v>
      </c>
      <c r="I71" s="97" t="s">
        <v>86</v>
      </c>
      <c r="J71" s="24">
        <f>'01.Recurso Estatal'!J62</f>
        <v>200000</v>
      </c>
      <c r="K71" s="24">
        <f>'01.Recurso Estatal'!K62</f>
        <v>0</v>
      </c>
      <c r="L71" s="24">
        <f>'01.Recurso Estatal'!L62</f>
        <v>0</v>
      </c>
      <c r="M71" s="24">
        <f t="shared" ref="M71:M79" si="10">+J71-K71+L71</f>
        <v>200000</v>
      </c>
      <c r="N71" s="24">
        <f t="shared" si="9"/>
        <v>23127.95</v>
      </c>
      <c r="O71" s="24">
        <f>'01.Recurso Estatal'!P62</f>
        <v>0</v>
      </c>
      <c r="P71" s="24">
        <f>'01.Recurso Estatal'!Q62</f>
        <v>0</v>
      </c>
      <c r="Q71" s="24">
        <f>'01.Recurso Estatal'!R62</f>
        <v>9283.7999999999993</v>
      </c>
      <c r="R71" s="24">
        <f>'01.Recurso Estatal'!S62</f>
        <v>0</v>
      </c>
      <c r="S71" s="24">
        <f>'01.Recurso Estatal'!T62</f>
        <v>0</v>
      </c>
      <c r="T71" s="24">
        <f>'01.Recurso Estatal'!U62</f>
        <v>12136.5</v>
      </c>
      <c r="U71" s="24">
        <f>'01.Recurso Estatal'!V62</f>
        <v>0</v>
      </c>
      <c r="V71" s="24">
        <f>'01.Recurso Estatal'!W62</f>
        <v>1707.65</v>
      </c>
      <c r="W71" s="24">
        <f>'01.Recurso Estatal'!X62</f>
        <v>0</v>
      </c>
      <c r="X71" s="24">
        <f>'01.Recurso Estatal'!Y62</f>
        <v>0</v>
      </c>
      <c r="Y71" s="24">
        <f>'01.Recurso Estatal'!Z62</f>
        <v>0</v>
      </c>
      <c r="Z71" s="24">
        <f>'01.Recurso Estatal'!AA62</f>
        <v>0</v>
      </c>
      <c r="AA71" s="407"/>
    </row>
    <row r="72" spans="1:27" s="17" customFormat="1" x14ac:dyDescent="0.2">
      <c r="A72" s="21" t="s">
        <v>17</v>
      </c>
      <c r="B72" s="21" t="s">
        <v>18</v>
      </c>
      <c r="C72" s="21" t="s">
        <v>19</v>
      </c>
      <c r="D72" s="21" t="s">
        <v>42</v>
      </c>
      <c r="E72" s="21" t="s">
        <v>43</v>
      </c>
      <c r="F72" s="21" t="s">
        <v>41</v>
      </c>
      <c r="G72" s="138">
        <v>3711</v>
      </c>
      <c r="H72" s="42">
        <v>0</v>
      </c>
      <c r="I72" s="150" t="s">
        <v>226</v>
      </c>
      <c r="J72" s="24">
        <f>'01.Recurso Estatal'!J63</f>
        <v>70000</v>
      </c>
      <c r="K72" s="24">
        <f>'01.Recurso Estatal'!K63</f>
        <v>0</v>
      </c>
      <c r="L72" s="24">
        <f>'01.Recurso Estatal'!L63</f>
        <v>0</v>
      </c>
      <c r="M72" s="24">
        <f t="shared" si="10"/>
        <v>70000</v>
      </c>
      <c r="N72" s="24">
        <f t="shared" si="9"/>
        <v>31581.71</v>
      </c>
      <c r="O72" s="24">
        <f>'01.Recurso Estatal'!P63</f>
        <v>0</v>
      </c>
      <c r="P72" s="24">
        <f>'01.Recurso Estatal'!Q63</f>
        <v>2881.73</v>
      </c>
      <c r="Q72" s="24">
        <f>'01.Recurso Estatal'!R63</f>
        <v>0</v>
      </c>
      <c r="R72" s="24">
        <f>'01.Recurso Estatal'!S63</f>
        <v>5634</v>
      </c>
      <c r="S72" s="24">
        <f>'01.Recurso Estatal'!T63</f>
        <v>0</v>
      </c>
      <c r="T72" s="24">
        <f>'01.Recurso Estatal'!U63</f>
        <v>0</v>
      </c>
      <c r="U72" s="24">
        <f>'01.Recurso Estatal'!V63</f>
        <v>6921</v>
      </c>
      <c r="V72" s="24">
        <f>'01.Recurso Estatal'!W63</f>
        <v>12842.98</v>
      </c>
      <c r="W72" s="24">
        <f>'01.Recurso Estatal'!X63</f>
        <v>3302</v>
      </c>
      <c r="X72" s="24">
        <f>'01.Recurso Estatal'!Y63</f>
        <v>0</v>
      </c>
      <c r="Y72" s="24">
        <f>'01.Recurso Estatal'!Z63</f>
        <v>0</v>
      </c>
      <c r="Z72" s="24">
        <f>'01.Recurso Estatal'!AA63</f>
        <v>0</v>
      </c>
      <c r="AA72" s="407"/>
    </row>
    <row r="73" spans="1:27" s="17" customFormat="1" x14ac:dyDescent="0.2">
      <c r="A73" s="21"/>
      <c r="B73" s="21"/>
      <c r="C73" s="21"/>
      <c r="D73" s="21"/>
      <c r="E73" s="21"/>
      <c r="F73" s="21"/>
      <c r="G73" s="278">
        <v>3712</v>
      </c>
      <c r="H73" s="42">
        <v>0</v>
      </c>
      <c r="I73" s="150" t="s">
        <v>225</v>
      </c>
      <c r="J73" s="24">
        <f>+'01.Recurso Estatal'!J64</f>
        <v>20000</v>
      </c>
      <c r="K73" s="24">
        <f>'01.Recurso Estatal'!K64</f>
        <v>0</v>
      </c>
      <c r="L73" s="24">
        <f>'01.Recurso Estatal'!L64</f>
        <v>0</v>
      </c>
      <c r="M73" s="24">
        <f t="shared" si="10"/>
        <v>20000</v>
      </c>
      <c r="N73" s="24">
        <f t="shared" si="9"/>
        <v>0</v>
      </c>
      <c r="O73" s="24">
        <f>+'01.Recurso Estatal'!P64</f>
        <v>0</v>
      </c>
      <c r="P73" s="24">
        <f>+'01.Recurso Estatal'!Q64</f>
        <v>0</v>
      </c>
      <c r="Q73" s="24">
        <f>+'01.Recurso Estatal'!R64</f>
        <v>0</v>
      </c>
      <c r="R73" s="24">
        <f>+'01.Recurso Estatal'!S64</f>
        <v>0</v>
      </c>
      <c r="S73" s="24">
        <f>+'01.Recurso Estatal'!T64</f>
        <v>0</v>
      </c>
      <c r="T73" s="24">
        <f>+'01.Recurso Estatal'!U64</f>
        <v>0</v>
      </c>
      <c r="U73" s="24">
        <f>+'01.Recurso Estatal'!V64</f>
        <v>0</v>
      </c>
      <c r="V73" s="24">
        <f>+'01.Recurso Estatal'!W64</f>
        <v>0</v>
      </c>
      <c r="W73" s="24">
        <f>+'01.Recurso Estatal'!X64</f>
        <v>0</v>
      </c>
      <c r="X73" s="24">
        <f>+'01.Recurso Estatal'!Y64</f>
        <v>0</v>
      </c>
      <c r="Y73" s="24">
        <f>+'01.Recurso Estatal'!Z64</f>
        <v>0</v>
      </c>
      <c r="Z73" s="24">
        <f>+'01.Recurso Estatal'!AA64</f>
        <v>0</v>
      </c>
      <c r="AA73" s="407"/>
    </row>
    <row r="74" spans="1:27" s="11" customFormat="1" x14ac:dyDescent="0.2">
      <c r="A74" s="21" t="s">
        <v>17</v>
      </c>
      <c r="B74" s="21" t="s">
        <v>18</v>
      </c>
      <c r="C74" s="21" t="s">
        <v>19</v>
      </c>
      <c r="D74" s="21" t="s">
        <v>42</v>
      </c>
      <c r="E74" s="21" t="s">
        <v>43</v>
      </c>
      <c r="F74" s="21" t="s">
        <v>41</v>
      </c>
      <c r="G74" s="72">
        <v>3721</v>
      </c>
      <c r="H74" s="42">
        <v>0</v>
      </c>
      <c r="I74" s="97" t="s">
        <v>71</v>
      </c>
      <c r="J74" s="24">
        <f>+'01.Recurso Estatal'!J65</f>
        <v>60000</v>
      </c>
      <c r="K74" s="24">
        <f>'01.Recurso Estatal'!K65</f>
        <v>0</v>
      </c>
      <c r="L74" s="24">
        <f>'01.Recurso Estatal'!L65</f>
        <v>0</v>
      </c>
      <c r="M74" s="24">
        <f t="shared" si="10"/>
        <v>60000</v>
      </c>
      <c r="N74" s="24">
        <f>SUM(O74:Z74)</f>
        <v>14902.759999999998</v>
      </c>
      <c r="O74" s="24">
        <f>+'01.Recurso Estatal'!P65</f>
        <v>226.77</v>
      </c>
      <c r="P74" s="24">
        <f>+'01.Recurso Estatal'!Q65</f>
        <v>459.8</v>
      </c>
      <c r="Q74" s="24">
        <f>+'01.Recurso Estatal'!R65</f>
        <v>1347</v>
      </c>
      <c r="R74" s="24">
        <f>+'01.Recurso Estatal'!S65</f>
        <v>2638</v>
      </c>
      <c r="S74" s="24">
        <f>+'01.Recurso Estatal'!T65</f>
        <v>3614.6899999999996</v>
      </c>
      <c r="T74" s="24">
        <f>+'01.Recurso Estatal'!U65</f>
        <v>89</v>
      </c>
      <c r="U74" s="24">
        <f>+'01.Recurso Estatal'!V65</f>
        <v>171</v>
      </c>
      <c r="V74" s="24">
        <f>+'01.Recurso Estatal'!W65</f>
        <v>1171.6999999999998</v>
      </c>
      <c r="W74" s="24">
        <f>+'01.Recurso Estatal'!X65</f>
        <v>5184.8</v>
      </c>
      <c r="X74" s="24">
        <f>+'01.Recurso Estatal'!Y65</f>
        <v>0</v>
      </c>
      <c r="Y74" s="24">
        <f>+'01.Recurso Estatal'!Z65</f>
        <v>0</v>
      </c>
      <c r="Z74" s="24">
        <f>+'01.Recurso Estatal'!AA65</f>
        <v>0</v>
      </c>
      <c r="AA74" s="407"/>
    </row>
    <row r="75" spans="1:27" s="11" customFormat="1" x14ac:dyDescent="0.2">
      <c r="A75" s="21" t="s">
        <v>17</v>
      </c>
      <c r="B75" s="21" t="s">
        <v>18</v>
      </c>
      <c r="C75" s="21" t="s">
        <v>19</v>
      </c>
      <c r="D75" s="21" t="s">
        <v>42</v>
      </c>
      <c r="E75" s="21" t="s">
        <v>43</v>
      </c>
      <c r="F75" s="21" t="s">
        <v>41</v>
      </c>
      <c r="G75" s="72">
        <v>3751</v>
      </c>
      <c r="H75" s="42">
        <v>0</v>
      </c>
      <c r="I75" s="97" t="s">
        <v>88</v>
      </c>
      <c r="J75" s="24">
        <f>+'01.Recurso Estatal'!J66+'02. ingresos propios'!J31</f>
        <v>450000</v>
      </c>
      <c r="K75" s="24">
        <f>'01.Recurso Estatal'!K66</f>
        <v>0</v>
      </c>
      <c r="L75" s="24">
        <f>'01.Recurso Estatal'!L66</f>
        <v>0</v>
      </c>
      <c r="M75" s="24">
        <f t="shared" si="10"/>
        <v>450000</v>
      </c>
      <c r="N75" s="24">
        <f>SUM(O75:Z75)</f>
        <v>261438.71999999997</v>
      </c>
      <c r="O75" s="24">
        <f>+'01.Recurso Estatal'!P66+'02. ingresos propios'!O31</f>
        <v>5632.69</v>
      </c>
      <c r="P75" s="24">
        <f>+'01.Recurso Estatal'!Q66+'02. ingresos propios'!P31</f>
        <v>16471.86</v>
      </c>
      <c r="Q75" s="24">
        <f>+'01.Recurso Estatal'!R66+'02. ingresos propios'!Q31</f>
        <v>60168</v>
      </c>
      <c r="R75" s="24">
        <f>+'01.Recurso Estatal'!S66+'02. ingresos propios'!R31</f>
        <v>6535.42</v>
      </c>
      <c r="S75" s="24">
        <f>+'01.Recurso Estatal'!T66+'02. ingresos propios'!S31</f>
        <v>73345.399999999994</v>
      </c>
      <c r="T75" s="24">
        <f>+'01.Recurso Estatal'!U66+'02. ingresos propios'!T31</f>
        <v>6839.24</v>
      </c>
      <c r="U75" s="24">
        <f>+'01.Recurso Estatal'!V66+'02. ingresos propios'!U31</f>
        <v>7189.05</v>
      </c>
      <c r="V75" s="24">
        <f>+'01.Recurso Estatal'!W66+'02. ingresos propios'!V31</f>
        <v>31881.16</v>
      </c>
      <c r="W75" s="24">
        <f>+'01.Recurso Estatal'!X66+'02. ingresos propios'!W31</f>
        <v>53375.9</v>
      </c>
      <c r="X75" s="24">
        <f>+'01.Recurso Estatal'!Y66+'02. ingresos propios'!X31</f>
        <v>0</v>
      </c>
      <c r="Y75" s="24">
        <f>+'01.Recurso Estatal'!Z66+'02. ingresos propios'!Y31</f>
        <v>0</v>
      </c>
      <c r="Z75" s="24">
        <f>+'01.Recurso Estatal'!AA66+'02. ingresos propios'!Z31</f>
        <v>0</v>
      </c>
      <c r="AA75" s="407"/>
    </row>
    <row r="76" spans="1:27" s="11" customFormat="1" x14ac:dyDescent="0.2">
      <c r="A76" s="21"/>
      <c r="B76" s="21"/>
      <c r="C76" s="21"/>
      <c r="D76" s="21"/>
      <c r="E76" s="21"/>
      <c r="F76" s="21"/>
      <c r="G76" s="72">
        <v>3761</v>
      </c>
      <c r="H76" s="42">
        <v>0</v>
      </c>
      <c r="I76" s="150" t="s">
        <v>218</v>
      </c>
      <c r="J76" s="24">
        <f>+'01.Recurso Estatal'!J67</f>
        <v>30000</v>
      </c>
      <c r="K76" s="24">
        <f>'01.Recurso Estatal'!K67</f>
        <v>0</v>
      </c>
      <c r="L76" s="24">
        <f>'01.Recurso Estatal'!L67</f>
        <v>0</v>
      </c>
      <c r="M76" s="24">
        <f t="shared" si="10"/>
        <v>30000</v>
      </c>
      <c r="N76" s="24">
        <f>SUM(O76:Z76)</f>
        <v>0</v>
      </c>
      <c r="O76" s="24">
        <f>+'01.Recurso Estatal'!P67</f>
        <v>0</v>
      </c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407"/>
    </row>
    <row r="77" spans="1:27" s="11" customFormat="1" x14ac:dyDescent="0.2">
      <c r="A77" s="21" t="s">
        <v>17</v>
      </c>
      <c r="B77" s="21" t="s">
        <v>18</v>
      </c>
      <c r="C77" s="21" t="s">
        <v>19</v>
      </c>
      <c r="D77" s="21" t="s">
        <v>42</v>
      </c>
      <c r="E77" s="21" t="s">
        <v>43</v>
      </c>
      <c r="F77" s="21" t="s">
        <v>41</v>
      </c>
      <c r="G77" s="72">
        <v>3841</v>
      </c>
      <c r="H77" s="42">
        <v>0</v>
      </c>
      <c r="I77" s="150" t="s">
        <v>219</v>
      </c>
      <c r="J77" s="24">
        <f>+'01.Recurso Estatal'!J68+'Jalisco Competitivo'!J18+Remanentes!J28</f>
        <v>2544059.2999999998</v>
      </c>
      <c r="K77" s="24">
        <f>+'01.Recurso Estatal'!K68+'Jalisco Competitivo'!K18+Remanentes!K28</f>
        <v>0</v>
      </c>
      <c r="L77" s="24">
        <f>+'01.Recurso Estatal'!L68+'Jalisco Competitivo'!L18+Remanentes!L28</f>
        <v>0</v>
      </c>
      <c r="M77" s="24">
        <f>+J77-K77+L77</f>
        <v>2544059.2999999998</v>
      </c>
      <c r="N77" s="24">
        <f t="shared" si="9"/>
        <v>1924020.14</v>
      </c>
      <c r="O77" s="24">
        <f>+'01.Recurso Estatal'!P68+'Jalisco Competitivo'!P18</f>
        <v>1670.4</v>
      </c>
      <c r="P77" s="24">
        <f>+'01.Recurso Estatal'!Q68+'Jalisco Competitivo'!Q18</f>
        <v>171</v>
      </c>
      <c r="Q77" s="24">
        <f>+'01.Recurso Estatal'!R68+'Jalisco Competitivo'!R18</f>
        <v>23385.03</v>
      </c>
      <c r="R77" s="24">
        <f>+'01.Recurso Estatal'!S68+'Jalisco Competitivo'!S18</f>
        <v>11584.01</v>
      </c>
      <c r="S77" s="24">
        <f>+'01.Recurso Estatal'!T68+'Jalisco Competitivo'!T18</f>
        <v>1372317.7</v>
      </c>
      <c r="T77" s="24">
        <f>+'01.Recurso Estatal'!U68+'Jalisco Competitivo'!U18</f>
        <v>0</v>
      </c>
      <c r="U77" s="24">
        <f>+'01.Recurso Estatal'!V68+'Jalisco Competitivo'!V18</f>
        <v>64960</v>
      </c>
      <c r="V77" s="24">
        <f>+'01.Recurso Estatal'!W68+'Jalisco Competitivo'!W18+Remanentes!V28</f>
        <v>388716</v>
      </c>
      <c r="W77" s="24">
        <f>+'01.Recurso Estatal'!X68+'Jalisco Competitivo'!X18+Remanentes!W28</f>
        <v>61216</v>
      </c>
      <c r="X77" s="24">
        <f>+'01.Recurso Estatal'!Y68+'Jalisco Competitivo'!Y18+Remanentes!X28</f>
        <v>0</v>
      </c>
      <c r="Y77" s="24">
        <f>+'01.Recurso Estatal'!Z68+'Jalisco Competitivo'!Z18+Remanentes!Y28</f>
        <v>0</v>
      </c>
      <c r="Z77" s="24">
        <f>+'01.Recurso Estatal'!AA68+'Jalisco Competitivo'!AA18+Remanentes!Z28</f>
        <v>0</v>
      </c>
      <c r="AA77" s="407"/>
    </row>
    <row r="78" spans="1:27" s="11" customFormat="1" x14ac:dyDescent="0.2">
      <c r="A78" s="21" t="s">
        <v>17</v>
      </c>
      <c r="B78" s="21" t="s">
        <v>18</v>
      </c>
      <c r="C78" s="21" t="s">
        <v>19</v>
      </c>
      <c r="D78" s="21" t="s">
        <v>42</v>
      </c>
      <c r="E78" s="21" t="s">
        <v>43</v>
      </c>
      <c r="F78" s="21" t="s">
        <v>41</v>
      </c>
      <c r="G78" s="72">
        <v>3921</v>
      </c>
      <c r="H78" s="42">
        <v>0</v>
      </c>
      <c r="I78" s="150" t="s">
        <v>70</v>
      </c>
      <c r="J78" s="24">
        <f>+'01.Recurso Estatal'!J69+'Jalisco Competitivo'!J19</f>
        <v>175000</v>
      </c>
      <c r="K78" s="24">
        <f>+'01.Recurso Estatal'!K69</f>
        <v>0</v>
      </c>
      <c r="L78" s="24">
        <f>+'01.Recurso Estatal'!L69</f>
        <v>0</v>
      </c>
      <c r="M78" s="24">
        <f t="shared" si="10"/>
        <v>175000</v>
      </c>
      <c r="N78" s="24">
        <f t="shared" si="9"/>
        <v>55312.56</v>
      </c>
      <c r="O78" s="24">
        <f>+'01.Recurso Estatal'!P69+'Jalisco Competitivo'!P19</f>
        <v>0</v>
      </c>
      <c r="P78" s="24">
        <f>+'01.Recurso Estatal'!Q69+'Jalisco Competitivo'!Q19</f>
        <v>0</v>
      </c>
      <c r="Q78" s="24">
        <f>+'01.Recurso Estatal'!R69+'Jalisco Competitivo'!R19</f>
        <v>0</v>
      </c>
      <c r="R78" s="24">
        <f>+'01.Recurso Estatal'!S69+'Jalisco Competitivo'!S19</f>
        <v>0</v>
      </c>
      <c r="S78" s="24">
        <f>+'01.Recurso Estatal'!T69+'Jalisco Competitivo'!T19</f>
        <v>5740</v>
      </c>
      <c r="T78" s="24">
        <f>+'01.Recurso Estatal'!U69+'Jalisco Competitivo'!U19</f>
        <v>0</v>
      </c>
      <c r="U78" s="24">
        <f>+'01.Recurso Estatal'!V69+'Jalisco Competitivo'!V19</f>
        <v>0</v>
      </c>
      <c r="V78" s="24">
        <f>+'01.Recurso Estatal'!W69+'Jalisco Competitivo'!W19</f>
        <v>21569.870000000003</v>
      </c>
      <c r="W78" s="24">
        <f>+'01.Recurso Estatal'!X69+'Jalisco Competitivo'!X19</f>
        <v>28002.69</v>
      </c>
      <c r="X78" s="24">
        <f>+'01.Recurso Estatal'!Y69+'Jalisco Competitivo'!Y19</f>
        <v>0</v>
      </c>
      <c r="Y78" s="24">
        <f>+'01.Recurso Estatal'!Z69+'Jalisco Competitivo'!Z19</f>
        <v>0</v>
      </c>
      <c r="Z78" s="24">
        <f>+'01.Recurso Estatal'!AA69+'Jalisco Competitivo'!AA19</f>
        <v>0</v>
      </c>
      <c r="AA78" s="407"/>
    </row>
    <row r="79" spans="1:27" s="11" customFormat="1" x14ac:dyDescent="0.2">
      <c r="A79" s="21"/>
      <c r="B79" s="21"/>
      <c r="C79" s="21"/>
      <c r="D79" s="21"/>
      <c r="E79" s="21"/>
      <c r="F79" s="21"/>
      <c r="G79" s="72">
        <v>3941</v>
      </c>
      <c r="H79" s="42">
        <v>0</v>
      </c>
      <c r="I79" s="150" t="s">
        <v>191</v>
      </c>
      <c r="J79" s="24">
        <f>+Remanentes!J29</f>
        <v>403170.98</v>
      </c>
      <c r="K79" s="24">
        <f>+Remanentes!K29</f>
        <v>0</v>
      </c>
      <c r="L79" s="24">
        <f>+Remanentes!L29</f>
        <v>0</v>
      </c>
      <c r="M79" s="24">
        <f t="shared" si="10"/>
        <v>403170.98</v>
      </c>
      <c r="N79" s="24">
        <f>SUM(O79:Z79)</f>
        <v>157161.38</v>
      </c>
      <c r="O79" s="24">
        <f>+Remanentes!O29</f>
        <v>0</v>
      </c>
      <c r="P79" s="24">
        <f>+Remanentes!P29</f>
        <v>0</v>
      </c>
      <c r="Q79" s="24">
        <f>+Remanentes!Q29</f>
        <v>0</v>
      </c>
      <c r="R79" s="24">
        <f>+Remanentes!R29</f>
        <v>0</v>
      </c>
      <c r="S79" s="24">
        <f>+Remanentes!S29</f>
        <v>0</v>
      </c>
      <c r="T79" s="24">
        <f>+Remanentes!T29</f>
        <v>0</v>
      </c>
      <c r="U79" s="24">
        <f>+Remanentes!U29</f>
        <v>0</v>
      </c>
      <c r="V79" s="24">
        <f>+Remanentes!V29</f>
        <v>157161.38</v>
      </c>
      <c r="W79" s="24">
        <f>+Remanentes!W29</f>
        <v>0</v>
      </c>
      <c r="X79" s="24">
        <f>+Remanentes!X29</f>
        <v>0</v>
      </c>
      <c r="Y79" s="24">
        <f>+Remanentes!Y29</f>
        <v>0</v>
      </c>
      <c r="Z79" s="24">
        <f>+Remanentes!Z29</f>
        <v>0</v>
      </c>
      <c r="AA79" s="407"/>
    </row>
    <row r="80" spans="1:27" s="12" customFormat="1" x14ac:dyDescent="0.2">
      <c r="A80" s="22"/>
      <c r="B80" s="22"/>
      <c r="C80" s="22"/>
      <c r="D80" s="33"/>
      <c r="E80" s="22"/>
      <c r="F80" s="22"/>
      <c r="G80" s="22"/>
      <c r="H80" s="22"/>
      <c r="I80" s="92" t="s">
        <v>4</v>
      </c>
      <c r="J80" s="73">
        <f>SUM(J49:J79)</f>
        <v>5580730.2799999993</v>
      </c>
      <c r="K80" s="73">
        <f t="shared" ref="K80:L80" si="11">SUM(K49:K78)</f>
        <v>7338</v>
      </c>
      <c r="L80" s="73">
        <f t="shared" si="11"/>
        <v>2338</v>
      </c>
      <c r="M80" s="73">
        <f>SUM(M49:M79)</f>
        <v>5575730.2799999993</v>
      </c>
      <c r="N80" s="73">
        <f>SUM(N49:N79)</f>
        <v>3411538.23</v>
      </c>
      <c r="O80" s="73">
        <f>SUM(O49:O79)</f>
        <v>30517.34</v>
      </c>
      <c r="P80" s="73">
        <f t="shared" ref="P80:Z80" si="12">SUM(P49:P79)</f>
        <v>61574.780000000006</v>
      </c>
      <c r="Q80" s="73">
        <f t="shared" si="12"/>
        <v>138157.88</v>
      </c>
      <c r="R80" s="73">
        <f t="shared" si="12"/>
        <v>302761.58999999997</v>
      </c>
      <c r="S80" s="73">
        <f t="shared" si="12"/>
        <v>1494202.27</v>
      </c>
      <c r="T80" s="73">
        <f t="shared" si="12"/>
        <v>155409.37999999998</v>
      </c>
      <c r="U80" s="73">
        <f t="shared" si="12"/>
        <v>120812.03</v>
      </c>
      <c r="V80" s="73">
        <f t="shared" si="12"/>
        <v>793394.14</v>
      </c>
      <c r="W80" s="73">
        <f t="shared" si="12"/>
        <v>314708.82</v>
      </c>
      <c r="X80" s="73">
        <f t="shared" si="12"/>
        <v>0</v>
      </c>
      <c r="Y80" s="73">
        <f t="shared" si="12"/>
        <v>0</v>
      </c>
      <c r="Z80" s="73">
        <f t="shared" si="12"/>
        <v>0</v>
      </c>
      <c r="AA80" s="409"/>
    </row>
    <row r="81" spans="1:27" s="11" customFormat="1" x14ac:dyDescent="0.2">
      <c r="A81" s="21" t="s">
        <v>17</v>
      </c>
      <c r="B81" s="21" t="s">
        <v>18</v>
      </c>
      <c r="C81" s="21" t="s">
        <v>19</v>
      </c>
      <c r="D81" s="21" t="s">
        <v>42</v>
      </c>
      <c r="E81" s="21" t="s">
        <v>43</v>
      </c>
      <c r="F81" s="21" t="s">
        <v>41</v>
      </c>
      <c r="G81" s="72">
        <v>4419</v>
      </c>
      <c r="H81" s="42">
        <v>0</v>
      </c>
      <c r="I81" s="97" t="s">
        <v>89</v>
      </c>
      <c r="J81" s="24">
        <f>'01.Recurso Estatal'!J71</f>
        <v>30000</v>
      </c>
      <c r="K81" s="24">
        <f>'01.Recurso Estatal'!K71</f>
        <v>0</v>
      </c>
      <c r="L81" s="24">
        <f>'01.Recurso Estatal'!L71</f>
        <v>0</v>
      </c>
      <c r="M81" s="24">
        <f>+J81-K81+L81</f>
        <v>30000</v>
      </c>
      <c r="N81" s="24">
        <f>SUM(O81:Z81)</f>
        <v>8852</v>
      </c>
      <c r="O81" s="24">
        <f>+'01.Recurso Estatal'!P71</f>
        <v>120</v>
      </c>
      <c r="P81" s="24">
        <f>+'01.Recurso Estatal'!Q71</f>
        <v>120</v>
      </c>
      <c r="Q81" s="24">
        <f>+'01.Recurso Estatal'!R71</f>
        <v>120</v>
      </c>
      <c r="R81" s="24">
        <f>+'01.Recurso Estatal'!S71</f>
        <v>120</v>
      </c>
      <c r="S81" s="24">
        <f>+'01.Recurso Estatal'!T71</f>
        <v>4064</v>
      </c>
      <c r="T81" s="24">
        <f>+'01.Recurso Estatal'!U71</f>
        <v>3948</v>
      </c>
      <c r="U81" s="24">
        <f>+'01.Recurso Estatal'!V71</f>
        <v>120</v>
      </c>
      <c r="V81" s="24">
        <f>+'01.Recurso Estatal'!W71</f>
        <v>120</v>
      </c>
      <c r="W81" s="24">
        <f>+'01.Recurso Estatal'!X71</f>
        <v>120</v>
      </c>
      <c r="X81" s="24">
        <f>+'01.Recurso Estatal'!Y71</f>
        <v>0</v>
      </c>
      <c r="Y81" s="24">
        <f>+'01.Recurso Estatal'!Z71</f>
        <v>0</v>
      </c>
      <c r="Z81" s="24">
        <f>+'01.Recurso Estatal'!AA71</f>
        <v>0</v>
      </c>
      <c r="AA81" s="407"/>
    </row>
    <row r="82" spans="1:27" s="11" customFormat="1" x14ac:dyDescent="0.2">
      <c r="A82" s="21" t="s">
        <v>17</v>
      </c>
      <c r="B82" s="21" t="s">
        <v>18</v>
      </c>
      <c r="C82" s="21" t="s">
        <v>19</v>
      </c>
      <c r="D82" s="21" t="s">
        <v>42</v>
      </c>
      <c r="E82" s="21" t="s">
        <v>43</v>
      </c>
      <c r="F82" s="21" t="s">
        <v>41</v>
      </c>
      <c r="G82" s="72">
        <v>4432</v>
      </c>
      <c r="H82" s="42">
        <v>0</v>
      </c>
      <c r="I82" s="97" t="s">
        <v>92</v>
      </c>
      <c r="J82" s="24">
        <f>'01.Recurso Estatal'!J72+'02. ingresos propios'!J33+'Jalisco Competitivo'!J21+'apoyos fonart'!J19</f>
        <v>755600</v>
      </c>
      <c r="K82" s="24">
        <f>'01.Recurso Estatal'!K72+'02. ingresos propios'!K33</f>
        <v>0</v>
      </c>
      <c r="L82" s="24">
        <f>'01.Recurso Estatal'!L72+'02. ingresos propios'!L33</f>
        <v>0</v>
      </c>
      <c r="M82" s="24">
        <f>+J82-K82+L82</f>
        <v>755600</v>
      </c>
      <c r="N82" s="24">
        <f>SUM(O82:Z82)</f>
        <v>432078</v>
      </c>
      <c r="O82" s="24">
        <f>+'01.Recurso Estatal'!P72+'Jalisco Competitivo'!P21+'apoyos fonart'!O19</f>
        <v>0</v>
      </c>
      <c r="P82" s="24">
        <f>+'01.Recurso Estatal'!Q72+'Jalisco Competitivo'!Q21+'apoyos fonart'!P19</f>
        <v>0</v>
      </c>
      <c r="Q82" s="24">
        <f>+'01.Recurso Estatal'!R72+'Jalisco Competitivo'!R21+'apoyos fonart'!Q19</f>
        <v>0</v>
      </c>
      <c r="R82" s="24">
        <f>+'01.Recurso Estatal'!S72+'Jalisco Competitivo'!S21+'apoyos fonart'!R19</f>
        <v>0</v>
      </c>
      <c r="S82" s="24">
        <f>+'01.Recurso Estatal'!T72+'Jalisco Competitivo'!T21+'apoyos fonart'!S19</f>
        <v>15000</v>
      </c>
      <c r="T82" s="24">
        <f>+'01.Recurso Estatal'!U72+'Jalisco Competitivo'!U21+'apoyos fonart'!T19</f>
        <v>0</v>
      </c>
      <c r="U82" s="24">
        <f>+'01.Recurso Estatal'!V72+'Jalisco Competitivo'!V21+'apoyos fonart'!U19</f>
        <v>170000</v>
      </c>
      <c r="V82" s="24">
        <f>+'01.Recurso Estatal'!W72+'Jalisco Competitivo'!W21+'apoyos fonart'!V19</f>
        <v>120000</v>
      </c>
      <c r="W82" s="24">
        <f>+'01.Recurso Estatal'!X72+'Jalisco Competitivo'!X21+'apoyos fonart'!W19</f>
        <v>127078</v>
      </c>
      <c r="X82" s="24">
        <f>+'01.Recurso Estatal'!Y72+'Jalisco Competitivo'!Y21+'apoyos fonart'!X19</f>
        <v>0</v>
      </c>
      <c r="Y82" s="24">
        <f>+'01.Recurso Estatal'!Z72+'Jalisco Competitivo'!Z21+'apoyos fonart'!Y19</f>
        <v>0</v>
      </c>
      <c r="Z82" s="24">
        <f>+'01.Recurso Estatal'!AA72+'Jalisco Competitivo'!AA21+'apoyos fonart'!Z19</f>
        <v>0</v>
      </c>
      <c r="AA82" s="407"/>
    </row>
    <row r="83" spans="1:27" s="12" customFormat="1" x14ac:dyDescent="0.2">
      <c r="A83" s="22"/>
      <c r="B83" s="22"/>
      <c r="C83" s="22"/>
      <c r="D83" s="33"/>
      <c r="E83" s="22"/>
      <c r="F83" s="22"/>
      <c r="G83" s="22"/>
      <c r="H83" s="22"/>
      <c r="I83" s="92" t="s">
        <v>5</v>
      </c>
      <c r="J83" s="73">
        <f>SUM(J81:J82)</f>
        <v>785600</v>
      </c>
      <c r="K83" s="73">
        <f t="shared" ref="K83:L83" si="13">SUM(K81:K82)</f>
        <v>0</v>
      </c>
      <c r="L83" s="73">
        <f t="shared" si="13"/>
        <v>0</v>
      </c>
      <c r="M83" s="73">
        <f>SUM(M81:M82)</f>
        <v>785600</v>
      </c>
      <c r="N83" s="73">
        <f>SUM(N81:N82)</f>
        <v>440930</v>
      </c>
      <c r="O83" s="73">
        <f>SUM(O81:O82)</f>
        <v>120</v>
      </c>
      <c r="P83" s="73">
        <f t="shared" ref="P83:Z83" si="14">SUM(P81:P82)</f>
        <v>120</v>
      </c>
      <c r="Q83" s="73">
        <f t="shared" si="14"/>
        <v>120</v>
      </c>
      <c r="R83" s="73">
        <f t="shared" si="14"/>
        <v>120</v>
      </c>
      <c r="S83" s="73">
        <f t="shared" si="14"/>
        <v>19064</v>
      </c>
      <c r="T83" s="73">
        <f t="shared" si="14"/>
        <v>3948</v>
      </c>
      <c r="U83" s="73">
        <f t="shared" si="14"/>
        <v>170120</v>
      </c>
      <c r="V83" s="73">
        <f t="shared" si="14"/>
        <v>120120</v>
      </c>
      <c r="W83" s="73">
        <f t="shared" si="14"/>
        <v>127198</v>
      </c>
      <c r="X83" s="73">
        <f t="shared" si="14"/>
        <v>0</v>
      </c>
      <c r="Y83" s="73">
        <f t="shared" si="14"/>
        <v>0</v>
      </c>
      <c r="Z83" s="73">
        <f t="shared" si="14"/>
        <v>0</v>
      </c>
      <c r="AA83" s="409"/>
    </row>
    <row r="84" spans="1:27" s="11" customFormat="1" x14ac:dyDescent="0.2">
      <c r="A84" s="21" t="s">
        <v>17</v>
      </c>
      <c r="B84" s="21" t="s">
        <v>18</v>
      </c>
      <c r="C84" s="21" t="s">
        <v>19</v>
      </c>
      <c r="D84" s="21" t="s">
        <v>42</v>
      </c>
      <c r="E84" s="21" t="s">
        <v>43</v>
      </c>
      <c r="F84" s="21" t="s">
        <v>41</v>
      </c>
      <c r="G84" s="72">
        <v>5111</v>
      </c>
      <c r="H84" s="42">
        <v>0</v>
      </c>
      <c r="I84" s="97" t="s">
        <v>90</v>
      </c>
      <c r="J84" s="24">
        <f>'01.Recurso Estatal'!J74</f>
        <v>50000</v>
      </c>
      <c r="K84" s="24">
        <f>'01.Recurso Estatal'!K74</f>
        <v>0</v>
      </c>
      <c r="L84" s="24">
        <f>'01.Recurso Estatal'!L74</f>
        <v>0</v>
      </c>
      <c r="M84" s="24">
        <f>+J84-K84+L84</f>
        <v>50000</v>
      </c>
      <c r="N84" s="24">
        <f>SUM(O84:Z84)</f>
        <v>0</v>
      </c>
      <c r="O84" s="24">
        <f>'01.Recurso Estatal'!P74</f>
        <v>0</v>
      </c>
      <c r="P84" s="24">
        <f>'01.Recurso Estatal'!Q74</f>
        <v>0</v>
      </c>
      <c r="Q84" s="24">
        <f>'01.Recurso Estatal'!R74</f>
        <v>0</v>
      </c>
      <c r="R84" s="24">
        <f>'01.Recurso Estatal'!S74</f>
        <v>0</v>
      </c>
      <c r="S84" s="24">
        <f>'01.Recurso Estatal'!T74</f>
        <v>0</v>
      </c>
      <c r="T84" s="24">
        <f>'01.Recurso Estatal'!U74</f>
        <v>0</v>
      </c>
      <c r="U84" s="24">
        <f>'01.Recurso Estatal'!V74</f>
        <v>0</v>
      </c>
      <c r="V84" s="24">
        <f>'01.Recurso Estatal'!W74</f>
        <v>0</v>
      </c>
      <c r="W84" s="24">
        <f>'01.Recurso Estatal'!X74</f>
        <v>0</v>
      </c>
      <c r="X84" s="24">
        <f>'01.Recurso Estatal'!Y74</f>
        <v>0</v>
      </c>
      <c r="Y84" s="24">
        <f>'01.Recurso Estatal'!Z74</f>
        <v>0</v>
      </c>
      <c r="Z84" s="24">
        <f>'01.Recurso Estatal'!AA74</f>
        <v>0</v>
      </c>
      <c r="AA84" s="407"/>
    </row>
    <row r="85" spans="1:27" s="11" customFormat="1" x14ac:dyDescent="0.2">
      <c r="A85" s="21" t="s">
        <v>17</v>
      </c>
      <c r="B85" s="21" t="s">
        <v>18</v>
      </c>
      <c r="C85" s="21" t="s">
        <v>19</v>
      </c>
      <c r="D85" s="21" t="s">
        <v>42</v>
      </c>
      <c r="E85" s="21" t="s">
        <v>43</v>
      </c>
      <c r="F85" s="21" t="s">
        <v>41</v>
      </c>
      <c r="G85" s="72">
        <v>5151</v>
      </c>
      <c r="H85" s="42">
        <v>0</v>
      </c>
      <c r="I85" s="97" t="s">
        <v>110</v>
      </c>
      <c r="J85" s="24">
        <f>'01.Recurso Estatal'!J75+'02. ingresos propios'!J35</f>
        <v>30000</v>
      </c>
      <c r="K85" s="24">
        <f>'01.Recurso Estatal'!K75+'02. ingresos propios'!K35</f>
        <v>0</v>
      </c>
      <c r="L85" s="24">
        <f>'01.Recurso Estatal'!L75+'02. ingresos propios'!L35</f>
        <v>0</v>
      </c>
      <c r="M85" s="24">
        <f t="shared" ref="M85:M87" si="15">+J85-K85+L85</f>
        <v>30000</v>
      </c>
      <c r="N85" s="24">
        <f t="shared" ref="N85:N87" si="16">SUM(O85:Z85)</f>
        <v>12006</v>
      </c>
      <c r="O85" s="24">
        <f>'01.Recurso Estatal'!P75+'02. ingresos propios'!O35</f>
        <v>0</v>
      </c>
      <c r="P85" s="24">
        <f>'01.Recurso Estatal'!Q75+'02. ingresos propios'!P35</f>
        <v>0</v>
      </c>
      <c r="Q85" s="24">
        <f>'01.Recurso Estatal'!R75+'02. ingresos propios'!Q35</f>
        <v>0</v>
      </c>
      <c r="R85" s="24">
        <f>'01.Recurso Estatal'!S75+'02. ingresos propios'!R35</f>
        <v>0</v>
      </c>
      <c r="S85" s="24">
        <f>'01.Recurso Estatal'!T75+'02. ingresos propios'!S35</f>
        <v>0</v>
      </c>
      <c r="T85" s="24">
        <f>'01.Recurso Estatal'!U75+'02. ingresos propios'!T35</f>
        <v>0</v>
      </c>
      <c r="U85" s="24">
        <f>'01.Recurso Estatal'!V75+'02. ingresos propios'!U35</f>
        <v>0</v>
      </c>
      <c r="V85" s="24">
        <f>'01.Recurso Estatal'!W75+'02. ingresos propios'!V35</f>
        <v>0</v>
      </c>
      <c r="W85" s="24">
        <f>'01.Recurso Estatal'!X75+'02. ingresos propios'!W35</f>
        <v>12006</v>
      </c>
      <c r="X85" s="24">
        <f>'01.Recurso Estatal'!Y75+'02. ingresos propios'!X35</f>
        <v>0</v>
      </c>
      <c r="Y85" s="24">
        <f>'01.Recurso Estatal'!Z75+'02. ingresos propios'!Y35</f>
        <v>0</v>
      </c>
      <c r="Z85" s="24">
        <f>'01.Recurso Estatal'!AA75+'02. ingresos propios'!Z35</f>
        <v>0</v>
      </c>
      <c r="AA85" s="407"/>
    </row>
    <row r="86" spans="1:27" s="11" customFormat="1" x14ac:dyDescent="0.2">
      <c r="A86" s="21" t="s">
        <v>17</v>
      </c>
      <c r="B86" s="21" t="s">
        <v>18</v>
      </c>
      <c r="C86" s="21" t="s">
        <v>19</v>
      </c>
      <c r="D86" s="21" t="s">
        <v>42</v>
      </c>
      <c r="E86" s="21" t="s">
        <v>43</v>
      </c>
      <c r="F86" s="21" t="s">
        <v>41</v>
      </c>
      <c r="G86" s="72">
        <v>5231</v>
      </c>
      <c r="H86" s="42">
        <v>0</v>
      </c>
      <c r="I86" s="97" t="s">
        <v>111</v>
      </c>
      <c r="J86" s="24">
        <f>'01.Recurso Estatal'!J76</f>
        <v>30000</v>
      </c>
      <c r="K86" s="24"/>
      <c r="L86" s="24">
        <f>'01.Recurso Estatal'!L76</f>
        <v>0</v>
      </c>
      <c r="M86" s="24">
        <f t="shared" si="15"/>
        <v>30000</v>
      </c>
      <c r="N86" s="24">
        <f t="shared" si="16"/>
        <v>0</v>
      </c>
      <c r="O86" s="24">
        <f>'01.Recurso Estatal'!P76</f>
        <v>0</v>
      </c>
      <c r="P86" s="24">
        <f>'01.Recurso Estatal'!Q76</f>
        <v>0</v>
      </c>
      <c r="Q86" s="24">
        <f>'01.Recurso Estatal'!R76</f>
        <v>0</v>
      </c>
      <c r="R86" s="24">
        <f>'01.Recurso Estatal'!S76</f>
        <v>0</v>
      </c>
      <c r="S86" s="24">
        <f>'01.Recurso Estatal'!T76</f>
        <v>0</v>
      </c>
      <c r="T86" s="24">
        <f>'01.Recurso Estatal'!U76</f>
        <v>0</v>
      </c>
      <c r="U86" s="24">
        <f>'01.Recurso Estatal'!V76</f>
        <v>0</v>
      </c>
      <c r="V86" s="24">
        <f>'01.Recurso Estatal'!W76</f>
        <v>0</v>
      </c>
      <c r="W86" s="24">
        <f>'01.Recurso Estatal'!X76</f>
        <v>0</v>
      </c>
      <c r="X86" s="24">
        <f>'01.Recurso Estatal'!Y76</f>
        <v>0</v>
      </c>
      <c r="Y86" s="24">
        <f>'01.Recurso Estatal'!Z76</f>
        <v>0</v>
      </c>
      <c r="Z86" s="24">
        <f>'01.Recurso Estatal'!AA76</f>
        <v>0</v>
      </c>
      <c r="AA86" s="407"/>
    </row>
    <row r="87" spans="1:27" s="11" customFormat="1" x14ac:dyDescent="0.2">
      <c r="A87" s="21" t="s">
        <v>17</v>
      </c>
      <c r="B87" s="21" t="s">
        <v>18</v>
      </c>
      <c r="C87" s="21" t="s">
        <v>19</v>
      </c>
      <c r="D87" s="21" t="s">
        <v>42</v>
      </c>
      <c r="E87" s="21" t="s">
        <v>43</v>
      </c>
      <c r="F87" s="21" t="s">
        <v>41</v>
      </c>
      <c r="G87" s="72">
        <v>5651</v>
      </c>
      <c r="H87" s="42">
        <v>0</v>
      </c>
      <c r="I87" s="97" t="s">
        <v>91</v>
      </c>
      <c r="J87" s="24">
        <f>'01.Recurso Estatal'!J77</f>
        <v>5000</v>
      </c>
      <c r="K87" s="24"/>
      <c r="L87" s="24">
        <f>'01.Recurso Estatal'!L77</f>
        <v>0</v>
      </c>
      <c r="M87" s="24">
        <f t="shared" si="15"/>
        <v>5000</v>
      </c>
      <c r="N87" s="24">
        <f t="shared" si="16"/>
        <v>3444.63</v>
      </c>
      <c r="O87" s="24">
        <f>'01.Recurso Estatal'!P77</f>
        <v>0</v>
      </c>
      <c r="P87" s="24">
        <f>'01.Recurso Estatal'!Q77</f>
        <v>0</v>
      </c>
      <c r="Q87" s="24">
        <f>'01.Recurso Estatal'!R77</f>
        <v>0</v>
      </c>
      <c r="R87" s="24">
        <f>'01.Recurso Estatal'!S77</f>
        <v>0</v>
      </c>
      <c r="S87" s="24">
        <f>'01.Recurso Estatal'!T77</f>
        <v>0</v>
      </c>
      <c r="T87" s="24">
        <f>'01.Recurso Estatal'!U77</f>
        <v>3444.63</v>
      </c>
      <c r="U87" s="24">
        <f>'01.Recurso Estatal'!V77</f>
        <v>0</v>
      </c>
      <c r="V87" s="24">
        <f>'01.Recurso Estatal'!W77</f>
        <v>0</v>
      </c>
      <c r="W87" s="24">
        <f>'01.Recurso Estatal'!X77</f>
        <v>0</v>
      </c>
      <c r="X87" s="24">
        <f>'01.Recurso Estatal'!Y77</f>
        <v>0</v>
      </c>
      <c r="Y87" s="24">
        <f>'01.Recurso Estatal'!Z77</f>
        <v>0</v>
      </c>
      <c r="Z87" s="24">
        <f>'01.Recurso Estatal'!AA77</f>
        <v>0</v>
      </c>
      <c r="AA87" s="407"/>
    </row>
    <row r="88" spans="1:27" s="12" customFormat="1" x14ac:dyDescent="0.2">
      <c r="A88" s="22"/>
      <c r="B88" s="22"/>
      <c r="C88" s="22"/>
      <c r="D88" s="33"/>
      <c r="E88" s="22"/>
      <c r="F88" s="22"/>
      <c r="G88" s="22"/>
      <c r="H88" s="22"/>
      <c r="I88" s="92" t="s">
        <v>6</v>
      </c>
      <c r="J88" s="73">
        <f t="shared" ref="J88:L88" si="17">SUM(J84:J87)</f>
        <v>115000</v>
      </c>
      <c r="K88" s="73">
        <f t="shared" si="17"/>
        <v>0</v>
      </c>
      <c r="L88" s="73">
        <f t="shared" si="17"/>
        <v>0</v>
      </c>
      <c r="M88" s="73">
        <f>SUM(M84:M87)</f>
        <v>115000</v>
      </c>
      <c r="N88" s="73">
        <f>SUM(N84:N87)</f>
        <v>15450.630000000001</v>
      </c>
      <c r="O88" s="73">
        <f>SUM(O84:O87)</f>
        <v>0</v>
      </c>
      <c r="P88" s="73">
        <f t="shared" ref="P88:Z88" si="18">SUM(P84:P87)</f>
        <v>0</v>
      </c>
      <c r="Q88" s="73">
        <f t="shared" si="18"/>
        <v>0</v>
      </c>
      <c r="R88" s="73">
        <f t="shared" si="18"/>
        <v>0</v>
      </c>
      <c r="S88" s="73">
        <f t="shared" si="18"/>
        <v>0</v>
      </c>
      <c r="T88" s="73">
        <f t="shared" si="18"/>
        <v>3444.63</v>
      </c>
      <c r="U88" s="73">
        <f t="shared" si="18"/>
        <v>0</v>
      </c>
      <c r="V88" s="73">
        <f t="shared" si="18"/>
        <v>0</v>
      </c>
      <c r="W88" s="73">
        <f t="shared" si="18"/>
        <v>12006</v>
      </c>
      <c r="X88" s="73">
        <f t="shared" si="18"/>
        <v>0</v>
      </c>
      <c r="Y88" s="73">
        <f t="shared" si="18"/>
        <v>0</v>
      </c>
      <c r="Z88" s="73">
        <f t="shared" si="18"/>
        <v>0</v>
      </c>
      <c r="AA88" s="409"/>
    </row>
    <row r="89" spans="1:27" x14ac:dyDescent="0.2"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410"/>
    </row>
    <row r="90" spans="1:27" s="14" customFormat="1" ht="17.25" customHeight="1" x14ac:dyDescent="0.2">
      <c r="A90" s="50"/>
      <c r="B90" s="50"/>
      <c r="C90" s="50"/>
      <c r="D90" s="51"/>
      <c r="E90" s="50"/>
      <c r="F90" s="50"/>
      <c r="G90" s="159"/>
      <c r="H90" s="159"/>
      <c r="I90" s="159" t="s">
        <v>7</v>
      </c>
      <c r="J90" s="160">
        <f>J88+J83+J80+J48+J27</f>
        <v>21798611.859999999</v>
      </c>
      <c r="K90" s="160">
        <f t="shared" ref="K90:Z90" si="19">K88+K83+K80+K48+K27</f>
        <v>445100.25</v>
      </c>
      <c r="L90" s="160">
        <f>L88+L83+L80+L48+L27</f>
        <v>445100.25</v>
      </c>
      <c r="M90" s="160">
        <f t="shared" si="19"/>
        <v>21798611.859999999</v>
      </c>
      <c r="N90" s="160">
        <f>N88+N83+N80+N48+N27</f>
        <v>14672975.260999998</v>
      </c>
      <c r="O90" s="160">
        <f t="shared" si="19"/>
        <v>1009769.9100000001</v>
      </c>
      <c r="P90" s="160">
        <f t="shared" si="19"/>
        <v>1051950.75</v>
      </c>
      <c r="Q90" s="160">
        <f t="shared" si="19"/>
        <v>1863346.2899999998</v>
      </c>
      <c r="R90" s="160">
        <f t="shared" si="19"/>
        <v>1414318.4</v>
      </c>
      <c r="S90" s="160">
        <f t="shared" si="19"/>
        <v>2561933.6310000001</v>
      </c>
      <c r="T90" s="160">
        <f t="shared" si="19"/>
        <v>1268068.3400000001</v>
      </c>
      <c r="U90" s="160">
        <f t="shared" si="19"/>
        <v>1410513.8900000001</v>
      </c>
      <c r="V90" s="160">
        <f t="shared" si="19"/>
        <v>2106658.67</v>
      </c>
      <c r="W90" s="160">
        <f t="shared" si="19"/>
        <v>1986415.38</v>
      </c>
      <c r="X90" s="160">
        <f t="shared" si="19"/>
        <v>0</v>
      </c>
      <c r="Y90" s="160">
        <f t="shared" si="19"/>
        <v>0</v>
      </c>
      <c r="Z90" s="160">
        <f t="shared" si="19"/>
        <v>0</v>
      </c>
      <c r="AA90" s="411"/>
    </row>
    <row r="91" spans="1:27" s="11" customFormat="1" x14ac:dyDescent="0.2">
      <c r="A91" s="1"/>
      <c r="B91" s="1"/>
      <c r="C91" s="1"/>
      <c r="D91" s="7"/>
      <c r="E91" s="1"/>
      <c r="F91" s="1"/>
      <c r="G91" s="1"/>
      <c r="H91" s="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74"/>
    </row>
    <row r="92" spans="1:27" s="11" customFormat="1" x14ac:dyDescent="0.2">
      <c r="A92" s="1"/>
      <c r="B92" s="1"/>
      <c r="C92" s="1"/>
      <c r="D92" s="7"/>
      <c r="E92" s="1"/>
      <c r="F92" s="1"/>
      <c r="G92" s="1"/>
      <c r="H92" s="1"/>
      <c r="I92" s="4"/>
      <c r="J92" s="4"/>
      <c r="K92" s="4"/>
      <c r="L92" s="4"/>
      <c r="M92" s="4"/>
      <c r="N92" s="11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74"/>
    </row>
    <row r="93" spans="1:27" s="11" customFormat="1" x14ac:dyDescent="0.2">
      <c r="A93" s="1"/>
      <c r="B93" s="1"/>
      <c r="C93" s="1"/>
      <c r="D93" s="7"/>
      <c r="E93" s="1"/>
      <c r="F93" s="1"/>
      <c r="G93" s="1"/>
      <c r="H93" s="1"/>
      <c r="I93" s="4" t="s">
        <v>112</v>
      </c>
      <c r="J93" s="95">
        <f>'01.Recurso Estatal'!J80</f>
        <v>15839138</v>
      </c>
      <c r="K93" s="4"/>
      <c r="L93" s="4"/>
      <c r="M93" s="4"/>
      <c r="N93" s="11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74"/>
    </row>
    <row r="94" spans="1:27" s="11" customFormat="1" x14ac:dyDescent="0.2">
      <c r="A94" s="1"/>
      <c r="B94" s="1"/>
      <c r="C94" s="1"/>
      <c r="D94" s="7"/>
      <c r="E94" s="1"/>
      <c r="F94" s="1"/>
      <c r="G94" s="1"/>
      <c r="H94" s="1"/>
      <c r="I94" s="4"/>
      <c r="J94" s="95"/>
      <c r="K94" s="95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74"/>
    </row>
    <row r="95" spans="1:27" s="11" customFormat="1" x14ac:dyDescent="0.2">
      <c r="A95" s="1"/>
      <c r="B95" s="1"/>
      <c r="C95" s="1"/>
      <c r="D95" s="7"/>
      <c r="E95" s="1"/>
      <c r="F95" s="1"/>
      <c r="G95" s="1"/>
      <c r="H95" s="1"/>
      <c r="I95" s="4" t="s">
        <v>96</v>
      </c>
      <c r="J95" s="95">
        <f>'02. ingresos propios'!J38</f>
        <v>2073538.2</v>
      </c>
      <c r="K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74"/>
    </row>
    <row r="96" spans="1:27" s="11" customFormat="1" x14ac:dyDescent="0.2">
      <c r="A96" s="1"/>
      <c r="B96" s="1"/>
      <c r="C96" s="1"/>
      <c r="D96" s="7"/>
      <c r="E96" s="1"/>
      <c r="F96" s="1"/>
      <c r="G96" s="1"/>
      <c r="H96" s="1"/>
      <c r="I96" s="164" t="s">
        <v>179</v>
      </c>
      <c r="J96" s="95">
        <f>+Remanentes!J36</f>
        <v>982335.66</v>
      </c>
      <c r="K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74"/>
    </row>
    <row r="97" spans="1:27" s="11" customFormat="1" x14ac:dyDescent="0.2">
      <c r="A97" s="1"/>
      <c r="B97" s="1"/>
      <c r="C97" s="1"/>
      <c r="D97" s="7"/>
      <c r="E97" s="1"/>
      <c r="F97" s="1"/>
      <c r="G97" s="1"/>
      <c r="H97" s="1"/>
      <c r="I97" s="164" t="s">
        <v>147</v>
      </c>
      <c r="J97" s="95">
        <f>'apoyos fonart'!J24</f>
        <v>235600</v>
      </c>
      <c r="K97" s="4"/>
      <c r="L97" s="11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74"/>
    </row>
    <row r="98" spans="1:27" s="11" customFormat="1" x14ac:dyDescent="0.2">
      <c r="A98" s="1"/>
      <c r="B98" s="1"/>
      <c r="C98" s="1"/>
      <c r="D98" s="7"/>
      <c r="E98" s="1"/>
      <c r="F98" s="1"/>
      <c r="G98" s="1"/>
      <c r="H98" s="1"/>
      <c r="I98" s="164" t="s">
        <v>146</v>
      </c>
      <c r="J98" s="95">
        <f>'Jalisco Competitivo'!J26</f>
        <v>2668000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74"/>
    </row>
    <row r="99" spans="1:27" x14ac:dyDescent="0.2">
      <c r="J99" s="143">
        <f>SUM(J93:J98)</f>
        <v>21798611.859999999</v>
      </c>
      <c r="K99" s="95"/>
    </row>
  </sheetData>
  <sortState ref="G80:J86">
    <sortCondition ref="G80"/>
  </sortState>
  <mergeCells count="15">
    <mergeCell ref="J6:M6"/>
    <mergeCell ref="F12:F13"/>
    <mergeCell ref="G12:G13"/>
    <mergeCell ref="H12:H13"/>
    <mergeCell ref="A12:A13"/>
    <mergeCell ref="B12:B13"/>
    <mergeCell ref="C12:C13"/>
    <mergeCell ref="E12:E13"/>
    <mergeCell ref="D12:D13"/>
    <mergeCell ref="O12:Z12"/>
    <mergeCell ref="M12:M13"/>
    <mergeCell ref="I12:I13"/>
    <mergeCell ref="N12:N13"/>
    <mergeCell ref="K12:L12"/>
    <mergeCell ref="J12:J13"/>
  </mergeCells>
  <phoneticPr fontId="17" type="noConversion"/>
  <pageMargins left="0.78740157480314965" right="0.39370078740157483" top="0.39370078740157483" bottom="0.27559055118110237" header="0" footer="0"/>
  <pageSetup paperSize="5" scale="50" orientation="landscape" r:id="rId1"/>
  <headerFooter alignWithMargins="0">
    <oddFooter>&amp;C&amp;P&amp;R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14</vt:i4>
      </vt:variant>
    </vt:vector>
  </HeadingPairs>
  <TitlesOfParts>
    <vt:vector size="27" baseType="lpstr">
      <vt:lpstr>Dir. y admon</vt:lpstr>
      <vt:lpstr>Ident sus</vt:lpstr>
      <vt:lpstr>Promocion</vt:lpstr>
      <vt:lpstr>01.Recurso Estatal</vt:lpstr>
      <vt:lpstr>02. ingresos propios</vt:lpstr>
      <vt:lpstr>Remanentes</vt:lpstr>
      <vt:lpstr>Jalisco Competitivo</vt:lpstr>
      <vt:lpstr>apoyos fonart</vt:lpstr>
      <vt:lpstr>Acumulado</vt:lpstr>
      <vt:lpstr>PLANTILLA</vt:lpstr>
      <vt:lpstr>Transf. entre partidas 1era Ses</vt:lpstr>
      <vt:lpstr>2da sesion extraordinaria</vt:lpstr>
      <vt:lpstr>2da ordinaria</vt:lpstr>
      <vt:lpstr>__PS4</vt:lpstr>
      <vt:lpstr>'01.Recurso Estatal'!Área_de_impresión</vt:lpstr>
      <vt:lpstr>'02. ingresos propios'!Área_de_impresión</vt:lpstr>
      <vt:lpstr>PLANTILLA!Área_de_impresión</vt:lpstr>
      <vt:lpstr>'Transf. entre partidas 1era Ses'!Área_de_impresión</vt:lpstr>
      <vt:lpstr>'01.Recurso Estatal'!Títulos_a_imprimir</vt:lpstr>
      <vt:lpstr>'02. ingresos propios'!Títulos_a_imprimir</vt:lpstr>
      <vt:lpstr>Acumulado!Títulos_a_imprimir</vt:lpstr>
      <vt:lpstr>'apoyos fonart'!Títulos_a_imprimir</vt:lpstr>
      <vt:lpstr>'Dir. y admon'!Títulos_a_imprimir</vt:lpstr>
      <vt:lpstr>'Ident sus'!Títulos_a_imprimir</vt:lpstr>
      <vt:lpstr>'Jalisco Competitivo'!Títulos_a_imprimir</vt:lpstr>
      <vt:lpstr>Promocion!Títulos_a_imprimir</vt:lpstr>
      <vt:lpstr>Remanentes!Títulos_a_imprimir</vt:lpstr>
    </vt:vector>
  </TitlesOfParts>
  <Company>IAJ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 Hernández</dc:creator>
  <cp:lastModifiedBy>SOPORTE IAJ</cp:lastModifiedBy>
  <cp:lastPrinted>2018-10-24T21:02:43Z</cp:lastPrinted>
  <dcterms:created xsi:type="dcterms:W3CDTF">2005-01-17T22:42:24Z</dcterms:created>
  <dcterms:modified xsi:type="dcterms:W3CDTF">2018-10-26T15:09:37Z</dcterms:modified>
</cp:coreProperties>
</file>